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welcome\Desktop\IL&amp;FS\IL&amp;FS Presentation\"/>
    </mc:Choice>
  </mc:AlternateContent>
  <xr:revisionPtr revIDLastSave="0" documentId="13_ncr:1_{F598F99A-A239-4D76-BD08-E4AFC3E3BC8A}" xr6:coauthVersionLast="47" xr6:coauthVersionMax="47" xr10:uidLastSave="{00000000-0000-0000-0000-000000000000}"/>
  <bookViews>
    <workbookView xWindow="-108" yWindow="-108" windowWidth="23256" windowHeight="12576" tabRatio="948" firstSheet="1" activeTab="9" xr2:uid="{00000000-000D-0000-FFFF-FFFF00000000}"/>
  </bookViews>
  <sheets>
    <sheet name="General" sheetId="3" state="hidden" r:id="rId1"/>
    <sheet name="SUMMARY" sheetId="12" r:id="rId2"/>
    <sheet name="Intangible Assets" sheetId="73" state="hidden" r:id="rId3"/>
    <sheet name="NCI-I" sheetId="59" r:id="rId4"/>
    <sheet name="Provisions TR 2018" sheetId="77" state="hidden" r:id="rId5"/>
    <sheet name="Trade Receivable-II" sheetId="63" r:id="rId6"/>
    <sheet name="Provision-2018" sheetId="78" state="hidden" r:id="rId7"/>
    <sheet name="Loans-III" sheetId="56" state="hidden" r:id="rId8"/>
    <sheet name="Loan-Deposits" sheetId="80" state="hidden" r:id="rId9"/>
    <sheet name="Loans and Other Assets-III" sheetId="81" r:id="rId10"/>
    <sheet name="Interest Accrued-IV" sheetId="70" r:id="rId11"/>
    <sheet name="Claim for PBG-V" sheetId="84" r:id="rId12"/>
    <sheet name="Other Receivables-VI" sheetId="83" r:id="rId13"/>
    <sheet name="Margin Money-VII" sheetId="64" r:id="rId14"/>
    <sheet name="Tax Assets-VIII" sheetId="71" r:id="rId15"/>
    <sheet name="Non-Current Inventories-IX" sheetId="79" r:id="rId16"/>
    <sheet name="Retention Money-X" sheetId="76" r:id="rId17"/>
    <sheet name="ONCA-VI" sheetId="58" state="hidden" r:id="rId18"/>
    <sheet name="INVENTORY-VII" sheetId="67" state="hidden" r:id="rId19"/>
    <sheet name="Cash &amp; Cash Equivalents-XI" sheetId="69" r:id="rId20"/>
    <sheet name="OCA-XI" sheetId="66" state="hidden" r:id="rId21"/>
    <sheet name="Balances statutory Athority" sheetId="82" state="hidden" r:id="rId22"/>
    <sheet name="Debenture-2018" sheetId="74" state="hidden" r:id="rId23"/>
    <sheet name="Preferred - 2018" sheetId="75" state="hidden" r:id="rId24"/>
    <sheet name="MSEDCL Assets" sheetId="33" state="hidden" r:id="rId25"/>
    <sheet name="SECL Assets" sheetId="34" state="hidden" r:id="rId26"/>
    <sheet name="WCL Assets" sheetId="35" state="hidden" r:id="rId27"/>
    <sheet name="Sheet4" sheetId="36" state="hidden" r:id="rId28"/>
  </sheets>
  <externalReferences>
    <externalReference r:id="rId29"/>
    <externalReference r:id="rId30"/>
    <externalReference r:id="rId31"/>
    <externalReference r:id="rId32"/>
  </externalReferences>
  <definedNames>
    <definedName name="_xlnm.Print_Area" localSheetId="1">SUMMARY!#REF!</definedName>
  </definedNames>
  <calcPr calcId="191029" iterate="1"/>
</workbook>
</file>

<file path=xl/calcChain.xml><?xml version="1.0" encoding="utf-8"?>
<calcChain xmlns="http://schemas.openxmlformats.org/spreadsheetml/2006/main">
  <c r="J12" i="81" l="1"/>
  <c r="I12" i="81"/>
  <c r="H12" i="81"/>
  <c r="G12" i="81"/>
  <c r="F12" i="81"/>
  <c r="E12" i="81"/>
  <c r="H7" i="59"/>
  <c r="L7" i="81" l="1"/>
  <c r="D7" i="71"/>
  <c r="D15" i="12"/>
  <c r="E6" i="84"/>
  <c r="F6" i="84" s="1"/>
  <c r="F7" i="84" s="1"/>
  <c r="D7" i="84"/>
  <c r="E7" i="84"/>
  <c r="B5" i="84"/>
  <c r="O17" i="70"/>
  <c r="S15" i="70"/>
  <c r="I6" i="70" s="1"/>
  <c r="P16" i="70"/>
  <c r="Q16" i="70" s="1"/>
  <c r="Q17" i="70" s="1"/>
  <c r="P13" i="70"/>
  <c r="Q13" i="70" s="1"/>
  <c r="R13" i="70" s="1"/>
  <c r="S13" i="70" s="1"/>
  <c r="T13" i="70" s="1"/>
  <c r="K16" i="70"/>
  <c r="K17" i="70"/>
  <c r="K19" i="70"/>
  <c r="K20" i="70"/>
  <c r="K21" i="70"/>
  <c r="K23" i="70"/>
  <c r="K24" i="70"/>
  <c r="K25" i="70"/>
  <c r="K26" i="70"/>
  <c r="K15" i="70"/>
  <c r="I27" i="70"/>
  <c r="G27" i="70"/>
  <c r="Q15" i="70" s="1"/>
  <c r="G6" i="70" s="1"/>
  <c r="E27" i="70"/>
  <c r="O15" i="70" s="1"/>
  <c r="F25" i="70"/>
  <c r="J24" i="70"/>
  <c r="D23" i="70"/>
  <c r="F23" i="70" s="1"/>
  <c r="F22" i="70"/>
  <c r="F27" i="70" s="1"/>
  <c r="P15" i="70" s="1"/>
  <c r="H18" i="70"/>
  <c r="K18" i="70" s="1"/>
  <c r="F6" i="70" l="1"/>
  <c r="O21" i="70"/>
  <c r="L6" i="70" s="1"/>
  <c r="E6" i="70"/>
  <c r="P17" i="70"/>
  <c r="P19" i="70" s="1"/>
  <c r="J18" i="70"/>
  <c r="J27" i="70" s="1"/>
  <c r="E15" i="12"/>
  <c r="H27" i="70"/>
  <c r="R15" i="70" s="1"/>
  <c r="H6" i="70" s="1"/>
  <c r="K22" i="70"/>
  <c r="K27" i="70" s="1"/>
  <c r="T15" i="70" s="1"/>
  <c r="J6" i="70" s="1"/>
  <c r="F15" i="12"/>
  <c r="O19" i="70"/>
  <c r="R16" i="70"/>
  <c r="R17" i="70" s="1"/>
  <c r="Q19" i="70"/>
  <c r="D27" i="70"/>
  <c r="D6" i="70" l="1"/>
  <c r="O14" i="70"/>
  <c r="R19" i="70"/>
  <c r="S16" i="70"/>
  <c r="S17" i="70" s="1"/>
  <c r="S19" i="70" l="1"/>
  <c r="T16" i="70"/>
  <c r="T19" i="70" s="1"/>
  <c r="O20" i="70" s="1"/>
  <c r="K6" i="70" s="1"/>
  <c r="F14" i="12" l="1"/>
  <c r="E14" i="12"/>
  <c r="F6" i="12"/>
  <c r="E6" i="12"/>
  <c r="F6" i="83"/>
  <c r="E6" i="83"/>
  <c r="E7" i="83" s="1"/>
  <c r="P17" i="83"/>
  <c r="K16" i="83"/>
  <c r="K17" i="83"/>
  <c r="K18" i="83"/>
  <c r="K19" i="83"/>
  <c r="K15" i="83"/>
  <c r="K20" i="83" s="1"/>
  <c r="U15" i="83" s="1"/>
  <c r="J6" i="83" s="1"/>
  <c r="J7" i="83" s="1"/>
  <c r="R15" i="83"/>
  <c r="G6" i="83" s="1"/>
  <c r="Q15" i="83"/>
  <c r="S15" i="83"/>
  <c r="H6" i="83" s="1"/>
  <c r="T15" i="83"/>
  <c r="I6" i="83" s="1"/>
  <c r="P15" i="83"/>
  <c r="Q16" i="83"/>
  <c r="Q17" i="83" s="1"/>
  <c r="Q19" i="83" s="1"/>
  <c r="R13" i="83"/>
  <c r="S13" i="83" s="1"/>
  <c r="T13" i="83" s="1"/>
  <c r="U13" i="83" s="1"/>
  <c r="Q13" i="83"/>
  <c r="D6" i="83"/>
  <c r="D7" i="83" s="1"/>
  <c r="D16" i="12" s="1"/>
  <c r="L7" i="83"/>
  <c r="F16" i="12" s="1"/>
  <c r="N105" i="81"/>
  <c r="N118" i="81"/>
  <c r="P117" i="81"/>
  <c r="P118" i="81" s="1"/>
  <c r="O117" i="81"/>
  <c r="O118" i="81" s="1"/>
  <c r="O114" i="81"/>
  <c r="P114" i="81" s="1"/>
  <c r="Q114" i="81" s="1"/>
  <c r="R114" i="81" s="1"/>
  <c r="S114" i="81" s="1"/>
  <c r="E197" i="81"/>
  <c r="K197" i="81" s="1"/>
  <c r="E196" i="81"/>
  <c r="K196" i="81" s="1"/>
  <c r="E195" i="81"/>
  <c r="K195" i="81" s="1"/>
  <c r="K194" i="81"/>
  <c r="E194" i="81"/>
  <c r="K193" i="81"/>
  <c r="K192" i="81"/>
  <c r="K191" i="81"/>
  <c r="K190" i="81"/>
  <c r="K189" i="81"/>
  <c r="K188" i="81"/>
  <c r="K187" i="81"/>
  <c r="K186" i="81"/>
  <c r="K185" i="81"/>
  <c r="K184" i="81"/>
  <c r="K183" i="81"/>
  <c r="K182" i="81"/>
  <c r="K181" i="81"/>
  <c r="K180" i="81"/>
  <c r="K179" i="81"/>
  <c r="K178" i="81"/>
  <c r="K177" i="81"/>
  <c r="K176" i="81"/>
  <c r="K175" i="81"/>
  <c r="K174" i="81"/>
  <c r="K173" i="81"/>
  <c r="K172" i="81"/>
  <c r="K171" i="81"/>
  <c r="K170" i="81"/>
  <c r="K169" i="81"/>
  <c r="K168" i="81"/>
  <c r="K167" i="81"/>
  <c r="K166" i="81"/>
  <c r="K165" i="81"/>
  <c r="K164" i="81"/>
  <c r="K163" i="81"/>
  <c r="K162" i="81"/>
  <c r="K161" i="81"/>
  <c r="K160" i="81"/>
  <c r="K159" i="81"/>
  <c r="K158" i="81"/>
  <c r="K157" i="81"/>
  <c r="K156" i="81"/>
  <c r="K155" i="81"/>
  <c r="K154" i="81"/>
  <c r="K153" i="81"/>
  <c r="K152" i="81"/>
  <c r="K151" i="81"/>
  <c r="K150" i="81"/>
  <c r="K149" i="81"/>
  <c r="K148" i="81"/>
  <c r="K147" i="81"/>
  <c r="K146" i="81"/>
  <c r="K145" i="81"/>
  <c r="K144" i="81"/>
  <c r="K143" i="81"/>
  <c r="K142" i="81"/>
  <c r="K141" i="81"/>
  <c r="K140" i="81"/>
  <c r="K139" i="81"/>
  <c r="K138" i="81"/>
  <c r="K137" i="81"/>
  <c r="K136" i="81"/>
  <c r="K135" i="81"/>
  <c r="K134" i="81"/>
  <c r="K133" i="81"/>
  <c r="K132" i="81"/>
  <c r="K131" i="81"/>
  <c r="K130" i="81"/>
  <c r="K129" i="81"/>
  <c r="K128" i="81"/>
  <c r="K127" i="81"/>
  <c r="K126" i="81"/>
  <c r="K125" i="81"/>
  <c r="K124" i="81"/>
  <c r="K123" i="81"/>
  <c r="K122" i="81"/>
  <c r="K121" i="81"/>
  <c r="K120" i="81"/>
  <c r="K119" i="81"/>
  <c r="K118" i="81"/>
  <c r="K117" i="81"/>
  <c r="K116" i="81"/>
  <c r="K115" i="81"/>
  <c r="K114" i="81"/>
  <c r="K113" i="81"/>
  <c r="J111" i="81"/>
  <c r="I111" i="81"/>
  <c r="I10" i="81" s="1"/>
  <c r="H111" i="81"/>
  <c r="H10" i="81" s="1"/>
  <c r="G111" i="81"/>
  <c r="G10" i="81" s="1"/>
  <c r="F111" i="81"/>
  <c r="F10" i="81" s="1"/>
  <c r="E111" i="81"/>
  <c r="E10" i="81" s="1"/>
  <c r="D111" i="81"/>
  <c r="N115" i="81" s="1"/>
  <c r="L9" i="81"/>
  <c r="H8" i="81"/>
  <c r="I8" i="81"/>
  <c r="O103" i="81"/>
  <c r="O107" i="81" s="1"/>
  <c r="P103" i="81"/>
  <c r="G8" i="81" s="1"/>
  <c r="Q103" i="81"/>
  <c r="R103" i="81"/>
  <c r="S103" i="81"/>
  <c r="J8" i="81" s="1"/>
  <c r="N103" i="81"/>
  <c r="N102" i="81"/>
  <c r="O104" i="81"/>
  <c r="O105" i="81" s="1"/>
  <c r="P101" i="81"/>
  <c r="Q101" i="81" s="1"/>
  <c r="R101" i="81" s="1"/>
  <c r="S101" i="81" s="1"/>
  <c r="O101" i="81"/>
  <c r="I22" i="81"/>
  <c r="H22" i="81"/>
  <c r="R22" i="81" s="1"/>
  <c r="G22" i="81"/>
  <c r="Q22" i="81" s="1"/>
  <c r="F22" i="81"/>
  <c r="G6" i="81" s="1"/>
  <c r="C22" i="81"/>
  <c r="D6" i="81" s="1"/>
  <c r="E22" i="81"/>
  <c r="O22" i="81" s="1"/>
  <c r="D8" i="81"/>
  <c r="K7" i="81"/>
  <c r="D7" i="81"/>
  <c r="N24" i="81"/>
  <c r="J97" i="81"/>
  <c r="J96" i="81"/>
  <c r="J95" i="81"/>
  <c r="J94" i="81"/>
  <c r="J93" i="81"/>
  <c r="J92" i="81"/>
  <c r="J91" i="81"/>
  <c r="J90" i="81"/>
  <c r="J89" i="81"/>
  <c r="J88" i="81"/>
  <c r="J87" i="81"/>
  <c r="J86" i="81"/>
  <c r="J85" i="81"/>
  <c r="J84" i="81"/>
  <c r="J83" i="81"/>
  <c r="J82" i="81"/>
  <c r="J81" i="81"/>
  <c r="J80" i="81"/>
  <c r="J79" i="81"/>
  <c r="J78" i="81"/>
  <c r="J77" i="81"/>
  <c r="J76" i="81"/>
  <c r="J75" i="81"/>
  <c r="J74" i="81"/>
  <c r="J73" i="81"/>
  <c r="J72" i="81"/>
  <c r="J71" i="81"/>
  <c r="J70" i="81"/>
  <c r="J69" i="81"/>
  <c r="J68" i="81"/>
  <c r="J67" i="81"/>
  <c r="J66" i="81"/>
  <c r="J65" i="81"/>
  <c r="J64" i="81"/>
  <c r="J63" i="81"/>
  <c r="J62" i="81"/>
  <c r="J61" i="81"/>
  <c r="J60" i="81"/>
  <c r="J59" i="81"/>
  <c r="J58" i="81"/>
  <c r="J57" i="81"/>
  <c r="J56" i="81"/>
  <c r="J55" i="81"/>
  <c r="J54" i="81"/>
  <c r="J53" i="81"/>
  <c r="J52" i="81"/>
  <c r="J51" i="81"/>
  <c r="J50" i="81"/>
  <c r="J49" i="81"/>
  <c r="J48" i="81"/>
  <c r="J47" i="81"/>
  <c r="J46" i="81"/>
  <c r="J45" i="81"/>
  <c r="J44" i="81"/>
  <c r="J43" i="81"/>
  <c r="J42" i="81"/>
  <c r="J41" i="81"/>
  <c r="J40" i="81"/>
  <c r="J39" i="81"/>
  <c r="J38" i="81"/>
  <c r="J37" i="81"/>
  <c r="J36" i="81"/>
  <c r="J35" i="81"/>
  <c r="J34" i="81"/>
  <c r="J33" i="81"/>
  <c r="J32" i="81"/>
  <c r="J31" i="81"/>
  <c r="J30" i="81"/>
  <c r="J29" i="81"/>
  <c r="J28" i="81"/>
  <c r="J27" i="81"/>
  <c r="J26" i="81"/>
  <c r="J25" i="81"/>
  <c r="J24" i="81"/>
  <c r="O23" i="81"/>
  <c r="O24" i="81" s="1"/>
  <c r="N22" i="81"/>
  <c r="O20" i="81"/>
  <c r="P20" i="81" s="1"/>
  <c r="Q20" i="81" s="1"/>
  <c r="R20" i="81" s="1"/>
  <c r="S20" i="81" s="1"/>
  <c r="K11" i="81"/>
  <c r="B5" i="81"/>
  <c r="X15" i="81"/>
  <c r="X14" i="81"/>
  <c r="X12" i="81"/>
  <c r="X5" i="81"/>
  <c r="X4" i="81"/>
  <c r="X3" i="81"/>
  <c r="N116" i="81" l="1"/>
  <c r="O116" i="81"/>
  <c r="O120" i="81" s="1"/>
  <c r="D10" i="81"/>
  <c r="D12" i="81"/>
  <c r="D13" i="12" s="1"/>
  <c r="F8" i="81"/>
  <c r="P104" i="81"/>
  <c r="N109" i="81"/>
  <c r="L8" i="81" s="1"/>
  <c r="K111" i="81"/>
  <c r="Q117" i="81"/>
  <c r="Q118" i="81" s="1"/>
  <c r="R116" i="81"/>
  <c r="R16" i="83"/>
  <c r="Q116" i="81"/>
  <c r="N120" i="81"/>
  <c r="P14" i="83"/>
  <c r="N28" i="81"/>
  <c r="L6" i="81" s="1"/>
  <c r="E8" i="81"/>
  <c r="P116" i="81"/>
  <c r="N107" i="81"/>
  <c r="P19" i="83"/>
  <c r="J22" i="81"/>
  <c r="S22" i="81" s="1"/>
  <c r="P120" i="81"/>
  <c r="R117" i="81"/>
  <c r="F6" i="81"/>
  <c r="E6" i="81"/>
  <c r="N21" i="81"/>
  <c r="H6" i="81"/>
  <c r="I6" i="81"/>
  <c r="P22" i="81"/>
  <c r="N26" i="81"/>
  <c r="O26" i="81"/>
  <c r="P23" i="81"/>
  <c r="P24" i="81" s="1"/>
  <c r="L11" i="81"/>
  <c r="J10" i="81" l="1"/>
  <c r="S116" i="81"/>
  <c r="S16" i="83"/>
  <c r="R17" i="83"/>
  <c r="R19" i="83" s="1"/>
  <c r="P105" i="81"/>
  <c r="P107" i="81" s="1"/>
  <c r="Q104" i="81"/>
  <c r="Q120" i="81"/>
  <c r="N122" i="81"/>
  <c r="L10" i="81" s="1"/>
  <c r="J6" i="81"/>
  <c r="R118" i="81"/>
  <c r="R120" i="81" s="1"/>
  <c r="S117" i="81"/>
  <c r="S120" i="81" s="1"/>
  <c r="Q23" i="81"/>
  <c r="Q24" i="81" s="1"/>
  <c r="P26" i="81"/>
  <c r="S17" i="83" l="1"/>
  <c r="S19" i="83" s="1"/>
  <c r="T16" i="83"/>
  <c r="Q105" i="81"/>
  <c r="Q107" i="81" s="1"/>
  <c r="R104" i="81"/>
  <c r="N121" i="81"/>
  <c r="K10" i="81"/>
  <c r="R23" i="81"/>
  <c r="R24" i="81" s="1"/>
  <c r="Q26" i="81"/>
  <c r="R105" i="81" l="1"/>
  <c r="R107" i="81" s="1"/>
  <c r="S104" i="81"/>
  <c r="S107" i="81" s="1"/>
  <c r="T17" i="83"/>
  <c r="T19" i="83" s="1"/>
  <c r="P20" i="83" s="1"/>
  <c r="K6" i="83" s="1"/>
  <c r="K7" i="83" s="1"/>
  <c r="E16" i="12" s="1"/>
  <c r="U16" i="83"/>
  <c r="U19" i="83" s="1"/>
  <c r="R26" i="81"/>
  <c r="S23" i="81"/>
  <c r="S26" i="81" s="1"/>
  <c r="N108" i="81" l="1"/>
  <c r="K8" i="81" s="1"/>
  <c r="N27" i="81"/>
  <c r="K6" i="81" s="1"/>
  <c r="K12" i="81" s="1"/>
  <c r="E13" i="12" s="1"/>
  <c r="L12" i="81" l="1"/>
  <c r="F13" i="12" s="1"/>
  <c r="F11" i="80" l="1"/>
  <c r="B3" i="82" l="1"/>
  <c r="E6" i="82"/>
  <c r="E7" i="82"/>
  <c r="D7" i="82"/>
  <c r="B5" i="82"/>
  <c r="S15" i="80"/>
  <c r="O17" i="80"/>
  <c r="P16" i="80"/>
  <c r="Q16" i="80" s="1"/>
  <c r="P13" i="80"/>
  <c r="Q13" i="80" s="1"/>
  <c r="R13" i="80" s="1"/>
  <c r="S13" i="80" s="1"/>
  <c r="T13" i="80" s="1"/>
  <c r="F6" i="80"/>
  <c r="F7" i="80" s="1"/>
  <c r="E6" i="80"/>
  <c r="E7" i="80" s="1"/>
  <c r="K18" i="80"/>
  <c r="K19" i="80"/>
  <c r="K20" i="80"/>
  <c r="K21" i="80"/>
  <c r="K22" i="80"/>
  <c r="K23" i="80"/>
  <c r="K24" i="80"/>
  <c r="K25" i="80"/>
  <c r="K26" i="80"/>
  <c r="K27" i="80"/>
  <c r="K28" i="80"/>
  <c r="K29" i="80"/>
  <c r="K30" i="80"/>
  <c r="K31" i="80"/>
  <c r="K32" i="80"/>
  <c r="K33" i="80"/>
  <c r="K34" i="80"/>
  <c r="K35" i="80"/>
  <c r="K36" i="80"/>
  <c r="K37" i="80"/>
  <c r="K38" i="80"/>
  <c r="K39" i="80"/>
  <c r="K40" i="80"/>
  <c r="K41" i="80"/>
  <c r="K42" i="80"/>
  <c r="K43" i="80"/>
  <c r="K44" i="80"/>
  <c r="K45" i="80"/>
  <c r="K46" i="80"/>
  <c r="K47" i="80"/>
  <c r="K48" i="80"/>
  <c r="K49" i="80"/>
  <c r="K50" i="80"/>
  <c r="K51" i="80"/>
  <c r="K52" i="80"/>
  <c r="K53" i="80"/>
  <c r="K54" i="80"/>
  <c r="K55" i="80"/>
  <c r="K56" i="80"/>
  <c r="K57" i="80"/>
  <c r="K58" i="80"/>
  <c r="K59" i="80"/>
  <c r="K60" i="80"/>
  <c r="K61" i="80"/>
  <c r="K62" i="80"/>
  <c r="K63" i="80"/>
  <c r="K64" i="80"/>
  <c r="K65" i="80"/>
  <c r="K66" i="80"/>
  <c r="K67" i="80"/>
  <c r="K68" i="80"/>
  <c r="K69" i="80"/>
  <c r="K70" i="80"/>
  <c r="K71" i="80"/>
  <c r="K72" i="80"/>
  <c r="K73" i="80"/>
  <c r="K74" i="80"/>
  <c r="K75" i="80"/>
  <c r="K76" i="80"/>
  <c r="K77" i="80"/>
  <c r="K78" i="80"/>
  <c r="K79" i="80"/>
  <c r="K80" i="80"/>
  <c r="K81" i="80"/>
  <c r="K82" i="80"/>
  <c r="K83" i="80"/>
  <c r="K84" i="80"/>
  <c r="K85" i="80"/>
  <c r="K86" i="80"/>
  <c r="K87" i="80"/>
  <c r="K88" i="80"/>
  <c r="K89" i="80"/>
  <c r="K90" i="80"/>
  <c r="K17" i="80"/>
  <c r="K15" i="80" s="1"/>
  <c r="J15" i="80"/>
  <c r="I15" i="80"/>
  <c r="I6" i="80" s="1"/>
  <c r="I7" i="80" s="1"/>
  <c r="H15" i="80"/>
  <c r="H6" i="80" s="1"/>
  <c r="H7" i="80" s="1"/>
  <c r="G15" i="80"/>
  <c r="G6" i="80" s="1"/>
  <c r="G7" i="80" s="1"/>
  <c r="F15" i="80"/>
  <c r="P15" i="80" s="1"/>
  <c r="E15" i="80"/>
  <c r="O15" i="80" s="1"/>
  <c r="O19" i="80" s="1"/>
  <c r="D15" i="80"/>
  <c r="D6" i="80" s="1"/>
  <c r="T15" i="80" l="1"/>
  <c r="J6" i="80"/>
  <c r="J7" i="80" s="1"/>
  <c r="R15" i="80"/>
  <c r="F6" i="82"/>
  <c r="F7" i="82" s="1"/>
  <c r="Q15" i="80"/>
  <c r="Q19" i="80" s="1"/>
  <c r="P17" i="80"/>
  <c r="P19" i="80" s="1"/>
  <c r="Q17" i="80"/>
  <c r="R16" i="80"/>
  <c r="R17" i="80" l="1"/>
  <c r="R19" i="80" s="1"/>
  <c r="S16" i="80"/>
  <c r="S17" i="80" l="1"/>
  <c r="S19" i="80" s="1"/>
  <c r="T16" i="80"/>
  <c r="T17" i="80" s="1"/>
  <c r="T19" i="80" s="1"/>
  <c r="O20" i="80" l="1"/>
  <c r="K6" i="80" s="1"/>
  <c r="K7" i="80" s="1"/>
  <c r="D7" i="80" l="1"/>
  <c r="O14" i="80" s="1"/>
  <c r="B5" i="80"/>
  <c r="B3" i="80"/>
  <c r="P17" i="79"/>
  <c r="Q17" i="79"/>
  <c r="Q19" i="79" s="1"/>
  <c r="O17" i="79"/>
  <c r="Q15" i="79"/>
  <c r="P15" i="79"/>
  <c r="Q16" i="79"/>
  <c r="R16" i="79" s="1"/>
  <c r="P16" i="79"/>
  <c r="P13" i="79"/>
  <c r="Q13" i="79" s="1"/>
  <c r="R13" i="79" s="1"/>
  <c r="S13" i="79" s="1"/>
  <c r="T13" i="79" s="1"/>
  <c r="H6" i="79"/>
  <c r="G6" i="79"/>
  <c r="G7" i="79" s="1"/>
  <c r="D6"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50" i="79"/>
  <c r="I52" i="79"/>
  <c r="I53" i="79"/>
  <c r="I54" i="79"/>
  <c r="I55" i="79"/>
  <c r="I56" i="79"/>
  <c r="I57" i="79"/>
  <c r="I14" i="79"/>
  <c r="C51" i="79"/>
  <c r="C12" i="79" s="1"/>
  <c r="O14" i="79" s="1"/>
  <c r="E49" i="79"/>
  <c r="I49" i="79" s="1"/>
  <c r="E47" i="79"/>
  <c r="J12" i="79"/>
  <c r="H12" i="79"/>
  <c r="S15" i="79" s="1"/>
  <c r="G12" i="79"/>
  <c r="R15" i="79" s="1"/>
  <c r="F12" i="79"/>
  <c r="E12" i="79"/>
  <c r="F6" i="79" s="1"/>
  <c r="D12" i="79"/>
  <c r="O15" i="79" s="1"/>
  <c r="O21" i="79" s="1"/>
  <c r="L6" i="79" s="1"/>
  <c r="D7" i="79"/>
  <c r="D19" i="12" s="1"/>
  <c r="B5" i="79"/>
  <c r="S16" i="79" l="1"/>
  <c r="S17" i="79" s="1"/>
  <c r="R17" i="79"/>
  <c r="I51" i="79"/>
  <c r="I12" i="79" s="1"/>
  <c r="P19" i="79"/>
  <c r="E6" i="79"/>
  <c r="I6" i="79"/>
  <c r="I7" i="79" s="1"/>
  <c r="O19" i="79"/>
  <c r="S19" i="79"/>
  <c r="T16" i="79"/>
  <c r="R19" i="79"/>
  <c r="J6" i="79" l="1"/>
  <c r="J7" i="79" s="1"/>
  <c r="T15" i="79"/>
  <c r="T19" i="79"/>
  <c r="O20" i="79"/>
  <c r="K6" i="79" s="1"/>
  <c r="L7" i="79" s="1"/>
  <c r="F19" i="12" s="1"/>
  <c r="L6" i="80"/>
  <c r="L7" i="80" s="1"/>
  <c r="H7" i="79"/>
  <c r="E7" i="79"/>
  <c r="F7" i="79"/>
  <c r="K7" i="79" l="1"/>
  <c r="E19" i="12" s="1"/>
  <c r="O20" i="76"/>
  <c r="P19" i="76"/>
  <c r="P20" i="76" s="1"/>
  <c r="P16" i="76"/>
  <c r="Q16" i="76" s="1"/>
  <c r="R16" i="76" s="1"/>
  <c r="S16" i="76" s="1"/>
  <c r="T16" i="76" s="1"/>
  <c r="G6" i="76"/>
  <c r="G7" i="76" s="1"/>
  <c r="E39" i="76"/>
  <c r="K19" i="76"/>
  <c r="K20" i="76"/>
  <c r="K21" i="76"/>
  <c r="K22" i="76"/>
  <c r="K23" i="76"/>
  <c r="K24" i="76"/>
  <c r="K25" i="76"/>
  <c r="K26" i="76"/>
  <c r="K27" i="76"/>
  <c r="K28" i="76"/>
  <c r="K29" i="76"/>
  <c r="K30" i="76"/>
  <c r="K31" i="76"/>
  <c r="K32" i="76"/>
  <c r="K33" i="76"/>
  <c r="K34" i="76"/>
  <c r="K35" i="76"/>
  <c r="K36" i="76"/>
  <c r="K37" i="76"/>
  <c r="K38" i="76"/>
  <c r="K39" i="76"/>
  <c r="K40" i="76"/>
  <c r="K41" i="76"/>
  <c r="K42" i="76"/>
  <c r="K43" i="76"/>
  <c r="K44" i="76"/>
  <c r="K45" i="76"/>
  <c r="K46" i="76"/>
  <c r="K47" i="76"/>
  <c r="K48" i="76"/>
  <c r="K49" i="76"/>
  <c r="K50" i="76"/>
  <c r="K51" i="76"/>
  <c r="K52" i="76"/>
  <c r="K53" i="76"/>
  <c r="K54" i="76"/>
  <c r="K55" i="76"/>
  <c r="K56" i="76"/>
  <c r="K57" i="76"/>
  <c r="K58" i="76"/>
  <c r="K59" i="76"/>
  <c r="K60" i="76"/>
  <c r="K61" i="76"/>
  <c r="K62" i="76"/>
  <c r="K63" i="76"/>
  <c r="K64" i="76"/>
  <c r="K65" i="76"/>
  <c r="K66" i="76"/>
  <c r="K67" i="76"/>
  <c r="K68" i="76"/>
  <c r="K69" i="76"/>
  <c r="K70" i="76"/>
  <c r="K71" i="76"/>
  <c r="K72" i="76"/>
  <c r="K73" i="76"/>
  <c r="K74" i="76"/>
  <c r="K75" i="76"/>
  <c r="K76" i="76"/>
  <c r="K77" i="76"/>
  <c r="K78" i="76"/>
  <c r="K79" i="76"/>
  <c r="K80" i="76"/>
  <c r="K81" i="76"/>
  <c r="K82" i="76"/>
  <c r="K83" i="76"/>
  <c r="K84" i="76"/>
  <c r="K85" i="76"/>
  <c r="K86" i="76"/>
  <c r="K87" i="76"/>
  <c r="K88" i="76"/>
  <c r="K89" i="76"/>
  <c r="K90" i="76"/>
  <c r="K91" i="76"/>
  <c r="K92" i="76"/>
  <c r="K93" i="76"/>
  <c r="K94" i="76"/>
  <c r="K95" i="76"/>
  <c r="K96" i="76"/>
  <c r="K97" i="76"/>
  <c r="K98" i="76"/>
  <c r="K99" i="76"/>
  <c r="K100" i="76"/>
  <c r="K101" i="76"/>
  <c r="K102" i="76"/>
  <c r="K103" i="76"/>
  <c r="K104" i="76"/>
  <c r="K105" i="76"/>
  <c r="K106" i="76"/>
  <c r="K107" i="76"/>
  <c r="K108" i="76"/>
  <c r="K109" i="76"/>
  <c r="K110" i="76"/>
  <c r="K111" i="76"/>
  <c r="K112" i="76"/>
  <c r="K113" i="76"/>
  <c r="K114" i="76"/>
  <c r="K115" i="76"/>
  <c r="K116" i="76"/>
  <c r="K117" i="76"/>
  <c r="K118" i="76"/>
  <c r="K119" i="76"/>
  <c r="K120" i="76"/>
  <c r="K121" i="76"/>
  <c r="K122" i="76"/>
  <c r="K123" i="76"/>
  <c r="K124" i="76"/>
  <c r="K125" i="76"/>
  <c r="K126" i="76"/>
  <c r="K127" i="76"/>
  <c r="K128" i="76"/>
  <c r="K129" i="76"/>
  <c r="K130" i="76"/>
  <c r="K131" i="76"/>
  <c r="K132" i="76"/>
  <c r="K133" i="76"/>
  <c r="K134" i="76"/>
  <c r="K135" i="76"/>
  <c r="K136" i="76"/>
  <c r="K137" i="76"/>
  <c r="K138" i="76"/>
  <c r="K139" i="76"/>
  <c r="K140" i="76"/>
  <c r="K141" i="76"/>
  <c r="K142" i="76"/>
  <c r="K143" i="76"/>
  <c r="K144" i="76"/>
  <c r="K145" i="76"/>
  <c r="K146" i="76"/>
  <c r="K147" i="76"/>
  <c r="K148" i="76"/>
  <c r="K149" i="76"/>
  <c r="K150" i="76"/>
  <c r="K151" i="76"/>
  <c r="K152" i="76"/>
  <c r="K153" i="76"/>
  <c r="K154" i="76"/>
  <c r="K155" i="76"/>
  <c r="K156" i="76"/>
  <c r="K157" i="76"/>
  <c r="K158" i="76"/>
  <c r="K159" i="76"/>
  <c r="K160" i="76"/>
  <c r="K161" i="76"/>
  <c r="K162" i="76"/>
  <c r="K163" i="76"/>
  <c r="K164" i="76"/>
  <c r="K165" i="76"/>
  <c r="K166" i="76"/>
  <c r="K167" i="76"/>
  <c r="K168" i="76"/>
  <c r="K169" i="76"/>
  <c r="K170" i="76"/>
  <c r="K171" i="76"/>
  <c r="K172" i="76"/>
  <c r="K173" i="76"/>
  <c r="K18" i="76"/>
  <c r="L15" i="76"/>
  <c r="E15" i="76"/>
  <c r="O17" i="76" s="1"/>
  <c r="J15" i="76"/>
  <c r="S18" i="76" s="1"/>
  <c r="I15" i="76"/>
  <c r="R18" i="76" s="1"/>
  <c r="H15" i="76"/>
  <c r="Q18" i="76" s="1"/>
  <c r="G15" i="76"/>
  <c r="F6" i="76" s="1"/>
  <c r="F15" i="76"/>
  <c r="O18" i="76" s="1"/>
  <c r="H6" i="76" l="1"/>
  <c r="H7" i="76" s="1"/>
  <c r="Q19" i="76"/>
  <c r="O22" i="76"/>
  <c r="P18" i="76"/>
  <c r="P22" i="76" s="1"/>
  <c r="E6" i="76"/>
  <c r="I6" i="76"/>
  <c r="K15" i="76"/>
  <c r="I7" i="76"/>
  <c r="R19" i="76" l="1"/>
  <c r="Q20" i="76"/>
  <c r="Q22" i="76" s="1"/>
  <c r="J6" i="76"/>
  <c r="J7" i="76" s="1"/>
  <c r="T18" i="76"/>
  <c r="T22" i="76" s="1"/>
  <c r="O24" i="76"/>
  <c r="L6" i="76" s="1"/>
  <c r="J6" i="56"/>
  <c r="R20" i="76" l="1"/>
  <c r="R22" i="76" s="1"/>
  <c r="S19" i="76"/>
  <c r="D7" i="78"/>
  <c r="I6" i="56"/>
  <c r="S20" i="76" l="1"/>
  <c r="S22" i="76" s="1"/>
  <c r="O23" i="76" s="1"/>
  <c r="K6" i="76" s="1"/>
  <c r="T19" i="76"/>
  <c r="L7" i="76"/>
  <c r="F20" i="12" s="1"/>
  <c r="K7" i="76"/>
  <c r="E20" i="12" s="1"/>
  <c r="F6" i="78"/>
  <c r="E6" i="78"/>
  <c r="E10" i="78" s="1"/>
  <c r="D6" i="78"/>
  <c r="D10" i="78" s="1"/>
  <c r="F7" i="78"/>
  <c r="F10" i="78" s="1"/>
  <c r="E7" i="78"/>
  <c r="B5" i="78"/>
  <c r="H6" i="77" l="1"/>
  <c r="H7" i="77"/>
  <c r="H8" i="77"/>
  <c r="H9" i="77"/>
  <c r="H11" i="77"/>
  <c r="H12" i="77"/>
  <c r="H14" i="77"/>
  <c r="H15" i="77"/>
  <c r="H16" i="77"/>
  <c r="H17" i="77"/>
  <c r="H18" i="77"/>
  <c r="H20" i="77"/>
  <c r="H21" i="77"/>
  <c r="H22" i="77"/>
  <c r="G23" i="77"/>
  <c r="H23" i="77"/>
  <c r="I23" i="77" s="1"/>
  <c r="J25" i="77" s="1"/>
  <c r="G185" i="63"/>
  <c r="H184" i="63"/>
  <c r="H185" i="63" s="1"/>
  <c r="H181" i="63"/>
  <c r="I181" i="63" s="1"/>
  <c r="J181" i="63" s="1"/>
  <c r="K181" i="63" s="1"/>
  <c r="L181" i="63" s="1"/>
  <c r="I184" i="63" l="1"/>
  <c r="J184" i="63" s="1"/>
  <c r="J185" i="63" s="1"/>
  <c r="I185" i="63"/>
  <c r="K184" i="63" l="1"/>
  <c r="K185" i="63" s="1"/>
  <c r="L184" i="63" l="1"/>
  <c r="K178" i="63" l="1"/>
  <c r="J178" i="63"/>
  <c r="F177" i="63"/>
  <c r="L177" i="63" s="1"/>
  <c r="F176" i="63"/>
  <c r="L176" i="63" s="1"/>
  <c r="F175" i="63"/>
  <c r="F174" i="63"/>
  <c r="F173" i="63"/>
  <c r="F172" i="63"/>
  <c r="L172" i="63" s="1"/>
  <c r="F171" i="63"/>
  <c r="L171" i="63" s="1"/>
  <c r="F170" i="63"/>
  <c r="F169" i="63"/>
  <c r="L169" i="63" s="1"/>
  <c r="F168" i="63"/>
  <c r="L168" i="63" s="1"/>
  <c r="F167" i="63"/>
  <c r="L167" i="63" s="1"/>
  <c r="F166" i="63"/>
  <c r="L166" i="63" s="1"/>
  <c r="F165" i="63"/>
  <c r="L165" i="63" s="1"/>
  <c r="F164" i="63"/>
  <c r="L164" i="63" s="1"/>
  <c r="F163" i="63"/>
  <c r="L163" i="63" s="1"/>
  <c r="F162" i="63"/>
  <c r="L162" i="63" s="1"/>
  <c r="F161" i="63"/>
  <c r="F160" i="63"/>
  <c r="F159" i="63"/>
  <c r="F158" i="63"/>
  <c r="L158" i="63" s="1"/>
  <c r="F157" i="63"/>
  <c r="F156" i="63"/>
  <c r="F155" i="63"/>
  <c r="F154" i="63"/>
  <c r="L154" i="63" s="1"/>
  <c r="F153" i="63"/>
  <c r="L153" i="63" s="1"/>
  <c r="F152" i="63"/>
  <c r="F151" i="63"/>
  <c r="F150" i="63"/>
  <c r="F149" i="63"/>
  <c r="F148" i="63"/>
  <c r="F147" i="63"/>
  <c r="L147" i="63" s="1"/>
  <c r="F146" i="63"/>
  <c r="L146" i="63" s="1"/>
  <c r="F145" i="63"/>
  <c r="L145" i="63" s="1"/>
  <c r="F144" i="63"/>
  <c r="L144" i="63" s="1"/>
  <c r="F143" i="63"/>
  <c r="L143" i="63" s="1"/>
  <c r="F142" i="63"/>
  <c r="F141" i="63"/>
  <c r="F140" i="63"/>
  <c r="F139" i="63"/>
  <c r="F138" i="63"/>
  <c r="F137" i="63"/>
  <c r="F136" i="63"/>
  <c r="F135" i="63"/>
  <c r="F134" i="63"/>
  <c r="F133" i="63"/>
  <c r="F132" i="63"/>
  <c r="F131" i="63"/>
  <c r="F130" i="63"/>
  <c r="L130" i="63" s="1"/>
  <c r="F129" i="63"/>
  <c r="L129" i="63" s="1"/>
  <c r="F128" i="63"/>
  <c r="F127" i="63"/>
  <c r="L127" i="63" s="1"/>
  <c r="F126" i="63"/>
  <c r="L126" i="63" s="1"/>
  <c r="F125" i="63"/>
  <c r="F124" i="63"/>
  <c r="F123" i="63"/>
  <c r="F122" i="63"/>
  <c r="L122" i="63" s="1"/>
  <c r="F121" i="63"/>
  <c r="L121" i="63" s="1"/>
  <c r="F120" i="63"/>
  <c r="F119" i="63"/>
  <c r="F118" i="63"/>
  <c r="F117" i="63"/>
  <c r="F116" i="63"/>
  <c r="F115" i="63"/>
  <c r="F114" i="63"/>
  <c r="F113" i="63"/>
  <c r="F112" i="63"/>
  <c r="F111" i="63"/>
  <c r="F110" i="63"/>
  <c r="F109" i="63"/>
  <c r="F108" i="63"/>
  <c r="F107" i="63"/>
  <c r="F106" i="63"/>
  <c r="F105" i="63"/>
  <c r="F104" i="63"/>
  <c r="F103" i="63"/>
  <c r="F102" i="63"/>
  <c r="F101" i="63"/>
  <c r="F100" i="63"/>
  <c r="F99" i="63"/>
  <c r="F98" i="63"/>
  <c r="F97" i="63"/>
  <c r="F96" i="63"/>
  <c r="F95" i="63"/>
  <c r="F94" i="63"/>
  <c r="F93" i="63"/>
  <c r="F92" i="63"/>
  <c r="F91" i="63"/>
  <c r="F90" i="63"/>
  <c r="F89" i="63"/>
  <c r="F88" i="63"/>
  <c r="F87" i="63"/>
  <c r="F86" i="63"/>
  <c r="F85" i="63"/>
  <c r="F84" i="63"/>
  <c r="L84" i="63" s="1"/>
  <c r="F83" i="63"/>
  <c r="F82" i="63"/>
  <c r="F81" i="63"/>
  <c r="F80" i="63"/>
  <c r="F79" i="63"/>
  <c r="F78" i="63"/>
  <c r="F77" i="63"/>
  <c r="F76" i="63"/>
  <c r="F75" i="63"/>
  <c r="F74" i="63"/>
  <c r="F73" i="63"/>
  <c r="F72" i="63"/>
  <c r="F71" i="63"/>
  <c r="F70" i="63"/>
  <c r="F69" i="63"/>
  <c r="F68" i="63"/>
  <c r="F67" i="63"/>
  <c r="F66" i="63"/>
  <c r="F65" i="63"/>
  <c r="F64" i="63"/>
  <c r="F63" i="63"/>
  <c r="F62" i="63"/>
  <c r="F61" i="63"/>
  <c r="L61" i="63" s="1"/>
  <c r="I60" i="63"/>
  <c r="F60" i="63"/>
  <c r="F59" i="63"/>
  <c r="G59" i="63" s="1"/>
  <c r="F58" i="63"/>
  <c r="L58" i="63" s="1"/>
  <c r="F57" i="63"/>
  <c r="F56" i="63"/>
  <c r="H55" i="63"/>
  <c r="F55" i="63"/>
  <c r="F54" i="63"/>
  <c r="L54" i="63" s="1"/>
  <c r="F53" i="63"/>
  <c r="L53" i="63" s="1"/>
  <c r="F52" i="63"/>
  <c r="L52" i="63" s="1"/>
  <c r="F51" i="63"/>
  <c r="L51" i="63" s="1"/>
  <c r="F50" i="63"/>
  <c r="F49" i="63"/>
  <c r="F48" i="63"/>
  <c r="F47" i="63"/>
  <c r="F46" i="63"/>
  <c r="F45" i="63"/>
  <c r="F44" i="63"/>
  <c r="L44" i="63" s="1"/>
  <c r="F43" i="63"/>
  <c r="L43" i="63" s="1"/>
  <c r="F42" i="63"/>
  <c r="F41" i="63"/>
  <c r="H41" i="63" s="1"/>
  <c r="F40" i="63"/>
  <c r="L40" i="63" s="1"/>
  <c r="F39" i="63"/>
  <c r="L39" i="63" s="1"/>
  <c r="F38" i="63"/>
  <c r="F37" i="63"/>
  <c r="F36" i="63"/>
  <c r="F35" i="63"/>
  <c r="L35" i="63" s="1"/>
  <c r="F34" i="63"/>
  <c r="L34" i="63" s="1"/>
  <c r="F33" i="63"/>
  <c r="F32" i="63"/>
  <c r="G32" i="63" s="1"/>
  <c r="G178" i="63" s="1"/>
  <c r="F31" i="63"/>
  <c r="L31" i="63" s="1"/>
  <c r="F30" i="63"/>
  <c r="F29" i="63"/>
  <c r="L29" i="63" s="1"/>
  <c r="F28" i="63"/>
  <c r="F27" i="63"/>
  <c r="L27" i="63" s="1"/>
  <c r="F26" i="63"/>
  <c r="L26" i="63" s="1"/>
  <c r="F25" i="63"/>
  <c r="F24" i="63"/>
  <c r="F23" i="63"/>
  <c r="L23" i="63" s="1"/>
  <c r="F22" i="63"/>
  <c r="L22" i="63" s="1"/>
  <c r="M19" i="63"/>
  <c r="G183" i="63" l="1"/>
  <c r="E7" i="63"/>
  <c r="J183" i="63"/>
  <c r="J187" i="63" s="1"/>
  <c r="H7" i="63"/>
  <c r="K183" i="63"/>
  <c r="K187" i="63" s="1"/>
  <c r="I7" i="63"/>
  <c r="L55" i="63"/>
  <c r="L178" i="63" s="1"/>
  <c r="J7" i="63" s="1"/>
  <c r="J8" i="63" s="1"/>
  <c r="H178" i="63"/>
  <c r="F178" i="63"/>
  <c r="L60" i="63"/>
  <c r="I178" i="63"/>
  <c r="G187" i="63" l="1"/>
  <c r="I183" i="63"/>
  <c r="I187" i="63" s="1"/>
  <c r="G7" i="63"/>
  <c r="H183" i="63"/>
  <c r="H187" i="63" s="1"/>
  <c r="F7" i="63"/>
  <c r="G182" i="63"/>
  <c r="D7" i="63"/>
  <c r="G189" i="63" l="1"/>
  <c r="L7" i="63" s="1"/>
  <c r="L183" i="63"/>
  <c r="F351" i="63"/>
  <c r="G351" i="63"/>
  <c r="H351" i="63"/>
  <c r="I351" i="63"/>
  <c r="E351" i="63"/>
  <c r="G188" i="63" l="1"/>
  <c r="K7" i="63" s="1"/>
  <c r="L187" i="63"/>
  <c r="D6" i="76"/>
  <c r="D7" i="76" l="1"/>
  <c r="D20" i="12" s="1"/>
  <c r="F7" i="76" l="1"/>
  <c r="E7" i="76"/>
  <c r="Q5" i="70" l="1"/>
  <c r="V40" i="75"/>
  <c r="V41" i="75" s="1"/>
  <c r="V6" i="75" s="1"/>
  <c r="O38" i="75"/>
  <c r="O39" i="75" s="1"/>
  <c r="O6" i="75" s="1"/>
  <c r="W36" i="75"/>
  <c r="D34" i="75"/>
  <c r="K33" i="75"/>
  <c r="K34" i="75" s="1"/>
  <c r="P32" i="75"/>
  <c r="F28" i="75"/>
  <c r="T11" i="75"/>
  <c r="L11" i="75"/>
  <c r="B11" i="75"/>
  <c r="U7" i="75"/>
  <c r="W7" i="75" s="1"/>
  <c r="N7" i="75"/>
  <c r="P7" i="75" s="1"/>
  <c r="D7" i="75"/>
  <c r="F7" i="75" s="1"/>
  <c r="W6" i="75"/>
  <c r="P6" i="75"/>
  <c r="F6" i="75"/>
  <c r="E6" i="75"/>
  <c r="C3" i="75"/>
  <c r="X36" i="75" s="1"/>
  <c r="K43" i="74"/>
  <c r="E6" i="74" s="1"/>
  <c r="D43" i="74"/>
  <c r="C3" i="74" s="1"/>
  <c r="G37" i="74" s="1"/>
  <c r="K42" i="74"/>
  <c r="F37" i="74"/>
  <c r="L13" i="74"/>
  <c r="D7" i="74"/>
  <c r="F7" i="74" s="1"/>
  <c r="F6" i="74"/>
  <c r="X6" i="75" l="1"/>
  <c r="O7" i="75"/>
  <c r="Q6" i="75"/>
  <c r="E7" i="75"/>
  <c r="G6" i="75"/>
  <c r="V7" i="75"/>
  <c r="D8" i="75"/>
  <c r="N8" i="75"/>
  <c r="U8" i="75"/>
  <c r="G28" i="75"/>
  <c r="Q32" i="75"/>
  <c r="D8" i="74"/>
  <c r="E7" i="74"/>
  <c r="G6" i="74"/>
  <c r="W8" i="75" l="1"/>
  <c r="U9" i="75"/>
  <c r="P8" i="75"/>
  <c r="N9" i="75"/>
  <c r="O8" i="75"/>
  <c r="Q7" i="75"/>
  <c r="F8" i="75"/>
  <c r="D9" i="75"/>
  <c r="E8" i="75"/>
  <c r="G7" i="75"/>
  <c r="V8" i="75"/>
  <c r="X7" i="75"/>
  <c r="F8" i="74"/>
  <c r="D9" i="74"/>
  <c r="G7" i="74"/>
  <c r="E8" i="74"/>
  <c r="E9" i="75" l="1"/>
  <c r="G8" i="75"/>
  <c r="O9" i="75"/>
  <c r="Q8" i="75"/>
  <c r="V9" i="75"/>
  <c r="X8" i="75"/>
  <c r="W9" i="75"/>
  <c r="U10" i="75"/>
  <c r="F9" i="75"/>
  <c r="D10" i="75"/>
  <c r="P9" i="75"/>
  <c r="N10" i="75"/>
  <c r="F9" i="74"/>
  <c r="D10" i="74"/>
  <c r="G8" i="74"/>
  <c r="E9" i="74"/>
  <c r="E10" i="75" l="1"/>
  <c r="G9" i="75"/>
  <c r="W10" i="75"/>
  <c r="U11" i="75"/>
  <c r="F10" i="75"/>
  <c r="D11" i="75"/>
  <c r="O10" i="75"/>
  <c r="Q9" i="75"/>
  <c r="N11" i="75"/>
  <c r="P10" i="75"/>
  <c r="V10" i="75"/>
  <c r="X9" i="75"/>
  <c r="F10" i="74"/>
  <c r="D11" i="74"/>
  <c r="G9" i="74"/>
  <c r="E10" i="74"/>
  <c r="D12" i="75" l="1"/>
  <c r="F11" i="75"/>
  <c r="P11" i="75"/>
  <c r="N12" i="75"/>
  <c r="O11" i="75"/>
  <c r="Q10" i="75"/>
  <c r="V11" i="75"/>
  <c r="X10" i="75"/>
  <c r="W11" i="75"/>
  <c r="U12" i="75"/>
  <c r="E11" i="75"/>
  <c r="G10" i="75"/>
  <c r="G10" i="74"/>
  <c r="E11" i="74"/>
  <c r="F11" i="74"/>
  <c r="D12" i="74"/>
  <c r="W12" i="75" l="1"/>
  <c r="U13" i="75"/>
  <c r="E12" i="75"/>
  <c r="G11" i="75"/>
  <c r="X11" i="75"/>
  <c r="V12" i="75"/>
  <c r="Q11" i="75"/>
  <c r="O12" i="75"/>
  <c r="F12" i="75"/>
  <c r="D13" i="75"/>
  <c r="P12" i="75"/>
  <c r="N13" i="75"/>
  <c r="G11" i="74"/>
  <c r="E12" i="74"/>
  <c r="F12" i="74"/>
  <c r="D13" i="74"/>
  <c r="F13" i="75" l="1"/>
  <c r="D14" i="75"/>
  <c r="X12" i="75"/>
  <c r="V13" i="75"/>
  <c r="G12" i="75"/>
  <c r="E13" i="75"/>
  <c r="P13" i="75"/>
  <c r="N14" i="75"/>
  <c r="Q12" i="75"/>
  <c r="O13" i="75"/>
  <c r="W13" i="75"/>
  <c r="U14" i="75"/>
  <c r="D14" i="74"/>
  <c r="F13" i="74"/>
  <c r="G12" i="74"/>
  <c r="E13" i="74"/>
  <c r="P14" i="75" l="1"/>
  <c r="N15" i="75"/>
  <c r="Q13" i="75"/>
  <c r="O14" i="75"/>
  <c r="G13" i="75"/>
  <c r="E14" i="75"/>
  <c r="F14" i="75"/>
  <c r="D15" i="75"/>
  <c r="W14" i="75"/>
  <c r="U15" i="75"/>
  <c r="X13" i="75"/>
  <c r="V14" i="75"/>
  <c r="G13" i="74"/>
  <c r="E14" i="74"/>
  <c r="F14" i="74"/>
  <c r="D15" i="74"/>
  <c r="X14" i="75" l="1"/>
  <c r="V15" i="75"/>
  <c r="F15" i="75"/>
  <c r="D16" i="75"/>
  <c r="Q14" i="75"/>
  <c r="O15" i="75"/>
  <c r="G14" i="75"/>
  <c r="E15" i="75"/>
  <c r="P15" i="75"/>
  <c r="N16" i="75"/>
  <c r="W15" i="75"/>
  <c r="U16" i="75"/>
  <c r="F15" i="74"/>
  <c r="D16" i="74"/>
  <c r="E15" i="74"/>
  <c r="G14" i="74"/>
  <c r="F16" i="75" l="1"/>
  <c r="D17" i="75"/>
  <c r="G15" i="75"/>
  <c r="E16" i="75"/>
  <c r="P16" i="75"/>
  <c r="N17" i="75"/>
  <c r="Q15" i="75"/>
  <c r="O16" i="75"/>
  <c r="X15" i="75"/>
  <c r="V16" i="75"/>
  <c r="W16" i="75"/>
  <c r="U17" i="75"/>
  <c r="E16" i="74"/>
  <c r="G15" i="74"/>
  <c r="F16" i="74"/>
  <c r="D17" i="74"/>
  <c r="Q16" i="75" l="1"/>
  <c r="O17" i="75"/>
  <c r="G16" i="75"/>
  <c r="E17" i="75"/>
  <c r="P17" i="75"/>
  <c r="N18" i="75"/>
  <c r="W17" i="75"/>
  <c r="U18" i="75"/>
  <c r="X16" i="75"/>
  <c r="V17" i="75"/>
  <c r="F17" i="75"/>
  <c r="D18" i="75"/>
  <c r="F17" i="74"/>
  <c r="D18" i="74"/>
  <c r="E17" i="74"/>
  <c r="G16" i="74"/>
  <c r="W18" i="75" l="1"/>
  <c r="U19" i="75"/>
  <c r="F18" i="75"/>
  <c r="D19" i="75"/>
  <c r="G17" i="75"/>
  <c r="E18" i="75"/>
  <c r="P18" i="75"/>
  <c r="N19" i="75"/>
  <c r="Q17" i="75"/>
  <c r="O18" i="75"/>
  <c r="X17" i="75"/>
  <c r="V18" i="75"/>
  <c r="F18" i="74"/>
  <c r="D19" i="74"/>
  <c r="E18" i="74"/>
  <c r="G17" i="74"/>
  <c r="X18" i="75" l="1"/>
  <c r="V19" i="75"/>
  <c r="P19" i="75"/>
  <c r="N20" i="75"/>
  <c r="G18" i="75"/>
  <c r="E19" i="75"/>
  <c r="W19" i="75"/>
  <c r="U20" i="75"/>
  <c r="F19" i="75"/>
  <c r="D20" i="75"/>
  <c r="Q18" i="75"/>
  <c r="O19" i="75"/>
  <c r="F19" i="74"/>
  <c r="D20" i="74"/>
  <c r="E19" i="74"/>
  <c r="G18" i="74"/>
  <c r="Q19" i="75" l="1"/>
  <c r="O20" i="75"/>
  <c r="W20" i="75"/>
  <c r="U21" i="75"/>
  <c r="F20" i="75"/>
  <c r="D21" i="75"/>
  <c r="G19" i="75"/>
  <c r="E20" i="75"/>
  <c r="X19" i="75"/>
  <c r="V20" i="75"/>
  <c r="P20" i="75"/>
  <c r="N21" i="75"/>
  <c r="E20" i="74"/>
  <c r="G19" i="74"/>
  <c r="F20" i="74"/>
  <c r="D21" i="74"/>
  <c r="P21" i="75" l="1"/>
  <c r="N22" i="75"/>
  <c r="G20" i="75"/>
  <c r="E21" i="75"/>
  <c r="F21" i="75"/>
  <c r="D22" i="75"/>
  <c r="Q20" i="75"/>
  <c r="O21" i="75"/>
  <c r="W21" i="75"/>
  <c r="U22" i="75"/>
  <c r="X20" i="75"/>
  <c r="V21" i="75"/>
  <c r="F21" i="74"/>
  <c r="D22" i="74"/>
  <c r="E21" i="74"/>
  <c r="G20" i="74"/>
  <c r="W22" i="75" l="1"/>
  <c r="U23" i="75"/>
  <c r="X21" i="75"/>
  <c r="V22" i="75"/>
  <c r="Q21" i="75"/>
  <c r="O22" i="75"/>
  <c r="G21" i="75"/>
  <c r="E22" i="75"/>
  <c r="F22" i="75"/>
  <c r="D23" i="75"/>
  <c r="P22" i="75"/>
  <c r="N23" i="75"/>
  <c r="E22" i="74"/>
  <c r="G21" i="74"/>
  <c r="F22" i="74"/>
  <c r="D23" i="74"/>
  <c r="F23" i="75" l="1"/>
  <c r="D24" i="75"/>
  <c r="P23" i="75"/>
  <c r="N24" i="75"/>
  <c r="G22" i="75"/>
  <c r="E23" i="75"/>
  <c r="X22" i="75"/>
  <c r="V23" i="75"/>
  <c r="Q22" i="75"/>
  <c r="O23" i="75"/>
  <c r="W23" i="75"/>
  <c r="U24" i="75"/>
  <c r="F23" i="74"/>
  <c r="D24" i="74"/>
  <c r="E23" i="74"/>
  <c r="G22" i="74"/>
  <c r="W24" i="75" l="1"/>
  <c r="U25" i="75"/>
  <c r="X23" i="75"/>
  <c r="V24" i="75"/>
  <c r="Q23" i="75"/>
  <c r="O24" i="75"/>
  <c r="G23" i="75"/>
  <c r="E24" i="75"/>
  <c r="F24" i="75"/>
  <c r="D25" i="75"/>
  <c r="P24" i="75"/>
  <c r="N25" i="75"/>
  <c r="E24" i="74"/>
  <c r="G23" i="74"/>
  <c r="F24" i="74"/>
  <c r="D25" i="74"/>
  <c r="P25" i="75" l="1"/>
  <c r="N26" i="75"/>
  <c r="X24" i="75"/>
  <c r="V25" i="75"/>
  <c r="F25" i="75"/>
  <c r="D26" i="75"/>
  <c r="Q24" i="75"/>
  <c r="O25" i="75"/>
  <c r="W25" i="75"/>
  <c r="U26" i="75"/>
  <c r="G24" i="75"/>
  <c r="E25" i="75"/>
  <c r="F25" i="74"/>
  <c r="D26" i="74"/>
  <c r="E25" i="74"/>
  <c r="G24" i="74"/>
  <c r="Q25" i="75" l="1"/>
  <c r="O26" i="75"/>
  <c r="X25" i="75"/>
  <c r="V26" i="75"/>
  <c r="F26" i="75"/>
  <c r="D27" i="75"/>
  <c r="F27" i="75" s="1"/>
  <c r="P26" i="75"/>
  <c r="N27" i="75"/>
  <c r="G25" i="75"/>
  <c r="E26" i="75"/>
  <c r="W26" i="75"/>
  <c r="U27" i="75"/>
  <c r="E26" i="74"/>
  <c r="G25" i="74"/>
  <c r="F26" i="74"/>
  <c r="D27" i="74"/>
  <c r="U28" i="75" l="1"/>
  <c r="W27" i="75"/>
  <c r="Q26" i="75"/>
  <c r="O27" i="75"/>
  <c r="N28" i="75"/>
  <c r="P27" i="75"/>
  <c r="X26" i="75"/>
  <c r="V27" i="75"/>
  <c r="G26" i="75"/>
  <c r="E27" i="75"/>
  <c r="F27" i="74"/>
  <c r="D28" i="74"/>
  <c r="E27" i="74"/>
  <c r="G26" i="74"/>
  <c r="V28" i="75" l="1"/>
  <c r="X27" i="75"/>
  <c r="O28" i="75"/>
  <c r="Q27" i="75"/>
  <c r="G27" i="75"/>
  <c r="G29" i="75" s="1"/>
  <c r="E29" i="75"/>
  <c r="N29" i="75"/>
  <c r="P28" i="75"/>
  <c r="U29" i="75"/>
  <c r="W28" i="75"/>
  <c r="E28" i="74"/>
  <c r="G27" i="74"/>
  <c r="F28" i="74"/>
  <c r="D29" i="74"/>
  <c r="P29" i="75" l="1"/>
  <c r="N30" i="75"/>
  <c r="O29" i="75"/>
  <c r="Q28" i="75"/>
  <c r="W29" i="75"/>
  <c r="U30" i="75"/>
  <c r="D36" i="75"/>
  <c r="V29" i="75"/>
  <c r="X28" i="75"/>
  <c r="E29" i="74"/>
  <c r="G28" i="74"/>
  <c r="F29" i="74"/>
  <c r="D30" i="74"/>
  <c r="Q29" i="75" l="1"/>
  <c r="O30" i="75"/>
  <c r="N31" i="75"/>
  <c r="P31" i="75" s="1"/>
  <c r="P30" i="75"/>
  <c r="D37" i="75"/>
  <c r="D38" i="75"/>
  <c r="F38" i="75" s="1"/>
  <c r="W30" i="75"/>
  <c r="U31" i="75"/>
  <c r="X29" i="75"/>
  <c r="V30" i="75"/>
  <c r="E30" i="74"/>
  <c r="G29" i="74"/>
  <c r="F30" i="74"/>
  <c r="D31" i="74"/>
  <c r="U32" i="75" l="1"/>
  <c r="W31" i="75"/>
  <c r="Q30" i="75"/>
  <c r="O31" i="75"/>
  <c r="X30" i="75"/>
  <c r="V31" i="75"/>
  <c r="F31" i="74"/>
  <c r="D32" i="74"/>
  <c r="E31" i="74"/>
  <c r="G30" i="74"/>
  <c r="Q31" i="75" l="1"/>
  <c r="Q33" i="75" s="1"/>
  <c r="O33" i="75"/>
  <c r="V32" i="75"/>
  <c r="X31" i="75"/>
  <c r="W32" i="75"/>
  <c r="U33" i="75"/>
  <c r="E32" i="74"/>
  <c r="G31" i="74"/>
  <c r="F32" i="74"/>
  <c r="D33" i="74"/>
  <c r="V33" i="75" l="1"/>
  <c r="X32" i="75"/>
  <c r="U34" i="75"/>
  <c r="W33" i="75"/>
  <c r="F33" i="74"/>
  <c r="D34" i="74"/>
  <c r="E33" i="74"/>
  <c r="G32" i="74"/>
  <c r="U35" i="75" l="1"/>
  <c r="W35" i="75" s="1"/>
  <c r="W34" i="75"/>
  <c r="V34" i="75"/>
  <c r="X33" i="75"/>
  <c r="F34" i="74"/>
  <c r="D35" i="74"/>
  <c r="E34" i="74"/>
  <c r="G33" i="74"/>
  <c r="X34" i="75" l="1"/>
  <c r="V35" i="75"/>
  <c r="F35" i="74"/>
  <c r="D36" i="74"/>
  <c r="F36" i="74" s="1"/>
  <c r="E35" i="74"/>
  <c r="G34" i="74"/>
  <c r="X35" i="75" l="1"/>
  <c r="X37" i="75" s="1"/>
  <c r="I40" i="75" s="1"/>
  <c r="H8" i="59" s="1"/>
  <c r="V37" i="75"/>
  <c r="E36" i="74"/>
  <c r="G35" i="74"/>
  <c r="G36" i="74" l="1"/>
  <c r="G38" i="74" s="1"/>
  <c r="E38" i="74"/>
  <c r="D45" i="74" l="1"/>
  <c r="H9" i="59"/>
  <c r="D46" i="74"/>
  <c r="D47" i="74" s="1"/>
  <c r="F47" i="74" s="1"/>
  <c r="H6" i="59" l="1"/>
  <c r="I23" i="59" l="1"/>
  <c r="I7" i="59" l="1"/>
  <c r="I6" i="59"/>
  <c r="I24" i="59"/>
  <c r="I26" i="59" l="1"/>
  <c r="I25" i="59"/>
  <c r="E6" i="66" l="1"/>
  <c r="F6" i="66" s="1"/>
  <c r="E6" i="58"/>
  <c r="F6" i="58" s="1"/>
  <c r="J7" i="56"/>
  <c r="I7" i="56"/>
  <c r="E8" i="66" l="1"/>
  <c r="F8" i="66" s="1"/>
  <c r="E7" i="58"/>
  <c r="F7" i="58" s="1"/>
  <c r="E7" i="66"/>
  <c r="F7" i="66" s="1"/>
  <c r="E9" i="69" l="1"/>
  <c r="F9" i="69" s="1"/>
  <c r="F7" i="69"/>
  <c r="E7" i="69"/>
  <c r="E7" i="71"/>
  <c r="E6" i="64" l="1"/>
  <c r="F6" i="64" s="1"/>
  <c r="I9" i="59" l="1"/>
  <c r="H10" i="59"/>
  <c r="E11" i="12" s="1"/>
  <c r="I8" i="59" l="1"/>
  <c r="I10" i="59" s="1"/>
  <c r="F11" i="12" s="1"/>
  <c r="B9" i="73" l="1"/>
  <c r="H8" i="73"/>
  <c r="G8" i="73"/>
  <c r="F8" i="73"/>
  <c r="E8" i="73"/>
  <c r="J7" i="73"/>
  <c r="J8" i="73" s="1"/>
  <c r="I7" i="73"/>
  <c r="I8" i="73" s="1"/>
  <c r="B5" i="73"/>
  <c r="B3" i="73"/>
  <c r="D10" i="69" l="1"/>
  <c r="D21" i="12" s="1"/>
  <c r="D8" i="71"/>
  <c r="D18" i="12" s="1"/>
  <c r="E8" i="63" l="1"/>
  <c r="F6" i="71" l="1"/>
  <c r="F8" i="71" s="1"/>
  <c r="F18" i="12" s="1"/>
  <c r="E6" i="71"/>
  <c r="E8" i="71" s="1"/>
  <c r="E18" i="12" s="1"/>
  <c r="E8" i="58" l="1"/>
  <c r="F8" i="58"/>
  <c r="D8" i="58"/>
  <c r="D9" i="66"/>
  <c r="B5" i="66"/>
  <c r="K7" i="70"/>
  <c r="L7" i="70"/>
  <c r="D7" i="70"/>
  <c r="B3" i="84"/>
  <c r="E10" i="69"/>
  <c r="E21" i="12" s="1"/>
  <c r="F10" i="69"/>
  <c r="F21" i="12" s="1"/>
  <c r="B3" i="67"/>
  <c r="B5" i="67"/>
  <c r="B5" i="58"/>
  <c r="B5" i="56"/>
  <c r="E7" i="67"/>
  <c r="F7" i="67"/>
  <c r="D7" i="67"/>
  <c r="D14" i="12" l="1"/>
  <c r="D7" i="64"/>
  <c r="F8" i="56"/>
  <c r="G8" i="56"/>
  <c r="H8" i="56"/>
  <c r="I8" i="56"/>
  <c r="J8" i="56"/>
  <c r="E8" i="56"/>
  <c r="L8" i="63"/>
  <c r="K8" i="63"/>
  <c r="D8" i="63"/>
  <c r="D12" i="12" l="1"/>
  <c r="D9" i="63"/>
  <c r="D17" i="12"/>
  <c r="E12" i="12"/>
  <c r="F12" i="12"/>
  <c r="B10" i="66"/>
  <c r="F9" i="66"/>
  <c r="E9" i="66"/>
  <c r="B3" i="66"/>
  <c r="E7" i="64" l="1"/>
  <c r="F7" i="64"/>
  <c r="E17" i="12" l="1"/>
  <c r="E22" i="12" s="1"/>
  <c r="F17" i="12"/>
  <c r="F22" i="12" s="1"/>
  <c r="D10" i="59" l="1"/>
  <c r="D11" i="12" s="1"/>
  <c r="D22" i="12" s="1"/>
  <c r="F9" i="59" l="1"/>
  <c r="F8" i="59"/>
  <c r="F7" i="59"/>
  <c r="F6" i="59"/>
  <c r="B3" i="56" l="1"/>
  <c r="B3" i="58"/>
  <c r="B11" i="59" l="1"/>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F8" i="63"/>
  <c r="G8" i="63"/>
  <c r="H8" i="63"/>
  <c r="I8" i="63"/>
</calcChain>
</file>

<file path=xl/sharedStrings.xml><?xml version="1.0" encoding="utf-8"?>
<sst xmlns="http://schemas.openxmlformats.org/spreadsheetml/2006/main" count="2849" uniqueCount="681">
  <si>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</si>
  <si>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</si>
  <si>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</si>
  <si>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</si>
  <si>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</si>
  <si>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</si>
  <si>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</si>
  <si>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</si>
  <si>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</si>
  <si>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</si>
  <si>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</si>
  <si>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</si>
  <si>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</si>
  <si>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</si>
  <si>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</si>
  <si>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</si>
  <si>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</si>
  <si>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</si>
  <si>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</si>
  <si>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</si>
  <si>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</si>
  <si>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</si>
  <si>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</si>
  <si>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TOTAL:</t>
  </si>
  <si>
    <t>S. No.</t>
  </si>
  <si>
    <t>Annexure</t>
  </si>
  <si>
    <t>Party Name</t>
  </si>
  <si>
    <t>Expected Date of realization/ settlement</t>
  </si>
  <si>
    <t>Fair Valuation Assessment</t>
  </si>
  <si>
    <t>Fair Value Assessment</t>
  </si>
  <si>
    <t>Advance Date</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</si>
  <si>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</si>
  <si>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</si>
  <si>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</si>
  <si>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</si>
  <si>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</si>
  <si>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</si>
  <si>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</si>
  <si>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</si>
  <si>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</si>
  <si>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</si>
  <si>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</si>
  <si>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</si>
  <si>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</si>
  <si>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</si>
  <si>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</si>
  <si>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</si>
  <si>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</si>
  <si>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</si>
  <si>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</si>
  <si>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</si>
  <si>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</si>
  <si>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</si>
  <si>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</si>
  <si>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</si>
  <si>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</si>
  <si>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</si>
  <si>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</si>
  <si>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</si>
  <si>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</si>
  <si>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</si>
  <si>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</si>
  <si>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</si>
  <si>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</si>
  <si>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Asset Amount</t>
  </si>
  <si>
    <t>Amount as per Balance Sheet</t>
  </si>
  <si>
    <t>SUMMARY OF VALUATION ASSESSMENT OF CURRENT ASSETS</t>
  </si>
  <si>
    <t>Nature/ Purpose of Advance</t>
  </si>
  <si>
    <t>Status of Advance</t>
  </si>
  <si>
    <t>OTHER NON-CURRENT ASSETS</t>
  </si>
  <si>
    <t>Item Details</t>
  </si>
  <si>
    <t>NON CURRENT INVESTMENT</t>
  </si>
  <si>
    <t>Nature of Investment</t>
  </si>
  <si>
    <t>Number of shares</t>
  </si>
  <si>
    <t>II</t>
  </si>
  <si>
    <t>III</t>
  </si>
  <si>
    <t>Chance of Recoverability</t>
  </si>
  <si>
    <t>Realization Value Assessment</t>
  </si>
  <si>
    <t>Data Not Provided</t>
  </si>
  <si>
    <t>Cost per Share</t>
  </si>
  <si>
    <t>Capital Advance</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</si>
  <si>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</si>
  <si>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</si>
  <si>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</si>
  <si>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</si>
  <si>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</si>
  <si>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V</t>
  </si>
  <si>
    <t>VI</t>
  </si>
  <si>
    <t>Non-Current Investment</t>
  </si>
  <si>
    <t>Cash and Cash Equivalents</t>
  </si>
  <si>
    <t>VII</t>
  </si>
  <si>
    <t>VIII</t>
  </si>
  <si>
    <t>IX</t>
  </si>
  <si>
    <t>X</t>
  </si>
  <si>
    <t>Figures in INR Crores</t>
  </si>
  <si>
    <t>Maytas NCC JV</t>
  </si>
  <si>
    <t>NCC – Maytas – ZVS (JV)</t>
  </si>
  <si>
    <t xml:space="preserve">Fair Market Value </t>
  </si>
  <si>
    <t>More than 3 years</t>
  </si>
  <si>
    <t>2-3 years</t>
  </si>
  <si>
    <t>Trade Receivable</t>
  </si>
  <si>
    <t>Liquidation value</t>
  </si>
  <si>
    <t>INVENTORY</t>
  </si>
  <si>
    <t>S. No</t>
  </si>
  <si>
    <r>
      <t>1.</t>
    </r>
    <r>
      <rPr>
        <b/>
        <i/>
        <sz val="7"/>
        <color rgb="FF000000"/>
        <rFont val="Times New Roman"/>
        <family val="1"/>
      </rPr>
      <t xml:space="preserve">      </t>
    </r>
    <r>
      <rPr>
        <i/>
        <sz val="11"/>
        <color rgb="FF000000"/>
        <rFont val="Calibri"/>
        <family val="2"/>
      </rPr>
      <t>Assessment is done based on the discussions done with the Liquidator/ RP/ Corporate Debtor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</si>
  <si>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Liquidator/ RP/ Corporate Debtor provided to us as per our queries &amp; discussions with the Liquidator/ RP/ Corporate Debtor.</t>
    </r>
  </si>
  <si>
    <r>
      <t>3.</t>
    </r>
    <r>
      <rPr>
        <b/>
        <i/>
        <sz val="7"/>
        <color rgb="FF000000"/>
        <rFont val="Times New Roman"/>
        <family val="1"/>
      </rPr>
      <t xml:space="preserve">      </t>
    </r>
    <r>
      <rPr>
        <i/>
        <sz val="11"/>
        <color rgb="FF000000"/>
        <rFont val="Calibri"/>
        <family val="2"/>
      </rPr>
      <t>No audit of any kind is performed by us for the books of account or ledger statements and all this data/ information/ input/ details provided to us by the Liquidator/ RP/ Corporate Debtor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</si>
  <si>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and close scrutiny of individual case made by the Liquidator / RP / Corporate Debtor. So, our values should not be regarded as any judgment in regard to the recoverability of Securities or Financial Assets.</t>
    </r>
  </si>
  <si>
    <r>
      <t>Cash &amp; Cash Equivalent</t>
    </r>
    <r>
      <rPr>
        <i/>
        <sz val="11"/>
        <color rgb="FF000000"/>
        <rFont val="Calibri"/>
        <family val="2"/>
      </rPr>
      <t>  </t>
    </r>
  </si>
  <si>
    <t>1 </t>
  </si>
  <si>
    <t xml:space="preserve">Margin money deposits means that while issuing the guarantee bank asks the client to deposit some money by way of fixed deposit as a counter security. </t>
  </si>
  <si>
    <t>Hence we have consider fair market value, Going Concern Value and piecemeal value to be at 100% of the book value.</t>
  </si>
  <si>
    <r>
      <t>1.</t>
    </r>
    <r>
      <rPr>
        <sz val="7"/>
        <color rgb="FF000000"/>
        <rFont val="Times New Roman"/>
        <family val="1"/>
      </rPr>
      <t xml:space="preserve">      </t>
    </r>
    <r>
      <rPr>
        <sz val="11"/>
        <color rgb="FF000000"/>
        <rFont val="Calibri"/>
        <family val="2"/>
      </rPr>
      <t>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t>
    </r>
  </si>
  <si>
    <r>
      <t>2.</t>
    </r>
    <r>
      <rPr>
        <sz val="7"/>
        <color rgb="FF000000"/>
        <rFont val="Times New Roman"/>
        <family val="1"/>
      </rPr>
      <t xml:space="preserve">      </t>
    </r>
    <r>
      <rPr>
        <sz val="11"/>
        <color rgb="FF000000"/>
        <rFont val="Calibri"/>
        <family val="2"/>
      </rPr>
      <t>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r>
  </si>
  <si>
    <t>CASH AND CASH EQUIVALENTS</t>
  </si>
  <si>
    <t>Liquidation Value Assessment</t>
  </si>
  <si>
    <t>LOANS</t>
  </si>
  <si>
    <t>Liquidation  Value Assessment</t>
  </si>
  <si>
    <t>Interest Accrued on Deposits and Others</t>
  </si>
  <si>
    <t>Claim for Performance Bank Guarantee</t>
  </si>
  <si>
    <t>Other Receivables</t>
  </si>
  <si>
    <t>Project Materials</t>
  </si>
  <si>
    <t xml:space="preserve">Liquidation value </t>
  </si>
  <si>
    <t>Cash on Hand</t>
  </si>
  <si>
    <r>
      <rPr>
        <b/>
        <sz val="11"/>
        <color rgb="FF000000"/>
        <rFont val="Calibri"/>
        <family val="2"/>
      </rPr>
      <t>Balances with Banks:</t>
    </r>
    <r>
      <rPr>
        <sz val="11"/>
        <color rgb="FF000000"/>
        <rFont val="Calibri"/>
        <family val="2"/>
      </rPr>
      <t xml:space="preserve">
On Current Accounts</t>
    </r>
  </si>
  <si>
    <t>TOTAL</t>
  </si>
  <si>
    <r>
      <rPr>
        <b/>
        <sz val="10"/>
        <rFont val="Arial"/>
        <family val="2"/>
      </rPr>
      <t>Contract Assets</t>
    </r>
    <r>
      <rPr>
        <sz val="10"/>
        <rFont val="Arial"/>
        <family val="2"/>
      </rPr>
      <t xml:space="preserve"> - Retention Money</t>
    </r>
  </si>
  <si>
    <t>Balances with statutory/government authorities</t>
  </si>
  <si>
    <t>Project Materials is valued in our land and building valuation report and is already considered in the valuation of the same. 
Hence, we have considered Fair Value and Liquidation Value in this case to be NIL.</t>
  </si>
  <si>
    <t>NIL</t>
  </si>
  <si>
    <t>Details as on 30th September 2018</t>
  </si>
  <si>
    <t>In debentures (fully paid-up) 25,370,630  (March 31, 2017 and April 1, 2016: Nil) 0.001% Non-convertible debentures of Rs. 10 each in Bangalore Elevated Tollway Private Limited</t>
  </si>
  <si>
    <t xml:space="preserve"> In preference shares (fully paid-up) 2,441,850 (March 31, 2017 and April 1, 2016: 2,441,850) 9% cumulative optionally convertible redeemable preference shares of Rs. 100 each in Bangalore Elevated Tollway Private Limited</t>
  </si>
  <si>
    <t>Trade Receivable (Current &amp; Non-Current)</t>
  </si>
  <si>
    <t>Non-Current Loans</t>
  </si>
  <si>
    <t>Current Loans</t>
  </si>
  <si>
    <t>Deferred tax assets, Net</t>
  </si>
  <si>
    <t>Income tax Assets, Net</t>
  </si>
  <si>
    <t>Non-Current Inventories</t>
  </si>
  <si>
    <r>
      <rPr>
        <b/>
        <sz val="11"/>
        <color rgb="FF000000"/>
        <rFont val="Calibri"/>
        <family val="2"/>
      </rPr>
      <t>Other Bank Balances:</t>
    </r>
    <r>
      <rPr>
        <sz val="11"/>
        <color rgb="FF000000"/>
        <rFont val="Calibri"/>
        <family val="2"/>
      </rPr>
      <t xml:space="preserve">
Deposits account due to mature of within or more than 12 months of reporting date &amp; margin money deposits</t>
    </r>
  </si>
  <si>
    <t>Intangible Assets</t>
  </si>
  <si>
    <t>Minining Rights</t>
  </si>
  <si>
    <t>Computer Software</t>
  </si>
  <si>
    <t>Mining rights – Mining rights are amortized in the proportion of material extracted during a year that bears to total estimated extraction over the contractual period.</t>
  </si>
  <si>
    <t>Software - Computer software license cost is expensed in the year of purchase as there is no expected future economic benefit, except for enterprise wide/project based software license cost which is amortized over the period of license or six years, whichever is lower.</t>
  </si>
  <si>
    <t>As per the cash certificates provided by the company, the amount given under the head cash on hand is matched. Hence we have consider fair market value and liquidation value to be at 100% of the book value.</t>
  </si>
  <si>
    <t>Margin Money Deposits</t>
  </si>
  <si>
    <t>As per the Bank statement provided by the company, the amount given under the head balance with Banks: on current accounts comes out 3.66 Crs. Hence we have consider fair market value and liquidation value to be 3.66 Crs.</t>
  </si>
  <si>
    <t>Advances Other than Capital Advances: Unsecured, Considered Good</t>
  </si>
  <si>
    <t xml:space="preserve">We have not received any supporting documents / information regarding this head. In the financials of IECCL, balances with statutory/government authorities is a negetive balance as on 30th March 2018. Therefore, in the general cercumstanses, it is a liability of the company to pay to the statutory/government authorities. Hence we have consider fair market value and liquidation Value to be at 100% of the book value. </t>
  </si>
  <si>
    <t>Net Worth</t>
  </si>
  <si>
    <t>Discount Rate (WACC)</t>
  </si>
  <si>
    <t>Period</t>
  </si>
  <si>
    <t>Discount Factor</t>
  </si>
  <si>
    <t>Present Value (PV) of Maytas NCC JV</t>
  </si>
  <si>
    <t>Present Value (PV) of NCC – Maytas – ZVS (JV)</t>
  </si>
  <si>
    <t>Details as on 30th September, 2018</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</si>
  <si>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 </t>
  </si>
  <si>
    <t>Valuation Date</t>
  </si>
  <si>
    <t>Periodic Rate</t>
  </si>
  <si>
    <t>Date</t>
  </si>
  <si>
    <t>Cash Flow</t>
  </si>
  <si>
    <t>PV</t>
  </si>
  <si>
    <t>Repayment Date</t>
  </si>
  <si>
    <t>Govt 10-year Yield</t>
  </si>
  <si>
    <t>(On 15-10-2018)</t>
  </si>
  <si>
    <t>Debenture Face Value</t>
  </si>
  <si>
    <t>Add:</t>
  </si>
  <si>
    <t>Spread</t>
  </si>
  <si>
    <t>Coupon Rate</t>
  </si>
  <si>
    <t>Required Rate</t>
  </si>
  <si>
    <t>PV of Bond</t>
  </si>
  <si>
    <t>Less:</t>
  </si>
  <si>
    <t>Lack of Marketability Discount</t>
  </si>
  <si>
    <t>Expected Value</t>
  </si>
  <si>
    <t>Nifty Return 10 Years</t>
  </si>
  <si>
    <t>Value as on 15th October 2018</t>
  </si>
  <si>
    <t>i.	As per information/documents provided by the company the terms and conditions of non-convertible debentures (NCD) are:
NCD's having a term of 20 Years from the date of allotment i.e., 30th March, 2017, at a face value of Rs. 10/- each.
NCD's carries a coupon rate of 0.001% and rate of return is considered at 13.92%. NCD's shall be redeemable at such amount which provides the NCD holder an Internal rate of approx. 14%, considering the payment made on the NCDs till maturity.
ii.	For repayment schedule, the total amount 253706300/- will be repaid by 23rd July 2026.
Hence based on all the terms and conditions, present value of the debenture shares calculated, as on 30th September, 2018, is 8.76 Crs.
Therefore fair market value and Liquidation value of this asset would be same i.e., 8.76 Crs, because of the nature of this asset or the terms and conditions of this asset.</t>
  </si>
  <si>
    <t>i.	As per information / documents provided by the company the terms and conditions of preference shares are: 
As per the financials of Bangalore Elevated Toll way Private Limited (BETL), the company is duly constituted and authorized to issue and allot 24, 41,850 preference shares in one or more tranches of Rs. 10/- each at a premium of Rs. 90/- per share for an amount aggregating to Rs. 24, 41, 85,000/-, preference shares carry a dividend of 9% on face value, rate of return is considered at 14%. 
The company has the right to redeem the preference shares allotted any time after the expiry of 3 years from the date of allotment. The redemption can be in one or more tranches at price of Rs. 100/- and or at a price as decided by the board at the time of redemption which shall not be less than the issue price.
ii.	In case if Preference share holder wish to convert their holding in to equity shares of the company before redemption, then the conversion price would be the issue price or at a price as decided by the board.
iii.	For repayment schedule, the total amount 24, 41, 85,000/- is divided into three same amounts i.e., 1831500, and there are three repayment dates i.e. 31st March 2024, 31st March 2025 and 31st March 2026.
Hence based on all the terms and conditions, present value of the preference shares calculated, as on 30th September, 2018, is 19.39 Crs.
Therefore fair market value and Liquidation value of this asset would be same i.e., 19.39 Crs, because of the nature of this asset or the terms and conditions of this asset.</t>
  </si>
  <si>
    <t xml:space="preserve"> -</t>
  </si>
  <si>
    <t>The advances other than capital adances, shown in financial statements is 10.14 Crs. As per information provided by company for these advances, company had made these advances to government and trust worthy organizations. However, recoverability of these advances will depend upon factors like terms and condition of the contract, ageing of the advances, legality of the same. Therefore, we are considering its fair market value as 70% of the book value. During Liquidation, the recovery of it will be insurmountable task and will be subject to the contract condition, legality issues and dues of the authority. Hence in this case we are considering liquidation value as 50% of fair market value.</t>
  </si>
  <si>
    <t>The advances other than capital adances, shown in financial statements is 106.08 Crs. As per information provided by company for these advances, company had made these advances to government and trust worthy organizations. However, recoverability of these advances will depend upon factors like terms and condition of the contract, legality of the same. Therefore, we are considering its fair market value as 80% of the book value. During Liquidation, the recovery of it will be insurmountable task and will be subject to the contract condition, legality issues and dues of the authority. Hence in this case we are considering liquidation value as 60% of fair market value.</t>
  </si>
  <si>
    <t>In the absence of accessible contract documentation and ongoing project status updates, we have determined that for current projects, 80%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20% discount to the book value. With this strategy, the genuine market value is reflected while taking into consideration any complexities that may develop over the course of the project's lifecycle.
For liquidation value, we are considering 60% of the fair market value, because at the time of liquidation there can be dispute between parties and legality can be arises and breach of contract regarding any terms and conditions can be possible. Therefore, after considering all the facts, we are giving 40% discount to the fair market value.</t>
  </si>
  <si>
    <t>In the absence of accessible contract documentation and ongoing project status updates, we have determined that for non-current projects, 70%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30% discount to the book value. With this strategy, the genuine market value is reflected while taking into consideration any complexities that may develop over the course of the project's lifecycle.
For liquidation value, we are considering 50% of the fair market value, because at the time of liquidation there can be dispute between parties and legality can be arises and breach of contract regarding any terms and conditions can be possible. Therefore, after considering all the facts, we are giving 50% discount to the fair market value.</t>
  </si>
  <si>
    <t>Retention Money</t>
  </si>
  <si>
    <t>XI</t>
  </si>
  <si>
    <t>Sector</t>
  </si>
  <si>
    <t>Project</t>
  </si>
  <si>
    <t>Name of Customer</t>
  </si>
  <si>
    <t>Trade Receivable Aging (Net)</t>
  </si>
  <si>
    <t xml:space="preserve">Less than 6 months </t>
  </si>
  <si>
    <t xml:space="preserve">6 months - 1 year </t>
  </si>
  <si>
    <t>1-2 years</t>
  </si>
  <si>
    <t>Railways</t>
  </si>
  <si>
    <t>DFCCI</t>
  </si>
  <si>
    <t>ILFS- GPT JV</t>
  </si>
  <si>
    <t>BMP-Sholapur</t>
  </si>
  <si>
    <t>ILFA-Kalindee JV</t>
  </si>
  <si>
    <t>Railways - HO</t>
  </si>
  <si>
    <t>Sarala Projects Works Pvt Ltd</t>
  </si>
  <si>
    <t>RMRG-II - Stations</t>
  </si>
  <si>
    <t>ILFS Transportation Networks Ltd</t>
  </si>
  <si>
    <t>BMRCL - II</t>
  </si>
  <si>
    <t>Bagalore Metro Rail Limited</t>
  </si>
  <si>
    <t>KMR</t>
  </si>
  <si>
    <t>Rail Vikas Nigam Limited</t>
  </si>
  <si>
    <t>RMRG-II-Viaduct</t>
  </si>
  <si>
    <t>NMR</t>
  </si>
  <si>
    <t>Nagpur Metro Rail Limited</t>
  </si>
  <si>
    <t>CMR</t>
  </si>
  <si>
    <t>ITNL - KMB JV</t>
  </si>
  <si>
    <t>MEGA</t>
  </si>
  <si>
    <t>Metro Link Express for Gandhinagar and Ahmedabad (MEGA) Company Limited</t>
  </si>
  <si>
    <t>Roads</t>
  </si>
  <si>
    <t>Assam-19</t>
  </si>
  <si>
    <t>National Highway Authority of India Limited</t>
  </si>
  <si>
    <t>Kiratpur</t>
  </si>
  <si>
    <t>ILFS Transportation and Networks Limited</t>
  </si>
  <si>
    <t>DLF</t>
  </si>
  <si>
    <t>DLF Limited</t>
  </si>
  <si>
    <t>Nagaland</t>
  </si>
  <si>
    <t>Maytas -Gayatri Jv,  PWD (NH) Nagaland</t>
  </si>
  <si>
    <t>Assam-25</t>
  </si>
  <si>
    <t>ORR -HYD</t>
  </si>
  <si>
    <t>Cyberabad Expressway Limited</t>
  </si>
  <si>
    <t>Assam-17</t>
  </si>
  <si>
    <t>Patna-Gaya</t>
  </si>
  <si>
    <t>IIDC</t>
  </si>
  <si>
    <t>Birpur</t>
  </si>
  <si>
    <t>MoRTH</t>
  </si>
  <si>
    <t>PSRP</t>
  </si>
  <si>
    <t>Amaravathi</t>
  </si>
  <si>
    <t>Bidar</t>
  </si>
  <si>
    <t>BDA</t>
  </si>
  <si>
    <t>Bangalore Development Authority</t>
  </si>
  <si>
    <t>Trichy</t>
  </si>
  <si>
    <t>Indu Projects Limited</t>
  </si>
  <si>
    <t>CG-1</t>
  </si>
  <si>
    <t>Nagarjuna Construction company limited</t>
  </si>
  <si>
    <t>Power</t>
  </si>
  <si>
    <t>Closed Projects</t>
  </si>
  <si>
    <t>AP TRANSCO- 28-33</t>
  </si>
  <si>
    <t>AP TRANSCO</t>
  </si>
  <si>
    <t>HVPNL -2 - PW060</t>
  </si>
  <si>
    <t>32 KV  Substation and Bays-IEINPW060</t>
  </si>
  <si>
    <t>Ambedkarnagar -PW061</t>
  </si>
  <si>
    <t>MVVNL</t>
  </si>
  <si>
    <t>WBSEDCL- PW57-59</t>
  </si>
  <si>
    <t>WBSEDCL</t>
  </si>
  <si>
    <t>Bulandshahr - PW062</t>
  </si>
  <si>
    <t>PVVNL</t>
  </si>
  <si>
    <t>WBSEDCL NORTH - PW063
(North 24 Paraganas)</t>
  </si>
  <si>
    <t>Moradabad- PW64</t>
  </si>
  <si>
    <t>Amroha- PW065</t>
  </si>
  <si>
    <t>Shahjahampur- PW066</t>
  </si>
  <si>
    <t>Bhuj - PW067</t>
  </si>
  <si>
    <t>PGCIL - (Bhuj Bhanaskanta Transmission Line - TW02)</t>
  </si>
  <si>
    <t>Bhuj_2 - PW068</t>
  </si>
  <si>
    <t>PGCIL - (Bhuj Bhanaskanta Transmission Line - TW05)</t>
  </si>
  <si>
    <t>Gonda - PW069</t>
  </si>
  <si>
    <t>IPDS South 24 Paraganas- PW070</t>
  </si>
  <si>
    <t>West Bengal State Electricity Distribution Co. Ltd.</t>
  </si>
  <si>
    <t>DDUGJY-South paragnas - PW071</t>
  </si>
  <si>
    <t>Paschim Midnapur- PW072</t>
  </si>
  <si>
    <t>sahibganj - PW073</t>
  </si>
  <si>
    <t>JHARKAND BIJLI VITARAN NIGAM LIMITED</t>
  </si>
  <si>
    <t xml:space="preserve">Jamshedpur -PW074  </t>
  </si>
  <si>
    <t>East Singhbhum Project - PW075</t>
  </si>
  <si>
    <t>West Singhbhum Project - PW076</t>
  </si>
  <si>
    <t>PW077 Dumka-Sahibganj IPDS</t>
  </si>
  <si>
    <t xml:space="preserve">PW078 Dhanbad </t>
  </si>
  <si>
    <t xml:space="preserve">Irrigation </t>
  </si>
  <si>
    <t>Annupur</t>
  </si>
  <si>
    <t>MOSERBEAR</t>
  </si>
  <si>
    <t>GVMC</t>
  </si>
  <si>
    <t>Polavaram</t>
  </si>
  <si>
    <t>MAYTAS - NCC JV</t>
  </si>
  <si>
    <t>Bhupathipalem</t>
  </si>
  <si>
    <t>I &amp; CAD AP</t>
  </si>
  <si>
    <t>Tadipudi</t>
  </si>
  <si>
    <t>Gandikota</t>
  </si>
  <si>
    <t>Lingala</t>
  </si>
  <si>
    <t>HO Irrigation Sector</t>
  </si>
  <si>
    <t>IL&amp;FS ECC Ltd</t>
  </si>
  <si>
    <t>Pranahita package - 7</t>
  </si>
  <si>
    <t>MAYTAS - MEIL-ABB-AAG JV</t>
  </si>
  <si>
    <t>Pranahita Package 8</t>
  </si>
  <si>
    <t>MEIL-SEW-MAYTAS-BHEIL Consortium</t>
  </si>
  <si>
    <t>Pranahita Package 5</t>
  </si>
  <si>
    <t>MEIL-MAYTAS-ABB-AAG JV</t>
  </si>
  <si>
    <t>HMWSS-Water works</t>
  </si>
  <si>
    <t>L&amp;T - KBL - MAYTAS JV</t>
  </si>
  <si>
    <t xml:space="preserve">HNSS Madanapally </t>
  </si>
  <si>
    <t>MEIL-MAYTAS - KBL JV</t>
  </si>
  <si>
    <t>Pogonda Project</t>
  </si>
  <si>
    <t>Udayasamudram</t>
  </si>
  <si>
    <t>MAYTAS - MEIL - KBL JV</t>
  </si>
  <si>
    <t>Anampally</t>
  </si>
  <si>
    <t>GNSS Package LI - 03</t>
  </si>
  <si>
    <t>MAYTAS - KBL JV</t>
  </si>
  <si>
    <t>Dummugudem Pkg 5</t>
  </si>
  <si>
    <t>MEIL - MAYTAS - AAG JV</t>
  </si>
  <si>
    <t xml:space="preserve">Korisapadu Project </t>
  </si>
  <si>
    <t>MAYTAS - KCCPL- FLOWMORE JV</t>
  </si>
  <si>
    <t>Dummugudem Pkg 4</t>
  </si>
  <si>
    <t>NEF Railways T-12</t>
  </si>
  <si>
    <t>MAYTAS - SUSHEE JV</t>
  </si>
  <si>
    <t>Muchumarri</t>
  </si>
  <si>
    <t>MEIL - MAYTAS - WIPL  JV</t>
  </si>
  <si>
    <t>Dummugudem Pkg 1</t>
  </si>
  <si>
    <t>Indira Dummugudem</t>
  </si>
  <si>
    <t>Megha Engineering &amp; Infrastructures Ltd</t>
  </si>
  <si>
    <t>HNSS Phase - I</t>
  </si>
  <si>
    <t xml:space="preserve">-  do - </t>
  </si>
  <si>
    <t>Rajiv Dummugudem</t>
  </si>
  <si>
    <t>Sirisilla</t>
  </si>
  <si>
    <t>HNSS Phase - II</t>
  </si>
  <si>
    <t>PMIS  LI - 02 (Pipe Line)</t>
  </si>
  <si>
    <t>Gandikota Pack  -2</t>
  </si>
  <si>
    <t>HNSS Pump House - 3</t>
  </si>
  <si>
    <t>HNSS Pump House - 2</t>
  </si>
  <si>
    <t>HNSS Pump House - 5</t>
  </si>
  <si>
    <t>HNSS Pump House - 1</t>
  </si>
  <si>
    <t>PMIS  LI - 02</t>
  </si>
  <si>
    <t>HNSS Pump House - 4</t>
  </si>
  <si>
    <t>PMIS  LI - 01</t>
  </si>
  <si>
    <t>PMIS  LI - 05</t>
  </si>
  <si>
    <t>PMIS  LI - 05 (Hard rock)</t>
  </si>
  <si>
    <t>HNSS Pump House - 8</t>
  </si>
  <si>
    <t>HNSS Pump House - 7</t>
  </si>
  <si>
    <t>HNSS Pump House - 6</t>
  </si>
  <si>
    <t>Indira Dummugudem - II</t>
  </si>
  <si>
    <t>Anupanur &amp; Koppanur</t>
  </si>
  <si>
    <t>Kakatiya Thermal</t>
  </si>
  <si>
    <t>Driving Pit Tunnel</t>
  </si>
  <si>
    <t>Pumping sump</t>
  </si>
  <si>
    <t xml:space="preserve">Hydernagar Pump House </t>
  </si>
  <si>
    <t>Zaheerabad water supply</t>
  </si>
  <si>
    <t>NSRDWS Phase - I</t>
  </si>
  <si>
    <t>NSRDWS Phase - II</t>
  </si>
  <si>
    <t>NEF Railway - 8&amp;9</t>
  </si>
  <si>
    <t>NF Railways</t>
  </si>
  <si>
    <t>PMHO</t>
  </si>
  <si>
    <t>Terra Infra Development (P) Ltd-ORR</t>
  </si>
  <si>
    <t>Terra Infra Development (P) Ltd-PTTL</t>
  </si>
  <si>
    <t>Ratna Infrastructures projects Pvt ltd</t>
  </si>
  <si>
    <t>ELSAMEX MAINTENANCE SERVICES LTD</t>
  </si>
  <si>
    <t>SHIVAM INFRA-TECH PRIVATE LIMITED</t>
  </si>
  <si>
    <t>Vasishta Constructions Pvt ltd</t>
  </si>
  <si>
    <t>PES</t>
  </si>
  <si>
    <t>SDM Projects (P) Ltd</t>
  </si>
  <si>
    <t>Sivakumar Bavineni</t>
  </si>
  <si>
    <t>Goyals Timber Technicks Ltd</t>
  </si>
  <si>
    <t>JMC Projects (india) Ltd</t>
  </si>
  <si>
    <t>PMR Infra India (P) Ltd</t>
  </si>
  <si>
    <t>DHARANI ENTERPRISES</t>
  </si>
  <si>
    <t>Rockmore Aggregates</t>
  </si>
  <si>
    <t>PRAPURNA TRADING PVT. LTD</t>
  </si>
  <si>
    <t xml:space="preserve">HIRANANDANI PALACE GARDENS PVT LTD .   </t>
  </si>
  <si>
    <t>Gayatri Projects</t>
  </si>
  <si>
    <t>Advance stimul Engineering pvt Ltd</t>
  </si>
  <si>
    <t>KK Infrastructure</t>
  </si>
  <si>
    <t>EXEMPLAR INFRACON PVT.LTD.</t>
  </si>
  <si>
    <t>Buildings</t>
  </si>
  <si>
    <t>Hillcounty-3039</t>
  </si>
  <si>
    <t>Maytas Properties Limited</t>
  </si>
  <si>
    <t>Marbella</t>
  </si>
  <si>
    <t>EMMAR</t>
  </si>
  <si>
    <t>Mahendra-ASHVITA Project</t>
  </si>
  <si>
    <t>Mahendra Life Space Developers Limited</t>
  </si>
  <si>
    <t>Gurgaon Hills</t>
  </si>
  <si>
    <t>IREO</t>
  </si>
  <si>
    <t>Palm Garden</t>
  </si>
  <si>
    <t xml:space="preserve">EMMAR MGF </t>
  </si>
  <si>
    <t>Aanand Vilas</t>
  </si>
  <si>
    <t>Puri Inter national p ltd.</t>
  </si>
  <si>
    <t>Lodha</t>
  </si>
  <si>
    <t>CMT Jammu</t>
  </si>
  <si>
    <t>Government of Jammu &amp; Kashmir Office of the Relief Commissioner (M)  Jammu</t>
  </si>
  <si>
    <t>Hillcounty</t>
  </si>
  <si>
    <t>Gift</t>
  </si>
  <si>
    <t>ANC Contracting India Pvt Ltd</t>
  </si>
  <si>
    <t>Palm Terrace</t>
  </si>
  <si>
    <t>Orchid Heights</t>
  </si>
  <si>
    <t>Neelkamal Realtors Towers  Pvt Ltd.</t>
  </si>
  <si>
    <t>La-Tropicana</t>
  </si>
  <si>
    <t>PARSVNATH LANDMARK DEVELOPERS PVT LTD</t>
  </si>
  <si>
    <t>NAVAC - Hospital</t>
  </si>
  <si>
    <t xml:space="preserve">Naval Academy </t>
  </si>
  <si>
    <t>Aquapolis</t>
  </si>
  <si>
    <t>ANSAL URBAN CONDOMINIUMS PRIVATE LIMITED</t>
  </si>
  <si>
    <t>Ludhyana</t>
  </si>
  <si>
    <t>Emerald lands India Pvt ltd.</t>
  </si>
  <si>
    <t>NAVAC - FR</t>
  </si>
  <si>
    <t>Rites Kanpur</t>
  </si>
  <si>
    <t>Rites</t>
  </si>
  <si>
    <t>IT Park</t>
  </si>
  <si>
    <t>PARSVNATH LANDMARK DEVELOPERS  LTD</t>
  </si>
  <si>
    <t>DG MAP Lucknow</t>
  </si>
  <si>
    <t>Cranin</t>
  </si>
  <si>
    <t>Oil &amp; Gas</t>
  </si>
  <si>
    <t>Gail, Durgapur</t>
  </si>
  <si>
    <t>Gas Authority of India Limited</t>
  </si>
  <si>
    <t>KKBMPL- IVA</t>
  </si>
  <si>
    <t>Gail, Bihar</t>
  </si>
  <si>
    <t>Gail, Kochi</t>
  </si>
  <si>
    <t>Gail, Gujarat</t>
  </si>
  <si>
    <t>ISPRL</t>
  </si>
  <si>
    <t>GSPL, Godhra</t>
  </si>
  <si>
    <t>Gujarat State Petro net Limited</t>
  </si>
  <si>
    <t>Ports</t>
  </si>
  <si>
    <t>Dighi Port</t>
  </si>
  <si>
    <t>DBM</t>
  </si>
  <si>
    <t>Head Office</t>
  </si>
  <si>
    <t>J.Kumar Infra Projects Limited</t>
  </si>
  <si>
    <t>IL&amp;FS Financail Services Limited</t>
  </si>
  <si>
    <t>Vistra ITCL (India) Limited</t>
  </si>
  <si>
    <t>Bindavan Infrastructure</t>
  </si>
  <si>
    <t>Others</t>
  </si>
  <si>
    <t>CWH</t>
  </si>
  <si>
    <t>Schedule of Trade Receivable - Sep-18</t>
  </si>
  <si>
    <t>Subsequent realization- or adjustments</t>
  </si>
  <si>
    <t>Outstanding as on Mar-23</t>
  </si>
  <si>
    <t>Gross TR</t>
  </si>
  <si>
    <t>Total Provisions</t>
  </si>
  <si>
    <t>Net TR</t>
  </si>
  <si>
    <t>FY 2019</t>
  </si>
  <si>
    <t>FY 2020</t>
  </si>
  <si>
    <t>FY 2021</t>
  </si>
  <si>
    <t>FY 2022</t>
  </si>
  <si>
    <t>FY 2023</t>
  </si>
  <si>
    <t>FY 2025</t>
  </si>
  <si>
    <t>FY 2024</t>
  </si>
  <si>
    <t>Will adjust with client payable</t>
  </si>
  <si>
    <t>Beyond FY 2026</t>
  </si>
  <si>
    <t>Will adjust with payable of B2B Contractor</t>
  </si>
  <si>
    <t>Year</t>
  </si>
  <si>
    <t>Net Recovery</t>
  </si>
  <si>
    <t>Yearly Recovery</t>
  </si>
  <si>
    <t>Discount period</t>
  </si>
  <si>
    <t>Discount Rate</t>
  </si>
  <si>
    <t>Present Value</t>
  </si>
  <si>
    <t>Net Present Value (NPV)</t>
  </si>
  <si>
    <t>BBB; Stable (Triple B; Outlook: Stable) and Withdrawn</t>
  </si>
  <si>
    <t>State Govt company - CARE AA+; Stable' rating on the long-term bank facilities of the company worth Rs 500 crore.</t>
  </si>
  <si>
    <t>CRISIL D (ISSUER NOT COOPERATING)</t>
  </si>
  <si>
    <t>Company Status: Strike Off</t>
  </si>
  <si>
    <t>A+/Stable</t>
  </si>
  <si>
    <t>CARE B-; Stable / CARE A4; 
ISSUER NOT COOPERATING*</t>
  </si>
  <si>
    <t>JV of IL&amp;FS - In profit - 7.25 Crs as on 31st March 20203</t>
  </si>
  <si>
    <t>Bankruptcy; assets liquidated</t>
  </si>
  <si>
    <t>AP TRANSCO (Transmission Corporation of Andhra Pradesh Limited)</t>
  </si>
  <si>
    <t>CARE B; Stable; ISSUER NOT COOPERATING</t>
  </si>
  <si>
    <t>Governmental Organization</t>
  </si>
  <si>
    <t>AAA/Stable</t>
  </si>
  <si>
    <t>CARE D; ISSUER NOT COOPERATING</t>
  </si>
  <si>
    <t>After Discount</t>
  </si>
  <si>
    <t>Trade Receivable Realization</t>
  </si>
  <si>
    <t>FY19</t>
  </si>
  <si>
    <t>FY20</t>
  </si>
  <si>
    <t>FY21</t>
  </si>
  <si>
    <t>FY22</t>
  </si>
  <si>
    <t>FY23</t>
  </si>
  <si>
    <t>Outstanding as on March 2023</t>
  </si>
  <si>
    <t>Fair Market Value</t>
  </si>
  <si>
    <t>Liquidation Value</t>
  </si>
  <si>
    <t>Provisions For Trade Receivables</t>
  </si>
  <si>
    <t xml:space="preserve">As per financials of the company, company has made provisions for doubtful financial assets to the extent that there is no realistic prospect of recovery. The company failed to provide adequate justification for implementing these provisions. As the company considered that the project company does not have assets or sources of income that could generate sufficient cash flow to repay the amount subject to the provisions. Hence, by conducting secondary research on the top 20 project companies involved, we have gathered information from existing sources such as credit ratings, financials, Annual reports, published articles, and online databases. Based on this information, we get an idea of credit worthiness of the project company and given the discount accordingly. 
We have calculated the total amount for top 20 project companies, after discount. And also calculated the percentage of the after-discount amount against the provisions made for the same.
To calculate the fair market value, we have considered the product of the total provisions made for doubtful financial assets and the said percentage. 
In case of liquidation value, we have considered only those project companies who’s credit ratings are AAA/AA/A or stable and Government or State Government companies. </t>
  </si>
  <si>
    <t xml:space="preserve"> In preference shares (fully paid-up) 2,441,850 (March 31, 2021: 2,441,850)dividend @ of 9% cumulative optionally convertible redeemable preference shares of Rs. 100 each in Bangalore Elevated Tollway Private Limited*</t>
  </si>
  <si>
    <t>In debentures (fully paid-up) 25,370,630 (March 31, 2021: 25,370,630) 0.001% Non-convertible debentures of Rs. 10 each in Bangalore Elevated Tollway Private Limited</t>
  </si>
  <si>
    <t>PROVISIONS - 2018</t>
  </si>
  <si>
    <t>i.	The Deposits shown in financial statements under the head of loan i.e. 20.73 Crs. which represents rent, electricity and other deposits. As per list provided by the company for the deposits, these deposits include deposits with Govt authorities and corporates, towards various facilities like electricity deposit, rent deposit and other payables. 
ii.	These deposits will be adjusted with the corresponding rent, electricity and other payables. Hence, we have considered 100% as fair market value because company is ongoing concern and all these facilities have economic value to the company in its operation.
iii.	Although all these security deposits carry 100% economic value to the business in operation but in case of liquidation on going concern basis, we are giving 25% discount on sentimental grounds buyer would like to take advantage of the situation and would expect some discount since the negotiation power of buyer will be more than the seller in liquidation.
iv.          The loan shown in financial statements under the head loan to related parties is 0.01 Crs. Due to unavailability of supporting documents and information about this head. We cannot assign any value. Hence  the Fair Value and Liquidation Value is considered to be NIL.
v.           The mobilization advance shown in financial statements under the this head is 37.23 Crs. As per list provided by company for mobilization advances to subcontractors, company had made these advances to government and trust worthy organizations. However, recoverability of these advances will depend upon factors like terms and condition of the contract, legality of the same. Therefore, we are considering its fair market value as 80% of the book value. During Liquidation, the recovery of it will be insurmountable task and will be subject to the contract condition, legality issues and dues of the authority. Hence in this case we are considering liquidation value as 50% of fair market value.</t>
  </si>
  <si>
    <t>Provision for Loans</t>
  </si>
  <si>
    <t>As per financial of the company, provision for doubtful loans include two types of provisions. First provision i.e., 192.95 Crs, is made for Related Parties.  We have conducted secondary research on the top 80% related parties involved and gathered information from existing sources such as credit ratings, financials, Annual reports, published articles, and online databases. One of the related parties is Hill County properties Private Limited. HCPL is a subsidiary of IL&amp;FS and considered provision for it is 131.56 crs., which is approximately 68% of total provision for related parties. HCPL is under resolution under the aegis of National Company Law Tribunal -Mumbai Bench (NCLT). Hence, we cannot consider recoverability of this provision. In the same way we get an idea of credit worthiness of all the related parties. Most of the related parties are not in good financial situation / not earning operating revenue. Hence, we cannot consider any recoverability from the first provision. Hence, we will consider fair market value and liquidation value to be NIL.
The other provision i.e., 324.01 Crs. is made for Inter Corporate Deposits (ICD) to various companies and for other companies. For amount 323.78 Crs. ICD had given to Satyam Computers Services Limited (SCSL). SCSL had merged into Tech Mahindra Limited (TML) Pursuant to a scheme of the companies act, 1956. TML in its audited financials as on 31st March 2023, continue to disclose as “Suspense Account (Net) Rs. 1230.40” as disclosed by SCSL earlier. Management if IL&amp;FS is of the opinion that the claim made by the company on SCSL is included in the aforesaid amount disclosed by TML in its audited financials. 
IL&amp;FS is confident of recovering the said ICDs together with the compensation due thereon from SCSL/TML, as the company had documentary evidence of these ICDs. Company had filed a case against the TML for recovery of ICD amounts and the matter is yet to listed for response from other sides. Hence for fair market value we have consider the whole amount of ICD and for liquidation value, we cannot consider this amount. 
Rest amount is approx. 0.23 crs. This provision is for other companies. And we don't have any other information about these companies. Hence, we have considered the fair market value and liquidation value as NIL.</t>
  </si>
  <si>
    <t xml:space="preserve">i.	The Deposits shown in financial statements under the head of loan i.e. 3.33 Crs. which represents rent, electricity and other deposits. As per list provided by the company for the deposits, these deposits include deposits with Govt authorities and corporates, towards various facilities like electricity deposit, rent deposit and other payables. 
ii.	These deposits will be adjusted with the corresponding rent, electricity and other payables. Hence, we have considered 100% as fair market value because company is ongoing concern and all these facilities have economic value to the company in its operation.
iii.	Although all these security deposits carry 100% economic value to the business in operation but in case of liquidation on going concern basis, we are giving 10% discount on sentimental grounds buyer would like to take advantage of the situation and would expect some discount since the negotiation power of buyer will be more than the seller in liquidation.
iv.          The loan shown in financial statements under the this head is 10.69 Crs. As per information provided by company, this loan is paid to Maytas NCC JV for running its expenses. As per audited financials of Maytas NCC JV, as on 30th September 2018, it is earning revenue from operations, it means company have open running projects. Therefore, the chances of recoverability of the loan is high. Hence, we have considered the fair market value to be at 100% of the book value and liquidation value to be at 80% of the fair market value.
v.           The mobilization advance shown in financial statements under the this head is 23.65 Crs. As per list provided by company for mobilizatrion advances to subcontractors, company had made these advances to government and trust worthy organizations. However, recoverability of these advances will depend upon factors like terms and condition of the contract, ageing of the advances, legality of the same. Therefore, we are considering its fair market value as 70% of the book value. During Liquidation, the recovery of it will be insurmountable task and will be subject to the contract condition, legality issues and dues of the authority. Hence in this case we are considering liquidation value as 40% of fair market value.
vi.          As per information provided by the company inter-corporate deposits of 323.78 Crs has been given to Satyam Computer Services Limited (SCSL), The company is confidant of recovering the said ICD's together with the compansation due thereon from SCSL / TML (SCSL was mearged with Tech Mahindra Limited (TML)). Based on the internal evaluation and legal openion, documentory evidences available with the company and in view of the observations of the special court in its verdict dated April 9, 2015 confirmining that an amount of Rs. 1425 Crs was transferred to SCSL through the intermediary companies. Hence we have considered 100% of book value as fair market value and liquidation value.
vii.       We have not received any information/supporting documents regarding the loan to other companies i.e., 124.72. As per realization plan provided by the management, 60.17 Crs will be realized in FY 2019, after that 10.03 Crs will be outstanding in FY 2023. Therefore, we are considering the fair market value 60.17 Crs and for liquidation value we have given 10% discount on Fair market value.
</t>
  </si>
  <si>
    <t>Annad Vilas-3054</t>
  </si>
  <si>
    <t>CMT-JV1</t>
  </si>
  <si>
    <t>Gurgaon Hills-3055</t>
  </si>
  <si>
    <t>Palm-3047</t>
  </si>
  <si>
    <t>Villas Marbella -3052</t>
  </si>
  <si>
    <t>Net RM</t>
  </si>
  <si>
    <t>Outstanding Amount after FY23</t>
  </si>
  <si>
    <t>Projects</t>
  </si>
  <si>
    <t>Amount in Cr</t>
  </si>
  <si>
    <t>RD043/ Birpur</t>
  </si>
  <si>
    <t>EMMAR MGF</t>
  </si>
  <si>
    <t xml:space="preserve">Villas Marbella </t>
  </si>
  <si>
    <t>Hillcounty (3039)</t>
  </si>
  <si>
    <t>Kolkata Metro Rail</t>
  </si>
  <si>
    <t>BMP Sholapur</t>
  </si>
  <si>
    <t>OG010-KKMBL-2</t>
  </si>
  <si>
    <t>OG008-Bihar</t>
  </si>
  <si>
    <t>WBSEDCL IEINPW0 57-59</t>
  </si>
  <si>
    <t>Irrigation</t>
  </si>
  <si>
    <t>Lingala - MIL</t>
  </si>
  <si>
    <t>Orchid heights</t>
  </si>
  <si>
    <t>Port</t>
  </si>
  <si>
    <t>DIGI Port</t>
  </si>
  <si>
    <t>JAMSHEDPUR</t>
  </si>
  <si>
    <t>Dumka - (PW077)</t>
  </si>
  <si>
    <t>Dhanbad - (PW078)</t>
  </si>
  <si>
    <t>Outstanding Amount Beyond FY23</t>
  </si>
  <si>
    <t>Project work in progress break up - Sep2018</t>
  </si>
  <si>
    <t>Anand Villas</t>
  </si>
  <si>
    <t>Mahindra 3048</t>
  </si>
  <si>
    <t>BMRCL-2</t>
  </si>
  <si>
    <t>OG009-KKMBL-1</t>
  </si>
  <si>
    <t>GAIL - Gujarat -OG 006</t>
  </si>
  <si>
    <t>OG007-Kochi</t>
  </si>
  <si>
    <t>Durgapur</t>
  </si>
  <si>
    <t>BAPL Angul - OG012</t>
  </si>
  <si>
    <t>Anupur</t>
  </si>
  <si>
    <t>Pranahita Pack-8</t>
  </si>
  <si>
    <t>West Singhbhum - 076</t>
  </si>
  <si>
    <t>Moradabad -  064</t>
  </si>
  <si>
    <t>WB N - 063</t>
  </si>
  <si>
    <t>Bhulandshahar 062</t>
  </si>
  <si>
    <t>Ambedkarnagar - 061</t>
  </si>
  <si>
    <t>APTRANSCO - 028-33</t>
  </si>
  <si>
    <t>IPDS - S24 PGNS (PW070)</t>
  </si>
  <si>
    <t>East singhbhum</t>
  </si>
  <si>
    <t>Deposits (Others) - Unsecured, Considered Good</t>
  </si>
  <si>
    <t>As per list of projects, provided by the company for the deposits, these deposits are made towards various facilities like electricity deposit, rent deposit and other payables. It is also informed by company, that these deposits will be adjusted with the corresponding rent, electricity and other payables. 
As per the recoverability plan provided by management of the company, Rs. 0.57 Crs. will be recovered from deposits in FY24, Rs. 2.17 Crs. will be recovered from deposits in FY25 and rest amount i.e., Rs. 0.59 Crs. will be recovered from deposits in FY26. To calculate the present value of the realizable amount, we have considered year on year 10% discount rate as a litigation / Dispute discount between parties. Therefore, the present value of realizable amount i.e. fair market value of deposits will be 2.75 Crs.
For liquidation value, we have considered 10% discount in the fair market value as a liquidation discount.</t>
  </si>
  <si>
    <t xml:space="preserve">AMBEDKARNAGAR </t>
  </si>
  <si>
    <t>AMROHA</t>
  </si>
  <si>
    <t>Anuppur</t>
  </si>
  <si>
    <t xml:space="preserve">BHUJ TW02 </t>
  </si>
  <si>
    <t>BMP</t>
  </si>
  <si>
    <t>BMR</t>
  </si>
  <si>
    <t>BRGF-SOUTH</t>
  </si>
  <si>
    <t>Corporate</t>
  </si>
  <si>
    <t>DDUGJUY</t>
  </si>
  <si>
    <t>DHUMKA</t>
  </si>
  <si>
    <t xml:space="preserve">GONDA </t>
  </si>
  <si>
    <t>Gurgaon</t>
  </si>
  <si>
    <t>IPDS 24 PARAGANAS</t>
  </si>
  <si>
    <t>KKBMPL IVA</t>
  </si>
  <si>
    <t>KKBMPL IVB</t>
  </si>
  <si>
    <t>KKBMPL SEC-1</t>
  </si>
  <si>
    <t xml:space="preserve">Mangalore Pipeline Project </t>
  </si>
  <si>
    <t>NEF Railway 8 &amp; 9</t>
  </si>
  <si>
    <t xml:space="preserve">PASCHIM MIDNAPORE </t>
  </si>
  <si>
    <t>PHPL</t>
  </si>
  <si>
    <t xml:space="preserve">SAHIBGANJ </t>
  </si>
  <si>
    <t>SHAHJAHANPUR</t>
  </si>
  <si>
    <t>SMP</t>
  </si>
  <si>
    <t>WB-N (IEINPW063)</t>
  </si>
  <si>
    <t>Deposits realization</t>
  </si>
  <si>
    <t>As on Sep-2018</t>
  </si>
  <si>
    <t>Completed projects</t>
  </si>
  <si>
    <t>PLRP- Gujarat</t>
  </si>
  <si>
    <t>DDPL- Durgapur</t>
  </si>
  <si>
    <t>BAPL-Angole</t>
  </si>
  <si>
    <t>Assam 19</t>
  </si>
  <si>
    <t>Assam 25</t>
  </si>
  <si>
    <t>KNC</t>
  </si>
  <si>
    <t>Patna</t>
  </si>
  <si>
    <t>Aquapolis-3042</t>
  </si>
  <si>
    <t>Cranin-3049</t>
  </si>
  <si>
    <t>Gift-3040</t>
  </si>
  <si>
    <t>Hil County-3039</t>
  </si>
  <si>
    <t>IT PARK - 3044</t>
  </si>
  <si>
    <t>La-Tropicana-3043</t>
  </si>
  <si>
    <t>Lodha-3056</t>
  </si>
  <si>
    <t>Mahindra-3048</t>
  </si>
  <si>
    <t>NAVAC Firerange-3031</t>
  </si>
  <si>
    <t>NAVAC Hospital-3020</t>
  </si>
  <si>
    <t>Orchid heights-3053</t>
  </si>
  <si>
    <t>DFC</t>
  </si>
  <si>
    <t>RMRG-II</t>
  </si>
  <si>
    <t>RMRG-II-Stations</t>
  </si>
  <si>
    <t>Pranahita Package - 7</t>
  </si>
  <si>
    <t>Sitapally Vagu</t>
  </si>
  <si>
    <t>Bulandshashar</t>
  </si>
  <si>
    <t>Moradabad</t>
  </si>
  <si>
    <t>BHUJ TW05</t>
  </si>
  <si>
    <t>Dhanbad</t>
  </si>
  <si>
    <t>Sector Ho</t>
  </si>
  <si>
    <t>Plant &amp; Machinery</t>
  </si>
  <si>
    <t xml:space="preserve">We have not received any document/supporting regarding the status of the Income Tax. In general circumstances this income asset belongs to TDS receivables. Company can claim this amount as income tax return. Hence it is fully recoverable. Therefore, we have consider fair market value to be at 100% of the book value. In case of liquidation, business will come to an end and distributing its assets to claimants. Hence its liquidation value will be NIL.
</t>
  </si>
  <si>
    <t>Loan - Deposits</t>
  </si>
  <si>
    <t>Loans to related Parties</t>
  </si>
  <si>
    <t>Loan to other companies - Secured (considered good), Unsecured (considered good)</t>
  </si>
  <si>
    <t>Loans - Mobilisation advances to subcontractor &amp; Other Assets - Advances other than capital advances</t>
  </si>
  <si>
    <t>Loan to other companies - Inter Corporate Deposits</t>
  </si>
  <si>
    <t>Balances with statutory Authorities</t>
  </si>
  <si>
    <t>Retention money</t>
  </si>
  <si>
    <t>Non-current inventories</t>
  </si>
  <si>
    <t xml:space="preserve">Subsequent Realization/adjusted </t>
  </si>
  <si>
    <t>Description</t>
  </si>
  <si>
    <t>Sum of As on      Sep-2018</t>
  </si>
  <si>
    <t>Intercorporate deposits</t>
  </si>
  <si>
    <t>Loan to other companies</t>
  </si>
  <si>
    <t>Loan to related parties</t>
  </si>
  <si>
    <t>Vendor advances realization</t>
  </si>
  <si>
    <t>BULANDSHAR</t>
  </si>
  <si>
    <t>Amroha</t>
  </si>
  <si>
    <t>Shahjahanpur</t>
  </si>
  <si>
    <t>IPDS 24 Paraganas</t>
  </si>
  <si>
    <t>Jamshedpur</t>
  </si>
  <si>
    <t>East Singhbhum</t>
  </si>
  <si>
    <t>West Singhbhum</t>
  </si>
  <si>
    <t>Dhumka</t>
  </si>
  <si>
    <t>Sector Accounts- PWCHO</t>
  </si>
  <si>
    <t>BAPL</t>
  </si>
  <si>
    <t>DDPL</t>
  </si>
  <si>
    <t>PLRP</t>
  </si>
  <si>
    <t xml:space="preserve"> Kochi Kootanad Bangalore Mangalore Pipeline Project </t>
  </si>
  <si>
    <t>ORR</t>
  </si>
  <si>
    <t>Pondey</t>
  </si>
  <si>
    <t>Sector Accounts</t>
  </si>
  <si>
    <t>DG MAP Chennai-3021</t>
  </si>
  <si>
    <t>EMMAR - 3045</t>
  </si>
  <si>
    <t>Hill County-3011</t>
  </si>
  <si>
    <t>Hirco-3034</t>
  </si>
  <si>
    <t>IIT Chennai-3022</t>
  </si>
  <si>
    <t>JSW-Bellar-3023</t>
  </si>
  <si>
    <t>Lucknow-3014</t>
  </si>
  <si>
    <t>Ludhiyana-3041</t>
  </si>
  <si>
    <t>Unitech-3051</t>
  </si>
  <si>
    <t>IEINPMCWS</t>
  </si>
  <si>
    <t>IEINPMCHO</t>
  </si>
  <si>
    <t>OTHER RECEIVABLES</t>
  </si>
  <si>
    <t>Schedule of  Other Receivable</t>
  </si>
  <si>
    <t>Other receivables</t>
  </si>
  <si>
    <t>JV TDS receivables</t>
  </si>
  <si>
    <t>Other than JV TDS receivable</t>
  </si>
  <si>
    <t>Neuland</t>
  </si>
  <si>
    <t>Gross Total</t>
  </si>
  <si>
    <t>Land</t>
  </si>
  <si>
    <t>Capital work-in-progress</t>
  </si>
  <si>
    <t>Loans and Other Assets</t>
  </si>
  <si>
    <t>Schedule of Interest Accrued</t>
  </si>
  <si>
    <t>As on      Sep-2018</t>
  </si>
  <si>
    <t>Interest on hire income dues from Terra</t>
  </si>
  <si>
    <t>Interest on other advance to Terra</t>
  </si>
  <si>
    <t>HO</t>
  </si>
  <si>
    <t>Interest Others- ORR</t>
  </si>
  <si>
    <t>Interest accrued on advance to CEL</t>
  </si>
  <si>
    <t>Interest accrued on advance to PTTL</t>
  </si>
  <si>
    <t>Interest on margin money and fixed deposits</t>
  </si>
  <si>
    <t>Interest accrued on advances to subcontractors and deposits</t>
  </si>
  <si>
    <t>Interest accrued on AS 19 claim</t>
  </si>
  <si>
    <t>Interest accrued on Nagaland claim</t>
  </si>
  <si>
    <t>Interest accrued on AS 17 claim</t>
  </si>
  <si>
    <t>Interest accrued on Security deposit with il&amp;fs</t>
  </si>
  <si>
    <t>Claim for PBG</t>
  </si>
  <si>
    <t>Tax Assets</t>
  </si>
  <si>
    <t>The loan shown in financial statements under the non-current head is 10.69 Crs. As per information provided by company, this loan is paid to Maytas NCC JV for running its expenses. As per audited financials of Maytas NCC JV, as on 30th September 2018, it is earning revenue from operations, it means company have open running projects. Therefore, the chances of recoverability of the loan are high. Hence, we have considered the fair market value to be at 100% of the book value and liquidation value to be at 90% of the fair market value.
The loan shown in financial statements under the head current loan to related parties is 0.01 Crs. Due to unavailability of supporting documents and information about this head. We cannot assign any value. Hence, the Fair Value and Liquidation Value is considered to be NIL.</t>
  </si>
  <si>
    <t>LOANS AND OTHER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</si>
  <si>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</si>
  <si>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Schedule of Loans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</si>
  <si>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</si>
  <si>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INTEREST ACCRUED</t>
  </si>
  <si>
    <t xml:space="preserve">Liquidation Value </t>
  </si>
  <si>
    <t>TAX ASSETS</t>
  </si>
  <si>
    <t>OTHER NON-CURRENT INVENTORIES</t>
  </si>
  <si>
    <t>RETENTION MONEY</t>
  </si>
  <si>
    <t>i.	For the recoverability of the trade receivables, company has prepared a comprehensive “Realization Plan” on year-on-year basis upto period of FY26. Based on this “Realization Plan” we have calculated the Project wise Present value of Trade Receivables. This has become the prime and sole basis of our assessment of Trade Receivables.
ii.	We have been given ageing also for Trade Receivables along with the Realization Plan but we have relied upon Realization Plan to calculate the value of Trade Receivables since this shows actionable plan for realization of the amount as it is presumed that the company have a better understanding about the creditworthiness of the debtor and their ability or inability to recover the amount from them.
vi.	As per trade receivable realization plan, Rs 69.51 Crs. will be realized in FY19, Rs 44.05 Crs. will be realized in FY20, Rs 21.43 Crs. will be realized in FY21, Rs 10.21 Crs. will be realized in FY22, Rs 0.38 Crs. will be realized in FY23 and beyond that 118.85 Crs will be outstanding Amount. The Realization Plan as provided by the company Management is shown in Table xxxx of the report for reference.
vii.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50% of outstanding amount after FY23.  Thus, the fair market value will be 170.02 Crs.
viii.	For liquidation, we have only considered the amount of trade receivable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70%, 55%, 40%, 30% and 20% of the expected realized value in FY19, FY20, FY21, FY22 and FY23 respectively, therefore, the liquidation value would be 84.59 Crs.</t>
  </si>
  <si>
    <t>i.	As per list of projects, provided by the company for the deposits, these deposits are made towards various facilities like electricity deposit, rent deposit and other payables. It is also informed by company, that these deposits will be adjusted with the corresponding rent, electricity and other payables.
ii.	As per the recoverability plan provided by management of the company, Rs. 0.33 Crs. will be recovered from deposits in FY19, Rs. 0.38 Crs. will be recovered from deposits in FY20, Rs. 0.17 Crs. will be recovered from deposits in FY21, Rs. 0.09 Crs. will be recovered from deposits in FY22, Rs. 0.16 Crs. will be recovered from deposits in FY23 and rest amount i.e., Rs. 22.92 Crs. will be outstanding from deposits beyond FY23. The Realization Plan as provided by the company Management is shown in Table xxxx of the report for reference.
iii.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7.66 Crs.
iv.	For liquidation, we have only considered the amount of loan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50%, 40%, 30%, 20% and 10% of the expected realized value in FY19, FY20, FY21, FY22 and FY23 respectively, therefore, the liquidation value would be 0.40 Crs.</t>
  </si>
  <si>
    <t>i.	We have not received any information/supporting documents regarding the loan to other companies i.e., 124.72. However, as per realization plan provided by the management, 60.17 Crs will be realized in FY 2019, after that 10.03 Crs will be outstanding after FY 2023. The Realization Plan as provided by the company Management is shown in Table xxxx of the report for reference.
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54.44 Crs.
iii.	For liquidation, we have only considered the amount of loan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50% of the expected realized value in FY19, therefore, the liquidation value would be 30.09 Crs.</t>
  </si>
  <si>
    <t>i.	As per discussion and data / information shared by the client / company with us, we have calculated the Present value based on project wise advances realization plan provided by the management of the company. As per realization plan, Rs 45.14 Crs. will be realized in FY19, Rs 17.39 Crs. will be realized in FY20, Rs 33.67 Crs. will be realized in FY21, Rs 7.15 Crs. will be realized in FY22, Rs 2.46 Crs. will be realized in FY23 and beyond that 71.29 Crs will be outstanding Amount. The Realization Plan as provided by the company Management is shown in Table xxxx of the report for reference.
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98.63 Crs.
iii.	For liquidation, we have only considered the amount of advances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50%, 40%, 30%, 20% and 10% of the expected realized value in FY19, FY20, FY21, FY22 and FY23 respectively, therefore, the liquidation value would be 41.30 Crs.</t>
  </si>
  <si>
    <t>i.	Accrued interest refers to the amount of interest that has been earned or incurred on a loan or other financial obligation but has not yet been paid. As on 30th September, 2018, total of interest accrued is 285.84 Crs. As per discussion and data / information shared by the client / company with us, we have calculated the Present value based on realization plan provided by the management of the company. 
ii.	As per realization plan, nothing will be realized from interest accrued in FY19, Rs. 53.92 Crs. will be realized from interest accrued in FY20, Rs. 7.75 Crs. will be realized from interest accrued in FY21, Rs. 10.09 Crs. will be realized from interest accrued in FY22, nothing will be realized from interest accrued in FY23, and beyond FY23, Rs. 213.89 Crs. The Realization Plan as provided by the company Management is shown in Table xxxx of the report for reference.
iii.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113.77 Crs.
iv.	For liquidation, we have only considered the amount of interest accrued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50%, 40%, 30%, 20% and 10% of the expected realized value in FY19, FY20, FY21, FY22 and FY23 respectively, therefore, the liquidation value would be 25.91 Crs.</t>
  </si>
  <si>
    <t>As per information provided by company, this claim for bank guarantee represents the amount receivable towards encashment of Performance Bank Guarantee (PBG) of one of the Moradabad project, which belongs to Paschim Vidyut Vitaran Nigam Ltd. Paschim Vidyut Vitaran Nigam Ltd. is a government company, hence these claims can be considered good. As per audited financials of IECCL these claims are considered good by the auditor.
Also, we have not received any document/data/information and bank guarantee statement regarding the verification of these claims. Thus, in this scenario, we have considered the fair market value as 80% of the book value and Liquidation value as 50% of the fair market value after considering the facts that this is a operational unit and the nature of the asset.</t>
  </si>
  <si>
    <t>i.	As per information shared by company these other receivables i.e., 30.37 Crs. belongs to Tax Deducted at Source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ii.	As per realization plan provided by the management of the company, nothing will be realized in FY19, Rs 5.42 Crs. will be realized in FY20, Rs 16.67 Crs. will be realized in FY21, nothing will be realized in FY22 and FY23 and beyond that 8.28 Crs will be outstanding Amount. The Realization Plan as provided by the company Management is shown in Table xxxx of the report for reference.
iii.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16.85 Crs.
iv.	For liquidation value on piecemeal basis, these TDS receivables does not hold any benefit to the company. Therefore, we have considered liquidation value to be NIL.</t>
  </si>
  <si>
    <t>As per audited financial statements these money market deposits are lodged with authorities and these deposits were deposited with banks towards the security against BGs issued, which has also been communicated and confirmed by Bank / Client. Hence we have considered fair market value and liquidation value as 100%.</t>
  </si>
  <si>
    <t>As per information provided by the company inter-corporate deposits of 323.78 Crs has been given to Satyam Computer Services Limited (SCSL), The company is confidant of recovering the said ICD's together with the compensation due thereon from SCSL / TML (SCSL was merged with Tech Mahindra Limited (TML)). Based on the internal evaluation and legal opinion, documentary evidences available with the company and in view of the observations of the special court in its verdict dated April 9, 2015 confirming that an amount of Rs. 1425 Crs was transferred to SCSL / TML through the intermediary companies. Hence we have considered 100% of book value as fair market value and for liquidation value we have given 10% discount on Fair market value as a liquidation discount considering the factors such as duration of recoverability, legality and other expected contingencies occurrence.</t>
  </si>
  <si>
    <t>i.	As per discussion and data / information shared by the client / company with us, we have calculated the Present value based on project wise details of Non-Current Inventories / contract assets - WIP, realization plan provided by the management of the company. 
ii.	As per the realization plan, Rs 36.05 Crs. will be realized in FY19, Rs 144.60 Crs. will be realized in FY20, Rs 135.69 Crs. will be realized in FY21, Rs 11.47 Crs. will be realized in FY22, Rs 30.69 Crs. will be realized in FY23, and beyond FY23, 523.58 Crs will be outstanding Amount. The Realization Plan as provided by the company Management is shown in Table xxxx of the report for reference. 
iii.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398.36 Crs.
iv.	For liquidation, we have only considered the amount of assets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70%, 55%, 40%, 30% and 20% of the expected realized value in FY19, FY20, FY21, FY22 and FY23 respectively, therefore, the liquidation value would be 168.62 Crs.</t>
  </si>
  <si>
    <t>i.	As per financials of the company, retention money is the amount, which is retain by the customer till the completion of the defect liability period (DLP). As per information shared by the company, a realization plan had been prepared by the company for retention money, which is based on DLP period. 
ii.	This asset includes Rs 68.89 Crs of retention money realized in FY19, Rs 70.63 Crs of retention money realized in FY 20, Rs 41.38 Crs of retention money realized in FY21, Rs 21.47 Crs of retention money realized in FY22, Rs 5.10 Crs of retention money realized in FY23 and 277.71 Crs of retention money will be outstanding after FY23. The Realization Plan as provided by the company Management is shown in Table xxxx of the report for reference. 
iii.	To calculate the present value of the future realizable amount, for first 5 years, we have considered year on year 17% (Nifty 50 Returns (CAGR) in the Last 15 Years) discount rate. For the outstanding amount after FY23, as management is not sure that when this amount will be recovered. Hence, we have given a separate discount on this amount which is 30% of outstanding amount after FY23.  Thus, the fair market value will be 233.41 Crs.
iv.	For liquidation, we have only considered the amount of assets for which the company has the realization plan (except outstanding amount after FY23, as company don’t have recoverability plan for this). Here, the effect of ageing, duration of the contract, litigation, dispute between parties are material, thus we have considered annually expected realization as 70%, 55%, 40%, 30% and 20% of the expected realized value in FY19, FY20, FY21, FY22 and FY23 respectively, therefore, the liquidation value would be 111.08 Crs.</t>
  </si>
  <si>
    <t>Due to unavailability of financials of Maytas NCC JV as on 30th September, 2018 we have considered the financials as on 31st March, 2018. As per financials of Maytas NCC JV as on 31st March, 2018, Net worth of the company is 65.2278 Crs. As per accounting policy of the Maytas NCC JV, IL&amp;FS Engineering and construction Company Limited have 50 percentage share in profit margin of the entity. Hence the fair market value and liquidation value of this investment will be 50% of the networth of Maytas NCC JV, which is 32.61 Crs.</t>
  </si>
  <si>
    <t>Due to unavailability of financials of NCC – Maytas – ZVS (JV) as on 30th September, 2018, we have considered the financials as on 31st March, 2018. As per financials of Maytas NCC JV as on 31st March, 2018, Net worth of the company is 0.6003 Crs. As per accounting policy of the NCC – Maytas – ZVS (JV), IL&amp;FS Engineering and construction Company Limited have 39.69 percentage share in profit margin of the entity. Hence the fair market value and liquidation value of this investment will be 39.69% of the Present value of the networth of NCC – Maytas – ZVS (JV), which is 0.24 Crs.</t>
  </si>
  <si>
    <t>1. Assessment is done based on the details which the lender could provided to us on our queries.
2.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</si>
  <si>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2023.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analyzes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</si>
  <si>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</si>
  <si>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1. Assessment is done based on the details which the lender provided to us on our queries.
2. Basis of the assessment is mentioned against each line item based on the information provided to us by the lender.
3. No audit of any kind is performed by us from the books of account or ledger statements and all the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</si>
  <si>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</si>
  <si>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r>
      <t xml:space="preserve">Other bank balance includes two heads: </t>
    </r>
    <r>
      <rPr>
        <b/>
        <sz val="11"/>
        <color theme="1"/>
        <rFont val="Calibri"/>
        <family val="2"/>
        <scheme val="minor"/>
      </rPr>
      <t>Margin money deposit</t>
    </r>
    <r>
      <rPr>
        <sz val="11"/>
        <color theme="1"/>
        <rFont val="Calibri"/>
        <family val="2"/>
        <scheme val="minor"/>
      </rPr>
      <t xml:space="preserve"> and </t>
    </r>
    <r>
      <rPr>
        <b/>
        <sz val="11"/>
        <color theme="1"/>
        <rFont val="Calibri"/>
        <family val="2"/>
        <scheme val="minor"/>
      </rPr>
      <t>Fixed Deposit</t>
    </r>
    <r>
      <rPr>
        <sz val="11"/>
        <color theme="1"/>
        <rFont val="Calibri"/>
        <family val="2"/>
        <scheme val="minor"/>
      </rPr>
      <t>. As per information provided by company, these money market deposits are lodged with authorities and these deposits were deposited with banks towards the security against BGs issued. Hence we have considered fair market value and liquidation value as 100% of book value i.e. 13.37.
We have considered the Fair Market Value and Liquidation Value as per the documents/data/information/bank statements provided by the Client/Company. After the analysis of documents/data/information/bank statements, Fixed deposits bank balance comes out 0.59 Crs. Hence we have consider Fair Market Value and Liquidation Value to be at 0.59 Crs.</t>
    </r>
  </si>
  <si>
    <t>1. Assessment is done based on the details which the lender provided to us on our queries.
2.Status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</si>
  <si>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REMARKS &amp; NOTES: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</si>
  <si>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</si>
  <si>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r>
      <t>As per information provided by company, these deffered tax assets, as per assessed income, belongs to depreciation on fixed assets, unabsorbed depreciation, provision for liquidated damages, provisions for future loss, provisions for doubtfut advances, provision for doubtful interest, provision for bank gurantee, provision for doubtful receivable, prov</t>
    </r>
    <r>
      <rPr>
        <sz val="11"/>
        <rFont val="Calibri"/>
        <family val="2"/>
        <scheme val="minor"/>
      </rPr>
      <t xml:space="preserve">ision for </t>
    </r>
    <r>
      <rPr>
        <sz val="11"/>
        <color theme="1"/>
        <rFont val="Calibri"/>
        <family val="2"/>
        <scheme val="minor"/>
      </rPr>
      <t>doubtful deposit and other adjustments. As company is running its operations hence it will get the economic benefit of these assets. Therefore the fair market value of these assets will 100% of book value.
In case of liquidation, business will come to an end and distributing its assets to claimants. Hence its liquidation value will be NIL.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</si>
</sst>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0.000%"/>
    <numFmt numFmtId="188" formatCode="_ * #,##0_ ;_ * \-#,##0_ ;_ * &quot;-&quot;??_ ;_ @_ "/>
    <numFmt numFmtId="189" formatCode="[$-409]mmm\-yy;@"/>
    <numFmt numFmtId="190" formatCode="_(* #,##0_);_(* \(#,##0\);_(* &quot;-&quot;_);_(@_)"/>
  </numFmts>
  <fonts count="79">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rgb="FFFFFFFF"/>
      <name val="Calibri"/>
      <family val="2"/>
    </font>
    <font>
      <i/>
      <sz val="11"/>
      <color rgb="FF000000"/>
      <name val="Calibri"/>
      <family val="2"/>
    </font>
    <font>
      <b/>
      <sz val="11"/>
      <color rgb="FF000000"/>
      <name val="Calibri"/>
      <family val="2"/>
    </font>
    <font>
      <sz val="11"/>
      <color rgb="FF000000"/>
      <name val="Calibri"/>
      <family val="2"/>
    </font>
    <font>
      <sz val="11"/>
      <color theme="1"/>
      <name val="Calibri"/>
      <family val="2"/>
    </font>
    <font>
      <b/>
      <i/>
      <sz val="11"/>
      <color rgb="FF000000"/>
      <name val="Calibri"/>
      <family val="2"/>
    </font>
    <font>
      <b/>
      <i/>
      <sz val="7"/>
      <color rgb="FF000000"/>
      <name val="Times New Roman"/>
      <family val="1"/>
    </font>
    <font>
      <sz val="7"/>
      <color rgb="FF000000"/>
      <name val="Times New Roman"/>
      <family val="1"/>
    </font>
    <font>
      <sz val="10"/>
      <color theme="1"/>
      <name val="Book Antiqua"/>
      <family val="2"/>
    </font>
    <font>
      <sz val="11"/>
      <color rgb="FF000000"/>
      <name val="Calibri"/>
      <family val="2"/>
      <scheme val="minor"/>
    </font>
    <font>
      <sz val="11"/>
      <name val="Garamond"/>
      <family val="1"/>
    </font>
    <font>
      <b/>
      <i/>
      <sz val="11"/>
      <color theme="0"/>
      <name val="Calibri"/>
      <family val="2"/>
    </font>
    <font>
      <b/>
      <sz val="11"/>
      <color theme="0"/>
      <name val="Calibri"/>
      <family val="2"/>
      <scheme val="minor"/>
    </font>
    <font>
      <sz val="11"/>
      <name val="Calibri"/>
      <family val="2"/>
      <scheme val="minor"/>
    </font>
    <font>
      <i/>
      <sz val="11"/>
      <color theme="1"/>
      <name val="Calibri"/>
      <family val="2"/>
      <scheme val="minor"/>
    </font>
    <font>
      <b/>
      <i/>
      <sz val="11"/>
      <color theme="1"/>
      <name val="Calibri"/>
      <family val="2"/>
      <scheme val="minor"/>
    </font>
    <font>
      <b/>
      <i/>
      <sz val="11"/>
      <color theme="0"/>
      <name val="Calibri"/>
      <family val="2"/>
      <scheme val="minor"/>
    </font>
    <font>
      <sz val="11"/>
      <color theme="0"/>
      <name val="Calibri"/>
      <family val="2"/>
      <scheme val="minor"/>
    </font>
    <font>
      <b/>
      <sz val="11"/>
      <name val="Calibri"/>
      <family val="2"/>
    </font>
    <font>
      <b/>
      <sz val="11"/>
      <color theme="0"/>
      <name val="Calibri"/>
      <family val="2"/>
    </font>
    <font>
      <sz val="11"/>
      <name val="Calibri"/>
      <family val="2"/>
    </font>
    <font>
      <sz val="9"/>
      <color theme="1"/>
      <name val="Garamond"/>
      <family val="1"/>
    </font>
    <font>
      <b/>
      <sz val="9"/>
      <name val="Garamond"/>
      <family val="1"/>
    </font>
    <font>
      <b/>
      <sz val="11"/>
      <name val="Calibri"/>
      <family val="2"/>
      <scheme val="minor"/>
    </font>
    <font>
      <b/>
      <sz val="9"/>
      <name val="Times New Roman"/>
      <family val="1"/>
    </font>
    <font>
      <sz val="8"/>
      <name val="Calibri"/>
      <family val="2"/>
      <scheme val="minor"/>
    </font>
    <font>
      <sz val="11"/>
      <color theme="1"/>
      <name val="Garamond"/>
      <family val="1"/>
    </font>
    <font>
      <b/>
      <sz val="11"/>
      <color theme="1"/>
      <name val="Garamond"/>
      <family val="1"/>
    </font>
    <font>
      <sz val="9"/>
      <name val="Garamond"/>
      <family val="1"/>
    </font>
    <font>
      <b/>
      <sz val="11"/>
      <name val="Garamond"/>
      <family val="1"/>
    </font>
    <font>
      <b/>
      <sz val="11"/>
      <color theme="0"/>
      <name val="Garamond"/>
      <family val="1"/>
    </font>
  </fonts>
  <fills count="30">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B8CCE4"/>
        <bgColor indexed="64"/>
      </patternFill>
    </fill>
    <fill>
      <patternFill patternType="solid">
        <fgColor rgb="FFFFFFFF"/>
        <bgColor indexed="64"/>
      </patternFill>
    </fill>
    <fill>
      <patternFill patternType="solid">
        <fgColor rgb="FFFFFF00"/>
        <bgColor indexed="64"/>
      </patternFill>
    </fill>
    <fill>
      <patternFill patternType="solid">
        <fgColor theme="4" tint="0.59999389629810485"/>
        <bgColor indexed="64"/>
      </patternFill>
    </fill>
    <fill>
      <patternFill patternType="solid">
        <fgColor rgb="FF002060"/>
        <bgColor rgb="FF000000"/>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3" tint="0.59999389629810485"/>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style="thin">
        <color auto="1"/>
      </left>
      <right style="thin">
        <color auto="1"/>
      </right>
      <top/>
      <bottom/>
      <diagonal/>
    </border>
  </borders>
  <cellStyleXfs count="5102">
    <xf numFmtId="0" fontId="0"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3" fillId="0" borderId="0">
      <alignment vertical="center"/>
    </xf>
    <xf numFmtId="43" fontId="14"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5" fillId="0" borderId="0">
      <alignment vertical="top"/>
    </xf>
    <xf numFmtId="0" fontId="16"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4" fillId="0" borderId="0" applyFill="0" applyBorder="0"/>
    <xf numFmtId="0" fontId="27" fillId="0" borderId="0" applyNumberFormat="0" applyFill="0" applyBorder="0" applyAlignment="0" applyProtection="0"/>
    <xf numFmtId="174" fontId="5" fillId="0" borderId="0" applyFill="0" applyBorder="0" applyAlignment="0"/>
    <xf numFmtId="175" fontId="28" fillId="0" borderId="0" applyFill="0" applyBorder="0" applyAlignment="0"/>
    <xf numFmtId="173" fontId="28" fillId="0" borderId="0" applyFill="0" applyBorder="0" applyAlignment="0"/>
    <xf numFmtId="176" fontId="5" fillId="0" borderId="0" applyFill="0" applyBorder="0" applyAlignment="0"/>
    <xf numFmtId="177" fontId="5"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2" fillId="0" borderId="0"/>
    <xf numFmtId="0" fontId="19" fillId="0" borderId="0"/>
    <xf numFmtId="43" fontId="15" fillId="0" borderId="0" applyFont="0" applyFill="0" applyBorder="0" applyAlignment="0" applyProtection="0">
      <alignment vertical="top"/>
    </xf>
    <xf numFmtId="174" fontId="5" fillId="0" borderId="0" applyFont="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9" fillId="0" borderId="0" applyNumberFormat="0" applyAlignment="0">
      <alignment horizontal="left"/>
    </xf>
    <xf numFmtId="165" fontId="15" fillId="0" borderId="0" applyFont="0" applyFill="0" applyBorder="0" applyAlignment="0" applyProtection="0">
      <alignment vertical="top"/>
    </xf>
    <xf numFmtId="17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5" fillId="0" borderId="0" applyFill="0" applyBorder="0" applyAlignment="0"/>
    <xf numFmtId="38" fontId="30" fillId="0" borderId="17">
      <alignment vertical="center"/>
    </xf>
    <xf numFmtId="179" fontId="5" fillId="0" borderId="0" applyFont="0" applyFill="0" applyBorder="0" applyAlignment="0" applyProtection="0"/>
    <xf numFmtId="180" fontId="5" fillId="0" borderId="0" applyFont="0" applyFill="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31" fillId="0" borderId="0" applyNumberFormat="0" applyAlignment="0">
      <alignment horizontal="left"/>
    </xf>
    <xf numFmtId="0" fontId="5" fillId="0" borderId="0" applyFont="0" applyFill="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11"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3" fillId="12"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4" fillId="0" borderId="0">
      <alignment horizontal="left"/>
    </xf>
    <xf numFmtId="0" fontId="21" fillId="0" borderId="0">
      <alignment horizontal="left"/>
    </xf>
    <xf numFmtId="0" fontId="21" fillId="0" borderId="18" applyNumberFormat="0" applyAlignment="0" applyProtection="0">
      <alignment horizontal="left" vertical="center"/>
    </xf>
    <xf numFmtId="0" fontId="21" fillId="0" borderId="14">
      <alignment horizontal="left" vertical="center"/>
    </xf>
    <xf numFmtId="0" fontId="40" fillId="0" borderId="0" applyNumberFormat="0" applyFill="0" applyBorder="0" applyAlignment="0" applyProtection="0">
      <alignment vertical="top"/>
      <protection locked="0"/>
    </xf>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13"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0" fontId="23" fillId="12" borderId="0"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0" fontId="23" fillId="6" borderId="15" applyNumberFormat="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5" fillId="0" borderId="5"/>
    <xf numFmtId="0" fontId="18" fillId="0" borderId="19"/>
    <xf numFmtId="37" fontId="32" fillId="0" borderId="0"/>
    <xf numFmtId="172" fontId="26" fillId="0" borderId="0"/>
    <xf numFmtId="172" fontId="39"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5"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2" fillId="0" borderId="0"/>
    <xf numFmtId="0" fontId="12" fillId="0" borderId="0"/>
    <xf numFmtId="0" fontId="12"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5" borderId="16" applyNumberFormat="0" applyFont="0" applyAlignment="0" applyProtection="0"/>
    <xf numFmtId="40" fontId="15" fillId="9" borderId="0">
      <alignment horizontal="right"/>
    </xf>
    <xf numFmtId="0" fontId="33" fillId="8" borderId="0">
      <alignment horizontal="center"/>
    </xf>
    <xf numFmtId="0" fontId="17" fillId="10" borderId="0"/>
    <xf numFmtId="0" fontId="34" fillId="9" borderId="0" applyBorder="0">
      <alignment horizontal="centerContinuous"/>
    </xf>
    <xf numFmtId="0" fontId="35" fillId="14" borderId="0" applyBorder="0">
      <alignment horizontal="centerContinuous"/>
    </xf>
    <xf numFmtId="177" fontId="5" fillId="0" borderId="0" applyFont="0" applyFill="0" applyBorder="0" applyAlignment="0" applyProtection="0"/>
    <xf numFmtId="181"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alignment vertical="top"/>
    </xf>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182" fontId="36" fillId="0" borderId="0" applyNumberFormat="0" applyFill="0" applyBorder="0" applyAlignment="0" applyProtection="0">
      <alignment horizontal="left"/>
    </xf>
    <xf numFmtId="4" fontId="17" fillId="7" borderId="20" applyNumberFormat="0" applyProtection="0">
      <alignment horizontal="left" vertical="center"/>
    </xf>
    <xf numFmtId="4" fontId="17" fillId="15" borderId="0" applyNumberFormat="0" applyProtection="0">
      <alignment horizontal="left" vertical="center"/>
    </xf>
    <xf numFmtId="4" fontId="15" fillId="16" borderId="20" applyNumberFormat="0" applyProtection="0">
      <alignment horizontal="right" vertical="center"/>
    </xf>
    <xf numFmtId="4" fontId="15" fillId="17" borderId="20" applyNumberFormat="0" applyProtection="0">
      <alignment horizontal="left" vertical="center"/>
    </xf>
    <xf numFmtId="0" fontId="15" fillId="15" borderId="20" applyNumberFormat="0" applyProtection="0">
      <alignment horizontal="left" vertical="top"/>
    </xf>
    <xf numFmtId="0" fontId="5" fillId="0" borderId="0"/>
    <xf numFmtId="0" fontId="5" fillId="0" borderId="0"/>
    <xf numFmtId="0" fontId="25" fillId="0" borderId="0"/>
    <xf numFmtId="0" fontId="18" fillId="0" borderId="0"/>
    <xf numFmtId="40" fontId="37" fillId="0" borderId="0" applyBorder="0">
      <alignment horizontal="right"/>
    </xf>
    <xf numFmtId="49" fontId="15" fillId="0" borderId="0" applyFill="0" applyBorder="0" applyAlignment="0"/>
    <xf numFmtId="183" fontId="5" fillId="0" borderId="0" applyFill="0" applyBorder="0" applyAlignment="0"/>
    <xf numFmtId="184" fontId="5" fillId="0" borderId="0" applyFill="0" applyBorder="0" applyAlignment="0"/>
    <xf numFmtId="40" fontId="38" fillId="0" borderId="0"/>
    <xf numFmtId="169" fontId="5" fillId="0" borderId="0" applyFont="0" applyFill="0" applyBorder="0" applyAlignment="0" applyProtection="0"/>
    <xf numFmtId="170"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15" fillId="15" borderId="21" applyNumberFormat="0" applyProtection="0">
      <alignment horizontal="left" vertical="top"/>
    </xf>
    <xf numFmtId="4" fontId="15" fillId="17" borderId="21" applyNumberFormat="0" applyProtection="0">
      <alignment horizontal="left" vertical="center"/>
    </xf>
    <xf numFmtId="4" fontId="15" fillId="16" borderId="21" applyNumberFormat="0" applyProtection="0">
      <alignment horizontal="right" vertical="center"/>
    </xf>
    <xf numFmtId="4" fontId="17" fillId="7" borderId="21"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0" fontId="21" fillId="0" borderId="22">
      <alignment horizontal="left" vertical="center"/>
    </xf>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13"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0" fontId="23" fillId="6" borderId="23" applyNumberFormat="0" applyBorder="0" applyAlignment="0" applyProtection="0"/>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4" applyNumberFormat="0" applyProtection="0">
      <alignment horizontal="left" vertical="center"/>
    </xf>
    <xf numFmtId="4" fontId="15" fillId="16" borderId="24" applyNumberFormat="0" applyProtection="0">
      <alignment horizontal="right" vertical="center"/>
    </xf>
    <xf numFmtId="4" fontId="15" fillId="17" borderId="24" applyNumberFormat="0" applyProtection="0">
      <alignment horizontal="left" vertical="center"/>
    </xf>
    <xf numFmtId="0" fontId="15" fillId="15" borderId="24" applyNumberFormat="0" applyProtection="0">
      <alignment horizontal="left" vertical="top"/>
    </xf>
    <xf numFmtId="43" fontId="3" fillId="0" borderId="0" applyFont="0" applyFill="0" applyBorder="0" applyAlignment="0" applyProtection="0"/>
    <xf numFmtId="0" fontId="15" fillId="15" borderId="24" applyNumberFormat="0" applyProtection="0">
      <alignment horizontal="left" vertical="top"/>
    </xf>
    <xf numFmtId="4" fontId="15" fillId="17" borderId="24" applyNumberFormat="0" applyProtection="0">
      <alignment horizontal="left" vertical="center"/>
    </xf>
    <xf numFmtId="4" fontId="15" fillId="16" borderId="24" applyNumberFormat="0" applyProtection="0">
      <alignment horizontal="right" vertical="center"/>
    </xf>
    <xf numFmtId="4" fontId="17" fillId="7" borderId="24"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4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5">
      <alignment horizontal="left" vertical="center"/>
    </xf>
    <xf numFmtId="4" fontId="17" fillId="7" borderId="27" applyNumberFormat="0" applyProtection="0">
      <alignment horizontal="left" vertical="center"/>
    </xf>
    <xf numFmtId="4" fontId="15" fillId="16" borderId="27" applyNumberFormat="0" applyProtection="0">
      <alignment horizontal="right" vertical="center"/>
    </xf>
    <xf numFmtId="4" fontId="15" fillId="17" borderId="27" applyNumberFormat="0" applyProtection="0">
      <alignment horizontal="left" vertical="center"/>
    </xf>
    <xf numFmtId="0" fontId="15" fillId="15" borderId="27" applyNumberFormat="0" applyProtection="0">
      <alignment horizontal="left" vertical="top"/>
    </xf>
    <xf numFmtId="0" fontId="15" fillId="15" borderId="27" applyNumberFormat="0" applyProtection="0">
      <alignment horizontal="left" vertical="top"/>
    </xf>
    <xf numFmtId="4" fontId="15" fillId="17" borderId="27" applyNumberFormat="0" applyProtection="0">
      <alignment horizontal="left" vertical="center"/>
    </xf>
    <xf numFmtId="4" fontId="15" fillId="16" borderId="27" applyNumberFormat="0" applyProtection="0">
      <alignment horizontal="right" vertical="center"/>
    </xf>
    <xf numFmtId="4" fontId="17" fillId="7" borderId="27"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5">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13"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10" fontId="23" fillId="6" borderId="26" applyNumberFormat="0" applyBorder="0" applyAlignment="0" applyProtection="0"/>
    <xf numFmtId="4" fontId="17" fillId="7" borderId="28" applyNumberFormat="0" applyProtection="0">
      <alignment horizontal="left" vertical="center"/>
    </xf>
    <xf numFmtId="4" fontId="15" fillId="16" borderId="28" applyNumberFormat="0" applyProtection="0">
      <alignment horizontal="right" vertical="center"/>
    </xf>
    <xf numFmtId="4" fontId="15" fillId="17" borderId="28" applyNumberFormat="0" applyProtection="0">
      <alignment horizontal="left" vertical="center"/>
    </xf>
    <xf numFmtId="0" fontId="15" fillId="15" borderId="28" applyNumberFormat="0" applyProtection="0">
      <alignment horizontal="left" vertical="top"/>
    </xf>
    <xf numFmtId="0" fontId="15" fillId="15" borderId="28" applyNumberFormat="0" applyProtection="0">
      <alignment horizontal="left" vertical="top"/>
    </xf>
    <xf numFmtId="4" fontId="15" fillId="17" borderId="28" applyNumberFormat="0" applyProtection="0">
      <alignment horizontal="left" vertical="center"/>
    </xf>
    <xf numFmtId="4" fontId="15" fillId="16" borderId="28" applyNumberFormat="0" applyProtection="0">
      <alignment horizontal="right" vertical="center"/>
    </xf>
    <xf numFmtId="4" fontId="17" fillId="7" borderId="28"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9">
      <alignment horizontal="left" vertical="center"/>
    </xf>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13"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10" fontId="23" fillId="6" borderId="30"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8" applyNumberFormat="0" applyProtection="0">
      <alignment horizontal="left" vertical="center"/>
    </xf>
    <xf numFmtId="4" fontId="15" fillId="16" borderId="28" applyNumberFormat="0" applyProtection="0">
      <alignment horizontal="right" vertical="center"/>
    </xf>
    <xf numFmtId="4" fontId="15" fillId="17" borderId="28" applyNumberFormat="0" applyProtection="0">
      <alignment horizontal="left" vertical="center"/>
    </xf>
    <xf numFmtId="0" fontId="15" fillId="15" borderId="28" applyNumberFormat="0" applyProtection="0">
      <alignment horizontal="left" vertical="top"/>
    </xf>
    <xf numFmtId="43" fontId="3" fillId="0" borderId="0" applyFont="0" applyFill="0" applyBorder="0" applyAlignment="0" applyProtection="0"/>
    <xf numFmtId="0" fontId="15" fillId="15" borderId="28" applyNumberFormat="0" applyProtection="0">
      <alignment horizontal="left" vertical="top"/>
    </xf>
    <xf numFmtId="4" fontId="15" fillId="17" borderId="28" applyNumberFormat="0" applyProtection="0">
      <alignment horizontal="left" vertical="center"/>
    </xf>
    <xf numFmtId="4" fontId="15" fillId="16" borderId="28" applyNumberFormat="0" applyProtection="0">
      <alignment horizontal="right" vertical="center"/>
    </xf>
    <xf numFmtId="4" fontId="17" fillId="7" borderId="28"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9">
      <alignment horizontal="left" vertical="center"/>
    </xf>
    <xf numFmtId="4" fontId="17" fillId="7" borderId="28" applyNumberFormat="0" applyProtection="0">
      <alignment horizontal="left" vertical="center"/>
    </xf>
    <xf numFmtId="4" fontId="15" fillId="16" borderId="28" applyNumberFormat="0" applyProtection="0">
      <alignment horizontal="right" vertical="center"/>
    </xf>
    <xf numFmtId="4" fontId="15" fillId="17" borderId="28" applyNumberFormat="0" applyProtection="0">
      <alignment horizontal="left" vertical="center"/>
    </xf>
    <xf numFmtId="0" fontId="15" fillId="15" borderId="28" applyNumberFormat="0" applyProtection="0">
      <alignment horizontal="left" vertical="top"/>
    </xf>
    <xf numFmtId="0" fontId="15" fillId="15" borderId="28" applyNumberFormat="0" applyProtection="0">
      <alignment horizontal="left" vertical="top"/>
    </xf>
    <xf numFmtId="4" fontId="15" fillId="17" borderId="28" applyNumberFormat="0" applyProtection="0">
      <alignment horizontal="left" vertical="center"/>
    </xf>
    <xf numFmtId="4" fontId="15" fillId="16" borderId="28" applyNumberFormat="0" applyProtection="0">
      <alignment horizontal="right" vertical="center"/>
    </xf>
    <xf numFmtId="4" fontId="17" fillId="7" borderId="28"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9">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13"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10" fontId="23" fillId="6" borderId="31"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1" applyNumberFormat="0" applyProtection="0">
      <alignment horizontal="left" vertical="center"/>
    </xf>
    <xf numFmtId="4" fontId="15" fillId="16" borderId="21" applyNumberFormat="0" applyProtection="0">
      <alignment horizontal="right" vertical="center"/>
    </xf>
    <xf numFmtId="4" fontId="15" fillId="17" borderId="21" applyNumberFormat="0" applyProtection="0">
      <alignment horizontal="left" vertical="center"/>
    </xf>
    <xf numFmtId="0" fontId="15" fillId="15" borderId="21" applyNumberFormat="0" applyProtection="0">
      <alignment horizontal="left" vertical="top"/>
    </xf>
    <xf numFmtId="43" fontId="3" fillId="0" borderId="0" applyFont="0" applyFill="0" applyBorder="0" applyAlignment="0" applyProtection="0"/>
    <xf numFmtId="0" fontId="15" fillId="15" borderId="21" applyNumberFormat="0" applyProtection="0">
      <alignment horizontal="left" vertical="top"/>
    </xf>
    <xf numFmtId="4" fontId="15" fillId="17" borderId="21" applyNumberFormat="0" applyProtection="0">
      <alignment horizontal="left" vertical="center"/>
    </xf>
    <xf numFmtId="4" fontId="15" fillId="16" borderId="21" applyNumberFormat="0" applyProtection="0">
      <alignment horizontal="right" vertical="center"/>
    </xf>
    <xf numFmtId="4" fontId="17" fillId="7" borderId="21"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1" applyNumberFormat="0" applyProtection="0">
      <alignment horizontal="left" vertical="center"/>
    </xf>
    <xf numFmtId="4" fontId="15" fillId="16" borderId="21" applyNumberFormat="0" applyProtection="0">
      <alignment horizontal="right" vertical="center"/>
    </xf>
    <xf numFmtId="4" fontId="15" fillId="17" borderId="21" applyNumberFormat="0" applyProtection="0">
      <alignment horizontal="left" vertical="center"/>
    </xf>
    <xf numFmtId="0" fontId="15" fillId="15" borderId="21" applyNumberFormat="0" applyProtection="0">
      <alignment horizontal="left" vertical="top"/>
    </xf>
    <xf numFmtId="0" fontId="15" fillId="15" borderId="21" applyNumberFormat="0" applyProtection="0">
      <alignment horizontal="left" vertical="top"/>
    </xf>
    <xf numFmtId="4" fontId="15" fillId="17" borderId="21" applyNumberFormat="0" applyProtection="0">
      <alignment horizontal="left" vertical="center"/>
    </xf>
    <xf numFmtId="4" fontId="15" fillId="16" borderId="21" applyNumberFormat="0" applyProtection="0">
      <alignment horizontal="right" vertical="center"/>
    </xf>
    <xf numFmtId="4" fontId="17" fillId="7" borderId="21"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3">
      <alignment horizontal="left" vertical="center"/>
    </xf>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13"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43" fontId="3" fillId="0" borderId="0" applyFont="0" applyFill="0" applyBorder="0" applyAlignment="0" applyProtection="0"/>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3">
      <alignment horizontal="left" vertical="center"/>
    </xf>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13"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3">
      <alignment horizontal="left" vertical="center"/>
    </xf>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13"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43" fontId="3" fillId="0" borderId="0" applyFont="0" applyFill="0" applyBorder="0" applyAlignment="0" applyProtection="0"/>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3">
      <alignment horizontal="left" vertical="center"/>
    </xf>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13"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10" fontId="23" fillId="6" borderId="34"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43" fontId="3" fillId="0" borderId="0" applyFont="0" applyFill="0" applyBorder="0" applyAlignment="0" applyProtection="0"/>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2" applyNumberFormat="0" applyProtection="0">
      <alignment horizontal="left" vertical="center"/>
    </xf>
    <xf numFmtId="4" fontId="15" fillId="16" borderId="32" applyNumberFormat="0" applyProtection="0">
      <alignment horizontal="right" vertical="center"/>
    </xf>
    <xf numFmtId="4" fontId="15" fillId="17" borderId="32" applyNumberFormat="0" applyProtection="0">
      <alignment horizontal="left" vertical="center"/>
    </xf>
    <xf numFmtId="0" fontId="15" fillId="15" borderId="32" applyNumberFormat="0" applyProtection="0">
      <alignment horizontal="left" vertical="top"/>
    </xf>
    <xf numFmtId="0" fontId="15" fillId="15" borderId="32" applyNumberFormat="0" applyProtection="0">
      <alignment horizontal="left" vertical="top"/>
    </xf>
    <xf numFmtId="4" fontId="15" fillId="17" borderId="32" applyNumberFormat="0" applyProtection="0">
      <alignment horizontal="left" vertical="center"/>
    </xf>
    <xf numFmtId="4" fontId="15" fillId="16" borderId="32" applyNumberFormat="0" applyProtection="0">
      <alignment horizontal="right" vertical="center"/>
    </xf>
    <xf numFmtId="4" fontId="17" fillId="7" borderId="3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56" fillId="0" borderId="0" applyFont="0" applyFill="0" applyBorder="0" applyAlignment="0" applyProtection="0"/>
    <xf numFmtId="0" fontId="56" fillId="0" borderId="0"/>
    <xf numFmtId="0" fontId="57" fillId="0" borderId="0"/>
    <xf numFmtId="43" fontId="57" fillId="0" borderId="0" applyFont="0" applyFill="0" applyBorder="0" applyAlignment="0" applyProtection="0"/>
    <xf numFmtId="0" fontId="57" fillId="0" borderId="0"/>
    <xf numFmtId="9" fontId="3" fillId="0" borderId="0" applyFont="0" applyFill="0" applyBorder="0" applyAlignment="0" applyProtection="0"/>
    <xf numFmtId="9" fontId="3" fillId="0" borderId="0" applyFont="0" applyFill="0" applyBorder="0" applyAlignment="0" applyProtection="0"/>
    <xf numFmtId="166" fontId="56" fillId="0" borderId="0" applyFont="0" applyFill="0" applyBorder="0" applyAlignment="0" applyProtection="0"/>
  </cellStyleXfs>
  <cellXfs count="407">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168" fontId="8" fillId="0" borderId="1" xfId="1" applyNumberFormat="1" applyFont="1" applyBorder="1" applyAlignment="1">
      <alignment horizontal="center" vertical="center"/>
    </xf>
    <xf numFmtId="168" fontId="0" fillId="0" borderId="0" xfId="0" applyNumberFormat="1"/>
    <xf numFmtId="0" fontId="8" fillId="0" borderId="0" xfId="0" applyFont="1"/>
    <xf numFmtId="0" fontId="8" fillId="0" borderId="31" xfId="0" applyFont="1" applyBorder="1" applyAlignment="1">
      <alignment horizontal="center" vertical="center" wrapText="1"/>
    </xf>
    <xf numFmtId="0" fontId="9" fillId="2" borderId="35" xfId="0" applyFont="1" applyFill="1" applyBorder="1" applyAlignment="1">
      <alignment horizontal="center" vertical="center" wrapText="1"/>
    </xf>
    <xf numFmtId="0" fontId="8" fillId="0" borderId="35" xfId="0" applyFont="1" applyBorder="1" applyAlignment="1">
      <alignment horizontal="center" vertical="center" wrapText="1"/>
    </xf>
    <xf numFmtId="4" fontId="9" fillId="2" borderId="35" xfId="1" applyNumberFormat="1" applyFont="1" applyFill="1" applyBorder="1"/>
    <xf numFmtId="0" fontId="43" fillId="0" borderId="35" xfId="0" applyFont="1" applyBorder="1"/>
    <xf numFmtId="0" fontId="43" fillId="0" borderId="0" xfId="0" applyFont="1"/>
    <xf numFmtId="0" fontId="44" fillId="2" borderId="1" xfId="0" applyFont="1" applyFill="1" applyBorder="1" applyAlignment="1">
      <alignment horizontal="center" vertical="center"/>
    </xf>
    <xf numFmtId="167" fontId="44" fillId="2" borderId="1" xfId="0" applyNumberFormat="1" applyFont="1" applyFill="1" applyBorder="1" applyAlignment="1">
      <alignment horizontal="center" vertical="center" wrapText="1"/>
    </xf>
    <xf numFmtId="0" fontId="19" fillId="2" borderId="1" xfId="0" applyFont="1" applyFill="1" applyBorder="1"/>
    <xf numFmtId="0" fontId="11" fillId="2" borderId="36" xfId="0" applyFont="1" applyFill="1" applyBorder="1" applyAlignment="1">
      <alignment horizontal="right" wrapText="1"/>
    </xf>
    <xf numFmtId="167" fontId="9" fillId="2" borderId="35" xfId="0" applyNumberFormat="1" applyFont="1" applyFill="1" applyBorder="1" applyAlignment="1">
      <alignment horizontal="center" vertical="center" wrapText="1"/>
    </xf>
    <xf numFmtId="0" fontId="9" fillId="2" borderId="35" xfId="0" applyFont="1" applyFill="1" applyBorder="1" applyAlignment="1">
      <alignment wrapText="1"/>
    </xf>
    <xf numFmtId="0" fontId="43" fillId="0" borderId="35" xfId="0" applyFont="1" applyBorder="1" applyAlignment="1">
      <alignment horizontal="center"/>
    </xf>
    <xf numFmtId="0" fontId="43" fillId="0" borderId="35" xfId="0" applyFont="1" applyBorder="1" applyAlignment="1">
      <alignment horizontal="center" vertical="top"/>
    </xf>
    <xf numFmtId="0" fontId="8" fillId="0" borderId="38" xfId="0" applyFont="1" applyBorder="1" applyAlignment="1">
      <alignment horizontal="center" vertical="center" wrapText="1"/>
    </xf>
    <xf numFmtId="2" fontId="8" fillId="0" borderId="35" xfId="0" applyNumberFormat="1" applyFont="1" applyBorder="1" applyAlignment="1">
      <alignment horizontal="right" vertical="center" wrapText="1"/>
    </xf>
    <xf numFmtId="9" fontId="0" fillId="0" borderId="0" xfId="0" applyNumberFormat="1"/>
    <xf numFmtId="0" fontId="8" fillId="0" borderId="39" xfId="0" applyFont="1" applyBorder="1" applyAlignment="1">
      <alignment horizontal="center" vertical="center" wrapText="1"/>
    </xf>
    <xf numFmtId="0" fontId="8" fillId="0" borderId="36" xfId="0" applyFont="1" applyBorder="1" applyAlignment="1">
      <alignment horizontal="left" vertical="center" wrapText="1"/>
    </xf>
    <xf numFmtId="0" fontId="8" fillId="0" borderId="36" xfId="0" applyFont="1" applyBorder="1" applyAlignment="1">
      <alignment horizontal="center" vertical="center" wrapText="1"/>
    </xf>
    <xf numFmtId="0" fontId="5" fillId="0" borderId="37" xfId="29" applyFont="1" applyBorder="1" applyAlignment="1">
      <alignment horizontal="center" vertical="center" wrapText="1"/>
    </xf>
    <xf numFmtId="2" fontId="5" fillId="0" borderId="37" xfId="29" applyNumberFormat="1" applyFont="1" applyBorder="1" applyAlignment="1">
      <alignment horizontal="center" vertical="center" wrapText="1"/>
    </xf>
    <xf numFmtId="4" fontId="9" fillId="2" borderId="35" xfId="1" applyNumberFormat="1" applyFont="1" applyFill="1" applyBorder="1" applyAlignment="1">
      <alignment horizontal="center"/>
    </xf>
    <xf numFmtId="4" fontId="43" fillId="0" borderId="35" xfId="1" applyNumberFormat="1" applyFont="1" applyBorder="1" applyAlignment="1">
      <alignment horizontal="center" vertical="center"/>
    </xf>
    <xf numFmtId="0" fontId="51" fillId="0" borderId="35" xfId="0" applyFont="1" applyBorder="1" applyAlignment="1">
      <alignment vertical="center"/>
    </xf>
    <xf numFmtId="0" fontId="50" fillId="19" borderId="35" xfId="0" applyFont="1" applyFill="1" applyBorder="1" applyAlignment="1">
      <alignment horizontal="center" vertical="center"/>
    </xf>
    <xf numFmtId="0" fontId="50" fillId="19" borderId="35" xfId="0" applyFont="1" applyFill="1" applyBorder="1" applyAlignment="1">
      <alignment vertical="center" wrapText="1"/>
    </xf>
    <xf numFmtId="4" fontId="43" fillId="0" borderId="35" xfId="1" applyNumberFormat="1" applyFont="1" applyFill="1" applyBorder="1" applyAlignment="1">
      <alignment horizontal="center" vertical="center"/>
    </xf>
    <xf numFmtId="2" fontId="51" fillId="0" borderId="35" xfId="0" applyNumberFormat="1" applyFont="1" applyBorder="1" applyAlignment="1">
      <alignment horizontal="center" vertical="center"/>
    </xf>
    <xf numFmtId="2" fontId="50" fillId="19" borderId="35" xfId="0" applyNumberFormat="1" applyFont="1" applyFill="1" applyBorder="1" applyAlignment="1">
      <alignment horizontal="center" vertical="center"/>
    </xf>
    <xf numFmtId="0" fontId="8" fillId="0" borderId="48" xfId="0" applyFont="1" applyBorder="1" applyAlignment="1">
      <alignment horizontal="left" vertical="center" wrapText="1"/>
    </xf>
    <xf numFmtId="0" fontId="8" fillId="0" borderId="48" xfId="0" applyFont="1" applyBorder="1" applyAlignment="1">
      <alignment horizontal="center" vertical="center" wrapText="1"/>
    </xf>
    <xf numFmtId="2" fontId="8" fillId="0" borderId="31" xfId="0" applyNumberFormat="1" applyFont="1" applyBorder="1" applyAlignment="1">
      <alignment horizontal="right" vertical="center" wrapText="1"/>
    </xf>
    <xf numFmtId="2" fontId="5" fillId="0" borderId="49" xfId="29" applyNumberFormat="1" applyFont="1" applyBorder="1" applyAlignment="1">
      <alignment horizontal="center" vertical="center" wrapText="1"/>
    </xf>
    <xf numFmtId="0" fontId="5" fillId="0" borderId="31" xfId="29" applyFont="1" applyBorder="1" applyAlignment="1">
      <alignment horizontal="center" vertical="center" wrapText="1"/>
    </xf>
    <xf numFmtId="0" fontId="0" fillId="0" borderId="0" xfId="0" applyAlignment="1">
      <alignment vertical="center"/>
    </xf>
    <xf numFmtId="0" fontId="11" fillId="2" borderId="36" xfId="0" applyFont="1" applyFill="1" applyBorder="1" applyAlignment="1">
      <alignment horizontal="center" vertical="center" wrapText="1"/>
    </xf>
    <xf numFmtId="0" fontId="5" fillId="0" borderId="49" xfId="29" applyFont="1" applyBorder="1" applyAlignment="1">
      <alignment horizontal="center" vertical="center" wrapText="1"/>
    </xf>
    <xf numFmtId="0" fontId="49" fillId="0" borderId="35" xfId="0" applyFont="1" applyBorder="1" applyAlignment="1">
      <alignment horizontal="right" vertical="center"/>
    </xf>
    <xf numFmtId="0" fontId="50" fillId="19" borderId="35" xfId="0" applyFont="1" applyFill="1" applyBorder="1" applyAlignment="1">
      <alignment vertical="center"/>
    </xf>
    <xf numFmtId="0" fontId="51" fillId="0" borderId="35" xfId="0" applyFont="1" applyBorder="1" applyAlignment="1">
      <alignment horizontal="center" vertical="center" wrapText="1"/>
    </xf>
    <xf numFmtId="0" fontId="51" fillId="20" borderId="35" xfId="0" applyFont="1" applyFill="1" applyBorder="1" applyAlignment="1">
      <alignment vertical="center"/>
    </xf>
    <xf numFmtId="0" fontId="51" fillId="0" borderId="35" xfId="0" applyFont="1" applyBorder="1" applyAlignment="1">
      <alignment vertical="center" wrapText="1"/>
    </xf>
    <xf numFmtId="0" fontId="50" fillId="19" borderId="35" xfId="0" applyFont="1" applyFill="1" applyBorder="1" applyAlignment="1">
      <alignment horizontal="center" vertical="center" wrapText="1"/>
    </xf>
    <xf numFmtId="2" fontId="50" fillId="19" borderId="35" xfId="0" applyNumberFormat="1" applyFont="1" applyFill="1" applyBorder="1" applyAlignment="1">
      <alignment horizontal="center" vertical="center" wrapText="1"/>
    </xf>
    <xf numFmtId="0" fontId="0" fillId="19" borderId="35" xfId="0" applyFill="1" applyBorder="1" applyAlignment="1">
      <alignment vertical="center"/>
    </xf>
    <xf numFmtId="0" fontId="0" fillId="0" borderId="47" xfId="0" applyBorder="1"/>
    <xf numFmtId="0" fontId="0" fillId="0" borderId="50" xfId="0" applyBorder="1"/>
    <xf numFmtId="0" fontId="50" fillId="19" borderId="35" xfId="0" applyFont="1" applyFill="1" applyBorder="1" applyAlignment="1">
      <alignment horizontal="left" vertical="center"/>
    </xf>
    <xf numFmtId="0" fontId="8" fillId="21" borderId="35" xfId="0" applyFont="1" applyFill="1" applyBorder="1" applyAlignment="1">
      <alignment vertical="center" wrapText="1"/>
    </xf>
    <xf numFmtId="0" fontId="51" fillId="0" borderId="35" xfId="0" applyFont="1" applyBorder="1" applyAlignment="1">
      <alignment horizontal="left" vertical="center" wrapText="1"/>
    </xf>
    <xf numFmtId="0" fontId="51" fillId="19" borderId="35" xfId="0" applyFont="1" applyFill="1" applyBorder="1" applyAlignment="1">
      <alignment horizontal="center" vertical="center"/>
    </xf>
    <xf numFmtId="0" fontId="51" fillId="19" borderId="35" xfId="0" applyFont="1" applyFill="1" applyBorder="1" applyAlignment="1">
      <alignment horizontal="center" vertical="center" wrapText="1"/>
    </xf>
    <xf numFmtId="0" fontId="50" fillId="0" borderId="35" xfId="0" applyFont="1" applyBorder="1" applyAlignment="1">
      <alignment horizontal="center" vertical="center" wrapText="1"/>
    </xf>
    <xf numFmtId="0" fontId="51" fillId="0" borderId="35" xfId="0" applyFont="1" applyBorder="1" applyAlignment="1">
      <alignment horizontal="center" vertical="center"/>
    </xf>
    <xf numFmtId="0" fontId="0" fillId="0" borderId="35" xfId="0" applyBorder="1" applyAlignment="1">
      <alignment vertical="center" wrapText="1"/>
    </xf>
    <xf numFmtId="0" fontId="51" fillId="19" borderId="35" xfId="0" applyFont="1" applyFill="1" applyBorder="1" applyAlignment="1">
      <alignment vertical="center"/>
    </xf>
    <xf numFmtId="0" fontId="51" fillId="19" borderId="35" xfId="0" applyFont="1" applyFill="1" applyBorder="1" applyAlignment="1">
      <alignment vertical="center" wrapText="1"/>
    </xf>
    <xf numFmtId="2" fontId="51" fillId="0" borderId="35" xfId="1" applyNumberFormat="1" applyFont="1" applyBorder="1" applyAlignment="1">
      <alignment horizontal="center" vertical="center"/>
    </xf>
    <xf numFmtId="2" fontId="51" fillId="20" borderId="35" xfId="0" applyNumberFormat="1" applyFont="1" applyFill="1" applyBorder="1" applyAlignment="1">
      <alignment horizontal="center" vertical="center" wrapText="1"/>
    </xf>
    <xf numFmtId="0" fontId="5" fillId="0" borderId="33" xfId="29" applyFont="1" applyBorder="1" applyAlignment="1">
      <alignment horizontal="center" vertical="center" wrapText="1"/>
    </xf>
    <xf numFmtId="2" fontId="5" fillId="0" borderId="35" xfId="29" applyNumberFormat="1" applyFont="1" applyBorder="1" applyAlignment="1">
      <alignment horizontal="center" vertical="center" wrapText="1"/>
    </xf>
    <xf numFmtId="0" fontId="51" fillId="21" borderId="35" xfId="0" applyFont="1" applyFill="1" applyBorder="1" applyAlignment="1">
      <alignment horizontal="justify" vertical="center" wrapText="1"/>
    </xf>
    <xf numFmtId="0" fontId="58" fillId="21" borderId="60" xfId="0" applyFont="1" applyFill="1" applyBorder="1" applyAlignment="1">
      <alignment vertical="center" wrapText="1"/>
    </xf>
    <xf numFmtId="0" fontId="0" fillId="0" borderId="35" xfId="0" applyBorder="1" applyAlignment="1">
      <alignment wrapText="1"/>
    </xf>
    <xf numFmtId="0" fontId="8" fillId="0" borderId="58" xfId="0" applyFont="1" applyBorder="1" applyAlignment="1">
      <alignment vertical="center" wrapText="1"/>
    </xf>
    <xf numFmtId="0" fontId="8" fillId="0" borderId="39" xfId="0" applyFont="1" applyBorder="1" applyAlignment="1">
      <alignment vertical="center" wrapText="1"/>
    </xf>
    <xf numFmtId="0" fontId="0" fillId="0" borderId="35" xfId="0" applyBorder="1" applyAlignment="1">
      <alignment horizontal="left" vertical="center" wrapText="1"/>
    </xf>
    <xf numFmtId="0" fontId="8" fillId="0" borderId="35" xfId="0" applyFont="1" applyBorder="1" applyAlignment="1">
      <alignment vertical="center" wrapText="1"/>
    </xf>
    <xf numFmtId="2" fontId="8" fillId="0" borderId="0" xfId="0" applyNumberFormat="1" applyFont="1"/>
    <xf numFmtId="10" fontId="1" fillId="0" borderId="35" xfId="10" applyNumberFormat="1" applyFont="1" applyBorder="1" applyAlignment="1">
      <alignment horizontal="center"/>
    </xf>
    <xf numFmtId="2" fontId="5" fillId="0" borderId="35" xfId="10" applyNumberFormat="1" applyBorder="1" applyAlignment="1">
      <alignment horizontal="center"/>
    </xf>
    <xf numFmtId="0" fontId="1" fillId="4" borderId="35" xfId="10" applyFont="1" applyFill="1" applyBorder="1"/>
    <xf numFmtId="0" fontId="1" fillId="2" borderId="35" xfId="0" applyFont="1" applyFill="1" applyBorder="1" applyAlignment="1">
      <alignment horizontal="center" vertical="center" wrapText="1"/>
    </xf>
    <xf numFmtId="167" fontId="1" fillId="2" borderId="35" xfId="0" applyNumberFormat="1" applyFont="1" applyFill="1" applyBorder="1" applyAlignment="1">
      <alignment horizontal="center" vertical="center" wrapText="1"/>
    </xf>
    <xf numFmtId="0" fontId="1" fillId="2" borderId="35" xfId="0" applyFont="1" applyFill="1" applyBorder="1" applyAlignment="1">
      <alignment wrapText="1"/>
    </xf>
    <xf numFmtId="4" fontId="1" fillId="2" borderId="35" xfId="1" applyNumberFormat="1" applyFont="1" applyFill="1" applyBorder="1" applyAlignment="1">
      <alignment horizontal="center"/>
    </xf>
    <xf numFmtId="0" fontId="0" fillId="0" borderId="35" xfId="0" applyBorder="1" applyAlignment="1">
      <alignment horizontal="center" vertical="center"/>
    </xf>
    <xf numFmtId="0" fontId="0" fillId="0" borderId="35" xfId="0" applyBorder="1" applyAlignment="1">
      <alignment horizontal="left" vertical="center"/>
    </xf>
    <xf numFmtId="2" fontId="0" fillId="0" borderId="35" xfId="0" applyNumberFormat="1" applyBorder="1" applyAlignment="1">
      <alignment horizontal="center" vertical="center"/>
    </xf>
    <xf numFmtId="0" fontId="63" fillId="2" borderId="35" xfId="0" applyFont="1" applyFill="1" applyBorder="1" applyAlignment="1">
      <alignment horizontal="right" wrapText="1"/>
    </xf>
    <xf numFmtId="168" fontId="0" fillId="0" borderId="35" xfId="1" applyNumberFormat="1" applyFont="1" applyBorder="1" applyAlignment="1">
      <alignment vertical="center" wrapText="1"/>
    </xf>
    <xf numFmtId="2" fontId="0" fillId="0" borderId="41" xfId="0" applyNumberFormat="1" applyBorder="1" applyAlignment="1">
      <alignment horizontal="center" vertical="center" wrapText="1"/>
    </xf>
    <xf numFmtId="168" fontId="0" fillId="0" borderId="36" xfId="1" applyNumberFormat="1" applyFont="1" applyBorder="1" applyAlignment="1">
      <alignment horizontal="center" vertical="center" wrapText="1"/>
    </xf>
    <xf numFmtId="44" fontId="0" fillId="0" borderId="35" xfId="1" applyNumberFormat="1" applyFont="1" applyBorder="1" applyAlignment="1">
      <alignment horizontal="center" vertical="center" wrapText="1"/>
    </xf>
    <xf numFmtId="168" fontId="0" fillId="0" borderId="35" xfId="1" applyNumberFormat="1" applyFont="1" applyBorder="1" applyAlignment="1">
      <alignment horizontal="center" vertical="center" wrapText="1"/>
    </xf>
    <xf numFmtId="168" fontId="0" fillId="0" borderId="36" xfId="1" applyNumberFormat="1" applyFont="1" applyBorder="1" applyAlignment="1">
      <alignment vertical="center" wrapText="1"/>
    </xf>
    <xf numFmtId="168" fontId="0" fillId="0" borderId="35" xfId="1" applyNumberFormat="1" applyFont="1" applyBorder="1" applyAlignment="1">
      <alignment horizontal="left" vertical="center" wrapText="1"/>
    </xf>
    <xf numFmtId="0" fontId="63" fillId="2" borderId="42" xfId="0" applyFont="1" applyFill="1" applyBorder="1" applyAlignment="1">
      <alignment horizontal="right" wrapText="1"/>
    </xf>
    <xf numFmtId="2" fontId="1" fillId="2" borderId="35" xfId="0" applyNumberFormat="1" applyFont="1" applyFill="1" applyBorder="1" applyAlignment="1">
      <alignment horizontal="center" wrapText="1"/>
    </xf>
    <xf numFmtId="0" fontId="1" fillId="2" borderId="36" xfId="0" applyFont="1" applyFill="1" applyBorder="1" applyAlignment="1">
      <alignment horizontal="right" wrapText="1"/>
    </xf>
    <xf numFmtId="0" fontId="1" fillId="2" borderId="35" xfId="0" applyFont="1" applyFill="1" applyBorder="1" applyAlignment="1">
      <alignment horizontal="right" wrapText="1"/>
    </xf>
    <xf numFmtId="4" fontId="1" fillId="2" borderId="35" xfId="1" applyNumberFormat="1" applyFont="1" applyFill="1" applyBorder="1" applyAlignment="1">
      <alignment horizontal="right"/>
    </xf>
    <xf numFmtId="0" fontId="0" fillId="0" borderId="35" xfId="0" applyBorder="1"/>
    <xf numFmtId="14" fontId="0" fillId="0" borderId="35" xfId="0" applyNumberFormat="1" applyBorder="1"/>
    <xf numFmtId="187" fontId="0" fillId="0" borderId="35" xfId="5099" applyNumberFormat="1" applyFont="1" applyBorder="1"/>
    <xf numFmtId="0" fontId="60" fillId="18" borderId="35" xfId="0" applyFont="1" applyFill="1" applyBorder="1" applyAlignment="1">
      <alignment horizontal="center" vertical="center"/>
    </xf>
    <xf numFmtId="14" fontId="0" fillId="0" borderId="35" xfId="0" applyNumberFormat="1" applyBorder="1" applyAlignment="1">
      <alignment horizontal="center" vertical="center"/>
    </xf>
    <xf numFmtId="43" fontId="0" fillId="0" borderId="35" xfId="1" applyFont="1" applyBorder="1" applyAlignment="1">
      <alignment horizontal="center" vertical="center"/>
    </xf>
    <xf numFmtId="43" fontId="0" fillId="0" borderId="35" xfId="0" applyNumberFormat="1" applyBorder="1" applyAlignment="1">
      <alignment horizontal="center" vertical="center"/>
    </xf>
    <xf numFmtId="14" fontId="0" fillId="0" borderId="0" xfId="0" applyNumberFormat="1"/>
    <xf numFmtId="0" fontId="0" fillId="22" borderId="35" xfId="0" applyFill="1" applyBorder="1" applyAlignment="1">
      <alignment horizontal="center" vertical="center"/>
    </xf>
    <xf numFmtId="43" fontId="0" fillId="22" borderId="35" xfId="1" applyFont="1" applyFill="1" applyBorder="1" applyAlignment="1">
      <alignment horizontal="center" vertical="center"/>
    </xf>
    <xf numFmtId="43" fontId="65" fillId="18" borderId="35" xfId="0" applyNumberFormat="1" applyFont="1" applyFill="1" applyBorder="1" applyAlignment="1">
      <alignment horizontal="center" vertical="center"/>
    </xf>
    <xf numFmtId="187" fontId="0" fillId="0" borderId="35" xfId="0" applyNumberFormat="1" applyBorder="1" applyAlignment="1">
      <alignment vertical="center"/>
    </xf>
    <xf numFmtId="0" fontId="0" fillId="0" borderId="0" xfId="0" applyAlignment="1">
      <alignment horizontal="right"/>
    </xf>
    <xf numFmtId="0" fontId="0" fillId="0" borderId="35" xfId="0" applyBorder="1" applyAlignment="1">
      <alignment vertical="center"/>
    </xf>
    <xf numFmtId="187" fontId="0" fillId="0" borderId="35" xfId="0" applyNumberFormat="1" applyBorder="1"/>
    <xf numFmtId="0" fontId="1" fillId="22" borderId="35" xfId="0" applyFont="1" applyFill="1" applyBorder="1" applyAlignment="1">
      <alignment vertical="center"/>
    </xf>
    <xf numFmtId="187" fontId="1" fillId="22" borderId="35" xfId="0" applyNumberFormat="1" applyFont="1" applyFill="1" applyBorder="1" applyAlignment="1">
      <alignment vertical="center"/>
    </xf>
    <xf numFmtId="43" fontId="0" fillId="0" borderId="35" xfId="0" applyNumberFormat="1" applyBorder="1" applyAlignment="1">
      <alignment vertical="center"/>
    </xf>
    <xf numFmtId="9" fontId="0" fillId="0" borderId="35" xfId="0" applyNumberFormat="1" applyBorder="1" applyAlignment="1">
      <alignment horizontal="center" vertical="center"/>
    </xf>
    <xf numFmtId="0" fontId="1" fillId="22" borderId="35" xfId="0" applyFont="1" applyFill="1" applyBorder="1"/>
    <xf numFmtId="43" fontId="1" fillId="22" borderId="35" xfId="0" applyNumberFormat="1" applyFont="1" applyFill="1" applyBorder="1"/>
    <xf numFmtId="188" fontId="0" fillId="0" borderId="0" xfId="0" applyNumberFormat="1"/>
    <xf numFmtId="188" fontId="60" fillId="18" borderId="35" xfId="0" applyNumberFormat="1" applyFont="1" applyFill="1" applyBorder="1" applyAlignment="1">
      <alignment horizontal="center" vertical="center"/>
    </xf>
    <xf numFmtId="188" fontId="0" fillId="0" borderId="35" xfId="1" applyNumberFormat="1" applyFont="1" applyBorder="1" applyAlignment="1">
      <alignment horizontal="center" vertical="center"/>
    </xf>
    <xf numFmtId="188" fontId="0" fillId="0" borderId="35" xfId="0" applyNumberFormat="1" applyBorder="1" applyAlignment="1">
      <alignment horizontal="center" vertical="center"/>
    </xf>
    <xf numFmtId="3" fontId="0" fillId="0" borderId="35" xfId="0" applyNumberFormat="1" applyBorder="1"/>
    <xf numFmtId="188" fontId="0" fillId="22" borderId="35" xfId="1" applyNumberFormat="1" applyFont="1" applyFill="1" applyBorder="1" applyAlignment="1">
      <alignment horizontal="center" vertical="center"/>
    </xf>
    <xf numFmtId="188" fontId="65" fillId="18" borderId="35" xfId="0" applyNumberFormat="1" applyFont="1" applyFill="1" applyBorder="1" applyAlignment="1">
      <alignment horizontal="center" vertical="center"/>
    </xf>
    <xf numFmtId="43" fontId="0" fillId="0" borderId="0" xfId="0" applyNumberFormat="1"/>
    <xf numFmtId="0" fontId="61" fillId="0" borderId="35" xfId="0" applyFont="1" applyBorder="1" applyAlignment="1">
      <alignment vertical="center" wrapText="1"/>
    </xf>
    <xf numFmtId="0" fontId="50" fillId="0" borderId="49" xfId="0" applyFont="1" applyBorder="1" applyAlignment="1">
      <alignment horizontal="center" vertical="center"/>
    </xf>
    <xf numFmtId="0" fontId="8" fillId="0" borderId="35" xfId="0" applyFont="1" applyBorder="1" applyAlignment="1">
      <alignment horizontal="left" vertical="center" wrapText="1"/>
    </xf>
    <xf numFmtId="2" fontId="67" fillId="23" borderId="35" xfId="0" applyNumberFormat="1" applyFont="1" applyFill="1" applyBorder="1" applyAlignment="1">
      <alignment horizontal="center" vertical="center" wrapText="1"/>
    </xf>
    <xf numFmtId="166" fontId="68" fillId="0" borderId="35" xfId="21" applyNumberFormat="1" applyFont="1" applyFill="1" applyBorder="1" applyAlignment="1">
      <alignment horizontal="center" vertical="center" wrapText="1"/>
    </xf>
    <xf numFmtId="166" fontId="68" fillId="0" borderId="35" xfId="21" applyNumberFormat="1" applyFont="1" applyFill="1" applyBorder="1" applyAlignment="1">
      <alignment vertical="center" wrapText="1"/>
    </xf>
    <xf numFmtId="0" fontId="66" fillId="0" borderId="35" xfId="0" applyFont="1" applyBorder="1" applyAlignment="1">
      <alignment horizontal="left" vertical="top"/>
    </xf>
    <xf numFmtId="0" fontId="52" fillId="0" borderId="35" xfId="5095" applyFont="1" applyBorder="1" applyAlignment="1">
      <alignment vertical="top"/>
    </xf>
    <xf numFmtId="0" fontId="52" fillId="0" borderId="35" xfId="5095" applyFont="1" applyBorder="1" applyAlignment="1">
      <alignment vertical="top" wrapText="1"/>
    </xf>
    <xf numFmtId="0" fontId="52" fillId="0" borderId="35" xfId="0" applyFont="1" applyBorder="1" applyAlignment="1">
      <alignment vertical="top"/>
    </xf>
    <xf numFmtId="0" fontId="67" fillId="18" borderId="35" xfId="0" applyFont="1" applyFill="1" applyBorder="1" applyAlignment="1">
      <alignment horizontal="center" vertical="top"/>
    </xf>
    <xf numFmtId="166" fontId="67" fillId="18" borderId="35" xfId="0" applyNumberFormat="1" applyFont="1" applyFill="1" applyBorder="1"/>
    <xf numFmtId="10" fontId="0" fillId="0" borderId="0" xfId="5100" applyNumberFormat="1" applyFont="1"/>
    <xf numFmtId="2" fontId="1" fillId="0" borderId="0" xfId="0" applyNumberFormat="1" applyFont="1"/>
    <xf numFmtId="2" fontId="0" fillId="0" borderId="0" xfId="0" applyNumberFormat="1"/>
    <xf numFmtId="0" fontId="0" fillId="0" borderId="0" xfId="0" applyAlignment="1">
      <alignment wrapText="1"/>
    </xf>
    <xf numFmtId="168" fontId="72" fillId="24" borderId="63" xfId="5101" applyNumberFormat="1" applyFont="1" applyFill="1" applyBorder="1" applyAlignment="1">
      <alignment horizontal="center" vertical="top" wrapText="1"/>
    </xf>
    <xf numFmtId="0" fontId="60" fillId="18" borderId="35" xfId="0" applyFont="1" applyFill="1" applyBorder="1" applyAlignment="1">
      <alignment vertical="center"/>
    </xf>
    <xf numFmtId="0" fontId="1" fillId="0" borderId="35" xfId="0" applyFont="1" applyBorder="1"/>
    <xf numFmtId="2" fontId="0" fillId="0" borderId="35" xfId="0" applyNumberFormat="1" applyBorder="1" applyAlignment="1">
      <alignment horizontal="center"/>
    </xf>
    <xf numFmtId="0" fontId="0" fillId="0" borderId="35" xfId="0" applyBorder="1" applyAlignment="1">
      <alignment horizontal="center"/>
    </xf>
    <xf numFmtId="173" fontId="0" fillId="0" borderId="35" xfId="0" applyNumberFormat="1" applyBorder="1" applyAlignment="1">
      <alignment horizontal="center"/>
    </xf>
    <xf numFmtId="10" fontId="0" fillId="0" borderId="35" xfId="0" applyNumberFormat="1" applyBorder="1" applyAlignment="1">
      <alignment horizontal="center"/>
    </xf>
    <xf numFmtId="0" fontId="60" fillId="18" borderId="35" xfId="0" applyFont="1" applyFill="1" applyBorder="1" applyAlignment="1">
      <alignment vertical="center" wrapText="1"/>
    </xf>
    <xf numFmtId="2" fontId="60" fillId="18" borderId="35" xfId="0" applyNumberFormat="1" applyFont="1" applyFill="1" applyBorder="1" applyAlignment="1">
      <alignment horizontal="center" vertical="center"/>
    </xf>
    <xf numFmtId="0" fontId="0" fillId="18" borderId="35" xfId="0" applyFill="1" applyBorder="1" applyAlignment="1">
      <alignment vertical="center"/>
    </xf>
    <xf numFmtId="43" fontId="71" fillId="0" borderId="35" xfId="1" applyFont="1" applyBorder="1" applyAlignment="1">
      <alignment vertical="top"/>
    </xf>
    <xf numFmtId="168" fontId="65" fillId="18" borderId="35" xfId="6" applyNumberFormat="1" applyFont="1" applyFill="1" applyBorder="1" applyAlignment="1">
      <alignment horizontal="center" vertical="center" wrapText="1"/>
    </xf>
    <xf numFmtId="168" fontId="65" fillId="18" borderId="35" xfId="6" applyNumberFormat="1" applyFont="1" applyFill="1" applyBorder="1" applyAlignment="1">
      <alignment horizontal="center" vertical="top" wrapText="1"/>
    </xf>
    <xf numFmtId="0" fontId="0" fillId="0" borderId="35" xfId="5095" applyFont="1" applyBorder="1" applyAlignment="1">
      <alignment vertical="top"/>
    </xf>
    <xf numFmtId="0" fontId="0" fillId="0" borderId="35" xfId="5095" applyFont="1" applyBorder="1" applyAlignment="1">
      <alignment vertical="top" wrapText="1"/>
    </xf>
    <xf numFmtId="43" fontId="0" fillId="0" borderId="35" xfId="1" applyFont="1" applyBorder="1" applyAlignment="1">
      <alignment vertical="top"/>
    </xf>
    <xf numFmtId="43" fontId="0" fillId="25" borderId="35" xfId="1" applyFont="1" applyFill="1" applyBorder="1" applyAlignment="1">
      <alignment vertical="top"/>
    </xf>
    <xf numFmtId="0" fontId="0" fillId="0" borderId="35" xfId="0" applyBorder="1" applyAlignment="1">
      <alignment vertical="top"/>
    </xf>
    <xf numFmtId="43" fontId="1" fillId="0" borderId="35" xfId="0" applyNumberFormat="1" applyFont="1" applyBorder="1"/>
    <xf numFmtId="2" fontId="0" fillId="0" borderId="35" xfId="0" applyNumberFormat="1" applyBorder="1" applyAlignment="1">
      <alignment vertical="center" wrapText="1"/>
    </xf>
    <xf numFmtId="168" fontId="8" fillId="0" borderId="35" xfId="1" applyNumberFormat="1" applyFont="1" applyBorder="1" applyAlignment="1">
      <alignment vertical="center" wrapText="1"/>
    </xf>
    <xf numFmtId="166" fontId="8" fillId="0" borderId="35" xfId="1" applyNumberFormat="1" applyFont="1" applyBorder="1" applyAlignment="1">
      <alignment horizontal="center" vertical="center" wrapText="1"/>
    </xf>
    <xf numFmtId="2" fontId="8" fillId="0" borderId="59" xfId="0" applyNumberFormat="1" applyFont="1" applyBorder="1" applyAlignment="1">
      <alignment horizontal="center" vertical="center" wrapText="1"/>
    </xf>
    <xf numFmtId="0" fontId="12" fillId="0" borderId="35" xfId="0" applyFont="1" applyBorder="1" applyAlignment="1">
      <alignment vertical="center" wrapText="1"/>
    </xf>
    <xf numFmtId="0" fontId="11" fillId="2" borderId="42" xfId="0" applyFont="1" applyFill="1" applyBorder="1" applyAlignment="1">
      <alignment horizontal="right" wrapText="1"/>
    </xf>
    <xf numFmtId="2" fontId="9" fillId="2" borderId="35" xfId="0" applyNumberFormat="1" applyFont="1" applyFill="1" applyBorder="1" applyAlignment="1">
      <alignment horizontal="center" vertical="center" wrapText="1"/>
    </xf>
    <xf numFmtId="4" fontId="9" fillId="2" borderId="35" xfId="1" applyNumberFormat="1" applyFont="1" applyFill="1" applyBorder="1" applyAlignment="1">
      <alignment horizontal="right"/>
    </xf>
    <xf numFmtId="0" fontId="12" fillId="0" borderId="35" xfId="0" applyFont="1" applyBorder="1" applyAlignment="1">
      <alignment vertical="center"/>
    </xf>
    <xf numFmtId="0" fontId="12" fillId="21" borderId="35" xfId="0" applyFont="1" applyFill="1" applyBorder="1" applyAlignment="1">
      <alignment vertical="center" wrapText="1"/>
    </xf>
    <xf numFmtId="43" fontId="70" fillId="0" borderId="0" xfId="1" applyFont="1" applyBorder="1" applyAlignment="1">
      <alignment vertical="top"/>
    </xf>
    <xf numFmtId="0" fontId="10" fillId="3" borderId="36" xfId="0" applyFont="1" applyFill="1" applyBorder="1" applyAlignment="1">
      <alignment wrapText="1"/>
    </xf>
    <xf numFmtId="0" fontId="10" fillId="3" borderId="14" xfId="0" applyFont="1" applyFill="1" applyBorder="1" applyAlignment="1">
      <alignment wrapText="1"/>
    </xf>
    <xf numFmtId="0" fontId="10" fillId="3" borderId="37" xfId="0" applyFont="1" applyFill="1" applyBorder="1" applyAlignment="1">
      <alignment wrapText="1"/>
    </xf>
    <xf numFmtId="0" fontId="8" fillId="0" borderId="58" xfId="0" applyFont="1" applyBorder="1" applyAlignment="1">
      <alignment horizontal="center" vertical="center" wrapText="1"/>
    </xf>
    <xf numFmtId="0" fontId="11" fillId="2" borderId="48" xfId="0" applyFont="1" applyFill="1" applyBorder="1" applyAlignment="1">
      <alignment horizontal="right" wrapText="1"/>
    </xf>
    <xf numFmtId="0" fontId="19" fillId="0" borderId="49" xfId="29" applyFont="1" applyBorder="1" applyAlignment="1">
      <alignment horizontal="center" vertical="center" wrapText="1"/>
    </xf>
    <xf numFmtId="0" fontId="70" fillId="0" borderId="0" xfId="0" applyFont="1"/>
    <xf numFmtId="0" fontId="70" fillId="0" borderId="0" xfId="0" applyFont="1" applyAlignment="1">
      <alignment wrapText="1"/>
    </xf>
    <xf numFmtId="43" fontId="70" fillId="0" borderId="0" xfId="1" applyFont="1"/>
    <xf numFmtId="168" fontId="70" fillId="24" borderId="63" xfId="1" applyNumberFormat="1" applyFont="1" applyFill="1" applyBorder="1" applyAlignment="1">
      <alignment horizontal="center" vertical="center" wrapText="1"/>
    </xf>
    <xf numFmtId="189" fontId="70" fillId="24" borderId="63" xfId="1" applyNumberFormat="1" applyFont="1" applyFill="1" applyBorder="1" applyAlignment="1">
      <alignment horizontal="center" vertical="center" wrapText="1"/>
    </xf>
    <xf numFmtId="0" fontId="76" fillId="0" borderId="63" xfId="0" applyFont="1" applyBorder="1"/>
    <xf numFmtId="43" fontId="76" fillId="0" borderId="63" xfId="1" applyFont="1" applyBorder="1"/>
    <xf numFmtId="43" fontId="76" fillId="0" borderId="63" xfId="1" applyFont="1" applyFill="1" applyBorder="1"/>
    <xf numFmtId="189" fontId="70" fillId="21" borderId="63" xfId="1" applyNumberFormat="1" applyFont="1" applyFill="1" applyBorder="1" applyAlignment="1">
      <alignment horizontal="center" vertical="center" wrapText="1"/>
    </xf>
    <xf numFmtId="43" fontId="76" fillId="21" borderId="63" xfId="1" applyFont="1" applyFill="1" applyBorder="1"/>
    <xf numFmtId="0" fontId="76" fillId="21" borderId="0" xfId="0" applyFont="1" applyFill="1"/>
    <xf numFmtId="0" fontId="8" fillId="4" borderId="35" xfId="0" applyFont="1" applyFill="1" applyBorder="1" applyAlignment="1">
      <alignment vertical="center" wrapText="1"/>
    </xf>
    <xf numFmtId="0" fontId="8" fillId="21" borderId="38" xfId="0" applyFont="1" applyFill="1" applyBorder="1" applyAlignment="1">
      <alignment horizontal="center" vertical="center" wrapText="1"/>
    </xf>
    <xf numFmtId="0" fontId="5" fillId="21" borderId="37" xfId="29" applyFont="1" applyFill="1" applyBorder="1" applyAlignment="1">
      <alignment horizontal="center" vertical="center" wrapText="1"/>
    </xf>
    <xf numFmtId="2" fontId="5" fillId="21" borderId="37" xfId="29" applyNumberFormat="1" applyFont="1" applyFill="1" applyBorder="1" applyAlignment="1">
      <alignment horizontal="center" vertical="center" wrapText="1"/>
    </xf>
    <xf numFmtId="0" fontId="8" fillId="21" borderId="58" xfId="0" applyFont="1" applyFill="1" applyBorder="1" applyAlignment="1">
      <alignment vertical="center" wrapText="1"/>
    </xf>
    <xf numFmtId="0" fontId="75" fillId="0" borderId="0" xfId="0" applyFont="1"/>
    <xf numFmtId="43" fontId="77" fillId="0" borderId="0" xfId="1" applyFont="1"/>
    <xf numFmtId="0" fontId="75" fillId="26" borderId="63" xfId="0" applyFont="1" applyFill="1" applyBorder="1" applyAlignment="1">
      <alignment horizontal="center" vertical="center"/>
    </xf>
    <xf numFmtId="43" fontId="77" fillId="26" borderId="63" xfId="1" applyFont="1" applyFill="1" applyBorder="1" applyAlignment="1">
      <alignment horizontal="center" vertical="center" wrapText="1"/>
    </xf>
    <xf numFmtId="0" fontId="74" fillId="0" borderId="63" xfId="0" applyFont="1" applyBorder="1"/>
    <xf numFmtId="43" fontId="74" fillId="0" borderId="63" xfId="1" applyFont="1" applyBorder="1"/>
    <xf numFmtId="0" fontId="74" fillId="25" borderId="63" xfId="0" applyFont="1" applyFill="1" applyBorder="1"/>
    <xf numFmtId="43" fontId="74" fillId="25" borderId="63" xfId="1" applyFont="1" applyFill="1" applyBorder="1"/>
    <xf numFmtId="168" fontId="77" fillId="26" borderId="63" xfId="5101" applyNumberFormat="1" applyFont="1" applyFill="1" applyBorder="1" applyAlignment="1">
      <alignment horizontal="center" vertical="center" wrapText="1"/>
    </xf>
    <xf numFmtId="168" fontId="77" fillId="26" borderId="63" xfId="5101" applyNumberFormat="1" applyFont="1" applyFill="1" applyBorder="1" applyAlignment="1">
      <alignment vertical="center" wrapText="1"/>
    </xf>
    <xf numFmtId="43" fontId="74" fillId="0" borderId="0" xfId="0" applyNumberFormat="1" applyFont="1"/>
    <xf numFmtId="43" fontId="75" fillId="0" borderId="0" xfId="0" applyNumberFormat="1" applyFont="1"/>
    <xf numFmtId="0" fontId="8" fillId="21" borderId="39" xfId="0" applyFont="1" applyFill="1" applyBorder="1" applyAlignment="1">
      <alignment horizontal="center" vertical="center" wrapText="1"/>
    </xf>
    <xf numFmtId="2" fontId="5" fillId="21" borderId="49" xfId="29" applyNumberFormat="1" applyFont="1" applyFill="1" applyBorder="1" applyAlignment="1">
      <alignment horizontal="center" vertical="center" wrapText="1"/>
    </xf>
    <xf numFmtId="0" fontId="5" fillId="21" borderId="49" xfId="29" applyFont="1" applyFill="1" applyBorder="1" applyAlignment="1">
      <alignment horizontal="center" vertical="center" wrapText="1"/>
    </xf>
    <xf numFmtId="166" fontId="75" fillId="0" borderId="0" xfId="0" applyNumberFormat="1" applyFont="1"/>
    <xf numFmtId="0" fontId="0" fillId="27" borderId="0" xfId="0" applyFill="1"/>
    <xf numFmtId="43" fontId="77" fillId="28" borderId="35" xfId="1" quotePrefix="1" applyFont="1" applyFill="1" applyBorder="1" applyAlignment="1">
      <alignment horizontal="center" vertical="center" wrapText="1"/>
    </xf>
    <xf numFmtId="0" fontId="74" fillId="0" borderId="35" xfId="0" applyFont="1" applyBorder="1" applyAlignment="1">
      <alignment horizontal="left"/>
    </xf>
    <xf numFmtId="43" fontId="74" fillId="0" borderId="35" xfId="1" applyFont="1" applyBorder="1"/>
    <xf numFmtId="43" fontId="77" fillId="29" borderId="35" xfId="1" quotePrefix="1" applyFont="1" applyFill="1" applyBorder="1" applyAlignment="1">
      <alignment horizontal="center" vertical="center" wrapText="1"/>
    </xf>
    <xf numFmtId="0" fontId="0" fillId="18" borderId="35" xfId="0" applyFill="1" applyBorder="1"/>
    <xf numFmtId="4" fontId="9" fillId="2" borderId="35" xfId="1" applyNumberFormat="1" applyFont="1" applyFill="1" applyBorder="1" applyAlignment="1">
      <alignment horizontal="center" vertical="center"/>
    </xf>
    <xf numFmtId="0" fontId="9" fillId="2" borderId="35" xfId="0" quotePrefix="1" applyFont="1" applyFill="1" applyBorder="1" applyAlignment="1">
      <alignment horizontal="center" vertical="center" wrapText="1"/>
    </xf>
    <xf numFmtId="4" fontId="44" fillId="2" borderId="35" xfId="1" applyNumberFormat="1" applyFont="1" applyFill="1" applyBorder="1" applyAlignment="1">
      <alignment horizontal="center" vertical="center"/>
    </xf>
    <xf numFmtId="43" fontId="0" fillId="0" borderId="35" xfId="0" applyNumberFormat="1" applyBorder="1"/>
    <xf numFmtId="0" fontId="75" fillId="0" borderId="35" xfId="0" applyFont="1" applyBorder="1"/>
    <xf numFmtId="0" fontId="77" fillId="0" borderId="35" xfId="439" applyFont="1" applyBorder="1" applyAlignment="1">
      <alignment vertical="top"/>
    </xf>
    <xf numFmtId="2" fontId="58" fillId="0" borderId="35" xfId="439" applyNumberFormat="1" applyFont="1" applyBorder="1" applyAlignment="1">
      <alignment vertical="top"/>
    </xf>
    <xf numFmtId="0" fontId="77" fillId="28" borderId="35" xfId="439" applyFont="1" applyFill="1" applyBorder="1" applyAlignment="1">
      <alignment horizontal="center" vertical="center" wrapText="1"/>
    </xf>
    <xf numFmtId="168" fontId="77" fillId="26" borderId="35" xfId="5101" applyNumberFormat="1" applyFont="1" applyFill="1" applyBorder="1" applyAlignment="1">
      <alignment vertical="center" wrapText="1"/>
    </xf>
    <xf numFmtId="0" fontId="58" fillId="0" borderId="35" xfId="439" applyFont="1" applyBorder="1" applyAlignment="1">
      <alignment vertical="top" wrapText="1"/>
    </xf>
    <xf numFmtId="0" fontId="58" fillId="0" borderId="35" xfId="439" applyFont="1" applyBorder="1" applyAlignment="1">
      <alignment horizontal="center" vertical="top"/>
    </xf>
    <xf numFmtId="43" fontId="58" fillId="0" borderId="35" xfId="1" applyFont="1" applyFill="1" applyBorder="1" applyAlignment="1">
      <alignment vertical="top" wrapText="1"/>
    </xf>
    <xf numFmtId="0" fontId="58" fillId="0" borderId="35" xfId="439" applyFont="1" applyBorder="1" applyAlignment="1">
      <alignment horizontal="center" vertical="top" wrapText="1"/>
    </xf>
    <xf numFmtId="43" fontId="77" fillId="0" borderId="35" xfId="1" applyFont="1" applyBorder="1"/>
    <xf numFmtId="43" fontId="75" fillId="0" borderId="35" xfId="0" applyNumberFormat="1" applyFont="1" applyBorder="1"/>
    <xf numFmtId="0" fontId="75" fillId="26" borderId="35" xfId="0" applyFont="1" applyFill="1" applyBorder="1" applyAlignment="1">
      <alignment horizontal="center" vertical="center"/>
    </xf>
    <xf numFmtId="43" fontId="77" fillId="26" borderId="35" xfId="1" applyFont="1" applyFill="1" applyBorder="1" applyAlignment="1">
      <alignment horizontal="center" vertical="center" wrapText="1"/>
    </xf>
    <xf numFmtId="168" fontId="77" fillId="26" borderId="35" xfId="5101" applyNumberFormat="1" applyFont="1" applyFill="1" applyBorder="1" applyAlignment="1">
      <alignment horizontal="center" vertical="center" wrapText="1"/>
    </xf>
    <xf numFmtId="0" fontId="74" fillId="0" borderId="35" xfId="0" applyFont="1" applyBorder="1"/>
    <xf numFmtId="43" fontId="74" fillId="0" borderId="35" xfId="0" applyNumberFormat="1" applyFont="1" applyBorder="1"/>
    <xf numFmtId="0" fontId="60" fillId="18" borderId="35" xfId="0" applyFont="1" applyFill="1" applyBorder="1"/>
    <xf numFmtId="43" fontId="75" fillId="26" borderId="35" xfId="1" applyFont="1" applyFill="1" applyBorder="1" applyAlignment="1">
      <alignment horizontal="center" vertical="center"/>
    </xf>
    <xf numFmtId="43" fontId="74" fillId="21" borderId="35" xfId="1" applyFont="1" applyFill="1" applyBorder="1"/>
    <xf numFmtId="190" fontId="77" fillId="28" borderId="35" xfId="439" applyNumberFormat="1" applyFont="1" applyFill="1" applyBorder="1" applyAlignment="1">
      <alignment horizontal="center" vertical="top" wrapText="1"/>
    </xf>
    <xf numFmtId="43" fontId="77" fillId="28" borderId="35" xfId="1" applyFont="1" applyFill="1" applyBorder="1" applyAlignment="1">
      <alignment horizontal="center" vertical="top" wrapText="1"/>
    </xf>
    <xf numFmtId="0" fontId="74" fillId="0" borderId="35" xfId="0" applyFont="1" applyBorder="1" applyAlignment="1">
      <alignment wrapText="1"/>
    </xf>
    <xf numFmtId="0" fontId="75" fillId="28" borderId="35" xfId="0" applyFont="1" applyFill="1" applyBorder="1" applyAlignment="1">
      <alignment horizontal="center" vertical="center" wrapText="1"/>
    </xf>
    <xf numFmtId="189" fontId="75" fillId="28" borderId="35" xfId="0" applyNumberFormat="1" applyFont="1" applyFill="1" applyBorder="1" applyAlignment="1">
      <alignment horizontal="center" vertical="top" wrapText="1"/>
    </xf>
    <xf numFmtId="0" fontId="74" fillId="0" borderId="35" xfId="0" applyFont="1" applyBorder="1" applyAlignment="1">
      <alignment vertical="top"/>
    </xf>
    <xf numFmtId="43" fontId="74" fillId="0" borderId="35" xfId="1" applyFont="1" applyBorder="1" applyAlignment="1">
      <alignment vertical="top"/>
    </xf>
    <xf numFmtId="0" fontId="75" fillId="28" borderId="35" xfId="0" applyFont="1" applyFill="1" applyBorder="1" applyAlignment="1">
      <alignment vertical="top"/>
    </xf>
    <xf numFmtId="43" fontId="75" fillId="28" borderId="35" xfId="1" applyFont="1" applyFill="1" applyBorder="1" applyAlignment="1">
      <alignment vertical="top"/>
    </xf>
    <xf numFmtId="43" fontId="69" fillId="0" borderId="66" xfId="1" applyFont="1" applyBorder="1" applyAlignment="1">
      <alignment vertical="top"/>
    </xf>
    <xf numFmtId="0" fontId="69" fillId="0" borderId="35" xfId="0" applyFont="1" applyBorder="1" applyAlignment="1">
      <alignment vertical="top"/>
    </xf>
    <xf numFmtId="43" fontId="70" fillId="0" borderId="35" xfId="1" applyFont="1" applyBorder="1" applyAlignment="1">
      <alignment vertical="top"/>
    </xf>
    <xf numFmtId="168" fontId="70" fillId="24" borderId="35" xfId="5101" applyNumberFormat="1" applyFont="1" applyFill="1" applyBorder="1" applyAlignment="1">
      <alignment horizontal="center" vertical="center" wrapText="1"/>
    </xf>
    <xf numFmtId="168" fontId="70" fillId="24" borderId="35" xfId="5101" applyNumberFormat="1" applyFont="1" applyFill="1" applyBorder="1" applyAlignment="1">
      <alignment vertical="top" wrapText="1"/>
    </xf>
    <xf numFmtId="0" fontId="69" fillId="0" borderId="35" xfId="5095" applyFont="1" applyBorder="1" applyAlignment="1">
      <alignment vertical="top"/>
    </xf>
    <xf numFmtId="0" fontId="69" fillId="0" borderId="35" xfId="5095" applyFont="1" applyBorder="1" applyAlignment="1">
      <alignment vertical="top" wrapText="1"/>
    </xf>
    <xf numFmtId="43" fontId="69" fillId="0" borderId="35" xfId="1" applyFont="1" applyBorder="1" applyAlignment="1">
      <alignment vertical="top"/>
    </xf>
    <xf numFmtId="9" fontId="0" fillId="0" borderId="35" xfId="5099" applyFont="1" applyBorder="1" applyAlignment="1">
      <alignment horizontal="center"/>
    </xf>
    <xf numFmtId="0" fontId="1" fillId="0" borderId="69" xfId="0" applyFont="1" applyBorder="1"/>
    <xf numFmtId="0" fontId="2" fillId="0" borderId="0" xfId="0" applyFont="1" applyAlignment="1">
      <alignment horizontal="center"/>
    </xf>
    <xf numFmtId="0" fontId="47" fillId="0" borderId="35" xfId="0" applyFont="1" applyBorder="1" applyAlignment="1">
      <alignment horizontal="left" vertical="top" wrapText="1"/>
    </xf>
    <xf numFmtId="0" fontId="19" fillId="2" borderId="35" xfId="0" applyFont="1" applyFill="1" applyBorder="1" applyAlignment="1">
      <alignment horizontal="center" vertical="center"/>
    </xf>
    <xf numFmtId="0" fontId="45" fillId="18" borderId="1" xfId="0" applyFont="1" applyFill="1" applyBorder="1" applyAlignment="1">
      <alignment horizontal="center"/>
    </xf>
    <xf numFmtId="0" fontId="45" fillId="18" borderId="35" xfId="0" applyFont="1" applyFill="1" applyBorder="1" applyAlignment="1">
      <alignment horizontal="center"/>
    </xf>
    <xf numFmtId="0" fontId="47" fillId="4" borderId="1" xfId="0" applyFont="1" applyFill="1" applyBorder="1" applyAlignment="1">
      <alignment horizontal="right"/>
    </xf>
    <xf numFmtId="0" fontId="47" fillId="4" borderId="35" xfId="0" applyFont="1" applyFill="1" applyBorder="1" applyAlignment="1">
      <alignment horizontal="right"/>
    </xf>
    <xf numFmtId="0" fontId="42" fillId="0" borderId="23" xfId="0" applyFont="1" applyBorder="1" applyAlignment="1">
      <alignment horizontal="right"/>
    </xf>
    <xf numFmtId="0" fontId="42" fillId="0" borderId="35" xfId="0" applyFont="1" applyBorder="1" applyAlignment="1">
      <alignment horizontal="right"/>
    </xf>
    <xf numFmtId="0" fontId="46" fillId="18" borderId="12" xfId="0" applyFont="1" applyFill="1" applyBorder="1" applyAlignment="1">
      <alignment horizontal="left"/>
    </xf>
    <xf numFmtId="0" fontId="46" fillId="18" borderId="14" xfId="0" applyFont="1" applyFill="1" applyBorder="1" applyAlignment="1">
      <alignment horizontal="left"/>
    </xf>
    <xf numFmtId="0" fontId="46" fillId="18" borderId="33" xfId="0" applyFont="1" applyFill="1" applyBorder="1" applyAlignment="1">
      <alignment horizontal="left"/>
    </xf>
    <xf numFmtId="0" fontId="46" fillId="18" borderId="13" xfId="0" applyFont="1" applyFill="1" applyBorder="1" applyAlignment="1">
      <alignment horizontal="left"/>
    </xf>
    <xf numFmtId="0" fontId="7" fillId="18" borderId="36" xfId="0" applyFont="1" applyFill="1" applyBorder="1" applyAlignment="1">
      <alignment horizontal="center" vertical="center" wrapText="1"/>
    </xf>
    <xf numFmtId="0" fontId="7" fillId="18" borderId="14" xfId="0" applyFont="1" applyFill="1" applyBorder="1" applyAlignment="1">
      <alignment horizontal="center" vertical="center" wrapText="1"/>
    </xf>
    <xf numFmtId="0" fontId="7" fillId="18" borderId="37" xfId="0" applyFont="1" applyFill="1" applyBorder="1" applyAlignment="1">
      <alignment horizontal="center" vertical="center" wrapText="1"/>
    </xf>
    <xf numFmtId="0" fontId="6" fillId="0" borderId="36" xfId="0" applyFont="1" applyBorder="1" applyAlignment="1">
      <alignment horizontal="right" vertical="center" wrapText="1"/>
    </xf>
    <xf numFmtId="0" fontId="6" fillId="0" borderId="14" xfId="0" applyFont="1" applyBorder="1" applyAlignment="1">
      <alignment horizontal="right" vertical="center" wrapText="1"/>
    </xf>
    <xf numFmtId="0" fontId="6" fillId="0" borderId="37" xfId="0" applyFont="1" applyBorder="1" applyAlignment="1">
      <alignment horizontal="right" vertical="center" wrapText="1"/>
    </xf>
    <xf numFmtId="0" fontId="10" fillId="18" borderId="36" xfId="0" applyFont="1" applyFill="1" applyBorder="1" applyAlignment="1">
      <alignment horizontal="left" wrapText="1"/>
    </xf>
    <xf numFmtId="0" fontId="10" fillId="18" borderId="14" xfId="0" applyFont="1" applyFill="1" applyBorder="1" applyAlignment="1">
      <alignment horizontal="left" wrapText="1"/>
    </xf>
    <xf numFmtId="0" fontId="10" fillId="18" borderId="37" xfId="0" applyFont="1" applyFill="1" applyBorder="1" applyAlignment="1">
      <alignment horizontal="left" wrapText="1"/>
    </xf>
    <xf numFmtId="0" fontId="6" fillId="0" borderId="35" xfId="0" applyFont="1" applyBorder="1" applyAlignment="1">
      <alignment horizontal="left" vertical="top" wrapText="1"/>
    </xf>
    <xf numFmtId="0" fontId="60" fillId="18" borderId="35" xfId="0" applyFont="1" applyFill="1" applyBorder="1" applyAlignment="1">
      <alignment horizontal="center" vertical="center" wrapText="1"/>
    </xf>
    <xf numFmtId="0" fontId="64" fillId="18" borderId="36" xfId="0" applyFont="1" applyFill="1" applyBorder="1" applyAlignment="1">
      <alignment horizontal="left" wrapText="1"/>
    </xf>
    <xf numFmtId="0" fontId="64" fillId="18" borderId="14" xfId="0" applyFont="1" applyFill="1" applyBorder="1" applyAlignment="1">
      <alignment horizontal="left" wrapText="1"/>
    </xf>
    <xf numFmtId="0" fontId="64" fillId="18" borderId="33" xfId="0" applyFont="1" applyFill="1" applyBorder="1" applyAlignment="1">
      <alignment horizontal="left" wrapText="1"/>
    </xf>
    <xf numFmtId="0" fontId="62" fillId="0" borderId="35" xfId="0" applyFont="1" applyBorder="1" applyAlignment="1">
      <alignment horizontal="left" vertical="top" wrapText="1"/>
    </xf>
    <xf numFmtId="0" fontId="0" fillId="0" borderId="36" xfId="0" applyBorder="1" applyAlignment="1">
      <alignment horizontal="right" vertical="center" wrapText="1"/>
    </xf>
    <xf numFmtId="0" fontId="0" fillId="0" borderId="29" xfId="0" applyBorder="1" applyAlignment="1">
      <alignment horizontal="right" vertical="center" wrapText="1"/>
    </xf>
    <xf numFmtId="0" fontId="0" fillId="0" borderId="43" xfId="0" applyBorder="1" applyAlignment="1">
      <alignment horizontal="right" vertical="center" wrapText="1"/>
    </xf>
    <xf numFmtId="167" fontId="1" fillId="0" borderId="41" xfId="0" applyNumberFormat="1" applyFont="1" applyBorder="1" applyAlignment="1">
      <alignment horizontal="right" vertical="center" wrapText="1"/>
    </xf>
    <xf numFmtId="167" fontId="1" fillId="0" borderId="44" xfId="0" applyNumberFormat="1" applyFont="1" applyBorder="1" applyAlignment="1">
      <alignment horizontal="right" vertical="center" wrapText="1"/>
    </xf>
    <xf numFmtId="167" fontId="1" fillId="0" borderId="45" xfId="0" applyNumberFormat="1" applyFont="1" applyBorder="1" applyAlignment="1">
      <alignment horizontal="right" vertical="center" wrapText="1"/>
    </xf>
    <xf numFmtId="168" fontId="72" fillId="24" borderId="61" xfId="5101" applyNumberFormat="1" applyFont="1" applyFill="1" applyBorder="1" applyAlignment="1">
      <alignment horizontal="center" vertical="center" wrapText="1"/>
    </xf>
    <xf numFmtId="168" fontId="72" fillId="24" borderId="60" xfId="5101" applyNumberFormat="1" applyFont="1" applyFill="1" applyBorder="1" applyAlignment="1">
      <alignment horizontal="center" vertical="center" wrapText="1"/>
    </xf>
    <xf numFmtId="168" fontId="72" fillId="24" borderId="64" xfId="5101" applyNumberFormat="1" applyFont="1" applyFill="1" applyBorder="1" applyAlignment="1">
      <alignment horizontal="center" vertical="center" wrapText="1"/>
    </xf>
    <xf numFmtId="0" fontId="66" fillId="0" borderId="35" xfId="0" applyFont="1" applyBorder="1" applyAlignment="1">
      <alignment horizontal="left" vertical="top"/>
    </xf>
    <xf numFmtId="2" fontId="67" fillId="23" borderId="35" xfId="0" applyNumberFormat="1" applyFont="1" applyFill="1" applyBorder="1" applyAlignment="1">
      <alignment horizontal="center" vertical="center" wrapText="1"/>
    </xf>
    <xf numFmtId="0" fontId="50" fillId="0" borderId="48" xfId="0" applyFont="1" applyBorder="1" applyAlignment="1">
      <alignment horizontal="center" vertical="center"/>
    </xf>
    <xf numFmtId="0" fontId="50" fillId="0" borderId="33" xfId="0" applyFont="1" applyBorder="1" applyAlignment="1">
      <alignment horizontal="center" vertical="center"/>
    </xf>
    <xf numFmtId="0" fontId="50" fillId="0" borderId="49" xfId="0" applyFont="1" applyBorder="1" applyAlignment="1">
      <alignment horizontal="center" vertical="center"/>
    </xf>
    <xf numFmtId="0" fontId="48" fillId="18" borderId="35" xfId="0" applyFont="1" applyFill="1" applyBorder="1" applyAlignment="1">
      <alignment horizontal="center" vertical="center" wrapText="1"/>
    </xf>
    <xf numFmtId="0" fontId="49" fillId="0" borderId="35" xfId="0" applyFont="1" applyBorder="1" applyAlignment="1">
      <alignment horizontal="right" vertical="center"/>
    </xf>
    <xf numFmtId="0" fontId="59" fillId="18" borderId="58" xfId="0" applyFont="1" applyFill="1" applyBorder="1" applyAlignment="1">
      <alignment horizontal="left" vertical="center"/>
    </xf>
    <xf numFmtId="0" fontId="49" fillId="0" borderId="35" xfId="0" applyFont="1" applyBorder="1" applyAlignment="1">
      <alignment horizontal="right" vertical="center" wrapText="1"/>
    </xf>
    <xf numFmtId="0" fontId="53" fillId="0" borderId="59" xfId="0" applyFont="1" applyBorder="1" applyAlignment="1">
      <alignment horizontal="left" vertical="center" wrapText="1"/>
    </xf>
    <xf numFmtId="0" fontId="53" fillId="0" borderId="44" xfId="0" applyFont="1" applyBorder="1" applyAlignment="1">
      <alignment horizontal="left" vertical="center" wrapText="1"/>
    </xf>
    <xf numFmtId="0" fontId="53" fillId="0" borderId="45" xfId="0" applyFont="1" applyBorder="1" applyAlignment="1">
      <alignment horizontal="left" vertical="center" wrapText="1"/>
    </xf>
    <xf numFmtId="0" fontId="53" fillId="0" borderId="47" xfId="0" applyFont="1" applyBorder="1" applyAlignment="1">
      <alignment horizontal="left" vertical="center" wrapText="1"/>
    </xf>
    <xf numFmtId="0" fontId="53" fillId="0" borderId="0" xfId="0" applyFont="1" applyAlignment="1">
      <alignment horizontal="left" vertical="center" wrapText="1"/>
    </xf>
    <xf numFmtId="0" fontId="53" fillId="0" borderId="50" xfId="0" applyFont="1" applyBorder="1" applyAlignment="1">
      <alignment horizontal="left" vertical="center" wrapText="1"/>
    </xf>
    <xf numFmtId="168" fontId="65" fillId="18" borderId="48" xfId="6" applyNumberFormat="1" applyFont="1" applyFill="1" applyBorder="1" applyAlignment="1">
      <alignment horizontal="center" vertical="center" wrapText="1"/>
    </xf>
    <xf numFmtId="168" fontId="65" fillId="18" borderId="33" xfId="6" applyNumberFormat="1" applyFont="1" applyFill="1" applyBorder="1" applyAlignment="1">
      <alignment horizontal="center" vertical="center" wrapText="1"/>
    </xf>
    <xf numFmtId="168" fontId="65" fillId="18" borderId="49" xfId="6" applyNumberFormat="1" applyFont="1" applyFill="1" applyBorder="1" applyAlignment="1">
      <alignment horizontal="center" vertical="center" wrapText="1"/>
    </xf>
    <xf numFmtId="168" fontId="65" fillId="18" borderId="35" xfId="6" applyNumberFormat="1" applyFont="1" applyFill="1" applyBorder="1" applyAlignment="1">
      <alignment horizontal="center" vertical="center" wrapText="1"/>
    </xf>
    <xf numFmtId="0" fontId="53" fillId="0" borderId="40" xfId="0" applyFont="1" applyBorder="1" applyAlignment="1">
      <alignment horizontal="left" vertical="center" wrapText="1"/>
    </xf>
    <xf numFmtId="0" fontId="7" fillId="18" borderId="35" xfId="0" applyFont="1" applyFill="1" applyBorder="1" applyAlignment="1">
      <alignment horizontal="center" vertical="center" wrapText="1"/>
    </xf>
    <xf numFmtId="0" fontId="8" fillId="0" borderId="48" xfId="0" applyFont="1" applyBorder="1" applyAlignment="1">
      <alignment horizontal="right" vertical="center" wrapText="1"/>
    </xf>
    <xf numFmtId="0" fontId="8" fillId="0" borderId="33" xfId="0" applyFont="1" applyBorder="1" applyAlignment="1">
      <alignment horizontal="right" vertical="center" wrapText="1"/>
    </xf>
    <xf numFmtId="0" fontId="8" fillId="0" borderId="49" xfId="0" applyFont="1" applyBorder="1" applyAlignment="1">
      <alignment horizontal="right" vertical="center" wrapText="1"/>
    </xf>
    <xf numFmtId="167" fontId="9" fillId="0" borderId="59" xfId="0" applyNumberFormat="1" applyFont="1" applyBorder="1" applyAlignment="1">
      <alignment horizontal="right" vertical="center" wrapText="1"/>
    </xf>
    <xf numFmtId="167" fontId="9" fillId="0" borderId="44" xfId="0" applyNumberFormat="1" applyFont="1" applyBorder="1" applyAlignment="1">
      <alignment horizontal="right" vertical="center" wrapText="1"/>
    </xf>
    <xf numFmtId="167" fontId="9" fillId="0" borderId="55" xfId="0" applyNumberFormat="1" applyFont="1" applyBorder="1" applyAlignment="1">
      <alignment horizontal="right" vertical="center" wrapText="1"/>
    </xf>
    <xf numFmtId="0" fontId="10" fillId="18" borderId="48" xfId="0" applyFont="1" applyFill="1" applyBorder="1" applyAlignment="1">
      <alignment horizontal="left" wrapText="1"/>
    </xf>
    <xf numFmtId="0" fontId="10" fillId="18" borderId="33" xfId="0" applyFont="1" applyFill="1" applyBorder="1" applyAlignment="1">
      <alignment horizontal="left" wrapText="1"/>
    </xf>
    <xf numFmtId="0" fontId="62" fillId="0" borderId="35" xfId="0" applyFont="1" applyBorder="1" applyAlignment="1">
      <alignment horizontal="right" vertical="center" wrapText="1"/>
    </xf>
    <xf numFmtId="0" fontId="64" fillId="18" borderId="37" xfId="0" applyFont="1" applyFill="1" applyBorder="1" applyAlignment="1">
      <alignment horizontal="left" wrapText="1"/>
    </xf>
    <xf numFmtId="168" fontId="77" fillId="24" borderId="62" xfId="5101" applyNumberFormat="1" applyFont="1" applyFill="1" applyBorder="1" applyAlignment="1">
      <alignment horizontal="center" vertical="top" wrapText="1"/>
    </xf>
    <xf numFmtId="168" fontId="77" fillId="24" borderId="65" xfId="5101" applyNumberFormat="1" applyFont="1" applyFill="1" applyBorder="1" applyAlignment="1">
      <alignment horizontal="center" vertical="top" wrapText="1"/>
    </xf>
    <xf numFmtId="168" fontId="77" fillId="24" borderId="66" xfId="5101" applyNumberFormat="1" applyFont="1" applyFill="1" applyBorder="1" applyAlignment="1">
      <alignment horizontal="center" vertical="top" wrapText="1"/>
    </xf>
    <xf numFmtId="0" fontId="7" fillId="18" borderId="48" xfId="0" applyFont="1" applyFill="1" applyBorder="1" applyAlignment="1">
      <alignment horizontal="center" wrapText="1"/>
    </xf>
    <xf numFmtId="0" fontId="7" fillId="18" borderId="33" xfId="0" applyFont="1" applyFill="1" applyBorder="1" applyAlignment="1">
      <alignment horizontal="center" wrapText="1"/>
    </xf>
    <xf numFmtId="0" fontId="7" fillId="18" borderId="49" xfId="0" applyFont="1" applyFill="1" applyBorder="1" applyAlignment="1">
      <alignment horizontal="center" wrapText="1"/>
    </xf>
    <xf numFmtId="0" fontId="6" fillId="0" borderId="48" xfId="0" applyFont="1" applyBorder="1" applyAlignment="1">
      <alignment horizontal="right" vertical="center" wrapText="1"/>
    </xf>
    <xf numFmtId="0" fontId="6" fillId="0" borderId="33" xfId="0" applyFont="1" applyBorder="1" applyAlignment="1">
      <alignment horizontal="right" vertical="center" wrapText="1"/>
    </xf>
    <xf numFmtId="0" fontId="6" fillId="0" borderId="49" xfId="0" applyFont="1" applyBorder="1" applyAlignment="1">
      <alignment horizontal="right" vertical="center" wrapText="1"/>
    </xf>
    <xf numFmtId="0" fontId="10" fillId="3" borderId="48" xfId="0" applyFont="1" applyFill="1" applyBorder="1" applyAlignment="1">
      <alignment horizontal="left" wrapText="1"/>
    </xf>
    <xf numFmtId="0" fontId="10" fillId="3" borderId="33" xfId="0" applyFont="1" applyFill="1" applyBorder="1" applyAlignment="1">
      <alignment horizontal="left" wrapText="1"/>
    </xf>
    <xf numFmtId="0" fontId="10" fillId="3" borderId="49" xfId="0" applyFont="1" applyFill="1" applyBorder="1" applyAlignment="1">
      <alignment horizontal="left" wrapText="1"/>
    </xf>
    <xf numFmtId="2" fontId="78" fillId="18" borderId="35" xfId="439" applyNumberFormat="1" applyFont="1" applyFill="1" applyBorder="1" applyAlignment="1">
      <alignment horizontal="center" vertical="top"/>
    </xf>
    <xf numFmtId="168" fontId="77" fillId="24" borderId="35" xfId="5101" applyNumberFormat="1" applyFont="1" applyFill="1" applyBorder="1" applyAlignment="1">
      <alignment horizontal="center" vertical="top" wrapText="1"/>
    </xf>
    <xf numFmtId="2" fontId="77" fillId="0" borderId="35" xfId="439" applyNumberFormat="1" applyFont="1" applyBorder="1" applyAlignment="1">
      <alignment horizontal="center" vertical="top"/>
    </xf>
    <xf numFmtId="0" fontId="7" fillId="18" borderId="36" xfId="0" applyFont="1" applyFill="1" applyBorder="1" applyAlignment="1">
      <alignment horizontal="center" wrapText="1"/>
    </xf>
    <xf numFmtId="0" fontId="7" fillId="18" borderId="14" xfId="0" applyFont="1" applyFill="1" applyBorder="1" applyAlignment="1">
      <alignment horizontal="center" wrapText="1"/>
    </xf>
    <xf numFmtId="0" fontId="7" fillId="18" borderId="37" xfId="0" applyFont="1" applyFill="1" applyBorder="1" applyAlignment="1">
      <alignment horizontal="center" wrapText="1"/>
    </xf>
    <xf numFmtId="0" fontId="6" fillId="0" borderId="29" xfId="0" applyFont="1" applyBorder="1" applyAlignment="1">
      <alignment horizontal="right" vertical="center" wrapText="1"/>
    </xf>
    <xf numFmtId="0" fontId="6" fillId="0" borderId="43" xfId="0" applyFont="1" applyBorder="1" applyAlignment="1">
      <alignment horizontal="right" vertical="center" wrapText="1"/>
    </xf>
    <xf numFmtId="0" fontId="10" fillId="18" borderId="49" xfId="0" applyFont="1" applyFill="1" applyBorder="1" applyAlignment="1">
      <alignment horizontal="left" wrapText="1"/>
    </xf>
    <xf numFmtId="0" fontId="7" fillId="18" borderId="47" xfId="0" applyFont="1" applyFill="1" applyBorder="1" applyAlignment="1">
      <alignment horizontal="center" wrapText="1"/>
    </xf>
    <xf numFmtId="0" fontId="7" fillId="18" borderId="0" xfId="0" applyFont="1" applyFill="1" applyAlignment="1">
      <alignment horizontal="center" wrapText="1"/>
    </xf>
    <xf numFmtId="0" fontId="6" fillId="0" borderId="42" xfId="0" applyFont="1" applyBorder="1" applyAlignment="1">
      <alignment horizontal="right" vertical="center" wrapText="1"/>
    </xf>
    <xf numFmtId="0" fontId="6" fillId="0" borderId="51" xfId="0" applyFont="1" applyBorder="1" applyAlignment="1">
      <alignment horizontal="right" vertical="center" wrapText="1"/>
    </xf>
    <xf numFmtId="0" fontId="10" fillId="18" borderId="59" xfId="0" applyFont="1" applyFill="1" applyBorder="1" applyAlignment="1">
      <alignment horizontal="left" wrapText="1"/>
    </xf>
    <xf numFmtId="0" fontId="10" fillId="18" borderId="44" xfId="0" applyFont="1" applyFill="1" applyBorder="1" applyAlignment="1">
      <alignment horizontal="left" wrapText="1"/>
    </xf>
    <xf numFmtId="0" fontId="6" fillId="0" borderId="47" xfId="0" applyFont="1" applyBorder="1" applyAlignment="1">
      <alignment horizontal="left" vertical="top" wrapText="1"/>
    </xf>
    <xf numFmtId="0" fontId="6" fillId="0" borderId="0" xfId="0" applyFont="1" applyAlignment="1">
      <alignment horizontal="left" vertical="top" wrapText="1"/>
    </xf>
    <xf numFmtId="0" fontId="8" fillId="0" borderId="35" xfId="0" applyFont="1" applyBorder="1" applyAlignment="1">
      <alignment horizontal="left" vertical="center" wrapText="1"/>
    </xf>
    <xf numFmtId="168" fontId="70" fillId="24" borderId="67" xfId="5101" applyNumberFormat="1" applyFont="1" applyFill="1" applyBorder="1" applyAlignment="1">
      <alignment horizontal="center" vertical="center" wrapText="1"/>
    </xf>
    <xf numFmtId="168" fontId="70" fillId="24" borderId="68" xfId="5101" applyNumberFormat="1" applyFont="1" applyFill="1" applyBorder="1" applyAlignment="1">
      <alignment horizontal="center" vertical="center" wrapText="1"/>
    </xf>
    <xf numFmtId="0" fontId="6" fillId="0" borderId="59" xfId="0" applyFont="1" applyBorder="1" applyAlignment="1">
      <alignment horizontal="left" vertical="top" wrapText="1"/>
    </xf>
    <xf numFmtId="0" fontId="6" fillId="0" borderId="44" xfId="0" applyFont="1" applyBorder="1" applyAlignment="1">
      <alignment horizontal="left" vertical="top" wrapText="1"/>
    </xf>
    <xf numFmtId="168" fontId="70" fillId="24" borderId="35" xfId="5101" applyNumberFormat="1" applyFont="1" applyFill="1" applyBorder="1" applyAlignment="1">
      <alignment horizontal="center" vertical="center" wrapText="1"/>
    </xf>
    <xf numFmtId="168" fontId="70" fillId="24" borderId="35" xfId="5101" applyNumberFormat="1" applyFont="1" applyFill="1" applyBorder="1" applyAlignment="1">
      <alignment horizontal="center" vertical="top" wrapText="1"/>
    </xf>
    <xf numFmtId="0" fontId="10" fillId="3" borderId="36" xfId="0" applyFont="1" applyFill="1" applyBorder="1" applyAlignment="1">
      <alignment horizontal="left" wrapText="1"/>
    </xf>
    <xf numFmtId="0" fontId="10" fillId="3" borderId="14" xfId="0" applyFont="1" applyFill="1" applyBorder="1" applyAlignment="1">
      <alignment horizontal="left" wrapText="1"/>
    </xf>
    <xf numFmtId="0" fontId="10" fillId="3" borderId="37" xfId="0" applyFont="1" applyFill="1" applyBorder="1" applyAlignment="1">
      <alignment horizontal="left" wrapText="1"/>
    </xf>
    <xf numFmtId="0" fontId="53" fillId="0" borderId="35" xfId="0" applyFont="1" applyBorder="1" applyAlignment="1">
      <alignment horizontal="justify" vertical="center"/>
    </xf>
    <xf numFmtId="0" fontId="51" fillId="0" borderId="35" xfId="0" applyFont="1" applyBorder="1" applyAlignment="1">
      <alignment horizontal="right" vertical="center" wrapText="1"/>
    </xf>
    <xf numFmtId="0" fontId="0" fillId="0" borderId="35" xfId="0" applyBorder="1" applyAlignment="1">
      <alignment wrapText="1"/>
    </xf>
    <xf numFmtId="0" fontId="59" fillId="18" borderId="35" xfId="0" applyFont="1" applyFill="1" applyBorder="1" applyAlignment="1">
      <alignment vertical="center"/>
    </xf>
    <xf numFmtId="0" fontId="51" fillId="20" borderId="53" xfId="0" applyFont="1" applyFill="1" applyBorder="1" applyAlignment="1">
      <alignment horizontal="left" vertical="center" wrapText="1"/>
    </xf>
    <xf numFmtId="0" fontId="51" fillId="20" borderId="54" xfId="0" applyFont="1" applyFill="1" applyBorder="1" applyAlignment="1">
      <alignment horizontal="left" vertical="center" wrapText="1"/>
    </xf>
    <xf numFmtId="0" fontId="51" fillId="20" borderId="55" xfId="0" applyFont="1" applyFill="1" applyBorder="1" applyAlignment="1">
      <alignment horizontal="left" vertical="center" wrapText="1"/>
    </xf>
    <xf numFmtId="0" fontId="51" fillId="20" borderId="56" xfId="0" applyFont="1" applyFill="1" applyBorder="1" applyAlignment="1">
      <alignment horizontal="left" vertical="center" wrapText="1"/>
    </xf>
    <xf numFmtId="0" fontId="51" fillId="20" borderId="9" xfId="0" applyFont="1" applyFill="1" applyBorder="1" applyAlignment="1">
      <alignment horizontal="left" vertical="center" wrapText="1"/>
    </xf>
    <xf numFmtId="0" fontId="51" fillId="20" borderId="50" xfId="0" applyFont="1" applyFill="1" applyBorder="1" applyAlignment="1">
      <alignment horizontal="left" vertical="center" wrapText="1"/>
    </xf>
    <xf numFmtId="0" fontId="51" fillId="20" borderId="46" xfId="0" applyFont="1" applyFill="1" applyBorder="1" applyAlignment="1">
      <alignment horizontal="left" vertical="center" wrapText="1"/>
    </xf>
    <xf numFmtId="0" fontId="51" fillId="20" borderId="57" xfId="0" applyFont="1" applyFill="1" applyBorder="1" applyAlignment="1">
      <alignment horizontal="left" vertical="center" wrapText="1"/>
    </xf>
    <xf numFmtId="0" fontId="51" fillId="20" borderId="52" xfId="0" applyFont="1" applyFill="1" applyBorder="1" applyAlignment="1">
      <alignment horizontal="left" vertical="center" wrapText="1"/>
    </xf>
    <xf numFmtId="0" fontId="48" fillId="18" borderId="35" xfId="0" applyFont="1" applyFill="1" applyBorder="1" applyAlignment="1">
      <alignment horizontal="center" vertical="center"/>
    </xf>
    <xf numFmtId="0" fontId="53" fillId="0" borderId="47" xfId="0" applyFont="1" applyBorder="1" applyAlignment="1">
      <alignment horizontal="justify" vertical="center"/>
    </xf>
    <xf numFmtId="0" fontId="53" fillId="0" borderId="0" xfId="0" applyFont="1" applyAlignment="1">
      <alignment horizontal="justify" vertical="center"/>
    </xf>
    <xf numFmtId="0" fontId="53" fillId="0" borderId="50" xfId="0" applyFont="1" applyBorder="1" applyAlignment="1">
      <alignment horizontal="justify" vertical="center"/>
    </xf>
    <xf numFmtId="0" fontId="53" fillId="0" borderId="42" xfId="0" applyFont="1" applyBorder="1" applyAlignment="1">
      <alignment horizontal="justify" vertical="center"/>
    </xf>
    <xf numFmtId="0" fontId="53" fillId="0" borderId="51" xfId="0" applyFont="1" applyBorder="1" applyAlignment="1">
      <alignment horizontal="justify" vertical="center"/>
    </xf>
    <xf numFmtId="0" fontId="53" fillId="0" borderId="52" xfId="0" applyFont="1" applyBorder="1" applyAlignment="1">
      <alignment horizontal="justify" vertical="center"/>
    </xf>
    <xf numFmtId="0" fontId="50" fillId="0" borderId="35" xfId="0" applyFont="1" applyBorder="1" applyAlignment="1">
      <alignment vertical="center" wrapText="1"/>
    </xf>
    <xf numFmtId="0" fontId="53" fillId="19" borderId="35" xfId="0" applyFont="1" applyFill="1" applyBorder="1" applyAlignment="1">
      <alignment vertical="center"/>
    </xf>
    <xf numFmtId="0" fontId="53" fillId="0" borderId="47" xfId="0" applyFont="1" applyBorder="1" applyAlignment="1">
      <alignment horizontal="justify" vertical="center" wrapText="1"/>
    </xf>
  </cellXfs>
  <cellStyles count="5102">
    <cellStyle name=" _x0007_LÓ_x0018_ÄþÍN^NuNVþˆHÁ_x0001__x0018_(n" xfId="35" xr:uid="{00000000-0005-0000-0000-000000000000}"/>
    <cellStyle name="%" xfId="36" xr:uid="{00000000-0005-0000-0000-000001000000}"/>
    <cellStyle name="%_eFunds ETR Q3 -2007" xfId="37" xr:uid="{00000000-0005-0000-0000-000002000000}"/>
    <cellStyle name="??" xfId="38" xr:uid="{00000000-0005-0000-0000-000003000000}"/>
    <cellStyle name="?? [0.00]_PERSONAL" xfId="39" xr:uid="{00000000-0005-0000-0000-000004000000}"/>
    <cellStyle name="???? [0.00]_PERSONAL" xfId="40" xr:uid="{00000000-0005-0000-0000-000005000000}"/>
    <cellStyle name="????_PERSONAL" xfId="41" xr:uid="{00000000-0005-0000-0000-000006000000}"/>
    <cellStyle name="??_PERSONAL" xfId="42" xr:uid="{00000000-0005-0000-0000-000007000000}"/>
    <cellStyle name="_Worksheet in 2262" xfId="43" xr:uid="{00000000-0005-0000-0000-000008000000}"/>
    <cellStyle name="=C:\WINNT\SYSTEM32\COMMAND.COM" xfId="22" xr:uid="{00000000-0005-0000-0000-000009000000}"/>
    <cellStyle name="=C:\WINNT\SYSTEM32\COMMAND.COM 2" xfId="27" xr:uid="{00000000-0005-0000-0000-00000A000000}"/>
    <cellStyle name="Body" xfId="44" xr:uid="{00000000-0005-0000-0000-00000B000000}"/>
    <cellStyle name="Calc Currency (0)" xfId="45" xr:uid="{00000000-0005-0000-0000-00000C000000}"/>
    <cellStyle name="Calc Currency (2)" xfId="46" xr:uid="{00000000-0005-0000-0000-00000D000000}"/>
    <cellStyle name="Calc Percent (0)" xfId="47" xr:uid="{00000000-0005-0000-0000-00000E000000}"/>
    <cellStyle name="Calc Percent (1)" xfId="48" xr:uid="{00000000-0005-0000-0000-00000F000000}"/>
    <cellStyle name="Calc Percent (2)" xfId="49" xr:uid="{00000000-0005-0000-0000-000010000000}"/>
    <cellStyle name="Calc Units (0)" xfId="50" xr:uid="{00000000-0005-0000-0000-000011000000}"/>
    <cellStyle name="Calc Units (1)" xfId="51" xr:uid="{00000000-0005-0000-0000-000012000000}"/>
    <cellStyle name="Calc Units (2)" xfId="52" xr:uid="{00000000-0005-0000-0000-000013000000}"/>
    <cellStyle name="category" xfId="53" xr:uid="{00000000-0005-0000-0000-000014000000}"/>
    <cellStyle name="category 2" xfId="54" xr:uid="{00000000-0005-0000-0000-000015000000}"/>
    <cellStyle name="Comma" xfId="1" builtinId="3"/>
    <cellStyle name="Comma [00]" xfId="56" xr:uid="{00000000-0005-0000-0000-000017000000}"/>
    <cellStyle name="Comma 10" xfId="57" xr:uid="{00000000-0005-0000-0000-000018000000}"/>
    <cellStyle name="Comma 10 2" xfId="873" xr:uid="{00000000-0005-0000-0000-000019000000}"/>
    <cellStyle name="Comma 10 2 2" xfId="1661" xr:uid="{00000000-0005-0000-0000-00001A000000}"/>
    <cellStyle name="Comma 10 2 2 2" xfId="3905" xr:uid="{00000000-0005-0000-0000-00001B000000}"/>
    <cellStyle name="Comma 10 2 3" xfId="2385" xr:uid="{00000000-0005-0000-0000-00001C000000}"/>
    <cellStyle name="Comma 10 2 3 2" xfId="4629" xr:uid="{00000000-0005-0000-0000-00001D000000}"/>
    <cellStyle name="Comma 10 2 4" xfId="3119" xr:uid="{00000000-0005-0000-0000-00001E000000}"/>
    <cellStyle name="Comma 10 3" xfId="1067" xr:uid="{00000000-0005-0000-0000-00001F000000}"/>
    <cellStyle name="Comma 10 3 2" xfId="1854" xr:uid="{00000000-0005-0000-0000-000020000000}"/>
    <cellStyle name="Comma 10 3 2 2" xfId="4098" xr:uid="{00000000-0005-0000-0000-000021000000}"/>
    <cellStyle name="Comma 10 3 3" xfId="2578" xr:uid="{00000000-0005-0000-0000-000022000000}"/>
    <cellStyle name="Comma 10 3 3 2" xfId="4822" xr:uid="{00000000-0005-0000-0000-000023000000}"/>
    <cellStyle name="Comma 10 3 4" xfId="3312" xr:uid="{00000000-0005-0000-0000-000024000000}"/>
    <cellStyle name="Comma 10 4" xfId="1080" xr:uid="{00000000-0005-0000-0000-000025000000}"/>
    <cellStyle name="Comma 10 4 2" xfId="1867" xr:uid="{00000000-0005-0000-0000-000026000000}"/>
    <cellStyle name="Comma 10 4 2 2" xfId="4111" xr:uid="{00000000-0005-0000-0000-000027000000}"/>
    <cellStyle name="Comma 10 4 3" xfId="2591" xr:uid="{00000000-0005-0000-0000-000028000000}"/>
    <cellStyle name="Comma 10 4 3 2" xfId="4835" xr:uid="{00000000-0005-0000-0000-000029000000}"/>
    <cellStyle name="Comma 10 4 4" xfId="3325" xr:uid="{00000000-0005-0000-0000-00002A000000}"/>
    <cellStyle name="Comma 10 5" xfId="1126" xr:uid="{00000000-0005-0000-0000-00002B000000}"/>
    <cellStyle name="Comma 10 5 2" xfId="1913" xr:uid="{00000000-0005-0000-0000-00002C000000}"/>
    <cellStyle name="Comma 10 5 2 2" xfId="4157" xr:uid="{00000000-0005-0000-0000-00002D000000}"/>
    <cellStyle name="Comma 10 5 3" xfId="2637" xr:uid="{00000000-0005-0000-0000-00002E000000}"/>
    <cellStyle name="Comma 10 5 3 2" xfId="4881" xr:uid="{00000000-0005-0000-0000-00002F000000}"/>
    <cellStyle name="Comma 10 5 4" xfId="3371" xr:uid="{00000000-0005-0000-0000-000030000000}"/>
    <cellStyle name="Comma 10 6" xfId="1341" xr:uid="{00000000-0005-0000-0000-000031000000}"/>
    <cellStyle name="Comma 10 6 2" xfId="3585" xr:uid="{00000000-0005-0000-0000-000032000000}"/>
    <cellStyle name="Comma 10 7" xfId="2127" xr:uid="{00000000-0005-0000-0000-000033000000}"/>
    <cellStyle name="Comma 10 7 2" xfId="4371" xr:uid="{00000000-0005-0000-0000-000034000000}"/>
    <cellStyle name="Comma 10 8" xfId="2851" xr:uid="{00000000-0005-0000-0000-000035000000}"/>
    <cellStyle name="Comma 11" xfId="58" xr:uid="{00000000-0005-0000-0000-000036000000}"/>
    <cellStyle name="Comma 12" xfId="12" xr:uid="{00000000-0005-0000-0000-000037000000}"/>
    <cellStyle name="Comma 12 2" xfId="59" xr:uid="{00000000-0005-0000-0000-000038000000}"/>
    <cellStyle name="Comma 12 2 2" xfId="874" xr:uid="{00000000-0005-0000-0000-000039000000}"/>
    <cellStyle name="Comma 12 2 2 2" xfId="1662" xr:uid="{00000000-0005-0000-0000-00003A000000}"/>
    <cellStyle name="Comma 12 2 2 2 2" xfId="3906" xr:uid="{00000000-0005-0000-0000-00003B000000}"/>
    <cellStyle name="Comma 12 2 2 3" xfId="2386" xr:uid="{00000000-0005-0000-0000-00003C000000}"/>
    <cellStyle name="Comma 12 2 2 3 2" xfId="4630" xr:uid="{00000000-0005-0000-0000-00003D000000}"/>
    <cellStyle name="Comma 12 2 2 4" xfId="3120" xr:uid="{00000000-0005-0000-0000-00003E000000}"/>
    <cellStyle name="Comma 12 2 3" xfId="1127" xr:uid="{00000000-0005-0000-0000-00003F000000}"/>
    <cellStyle name="Comma 12 2 3 2" xfId="1914" xr:uid="{00000000-0005-0000-0000-000040000000}"/>
    <cellStyle name="Comma 12 2 3 2 2" xfId="4158" xr:uid="{00000000-0005-0000-0000-000041000000}"/>
    <cellStyle name="Comma 12 2 3 3" xfId="2638" xr:uid="{00000000-0005-0000-0000-000042000000}"/>
    <cellStyle name="Comma 12 2 3 3 2" xfId="4882" xr:uid="{00000000-0005-0000-0000-000043000000}"/>
    <cellStyle name="Comma 12 2 3 4" xfId="3372" xr:uid="{00000000-0005-0000-0000-000044000000}"/>
    <cellStyle name="Comma 12 2 4" xfId="1342" xr:uid="{00000000-0005-0000-0000-000045000000}"/>
    <cellStyle name="Comma 12 2 4 2" xfId="3586" xr:uid="{00000000-0005-0000-0000-000046000000}"/>
    <cellStyle name="Comma 12 2 5" xfId="2128" xr:uid="{00000000-0005-0000-0000-000047000000}"/>
    <cellStyle name="Comma 12 2 5 2" xfId="4372" xr:uid="{00000000-0005-0000-0000-000048000000}"/>
    <cellStyle name="Comma 12 2 6" xfId="2852" xr:uid="{00000000-0005-0000-0000-000049000000}"/>
    <cellStyle name="Comma 12 3" xfId="859" xr:uid="{00000000-0005-0000-0000-00004A000000}"/>
    <cellStyle name="Comma 12 3 2" xfId="1647" xr:uid="{00000000-0005-0000-0000-00004B000000}"/>
    <cellStyle name="Comma 12 3 2 2" xfId="3891" xr:uid="{00000000-0005-0000-0000-00004C000000}"/>
    <cellStyle name="Comma 12 3 3" xfId="2371" xr:uid="{00000000-0005-0000-0000-00004D000000}"/>
    <cellStyle name="Comma 12 3 3 2" xfId="4615" xr:uid="{00000000-0005-0000-0000-00004E000000}"/>
    <cellStyle name="Comma 12 3 4" xfId="3105" xr:uid="{00000000-0005-0000-0000-00004F000000}"/>
    <cellStyle name="Comma 13" xfId="60" xr:uid="{00000000-0005-0000-0000-000050000000}"/>
    <cellStyle name="Comma 14" xfId="61" xr:uid="{00000000-0005-0000-0000-000051000000}"/>
    <cellStyle name="Comma 14 2" xfId="875" xr:uid="{00000000-0005-0000-0000-000052000000}"/>
    <cellStyle name="Comma 14 2 2" xfId="1663" xr:uid="{00000000-0005-0000-0000-000053000000}"/>
    <cellStyle name="Comma 14 2 2 2" xfId="3907" xr:uid="{00000000-0005-0000-0000-000054000000}"/>
    <cellStyle name="Comma 14 2 3" xfId="2387" xr:uid="{00000000-0005-0000-0000-000055000000}"/>
    <cellStyle name="Comma 14 2 3 2" xfId="4631" xr:uid="{00000000-0005-0000-0000-000056000000}"/>
    <cellStyle name="Comma 14 2 4" xfId="3121" xr:uid="{00000000-0005-0000-0000-000057000000}"/>
    <cellStyle name="Comma 14 3" xfId="1128" xr:uid="{00000000-0005-0000-0000-000058000000}"/>
    <cellStyle name="Comma 14 3 2" xfId="1915" xr:uid="{00000000-0005-0000-0000-000059000000}"/>
    <cellStyle name="Comma 14 3 2 2" xfId="4159" xr:uid="{00000000-0005-0000-0000-00005A000000}"/>
    <cellStyle name="Comma 14 3 3" xfId="2639" xr:uid="{00000000-0005-0000-0000-00005B000000}"/>
    <cellStyle name="Comma 14 3 3 2" xfId="4883" xr:uid="{00000000-0005-0000-0000-00005C000000}"/>
    <cellStyle name="Comma 14 3 4" xfId="3373" xr:uid="{00000000-0005-0000-0000-00005D000000}"/>
    <cellStyle name="Comma 14 4" xfId="1343" xr:uid="{00000000-0005-0000-0000-00005E000000}"/>
    <cellStyle name="Comma 14 4 2" xfId="3587" xr:uid="{00000000-0005-0000-0000-00005F000000}"/>
    <cellStyle name="Comma 14 5" xfId="2129" xr:uid="{00000000-0005-0000-0000-000060000000}"/>
    <cellStyle name="Comma 14 5 2" xfId="4373" xr:uid="{00000000-0005-0000-0000-000061000000}"/>
    <cellStyle name="Comma 14 6" xfId="2853" xr:uid="{00000000-0005-0000-0000-000062000000}"/>
    <cellStyle name="Comma 15" xfId="62" xr:uid="{00000000-0005-0000-0000-000063000000}"/>
    <cellStyle name="Comma 15 2" xfId="876" xr:uid="{00000000-0005-0000-0000-000064000000}"/>
    <cellStyle name="Comma 15 2 2" xfId="1664" xr:uid="{00000000-0005-0000-0000-000065000000}"/>
    <cellStyle name="Comma 15 2 2 2" xfId="3908" xr:uid="{00000000-0005-0000-0000-000066000000}"/>
    <cellStyle name="Comma 15 2 3" xfId="2388" xr:uid="{00000000-0005-0000-0000-000067000000}"/>
    <cellStyle name="Comma 15 2 3 2" xfId="4632" xr:uid="{00000000-0005-0000-0000-000068000000}"/>
    <cellStyle name="Comma 15 2 4" xfId="3122" xr:uid="{00000000-0005-0000-0000-000069000000}"/>
    <cellStyle name="Comma 15 3" xfId="1129" xr:uid="{00000000-0005-0000-0000-00006A000000}"/>
    <cellStyle name="Comma 15 3 2" xfId="1916" xr:uid="{00000000-0005-0000-0000-00006B000000}"/>
    <cellStyle name="Comma 15 3 2 2" xfId="4160" xr:uid="{00000000-0005-0000-0000-00006C000000}"/>
    <cellStyle name="Comma 15 3 3" xfId="2640" xr:uid="{00000000-0005-0000-0000-00006D000000}"/>
    <cellStyle name="Comma 15 3 3 2" xfId="4884" xr:uid="{00000000-0005-0000-0000-00006E000000}"/>
    <cellStyle name="Comma 15 3 4" xfId="3374" xr:uid="{00000000-0005-0000-0000-00006F000000}"/>
    <cellStyle name="Comma 15 4" xfId="1344" xr:uid="{00000000-0005-0000-0000-000070000000}"/>
    <cellStyle name="Comma 15 4 2" xfId="3588" xr:uid="{00000000-0005-0000-0000-000071000000}"/>
    <cellStyle name="Comma 15 5" xfId="2130" xr:uid="{00000000-0005-0000-0000-000072000000}"/>
    <cellStyle name="Comma 15 5 2" xfId="4374" xr:uid="{00000000-0005-0000-0000-000073000000}"/>
    <cellStyle name="Comma 15 6" xfId="2854" xr:uid="{00000000-0005-0000-0000-000074000000}"/>
    <cellStyle name="Comma 16" xfId="63" xr:uid="{00000000-0005-0000-0000-000075000000}"/>
    <cellStyle name="Comma 16 2" xfId="877" xr:uid="{00000000-0005-0000-0000-000076000000}"/>
    <cellStyle name="Comma 16 2 2" xfId="1665" xr:uid="{00000000-0005-0000-0000-000077000000}"/>
    <cellStyle name="Comma 16 2 2 2" xfId="3909" xr:uid="{00000000-0005-0000-0000-000078000000}"/>
    <cellStyle name="Comma 16 2 3" xfId="2389" xr:uid="{00000000-0005-0000-0000-000079000000}"/>
    <cellStyle name="Comma 16 2 3 2" xfId="4633" xr:uid="{00000000-0005-0000-0000-00007A000000}"/>
    <cellStyle name="Comma 16 2 4" xfId="3123" xr:uid="{00000000-0005-0000-0000-00007B000000}"/>
    <cellStyle name="Comma 16 3" xfId="1130" xr:uid="{00000000-0005-0000-0000-00007C000000}"/>
    <cellStyle name="Comma 16 3 2" xfId="1917" xr:uid="{00000000-0005-0000-0000-00007D000000}"/>
    <cellStyle name="Comma 16 3 2 2" xfId="4161" xr:uid="{00000000-0005-0000-0000-00007E000000}"/>
    <cellStyle name="Comma 16 3 3" xfId="2641" xr:uid="{00000000-0005-0000-0000-00007F000000}"/>
    <cellStyle name="Comma 16 3 3 2" xfId="4885" xr:uid="{00000000-0005-0000-0000-000080000000}"/>
    <cellStyle name="Comma 16 3 4" xfId="3375" xr:uid="{00000000-0005-0000-0000-000081000000}"/>
    <cellStyle name="Comma 16 4" xfId="1345" xr:uid="{00000000-0005-0000-0000-000082000000}"/>
    <cellStyle name="Comma 16 4 2" xfId="3589" xr:uid="{00000000-0005-0000-0000-000083000000}"/>
    <cellStyle name="Comma 16 5" xfId="2131" xr:uid="{00000000-0005-0000-0000-000084000000}"/>
    <cellStyle name="Comma 16 5 2" xfId="4375" xr:uid="{00000000-0005-0000-0000-000085000000}"/>
    <cellStyle name="Comma 16 6" xfId="2855" xr:uid="{00000000-0005-0000-0000-000086000000}"/>
    <cellStyle name="Comma 17" xfId="64" xr:uid="{00000000-0005-0000-0000-000087000000}"/>
    <cellStyle name="Comma 17 2" xfId="878" xr:uid="{00000000-0005-0000-0000-000088000000}"/>
    <cellStyle name="Comma 17 2 2" xfId="1666" xr:uid="{00000000-0005-0000-0000-000089000000}"/>
    <cellStyle name="Comma 17 2 2 2" xfId="3910" xr:uid="{00000000-0005-0000-0000-00008A000000}"/>
    <cellStyle name="Comma 17 2 3" xfId="2390" xr:uid="{00000000-0005-0000-0000-00008B000000}"/>
    <cellStyle name="Comma 17 2 3 2" xfId="4634" xr:uid="{00000000-0005-0000-0000-00008C000000}"/>
    <cellStyle name="Comma 17 2 4" xfId="3124" xr:uid="{00000000-0005-0000-0000-00008D000000}"/>
    <cellStyle name="Comma 17 3" xfId="1131" xr:uid="{00000000-0005-0000-0000-00008E000000}"/>
    <cellStyle name="Comma 17 3 2" xfId="1918" xr:uid="{00000000-0005-0000-0000-00008F000000}"/>
    <cellStyle name="Comma 17 3 2 2" xfId="4162" xr:uid="{00000000-0005-0000-0000-000090000000}"/>
    <cellStyle name="Comma 17 3 3" xfId="2642" xr:uid="{00000000-0005-0000-0000-000091000000}"/>
    <cellStyle name="Comma 17 3 3 2" xfId="4886" xr:uid="{00000000-0005-0000-0000-000092000000}"/>
    <cellStyle name="Comma 17 3 4" xfId="3376" xr:uid="{00000000-0005-0000-0000-000093000000}"/>
    <cellStyle name="Comma 17 4" xfId="1346" xr:uid="{00000000-0005-0000-0000-000094000000}"/>
    <cellStyle name="Comma 17 4 2" xfId="3590" xr:uid="{00000000-0005-0000-0000-000095000000}"/>
    <cellStyle name="Comma 17 5" xfId="2132" xr:uid="{00000000-0005-0000-0000-000096000000}"/>
    <cellStyle name="Comma 17 5 2" xfId="4376" xr:uid="{00000000-0005-0000-0000-000097000000}"/>
    <cellStyle name="Comma 17 6" xfId="2856" xr:uid="{00000000-0005-0000-0000-000098000000}"/>
    <cellStyle name="Comma 18" xfId="65" xr:uid="{00000000-0005-0000-0000-000099000000}"/>
    <cellStyle name="Comma 18 2" xfId="879" xr:uid="{00000000-0005-0000-0000-00009A000000}"/>
    <cellStyle name="Comma 18 2 2" xfId="1667" xr:uid="{00000000-0005-0000-0000-00009B000000}"/>
    <cellStyle name="Comma 18 2 2 2" xfId="3911" xr:uid="{00000000-0005-0000-0000-00009C000000}"/>
    <cellStyle name="Comma 18 2 3" xfId="2391" xr:uid="{00000000-0005-0000-0000-00009D000000}"/>
    <cellStyle name="Comma 18 2 3 2" xfId="4635" xr:uid="{00000000-0005-0000-0000-00009E000000}"/>
    <cellStyle name="Comma 18 2 4" xfId="3125" xr:uid="{00000000-0005-0000-0000-00009F000000}"/>
    <cellStyle name="Comma 18 3" xfId="1132" xr:uid="{00000000-0005-0000-0000-0000A0000000}"/>
    <cellStyle name="Comma 18 3 2" xfId="1919" xr:uid="{00000000-0005-0000-0000-0000A1000000}"/>
    <cellStyle name="Comma 18 3 2 2" xfId="4163" xr:uid="{00000000-0005-0000-0000-0000A2000000}"/>
    <cellStyle name="Comma 18 3 3" xfId="2643" xr:uid="{00000000-0005-0000-0000-0000A3000000}"/>
    <cellStyle name="Comma 18 3 3 2" xfId="4887" xr:uid="{00000000-0005-0000-0000-0000A4000000}"/>
    <cellStyle name="Comma 18 3 4" xfId="3377" xr:uid="{00000000-0005-0000-0000-0000A5000000}"/>
    <cellStyle name="Comma 18 4" xfId="1347" xr:uid="{00000000-0005-0000-0000-0000A6000000}"/>
    <cellStyle name="Comma 18 4 2" xfId="3591" xr:uid="{00000000-0005-0000-0000-0000A7000000}"/>
    <cellStyle name="Comma 18 5" xfId="2133" xr:uid="{00000000-0005-0000-0000-0000A8000000}"/>
    <cellStyle name="Comma 18 5 2" xfId="4377" xr:uid="{00000000-0005-0000-0000-0000A9000000}"/>
    <cellStyle name="Comma 18 6" xfId="2857" xr:uid="{00000000-0005-0000-0000-0000AA000000}"/>
    <cellStyle name="Comma 19" xfId="66" xr:uid="{00000000-0005-0000-0000-0000AB000000}"/>
    <cellStyle name="Comma 19 2" xfId="880" xr:uid="{00000000-0005-0000-0000-0000AC000000}"/>
    <cellStyle name="Comma 19 2 2" xfId="1668" xr:uid="{00000000-0005-0000-0000-0000AD000000}"/>
    <cellStyle name="Comma 19 2 2 2" xfId="3912" xr:uid="{00000000-0005-0000-0000-0000AE000000}"/>
    <cellStyle name="Comma 19 2 3" xfId="2392" xr:uid="{00000000-0005-0000-0000-0000AF000000}"/>
    <cellStyle name="Comma 19 2 3 2" xfId="4636" xr:uid="{00000000-0005-0000-0000-0000B0000000}"/>
    <cellStyle name="Comma 19 2 4" xfId="3126" xr:uid="{00000000-0005-0000-0000-0000B1000000}"/>
    <cellStyle name="Comma 19 3" xfId="1133" xr:uid="{00000000-0005-0000-0000-0000B2000000}"/>
    <cellStyle name="Comma 19 3 2" xfId="1920" xr:uid="{00000000-0005-0000-0000-0000B3000000}"/>
    <cellStyle name="Comma 19 3 2 2" xfId="4164" xr:uid="{00000000-0005-0000-0000-0000B4000000}"/>
    <cellStyle name="Comma 19 3 3" xfId="2644" xr:uid="{00000000-0005-0000-0000-0000B5000000}"/>
    <cellStyle name="Comma 19 3 3 2" xfId="4888" xr:uid="{00000000-0005-0000-0000-0000B6000000}"/>
    <cellStyle name="Comma 19 3 4" xfId="3378" xr:uid="{00000000-0005-0000-0000-0000B7000000}"/>
    <cellStyle name="Comma 19 4" xfId="1348" xr:uid="{00000000-0005-0000-0000-0000B8000000}"/>
    <cellStyle name="Comma 19 4 2" xfId="3592" xr:uid="{00000000-0005-0000-0000-0000B9000000}"/>
    <cellStyle name="Comma 19 5" xfId="2134" xr:uid="{00000000-0005-0000-0000-0000BA000000}"/>
    <cellStyle name="Comma 19 5 2" xfId="4378" xr:uid="{00000000-0005-0000-0000-0000BB000000}"/>
    <cellStyle name="Comma 19 6" xfId="2858" xr:uid="{00000000-0005-0000-0000-0000BC000000}"/>
    <cellStyle name="Comma 2" xfId="6" xr:uid="{00000000-0005-0000-0000-0000BD000000}"/>
    <cellStyle name="Comma 2 10" xfId="67" xr:uid="{00000000-0005-0000-0000-0000BE000000}"/>
    <cellStyle name="Comma 2 10 2" xfId="881" xr:uid="{00000000-0005-0000-0000-0000BF000000}"/>
    <cellStyle name="Comma 2 10 2 2" xfId="1669" xr:uid="{00000000-0005-0000-0000-0000C0000000}"/>
    <cellStyle name="Comma 2 10 2 2 2" xfId="3913" xr:uid="{00000000-0005-0000-0000-0000C1000000}"/>
    <cellStyle name="Comma 2 10 2 3" xfId="2393" xr:uid="{00000000-0005-0000-0000-0000C2000000}"/>
    <cellStyle name="Comma 2 10 2 3 2" xfId="4637" xr:uid="{00000000-0005-0000-0000-0000C3000000}"/>
    <cellStyle name="Comma 2 10 2 4" xfId="3127" xr:uid="{00000000-0005-0000-0000-0000C4000000}"/>
    <cellStyle name="Comma 2 10 3" xfId="1134" xr:uid="{00000000-0005-0000-0000-0000C5000000}"/>
    <cellStyle name="Comma 2 10 3 2" xfId="1921" xr:uid="{00000000-0005-0000-0000-0000C6000000}"/>
    <cellStyle name="Comma 2 10 3 2 2" xfId="4165" xr:uid="{00000000-0005-0000-0000-0000C7000000}"/>
    <cellStyle name="Comma 2 10 3 3" xfId="2645" xr:uid="{00000000-0005-0000-0000-0000C8000000}"/>
    <cellStyle name="Comma 2 10 3 3 2" xfId="4889" xr:uid="{00000000-0005-0000-0000-0000C9000000}"/>
    <cellStyle name="Comma 2 10 3 4" xfId="3379" xr:uid="{00000000-0005-0000-0000-0000CA000000}"/>
    <cellStyle name="Comma 2 10 4" xfId="1349" xr:uid="{00000000-0005-0000-0000-0000CB000000}"/>
    <cellStyle name="Comma 2 10 4 2" xfId="3593" xr:uid="{00000000-0005-0000-0000-0000CC000000}"/>
    <cellStyle name="Comma 2 10 5" xfId="2135" xr:uid="{00000000-0005-0000-0000-0000CD000000}"/>
    <cellStyle name="Comma 2 10 5 2" xfId="4379" xr:uid="{00000000-0005-0000-0000-0000CE000000}"/>
    <cellStyle name="Comma 2 10 6" xfId="2828" xr:uid="{00000000-0005-0000-0000-0000CF000000}"/>
    <cellStyle name="Comma 2 10 7" xfId="2859" xr:uid="{00000000-0005-0000-0000-0000D0000000}"/>
    <cellStyle name="Comma 2 11" xfId="68" xr:uid="{00000000-0005-0000-0000-0000D1000000}"/>
    <cellStyle name="Comma 2 11 2" xfId="882" xr:uid="{00000000-0005-0000-0000-0000D2000000}"/>
    <cellStyle name="Comma 2 11 2 2" xfId="1670" xr:uid="{00000000-0005-0000-0000-0000D3000000}"/>
    <cellStyle name="Comma 2 11 2 2 2" xfId="3914" xr:uid="{00000000-0005-0000-0000-0000D4000000}"/>
    <cellStyle name="Comma 2 11 2 3" xfId="2394" xr:uid="{00000000-0005-0000-0000-0000D5000000}"/>
    <cellStyle name="Comma 2 11 2 3 2" xfId="4638" xr:uid="{00000000-0005-0000-0000-0000D6000000}"/>
    <cellStyle name="Comma 2 11 2 4" xfId="3128" xr:uid="{00000000-0005-0000-0000-0000D7000000}"/>
    <cellStyle name="Comma 2 11 3" xfId="1135" xr:uid="{00000000-0005-0000-0000-0000D8000000}"/>
    <cellStyle name="Comma 2 11 3 2" xfId="1922" xr:uid="{00000000-0005-0000-0000-0000D9000000}"/>
    <cellStyle name="Comma 2 11 3 2 2" xfId="4166" xr:uid="{00000000-0005-0000-0000-0000DA000000}"/>
    <cellStyle name="Comma 2 11 3 3" xfId="2646" xr:uid="{00000000-0005-0000-0000-0000DB000000}"/>
    <cellStyle name="Comma 2 11 3 3 2" xfId="4890" xr:uid="{00000000-0005-0000-0000-0000DC000000}"/>
    <cellStyle name="Comma 2 11 3 4" xfId="3380" xr:uid="{00000000-0005-0000-0000-0000DD000000}"/>
    <cellStyle name="Comma 2 11 4" xfId="1350" xr:uid="{00000000-0005-0000-0000-0000DE000000}"/>
    <cellStyle name="Comma 2 11 4 2" xfId="3594" xr:uid="{00000000-0005-0000-0000-0000DF000000}"/>
    <cellStyle name="Comma 2 11 5" xfId="2136" xr:uid="{00000000-0005-0000-0000-0000E0000000}"/>
    <cellStyle name="Comma 2 11 5 2" xfId="4380" xr:uid="{00000000-0005-0000-0000-0000E1000000}"/>
    <cellStyle name="Comma 2 11 6" xfId="2860" xr:uid="{00000000-0005-0000-0000-0000E2000000}"/>
    <cellStyle name="Comma 2 12" xfId="69" xr:uid="{00000000-0005-0000-0000-0000E3000000}"/>
    <cellStyle name="Comma 2 12 2" xfId="883" xr:uid="{00000000-0005-0000-0000-0000E4000000}"/>
    <cellStyle name="Comma 2 12 2 2" xfId="1671" xr:uid="{00000000-0005-0000-0000-0000E5000000}"/>
    <cellStyle name="Comma 2 12 2 2 2" xfId="3915" xr:uid="{00000000-0005-0000-0000-0000E6000000}"/>
    <cellStyle name="Comma 2 12 2 3" xfId="2395" xr:uid="{00000000-0005-0000-0000-0000E7000000}"/>
    <cellStyle name="Comma 2 12 2 3 2" xfId="4639" xr:uid="{00000000-0005-0000-0000-0000E8000000}"/>
    <cellStyle name="Comma 2 12 2 4" xfId="3129" xr:uid="{00000000-0005-0000-0000-0000E9000000}"/>
    <cellStyle name="Comma 2 12 3" xfId="1136" xr:uid="{00000000-0005-0000-0000-0000EA000000}"/>
    <cellStyle name="Comma 2 12 3 2" xfId="1923" xr:uid="{00000000-0005-0000-0000-0000EB000000}"/>
    <cellStyle name="Comma 2 12 3 2 2" xfId="4167" xr:uid="{00000000-0005-0000-0000-0000EC000000}"/>
    <cellStyle name="Comma 2 12 3 3" xfId="2647" xr:uid="{00000000-0005-0000-0000-0000ED000000}"/>
    <cellStyle name="Comma 2 12 3 3 2" xfId="4891" xr:uid="{00000000-0005-0000-0000-0000EE000000}"/>
    <cellStyle name="Comma 2 12 3 4" xfId="3381" xr:uid="{00000000-0005-0000-0000-0000EF000000}"/>
    <cellStyle name="Comma 2 12 4" xfId="1351" xr:uid="{00000000-0005-0000-0000-0000F0000000}"/>
    <cellStyle name="Comma 2 12 4 2" xfId="3595" xr:uid="{00000000-0005-0000-0000-0000F1000000}"/>
    <cellStyle name="Comma 2 12 5" xfId="2137" xr:uid="{00000000-0005-0000-0000-0000F2000000}"/>
    <cellStyle name="Comma 2 12 5 2" xfId="4381" xr:uid="{00000000-0005-0000-0000-0000F3000000}"/>
    <cellStyle name="Comma 2 12 6" xfId="2861" xr:uid="{00000000-0005-0000-0000-0000F4000000}"/>
    <cellStyle name="Comma 2 13" xfId="70" xr:uid="{00000000-0005-0000-0000-0000F5000000}"/>
    <cellStyle name="Comma 2 13 2" xfId="884" xr:uid="{00000000-0005-0000-0000-0000F6000000}"/>
    <cellStyle name="Comma 2 13 2 2" xfId="1672" xr:uid="{00000000-0005-0000-0000-0000F7000000}"/>
    <cellStyle name="Comma 2 13 2 2 2" xfId="3916" xr:uid="{00000000-0005-0000-0000-0000F8000000}"/>
    <cellStyle name="Comma 2 13 2 3" xfId="2396" xr:uid="{00000000-0005-0000-0000-0000F9000000}"/>
    <cellStyle name="Comma 2 13 2 3 2" xfId="4640" xr:uid="{00000000-0005-0000-0000-0000FA000000}"/>
    <cellStyle name="Comma 2 13 2 4" xfId="3130" xr:uid="{00000000-0005-0000-0000-0000FB000000}"/>
    <cellStyle name="Comma 2 13 3" xfId="1137" xr:uid="{00000000-0005-0000-0000-0000FC000000}"/>
    <cellStyle name="Comma 2 13 3 2" xfId="1924" xr:uid="{00000000-0005-0000-0000-0000FD000000}"/>
    <cellStyle name="Comma 2 13 3 2 2" xfId="4168" xr:uid="{00000000-0005-0000-0000-0000FE000000}"/>
    <cellStyle name="Comma 2 13 3 3" xfId="2648" xr:uid="{00000000-0005-0000-0000-0000FF000000}"/>
    <cellStyle name="Comma 2 13 3 3 2" xfId="4892" xr:uid="{00000000-0005-0000-0000-000000010000}"/>
    <cellStyle name="Comma 2 13 3 4" xfId="3382" xr:uid="{00000000-0005-0000-0000-000001010000}"/>
    <cellStyle name="Comma 2 13 4" xfId="1352" xr:uid="{00000000-0005-0000-0000-000002010000}"/>
    <cellStyle name="Comma 2 13 4 2" xfId="3596" xr:uid="{00000000-0005-0000-0000-000003010000}"/>
    <cellStyle name="Comma 2 13 5" xfId="2138" xr:uid="{00000000-0005-0000-0000-000004010000}"/>
    <cellStyle name="Comma 2 13 5 2" xfId="4382" xr:uid="{00000000-0005-0000-0000-000005010000}"/>
    <cellStyle name="Comma 2 13 6" xfId="2862" xr:uid="{00000000-0005-0000-0000-000006010000}"/>
    <cellStyle name="Comma 2 14" xfId="71" xr:uid="{00000000-0005-0000-0000-000007010000}"/>
    <cellStyle name="Comma 2 14 2" xfId="885" xr:uid="{00000000-0005-0000-0000-000008010000}"/>
    <cellStyle name="Comma 2 14 2 2" xfId="1673" xr:uid="{00000000-0005-0000-0000-000009010000}"/>
    <cellStyle name="Comma 2 14 2 2 2" xfId="3917" xr:uid="{00000000-0005-0000-0000-00000A010000}"/>
    <cellStyle name="Comma 2 14 2 3" xfId="2397" xr:uid="{00000000-0005-0000-0000-00000B010000}"/>
    <cellStyle name="Comma 2 14 2 3 2" xfId="4641" xr:uid="{00000000-0005-0000-0000-00000C010000}"/>
    <cellStyle name="Comma 2 14 2 4" xfId="3131" xr:uid="{00000000-0005-0000-0000-00000D010000}"/>
    <cellStyle name="Comma 2 14 3" xfId="1138" xr:uid="{00000000-0005-0000-0000-00000E010000}"/>
    <cellStyle name="Comma 2 14 3 2" xfId="1925" xr:uid="{00000000-0005-0000-0000-00000F010000}"/>
    <cellStyle name="Comma 2 14 3 2 2" xfId="4169" xr:uid="{00000000-0005-0000-0000-000010010000}"/>
    <cellStyle name="Comma 2 14 3 3" xfId="2649" xr:uid="{00000000-0005-0000-0000-000011010000}"/>
    <cellStyle name="Comma 2 14 3 3 2" xfId="4893" xr:uid="{00000000-0005-0000-0000-000012010000}"/>
    <cellStyle name="Comma 2 14 3 4" xfId="3383" xr:uid="{00000000-0005-0000-0000-000013010000}"/>
    <cellStyle name="Comma 2 14 4" xfId="1353" xr:uid="{00000000-0005-0000-0000-000014010000}"/>
    <cellStyle name="Comma 2 14 4 2" xfId="3597" xr:uid="{00000000-0005-0000-0000-000015010000}"/>
    <cellStyle name="Comma 2 14 5" xfId="2139" xr:uid="{00000000-0005-0000-0000-000016010000}"/>
    <cellStyle name="Comma 2 14 5 2" xfId="4383" xr:uid="{00000000-0005-0000-0000-000017010000}"/>
    <cellStyle name="Comma 2 14 6" xfId="2863" xr:uid="{00000000-0005-0000-0000-000018010000}"/>
    <cellStyle name="Comma 2 15" xfId="72" xr:uid="{00000000-0005-0000-0000-000019010000}"/>
    <cellStyle name="Comma 2 15 2" xfId="886" xr:uid="{00000000-0005-0000-0000-00001A010000}"/>
    <cellStyle name="Comma 2 15 2 2" xfId="1674" xr:uid="{00000000-0005-0000-0000-00001B010000}"/>
    <cellStyle name="Comma 2 15 2 2 2" xfId="3918" xr:uid="{00000000-0005-0000-0000-00001C010000}"/>
    <cellStyle name="Comma 2 15 2 3" xfId="2398" xr:uid="{00000000-0005-0000-0000-00001D010000}"/>
    <cellStyle name="Comma 2 15 2 3 2" xfId="4642" xr:uid="{00000000-0005-0000-0000-00001E010000}"/>
    <cellStyle name="Comma 2 15 2 4" xfId="3132" xr:uid="{00000000-0005-0000-0000-00001F010000}"/>
    <cellStyle name="Comma 2 15 3" xfId="1139" xr:uid="{00000000-0005-0000-0000-000020010000}"/>
    <cellStyle name="Comma 2 15 3 2" xfId="1926" xr:uid="{00000000-0005-0000-0000-000021010000}"/>
    <cellStyle name="Comma 2 15 3 2 2" xfId="4170" xr:uid="{00000000-0005-0000-0000-000022010000}"/>
    <cellStyle name="Comma 2 15 3 3" xfId="2650" xr:uid="{00000000-0005-0000-0000-000023010000}"/>
    <cellStyle name="Comma 2 15 3 3 2" xfId="4894" xr:uid="{00000000-0005-0000-0000-000024010000}"/>
    <cellStyle name="Comma 2 15 3 4" xfId="3384" xr:uid="{00000000-0005-0000-0000-000025010000}"/>
    <cellStyle name="Comma 2 15 4" xfId="1354" xr:uid="{00000000-0005-0000-0000-000026010000}"/>
    <cellStyle name="Comma 2 15 4 2" xfId="3598" xr:uid="{00000000-0005-0000-0000-000027010000}"/>
    <cellStyle name="Comma 2 15 5" xfId="2140" xr:uid="{00000000-0005-0000-0000-000028010000}"/>
    <cellStyle name="Comma 2 15 5 2" xfId="4384" xr:uid="{00000000-0005-0000-0000-000029010000}"/>
    <cellStyle name="Comma 2 15 6" xfId="2864" xr:uid="{00000000-0005-0000-0000-00002A010000}"/>
    <cellStyle name="Comma 2 16" xfId="73" xr:uid="{00000000-0005-0000-0000-00002B010000}"/>
    <cellStyle name="Comma 2 16 2" xfId="887" xr:uid="{00000000-0005-0000-0000-00002C010000}"/>
    <cellStyle name="Comma 2 16 2 2" xfId="1675" xr:uid="{00000000-0005-0000-0000-00002D010000}"/>
    <cellStyle name="Comma 2 16 2 2 2" xfId="3919" xr:uid="{00000000-0005-0000-0000-00002E010000}"/>
    <cellStyle name="Comma 2 16 2 3" xfId="2399" xr:uid="{00000000-0005-0000-0000-00002F010000}"/>
    <cellStyle name="Comma 2 16 2 3 2" xfId="4643" xr:uid="{00000000-0005-0000-0000-000030010000}"/>
    <cellStyle name="Comma 2 16 2 4" xfId="3133" xr:uid="{00000000-0005-0000-0000-000031010000}"/>
    <cellStyle name="Comma 2 16 3" xfId="1140" xr:uid="{00000000-0005-0000-0000-000032010000}"/>
    <cellStyle name="Comma 2 16 3 2" xfId="1927" xr:uid="{00000000-0005-0000-0000-000033010000}"/>
    <cellStyle name="Comma 2 16 3 2 2" xfId="4171" xr:uid="{00000000-0005-0000-0000-000034010000}"/>
    <cellStyle name="Comma 2 16 3 3" xfId="2651" xr:uid="{00000000-0005-0000-0000-000035010000}"/>
    <cellStyle name="Comma 2 16 3 3 2" xfId="4895" xr:uid="{00000000-0005-0000-0000-000036010000}"/>
    <cellStyle name="Comma 2 16 3 4" xfId="3385" xr:uid="{00000000-0005-0000-0000-000037010000}"/>
    <cellStyle name="Comma 2 16 4" xfId="1355" xr:uid="{00000000-0005-0000-0000-000038010000}"/>
    <cellStyle name="Comma 2 16 4 2" xfId="3599" xr:uid="{00000000-0005-0000-0000-000039010000}"/>
    <cellStyle name="Comma 2 16 5" xfId="2141" xr:uid="{00000000-0005-0000-0000-00003A010000}"/>
    <cellStyle name="Comma 2 16 5 2" xfId="4385" xr:uid="{00000000-0005-0000-0000-00003B010000}"/>
    <cellStyle name="Comma 2 16 6" xfId="2865" xr:uid="{00000000-0005-0000-0000-00003C010000}"/>
    <cellStyle name="Comma 2 17" xfId="74" xr:uid="{00000000-0005-0000-0000-00003D010000}"/>
    <cellStyle name="Comma 2 17 2" xfId="888" xr:uid="{00000000-0005-0000-0000-00003E010000}"/>
    <cellStyle name="Comma 2 17 2 2" xfId="1676" xr:uid="{00000000-0005-0000-0000-00003F010000}"/>
    <cellStyle name="Comma 2 17 2 2 2" xfId="3920" xr:uid="{00000000-0005-0000-0000-000040010000}"/>
    <cellStyle name="Comma 2 17 2 3" xfId="2400" xr:uid="{00000000-0005-0000-0000-000041010000}"/>
    <cellStyle name="Comma 2 17 2 3 2" xfId="4644" xr:uid="{00000000-0005-0000-0000-000042010000}"/>
    <cellStyle name="Comma 2 17 2 4" xfId="3134" xr:uid="{00000000-0005-0000-0000-000043010000}"/>
    <cellStyle name="Comma 2 17 3" xfId="1141" xr:uid="{00000000-0005-0000-0000-000044010000}"/>
    <cellStyle name="Comma 2 17 3 2" xfId="1928" xr:uid="{00000000-0005-0000-0000-000045010000}"/>
    <cellStyle name="Comma 2 17 3 2 2" xfId="4172" xr:uid="{00000000-0005-0000-0000-000046010000}"/>
    <cellStyle name="Comma 2 17 3 3" xfId="2652" xr:uid="{00000000-0005-0000-0000-000047010000}"/>
    <cellStyle name="Comma 2 17 3 3 2" xfId="4896" xr:uid="{00000000-0005-0000-0000-000048010000}"/>
    <cellStyle name="Comma 2 17 3 4" xfId="3386" xr:uid="{00000000-0005-0000-0000-000049010000}"/>
    <cellStyle name="Comma 2 17 4" xfId="1356" xr:uid="{00000000-0005-0000-0000-00004A010000}"/>
    <cellStyle name="Comma 2 17 4 2" xfId="3600" xr:uid="{00000000-0005-0000-0000-00004B010000}"/>
    <cellStyle name="Comma 2 17 5" xfId="2142" xr:uid="{00000000-0005-0000-0000-00004C010000}"/>
    <cellStyle name="Comma 2 17 5 2" xfId="4386" xr:uid="{00000000-0005-0000-0000-00004D010000}"/>
    <cellStyle name="Comma 2 17 6" xfId="2866" xr:uid="{00000000-0005-0000-0000-00004E010000}"/>
    <cellStyle name="Comma 2 18" xfId="75" xr:uid="{00000000-0005-0000-0000-00004F010000}"/>
    <cellStyle name="Comma 2 18 2" xfId="889" xr:uid="{00000000-0005-0000-0000-000050010000}"/>
    <cellStyle name="Comma 2 18 2 2" xfId="1677" xr:uid="{00000000-0005-0000-0000-000051010000}"/>
    <cellStyle name="Comma 2 18 2 2 2" xfId="3921" xr:uid="{00000000-0005-0000-0000-000052010000}"/>
    <cellStyle name="Comma 2 18 2 3" xfId="2401" xr:uid="{00000000-0005-0000-0000-000053010000}"/>
    <cellStyle name="Comma 2 18 2 3 2" xfId="4645" xr:uid="{00000000-0005-0000-0000-000054010000}"/>
    <cellStyle name="Comma 2 18 2 4" xfId="3135" xr:uid="{00000000-0005-0000-0000-000055010000}"/>
    <cellStyle name="Comma 2 18 3" xfId="1142" xr:uid="{00000000-0005-0000-0000-000056010000}"/>
    <cellStyle name="Comma 2 18 3 2" xfId="1929" xr:uid="{00000000-0005-0000-0000-000057010000}"/>
    <cellStyle name="Comma 2 18 3 2 2" xfId="4173" xr:uid="{00000000-0005-0000-0000-000058010000}"/>
    <cellStyle name="Comma 2 18 3 3" xfId="2653" xr:uid="{00000000-0005-0000-0000-000059010000}"/>
    <cellStyle name="Comma 2 18 3 3 2" xfId="4897" xr:uid="{00000000-0005-0000-0000-00005A010000}"/>
    <cellStyle name="Comma 2 18 3 4" xfId="3387" xr:uid="{00000000-0005-0000-0000-00005B010000}"/>
    <cellStyle name="Comma 2 18 4" xfId="1357" xr:uid="{00000000-0005-0000-0000-00005C010000}"/>
    <cellStyle name="Comma 2 18 4 2" xfId="3601" xr:uid="{00000000-0005-0000-0000-00005D010000}"/>
    <cellStyle name="Comma 2 18 5" xfId="2143" xr:uid="{00000000-0005-0000-0000-00005E010000}"/>
    <cellStyle name="Comma 2 18 5 2" xfId="4387" xr:uid="{00000000-0005-0000-0000-00005F010000}"/>
    <cellStyle name="Comma 2 18 6" xfId="2867" xr:uid="{00000000-0005-0000-0000-000060010000}"/>
    <cellStyle name="Comma 2 19" xfId="76" xr:uid="{00000000-0005-0000-0000-000061010000}"/>
    <cellStyle name="Comma 2 19 2" xfId="890" xr:uid="{00000000-0005-0000-0000-000062010000}"/>
    <cellStyle name="Comma 2 19 2 2" xfId="1678" xr:uid="{00000000-0005-0000-0000-000063010000}"/>
    <cellStyle name="Comma 2 19 2 2 2" xfId="3922" xr:uid="{00000000-0005-0000-0000-000064010000}"/>
    <cellStyle name="Comma 2 19 2 3" xfId="2402" xr:uid="{00000000-0005-0000-0000-000065010000}"/>
    <cellStyle name="Comma 2 19 2 3 2" xfId="4646" xr:uid="{00000000-0005-0000-0000-000066010000}"/>
    <cellStyle name="Comma 2 19 2 4" xfId="3136" xr:uid="{00000000-0005-0000-0000-000067010000}"/>
    <cellStyle name="Comma 2 19 3" xfId="1143" xr:uid="{00000000-0005-0000-0000-000068010000}"/>
    <cellStyle name="Comma 2 19 3 2" xfId="1930" xr:uid="{00000000-0005-0000-0000-000069010000}"/>
    <cellStyle name="Comma 2 19 3 2 2" xfId="4174" xr:uid="{00000000-0005-0000-0000-00006A010000}"/>
    <cellStyle name="Comma 2 19 3 3" xfId="2654" xr:uid="{00000000-0005-0000-0000-00006B010000}"/>
    <cellStyle name="Comma 2 19 3 3 2" xfId="4898" xr:uid="{00000000-0005-0000-0000-00006C010000}"/>
    <cellStyle name="Comma 2 19 3 4" xfId="3388" xr:uid="{00000000-0005-0000-0000-00006D010000}"/>
    <cellStyle name="Comma 2 19 4" xfId="1358" xr:uid="{00000000-0005-0000-0000-00006E010000}"/>
    <cellStyle name="Comma 2 19 4 2" xfId="3602" xr:uid="{00000000-0005-0000-0000-00006F010000}"/>
    <cellStyle name="Comma 2 19 5" xfId="2144" xr:uid="{00000000-0005-0000-0000-000070010000}"/>
    <cellStyle name="Comma 2 19 5 2" xfId="4388" xr:uid="{00000000-0005-0000-0000-000071010000}"/>
    <cellStyle name="Comma 2 19 6" xfId="2868" xr:uid="{00000000-0005-0000-0000-000072010000}"/>
    <cellStyle name="Comma 2 2" xfId="11" xr:uid="{00000000-0005-0000-0000-000073010000}"/>
    <cellStyle name="Comma 2 2 10" xfId="2837" xr:uid="{00000000-0005-0000-0000-000074010000}"/>
    <cellStyle name="Comma 2 2 11" xfId="5079" xr:uid="{00000000-0005-0000-0000-000075010000}"/>
    <cellStyle name="Comma 2 2 2" xfId="20" xr:uid="{00000000-0005-0000-0000-000076010000}"/>
    <cellStyle name="Comma 2 2 2 2" xfId="77" xr:uid="{00000000-0005-0000-0000-000077010000}"/>
    <cellStyle name="Comma 2 2 2 3" xfId="867" xr:uid="{00000000-0005-0000-0000-000078010000}"/>
    <cellStyle name="Comma 2 2 2 3 2" xfId="1655" xr:uid="{00000000-0005-0000-0000-000079010000}"/>
    <cellStyle name="Comma 2 2 2 3 2 2" xfId="3899" xr:uid="{00000000-0005-0000-0000-00007A010000}"/>
    <cellStyle name="Comma 2 2 2 3 3" xfId="2379" xr:uid="{00000000-0005-0000-0000-00007B010000}"/>
    <cellStyle name="Comma 2 2 2 3 3 2" xfId="4623" xr:uid="{00000000-0005-0000-0000-00007C010000}"/>
    <cellStyle name="Comma 2 2 2 3 4" xfId="3113" xr:uid="{00000000-0005-0000-0000-00007D010000}"/>
    <cellStyle name="Comma 2 2 2 4" xfId="1097" xr:uid="{00000000-0005-0000-0000-00007E010000}"/>
    <cellStyle name="Comma 2 2 2 4 2" xfId="1884" xr:uid="{00000000-0005-0000-0000-00007F010000}"/>
    <cellStyle name="Comma 2 2 2 4 2 2" xfId="4128" xr:uid="{00000000-0005-0000-0000-000080010000}"/>
    <cellStyle name="Comma 2 2 2 4 3" xfId="2608" xr:uid="{00000000-0005-0000-0000-000081010000}"/>
    <cellStyle name="Comma 2 2 2 4 3 2" xfId="4852" xr:uid="{00000000-0005-0000-0000-000082010000}"/>
    <cellStyle name="Comma 2 2 2 4 4" xfId="3342" xr:uid="{00000000-0005-0000-0000-000083010000}"/>
    <cellStyle name="Comma 2 2 2 5" xfId="1119" xr:uid="{00000000-0005-0000-0000-000084010000}"/>
    <cellStyle name="Comma 2 2 2 5 2" xfId="1906" xr:uid="{00000000-0005-0000-0000-000085010000}"/>
    <cellStyle name="Comma 2 2 2 5 2 2" xfId="4150" xr:uid="{00000000-0005-0000-0000-000086010000}"/>
    <cellStyle name="Comma 2 2 2 5 3" xfId="2630" xr:uid="{00000000-0005-0000-0000-000087010000}"/>
    <cellStyle name="Comma 2 2 2 5 3 2" xfId="4874" xr:uid="{00000000-0005-0000-0000-000088010000}"/>
    <cellStyle name="Comma 2 2 2 5 4" xfId="3364" xr:uid="{00000000-0005-0000-0000-000089010000}"/>
    <cellStyle name="Comma 2 2 2 6" xfId="1335" xr:uid="{00000000-0005-0000-0000-00008A010000}"/>
    <cellStyle name="Comma 2 2 2 6 2" xfId="3579" xr:uid="{00000000-0005-0000-0000-00008B010000}"/>
    <cellStyle name="Comma 2 2 2 7" xfId="2121" xr:uid="{00000000-0005-0000-0000-00008C010000}"/>
    <cellStyle name="Comma 2 2 2 7 2" xfId="4365" xr:uid="{00000000-0005-0000-0000-00008D010000}"/>
    <cellStyle name="Comma 2 2 2 8" xfId="2845" xr:uid="{00000000-0005-0000-0000-00008E010000}"/>
    <cellStyle name="Comma 2 2 2 9" xfId="5087" xr:uid="{00000000-0005-0000-0000-00008F010000}"/>
    <cellStyle name="Comma 2 2 3" xfId="78" xr:uid="{00000000-0005-0000-0000-000090010000}"/>
    <cellStyle name="Comma 2 2 4" xfId="858" xr:uid="{00000000-0005-0000-0000-000091010000}"/>
    <cellStyle name="Comma 2 2 4 2" xfId="1646" xr:uid="{00000000-0005-0000-0000-000092010000}"/>
    <cellStyle name="Comma 2 2 4 2 2" xfId="3890" xr:uid="{00000000-0005-0000-0000-000093010000}"/>
    <cellStyle name="Comma 2 2 4 3" xfId="2370" xr:uid="{00000000-0005-0000-0000-000094010000}"/>
    <cellStyle name="Comma 2 2 4 3 2" xfId="4614" xr:uid="{00000000-0005-0000-0000-000095010000}"/>
    <cellStyle name="Comma 2 2 4 4" xfId="3104" xr:uid="{00000000-0005-0000-0000-000096010000}"/>
    <cellStyle name="Comma 2 2 5" xfId="1075" xr:uid="{00000000-0005-0000-0000-000097010000}"/>
    <cellStyle name="Comma 2 2 5 2" xfId="1862" xr:uid="{00000000-0005-0000-0000-000098010000}"/>
    <cellStyle name="Comma 2 2 5 2 2" xfId="4106" xr:uid="{00000000-0005-0000-0000-000099010000}"/>
    <cellStyle name="Comma 2 2 5 3" xfId="2586" xr:uid="{00000000-0005-0000-0000-00009A010000}"/>
    <cellStyle name="Comma 2 2 5 3 2" xfId="4830" xr:uid="{00000000-0005-0000-0000-00009B010000}"/>
    <cellStyle name="Comma 2 2 5 4" xfId="3320" xr:uid="{00000000-0005-0000-0000-00009C010000}"/>
    <cellStyle name="Comma 2 2 6" xfId="1089" xr:uid="{00000000-0005-0000-0000-00009D010000}"/>
    <cellStyle name="Comma 2 2 6 2" xfId="1876" xr:uid="{00000000-0005-0000-0000-00009E010000}"/>
    <cellStyle name="Comma 2 2 6 2 2" xfId="4120" xr:uid="{00000000-0005-0000-0000-00009F010000}"/>
    <cellStyle name="Comma 2 2 6 3" xfId="2600" xr:uid="{00000000-0005-0000-0000-0000A0010000}"/>
    <cellStyle name="Comma 2 2 6 3 2" xfId="4844" xr:uid="{00000000-0005-0000-0000-0000A1010000}"/>
    <cellStyle name="Comma 2 2 6 4" xfId="3334" xr:uid="{00000000-0005-0000-0000-0000A2010000}"/>
    <cellStyle name="Comma 2 2 7" xfId="1111" xr:uid="{00000000-0005-0000-0000-0000A3010000}"/>
    <cellStyle name="Comma 2 2 7 2" xfId="1898" xr:uid="{00000000-0005-0000-0000-0000A4010000}"/>
    <cellStyle name="Comma 2 2 7 2 2" xfId="4142" xr:uid="{00000000-0005-0000-0000-0000A5010000}"/>
    <cellStyle name="Comma 2 2 7 3" xfId="2622" xr:uid="{00000000-0005-0000-0000-0000A6010000}"/>
    <cellStyle name="Comma 2 2 7 3 2" xfId="4866" xr:uid="{00000000-0005-0000-0000-0000A7010000}"/>
    <cellStyle name="Comma 2 2 7 4" xfId="3356" xr:uid="{00000000-0005-0000-0000-0000A8010000}"/>
    <cellStyle name="Comma 2 2 8" xfId="1327" xr:uid="{00000000-0005-0000-0000-0000A9010000}"/>
    <cellStyle name="Comma 2 2 8 2" xfId="3571" xr:uid="{00000000-0005-0000-0000-0000AA010000}"/>
    <cellStyle name="Comma 2 2 9" xfId="2113" xr:uid="{00000000-0005-0000-0000-0000AB010000}"/>
    <cellStyle name="Comma 2 2 9 2" xfId="4357" xr:uid="{00000000-0005-0000-0000-0000AC010000}"/>
    <cellStyle name="Comma 2 20" xfId="79" xr:uid="{00000000-0005-0000-0000-0000AD010000}"/>
    <cellStyle name="Comma 2 20 2" xfId="891" xr:uid="{00000000-0005-0000-0000-0000AE010000}"/>
    <cellStyle name="Comma 2 20 2 2" xfId="1679" xr:uid="{00000000-0005-0000-0000-0000AF010000}"/>
    <cellStyle name="Comma 2 20 2 2 2" xfId="3923" xr:uid="{00000000-0005-0000-0000-0000B0010000}"/>
    <cellStyle name="Comma 2 20 2 3" xfId="2403" xr:uid="{00000000-0005-0000-0000-0000B1010000}"/>
    <cellStyle name="Comma 2 20 2 3 2" xfId="4647" xr:uid="{00000000-0005-0000-0000-0000B2010000}"/>
    <cellStyle name="Comma 2 20 2 4" xfId="3137" xr:uid="{00000000-0005-0000-0000-0000B3010000}"/>
    <cellStyle name="Comma 2 20 3" xfId="1144" xr:uid="{00000000-0005-0000-0000-0000B4010000}"/>
    <cellStyle name="Comma 2 20 3 2" xfId="1931" xr:uid="{00000000-0005-0000-0000-0000B5010000}"/>
    <cellStyle name="Comma 2 20 3 2 2" xfId="4175" xr:uid="{00000000-0005-0000-0000-0000B6010000}"/>
    <cellStyle name="Comma 2 20 3 3" xfId="2655" xr:uid="{00000000-0005-0000-0000-0000B7010000}"/>
    <cellStyle name="Comma 2 20 3 3 2" xfId="4899" xr:uid="{00000000-0005-0000-0000-0000B8010000}"/>
    <cellStyle name="Comma 2 20 3 4" xfId="3389" xr:uid="{00000000-0005-0000-0000-0000B9010000}"/>
    <cellStyle name="Comma 2 20 4" xfId="1359" xr:uid="{00000000-0005-0000-0000-0000BA010000}"/>
    <cellStyle name="Comma 2 20 4 2" xfId="3603" xr:uid="{00000000-0005-0000-0000-0000BB010000}"/>
    <cellStyle name="Comma 2 20 5" xfId="2145" xr:uid="{00000000-0005-0000-0000-0000BC010000}"/>
    <cellStyle name="Comma 2 20 5 2" xfId="4389" xr:uid="{00000000-0005-0000-0000-0000BD010000}"/>
    <cellStyle name="Comma 2 20 6" xfId="2869" xr:uid="{00000000-0005-0000-0000-0000BE010000}"/>
    <cellStyle name="Comma 2 21" xfId="80" xr:uid="{00000000-0005-0000-0000-0000BF010000}"/>
    <cellStyle name="Comma 2 21 2" xfId="892" xr:uid="{00000000-0005-0000-0000-0000C0010000}"/>
    <cellStyle name="Comma 2 21 2 2" xfId="1680" xr:uid="{00000000-0005-0000-0000-0000C1010000}"/>
    <cellStyle name="Comma 2 21 2 2 2" xfId="3924" xr:uid="{00000000-0005-0000-0000-0000C2010000}"/>
    <cellStyle name="Comma 2 21 2 3" xfId="2404" xr:uid="{00000000-0005-0000-0000-0000C3010000}"/>
    <cellStyle name="Comma 2 21 2 3 2" xfId="4648" xr:uid="{00000000-0005-0000-0000-0000C4010000}"/>
    <cellStyle name="Comma 2 21 2 4" xfId="3138" xr:uid="{00000000-0005-0000-0000-0000C5010000}"/>
    <cellStyle name="Comma 2 21 3" xfId="1145" xr:uid="{00000000-0005-0000-0000-0000C6010000}"/>
    <cellStyle name="Comma 2 21 3 2" xfId="1932" xr:uid="{00000000-0005-0000-0000-0000C7010000}"/>
    <cellStyle name="Comma 2 21 3 2 2" xfId="4176" xr:uid="{00000000-0005-0000-0000-0000C8010000}"/>
    <cellStyle name="Comma 2 21 3 3" xfId="2656" xr:uid="{00000000-0005-0000-0000-0000C9010000}"/>
    <cellStyle name="Comma 2 21 3 3 2" xfId="4900" xr:uid="{00000000-0005-0000-0000-0000CA010000}"/>
    <cellStyle name="Comma 2 21 3 4" xfId="3390" xr:uid="{00000000-0005-0000-0000-0000CB010000}"/>
    <cellStyle name="Comma 2 21 4" xfId="1360" xr:uid="{00000000-0005-0000-0000-0000CC010000}"/>
    <cellStyle name="Comma 2 21 4 2" xfId="3604" xr:uid="{00000000-0005-0000-0000-0000CD010000}"/>
    <cellStyle name="Comma 2 21 5" xfId="2146" xr:uid="{00000000-0005-0000-0000-0000CE010000}"/>
    <cellStyle name="Comma 2 21 5 2" xfId="4390" xr:uid="{00000000-0005-0000-0000-0000CF010000}"/>
    <cellStyle name="Comma 2 21 6" xfId="2870" xr:uid="{00000000-0005-0000-0000-0000D0010000}"/>
    <cellStyle name="Comma 2 22" xfId="81" xr:uid="{00000000-0005-0000-0000-0000D1010000}"/>
    <cellStyle name="Comma 2 22 2" xfId="893" xr:uid="{00000000-0005-0000-0000-0000D2010000}"/>
    <cellStyle name="Comma 2 22 2 2" xfId="1681" xr:uid="{00000000-0005-0000-0000-0000D3010000}"/>
    <cellStyle name="Comma 2 22 2 2 2" xfId="3925" xr:uid="{00000000-0005-0000-0000-0000D4010000}"/>
    <cellStyle name="Comma 2 22 2 3" xfId="2405" xr:uid="{00000000-0005-0000-0000-0000D5010000}"/>
    <cellStyle name="Comma 2 22 2 3 2" xfId="4649" xr:uid="{00000000-0005-0000-0000-0000D6010000}"/>
    <cellStyle name="Comma 2 22 2 4" xfId="3139" xr:uid="{00000000-0005-0000-0000-0000D7010000}"/>
    <cellStyle name="Comma 2 22 3" xfId="1146" xr:uid="{00000000-0005-0000-0000-0000D8010000}"/>
    <cellStyle name="Comma 2 22 3 2" xfId="1933" xr:uid="{00000000-0005-0000-0000-0000D9010000}"/>
    <cellStyle name="Comma 2 22 3 2 2" xfId="4177" xr:uid="{00000000-0005-0000-0000-0000DA010000}"/>
    <cellStyle name="Comma 2 22 3 3" xfId="2657" xr:uid="{00000000-0005-0000-0000-0000DB010000}"/>
    <cellStyle name="Comma 2 22 3 3 2" xfId="4901" xr:uid="{00000000-0005-0000-0000-0000DC010000}"/>
    <cellStyle name="Comma 2 22 3 4" xfId="3391" xr:uid="{00000000-0005-0000-0000-0000DD010000}"/>
    <cellStyle name="Comma 2 22 4" xfId="1361" xr:uid="{00000000-0005-0000-0000-0000DE010000}"/>
    <cellStyle name="Comma 2 22 4 2" xfId="3605" xr:uid="{00000000-0005-0000-0000-0000DF010000}"/>
    <cellStyle name="Comma 2 22 5" xfId="2147" xr:uid="{00000000-0005-0000-0000-0000E0010000}"/>
    <cellStyle name="Comma 2 22 5 2" xfId="4391" xr:uid="{00000000-0005-0000-0000-0000E1010000}"/>
    <cellStyle name="Comma 2 22 6" xfId="2871" xr:uid="{00000000-0005-0000-0000-0000E2010000}"/>
    <cellStyle name="Comma 2 23" xfId="82" xr:uid="{00000000-0005-0000-0000-0000E3010000}"/>
    <cellStyle name="Comma 2 23 2" xfId="894" xr:uid="{00000000-0005-0000-0000-0000E4010000}"/>
    <cellStyle name="Comma 2 23 2 2" xfId="1682" xr:uid="{00000000-0005-0000-0000-0000E5010000}"/>
    <cellStyle name="Comma 2 23 2 2 2" xfId="3926" xr:uid="{00000000-0005-0000-0000-0000E6010000}"/>
    <cellStyle name="Comma 2 23 2 3" xfId="2406" xr:uid="{00000000-0005-0000-0000-0000E7010000}"/>
    <cellStyle name="Comma 2 23 2 3 2" xfId="4650" xr:uid="{00000000-0005-0000-0000-0000E8010000}"/>
    <cellStyle name="Comma 2 23 2 4" xfId="3140" xr:uid="{00000000-0005-0000-0000-0000E9010000}"/>
    <cellStyle name="Comma 2 23 3" xfId="1147" xr:uid="{00000000-0005-0000-0000-0000EA010000}"/>
    <cellStyle name="Comma 2 23 3 2" xfId="1934" xr:uid="{00000000-0005-0000-0000-0000EB010000}"/>
    <cellStyle name="Comma 2 23 3 2 2" xfId="4178" xr:uid="{00000000-0005-0000-0000-0000EC010000}"/>
    <cellStyle name="Comma 2 23 3 3" xfId="2658" xr:uid="{00000000-0005-0000-0000-0000ED010000}"/>
    <cellStyle name="Comma 2 23 3 3 2" xfId="4902" xr:uid="{00000000-0005-0000-0000-0000EE010000}"/>
    <cellStyle name="Comma 2 23 3 4" xfId="3392" xr:uid="{00000000-0005-0000-0000-0000EF010000}"/>
    <cellStyle name="Comma 2 23 4" xfId="1362" xr:uid="{00000000-0005-0000-0000-0000F0010000}"/>
    <cellStyle name="Comma 2 23 4 2" xfId="3606" xr:uid="{00000000-0005-0000-0000-0000F1010000}"/>
    <cellStyle name="Comma 2 23 5" xfId="2148" xr:uid="{00000000-0005-0000-0000-0000F2010000}"/>
    <cellStyle name="Comma 2 23 5 2" xfId="4392" xr:uid="{00000000-0005-0000-0000-0000F3010000}"/>
    <cellStyle name="Comma 2 23 6" xfId="2872" xr:uid="{00000000-0005-0000-0000-0000F4010000}"/>
    <cellStyle name="Comma 2 24" xfId="83" xr:uid="{00000000-0005-0000-0000-0000F5010000}"/>
    <cellStyle name="Comma 2 24 2" xfId="895" xr:uid="{00000000-0005-0000-0000-0000F6010000}"/>
    <cellStyle name="Comma 2 24 2 2" xfId="1683" xr:uid="{00000000-0005-0000-0000-0000F7010000}"/>
    <cellStyle name="Comma 2 24 2 2 2" xfId="3927" xr:uid="{00000000-0005-0000-0000-0000F8010000}"/>
    <cellStyle name="Comma 2 24 2 3" xfId="2407" xr:uid="{00000000-0005-0000-0000-0000F9010000}"/>
    <cellStyle name="Comma 2 24 2 3 2" xfId="4651" xr:uid="{00000000-0005-0000-0000-0000FA010000}"/>
    <cellStyle name="Comma 2 24 2 4" xfId="3141" xr:uid="{00000000-0005-0000-0000-0000FB010000}"/>
    <cellStyle name="Comma 2 24 3" xfId="1148" xr:uid="{00000000-0005-0000-0000-0000FC010000}"/>
    <cellStyle name="Comma 2 24 3 2" xfId="1935" xr:uid="{00000000-0005-0000-0000-0000FD010000}"/>
    <cellStyle name="Comma 2 24 3 2 2" xfId="4179" xr:uid="{00000000-0005-0000-0000-0000FE010000}"/>
    <cellStyle name="Comma 2 24 3 3" xfId="2659" xr:uid="{00000000-0005-0000-0000-0000FF010000}"/>
    <cellStyle name="Comma 2 24 3 3 2" xfId="4903" xr:uid="{00000000-0005-0000-0000-000000020000}"/>
    <cellStyle name="Comma 2 24 3 4" xfId="3393" xr:uid="{00000000-0005-0000-0000-000001020000}"/>
    <cellStyle name="Comma 2 24 4" xfId="1363" xr:uid="{00000000-0005-0000-0000-000002020000}"/>
    <cellStyle name="Comma 2 24 4 2" xfId="3607" xr:uid="{00000000-0005-0000-0000-000003020000}"/>
    <cellStyle name="Comma 2 24 5" xfId="2149" xr:uid="{00000000-0005-0000-0000-000004020000}"/>
    <cellStyle name="Comma 2 24 5 2" xfId="4393" xr:uid="{00000000-0005-0000-0000-000005020000}"/>
    <cellStyle name="Comma 2 24 6" xfId="2873" xr:uid="{00000000-0005-0000-0000-000006020000}"/>
    <cellStyle name="Comma 2 25" xfId="84" xr:uid="{00000000-0005-0000-0000-000007020000}"/>
    <cellStyle name="Comma 2 25 2" xfId="896" xr:uid="{00000000-0005-0000-0000-000008020000}"/>
    <cellStyle name="Comma 2 25 2 2" xfId="1684" xr:uid="{00000000-0005-0000-0000-000009020000}"/>
    <cellStyle name="Comma 2 25 2 2 2" xfId="3928" xr:uid="{00000000-0005-0000-0000-00000A020000}"/>
    <cellStyle name="Comma 2 25 2 3" xfId="2408" xr:uid="{00000000-0005-0000-0000-00000B020000}"/>
    <cellStyle name="Comma 2 25 2 3 2" xfId="4652" xr:uid="{00000000-0005-0000-0000-00000C020000}"/>
    <cellStyle name="Comma 2 25 2 4" xfId="3142" xr:uid="{00000000-0005-0000-0000-00000D020000}"/>
    <cellStyle name="Comma 2 25 3" xfId="1149" xr:uid="{00000000-0005-0000-0000-00000E020000}"/>
    <cellStyle name="Comma 2 25 3 2" xfId="1936" xr:uid="{00000000-0005-0000-0000-00000F020000}"/>
    <cellStyle name="Comma 2 25 3 2 2" xfId="4180" xr:uid="{00000000-0005-0000-0000-000010020000}"/>
    <cellStyle name="Comma 2 25 3 3" xfId="2660" xr:uid="{00000000-0005-0000-0000-000011020000}"/>
    <cellStyle name="Comma 2 25 3 3 2" xfId="4904" xr:uid="{00000000-0005-0000-0000-000012020000}"/>
    <cellStyle name="Comma 2 25 3 4" xfId="3394" xr:uid="{00000000-0005-0000-0000-000013020000}"/>
    <cellStyle name="Comma 2 25 4" xfId="1364" xr:uid="{00000000-0005-0000-0000-000014020000}"/>
    <cellStyle name="Comma 2 25 4 2" xfId="3608" xr:uid="{00000000-0005-0000-0000-000015020000}"/>
    <cellStyle name="Comma 2 25 5" xfId="2150" xr:uid="{00000000-0005-0000-0000-000016020000}"/>
    <cellStyle name="Comma 2 25 5 2" xfId="4394" xr:uid="{00000000-0005-0000-0000-000017020000}"/>
    <cellStyle name="Comma 2 25 6" xfId="2874" xr:uid="{00000000-0005-0000-0000-000018020000}"/>
    <cellStyle name="Comma 2 26" xfId="85" xr:uid="{00000000-0005-0000-0000-000019020000}"/>
    <cellStyle name="Comma 2 26 2" xfId="897" xr:uid="{00000000-0005-0000-0000-00001A020000}"/>
    <cellStyle name="Comma 2 26 2 2" xfId="1685" xr:uid="{00000000-0005-0000-0000-00001B020000}"/>
    <cellStyle name="Comma 2 26 2 2 2" xfId="3929" xr:uid="{00000000-0005-0000-0000-00001C020000}"/>
    <cellStyle name="Comma 2 26 2 3" xfId="2409" xr:uid="{00000000-0005-0000-0000-00001D020000}"/>
    <cellStyle name="Comma 2 26 2 3 2" xfId="4653" xr:uid="{00000000-0005-0000-0000-00001E020000}"/>
    <cellStyle name="Comma 2 26 2 4" xfId="3143" xr:uid="{00000000-0005-0000-0000-00001F020000}"/>
    <cellStyle name="Comma 2 26 3" xfId="1150" xr:uid="{00000000-0005-0000-0000-000020020000}"/>
    <cellStyle name="Comma 2 26 3 2" xfId="1937" xr:uid="{00000000-0005-0000-0000-000021020000}"/>
    <cellStyle name="Comma 2 26 3 2 2" xfId="4181" xr:uid="{00000000-0005-0000-0000-000022020000}"/>
    <cellStyle name="Comma 2 26 3 3" xfId="2661" xr:uid="{00000000-0005-0000-0000-000023020000}"/>
    <cellStyle name="Comma 2 26 3 3 2" xfId="4905" xr:uid="{00000000-0005-0000-0000-000024020000}"/>
    <cellStyle name="Comma 2 26 3 4" xfId="3395" xr:uid="{00000000-0005-0000-0000-000025020000}"/>
    <cellStyle name="Comma 2 26 4" xfId="1365" xr:uid="{00000000-0005-0000-0000-000026020000}"/>
    <cellStyle name="Comma 2 26 4 2" xfId="3609" xr:uid="{00000000-0005-0000-0000-000027020000}"/>
    <cellStyle name="Comma 2 26 5" xfId="2151" xr:uid="{00000000-0005-0000-0000-000028020000}"/>
    <cellStyle name="Comma 2 26 5 2" xfId="4395" xr:uid="{00000000-0005-0000-0000-000029020000}"/>
    <cellStyle name="Comma 2 26 6" xfId="2875" xr:uid="{00000000-0005-0000-0000-00002A020000}"/>
    <cellStyle name="Comma 2 27" xfId="86" xr:uid="{00000000-0005-0000-0000-00002B020000}"/>
    <cellStyle name="Comma 2 27 2" xfId="898" xr:uid="{00000000-0005-0000-0000-00002C020000}"/>
    <cellStyle name="Comma 2 27 2 2" xfId="1686" xr:uid="{00000000-0005-0000-0000-00002D020000}"/>
    <cellStyle name="Comma 2 27 2 2 2" xfId="3930" xr:uid="{00000000-0005-0000-0000-00002E020000}"/>
    <cellStyle name="Comma 2 27 2 3" xfId="2410" xr:uid="{00000000-0005-0000-0000-00002F020000}"/>
    <cellStyle name="Comma 2 27 2 3 2" xfId="4654" xr:uid="{00000000-0005-0000-0000-000030020000}"/>
    <cellStyle name="Comma 2 27 2 4" xfId="3144" xr:uid="{00000000-0005-0000-0000-000031020000}"/>
    <cellStyle name="Comma 2 27 3" xfId="1151" xr:uid="{00000000-0005-0000-0000-000032020000}"/>
    <cellStyle name="Comma 2 27 3 2" xfId="1938" xr:uid="{00000000-0005-0000-0000-000033020000}"/>
    <cellStyle name="Comma 2 27 3 2 2" xfId="4182" xr:uid="{00000000-0005-0000-0000-000034020000}"/>
    <cellStyle name="Comma 2 27 3 3" xfId="2662" xr:uid="{00000000-0005-0000-0000-000035020000}"/>
    <cellStyle name="Comma 2 27 3 3 2" xfId="4906" xr:uid="{00000000-0005-0000-0000-000036020000}"/>
    <cellStyle name="Comma 2 27 3 4" xfId="3396" xr:uid="{00000000-0005-0000-0000-000037020000}"/>
    <cellStyle name="Comma 2 27 4" xfId="1366" xr:uid="{00000000-0005-0000-0000-000038020000}"/>
    <cellStyle name="Comma 2 27 4 2" xfId="3610" xr:uid="{00000000-0005-0000-0000-000039020000}"/>
    <cellStyle name="Comma 2 27 5" xfId="2152" xr:uid="{00000000-0005-0000-0000-00003A020000}"/>
    <cellStyle name="Comma 2 27 5 2" xfId="4396" xr:uid="{00000000-0005-0000-0000-00003B020000}"/>
    <cellStyle name="Comma 2 27 6" xfId="2876" xr:uid="{00000000-0005-0000-0000-00003C020000}"/>
    <cellStyle name="Comma 2 28" xfId="854" xr:uid="{00000000-0005-0000-0000-00003D020000}"/>
    <cellStyle name="Comma 2 28 2" xfId="1642" xr:uid="{00000000-0005-0000-0000-00003E020000}"/>
    <cellStyle name="Comma 2 28 2 2" xfId="3886" xr:uid="{00000000-0005-0000-0000-00003F020000}"/>
    <cellStyle name="Comma 2 28 3" xfId="2366" xr:uid="{00000000-0005-0000-0000-000040020000}"/>
    <cellStyle name="Comma 2 28 3 2" xfId="4610" xr:uid="{00000000-0005-0000-0000-000041020000}"/>
    <cellStyle name="Comma 2 28 4" xfId="3100" xr:uid="{00000000-0005-0000-0000-000042020000}"/>
    <cellStyle name="Comma 2 29" xfId="1071" xr:uid="{00000000-0005-0000-0000-000043020000}"/>
    <cellStyle name="Comma 2 29 2" xfId="1858" xr:uid="{00000000-0005-0000-0000-000044020000}"/>
    <cellStyle name="Comma 2 29 2 2" xfId="4102" xr:uid="{00000000-0005-0000-0000-000045020000}"/>
    <cellStyle name="Comma 2 29 3" xfId="2582" xr:uid="{00000000-0005-0000-0000-000046020000}"/>
    <cellStyle name="Comma 2 29 3 2" xfId="4826" xr:uid="{00000000-0005-0000-0000-000047020000}"/>
    <cellStyle name="Comma 2 29 4" xfId="3316" xr:uid="{00000000-0005-0000-0000-000048020000}"/>
    <cellStyle name="Comma 2 3" xfId="25" xr:uid="{00000000-0005-0000-0000-000049020000}"/>
    <cellStyle name="Comma 2 3 10" xfId="2124" xr:uid="{00000000-0005-0000-0000-00004A020000}"/>
    <cellStyle name="Comma 2 3 10 2" xfId="4368" xr:uid="{00000000-0005-0000-0000-00004B020000}"/>
    <cellStyle name="Comma 2 3 11" xfId="2848" xr:uid="{00000000-0005-0000-0000-00004C020000}"/>
    <cellStyle name="Comma 2 3 12" xfId="5090" xr:uid="{00000000-0005-0000-0000-00004D020000}"/>
    <cellStyle name="Comma 2 3 2" xfId="88" xr:uid="{00000000-0005-0000-0000-00004E020000}"/>
    <cellStyle name="Comma 2 3 2 2" xfId="900" xr:uid="{00000000-0005-0000-0000-00004F020000}"/>
    <cellStyle name="Comma 2 3 2 2 2" xfId="1688" xr:uid="{00000000-0005-0000-0000-000050020000}"/>
    <cellStyle name="Comma 2 3 2 2 2 2" xfId="3932" xr:uid="{00000000-0005-0000-0000-000051020000}"/>
    <cellStyle name="Comma 2 3 2 2 3" xfId="2412" xr:uid="{00000000-0005-0000-0000-000052020000}"/>
    <cellStyle name="Comma 2 3 2 2 3 2" xfId="4656" xr:uid="{00000000-0005-0000-0000-000053020000}"/>
    <cellStyle name="Comma 2 3 2 2 4" xfId="3146" xr:uid="{00000000-0005-0000-0000-000054020000}"/>
    <cellStyle name="Comma 2 3 2 3" xfId="1153" xr:uid="{00000000-0005-0000-0000-000055020000}"/>
    <cellStyle name="Comma 2 3 2 3 2" xfId="1940" xr:uid="{00000000-0005-0000-0000-000056020000}"/>
    <cellStyle name="Comma 2 3 2 3 2 2" xfId="4184" xr:uid="{00000000-0005-0000-0000-000057020000}"/>
    <cellStyle name="Comma 2 3 2 3 3" xfId="2664" xr:uid="{00000000-0005-0000-0000-000058020000}"/>
    <cellStyle name="Comma 2 3 2 3 3 2" xfId="4908" xr:uid="{00000000-0005-0000-0000-000059020000}"/>
    <cellStyle name="Comma 2 3 2 3 4" xfId="3398" xr:uid="{00000000-0005-0000-0000-00005A020000}"/>
    <cellStyle name="Comma 2 3 2 4" xfId="1368" xr:uid="{00000000-0005-0000-0000-00005B020000}"/>
    <cellStyle name="Comma 2 3 2 4 2" xfId="3612" xr:uid="{00000000-0005-0000-0000-00005C020000}"/>
    <cellStyle name="Comma 2 3 2 5" xfId="2154" xr:uid="{00000000-0005-0000-0000-00005D020000}"/>
    <cellStyle name="Comma 2 3 2 5 2" xfId="4398" xr:uid="{00000000-0005-0000-0000-00005E020000}"/>
    <cellStyle name="Comma 2 3 2 6" xfId="2878" xr:uid="{00000000-0005-0000-0000-00005F020000}"/>
    <cellStyle name="Comma 2 3 3" xfId="89" xr:uid="{00000000-0005-0000-0000-000060020000}"/>
    <cellStyle name="Comma 2 3 3 2" xfId="901" xr:uid="{00000000-0005-0000-0000-000061020000}"/>
    <cellStyle name="Comma 2 3 3 2 2" xfId="1689" xr:uid="{00000000-0005-0000-0000-000062020000}"/>
    <cellStyle name="Comma 2 3 3 2 2 2" xfId="3933" xr:uid="{00000000-0005-0000-0000-000063020000}"/>
    <cellStyle name="Comma 2 3 3 2 3" xfId="2413" xr:uid="{00000000-0005-0000-0000-000064020000}"/>
    <cellStyle name="Comma 2 3 3 2 3 2" xfId="4657" xr:uid="{00000000-0005-0000-0000-000065020000}"/>
    <cellStyle name="Comma 2 3 3 2 4" xfId="3147" xr:uid="{00000000-0005-0000-0000-000066020000}"/>
    <cellStyle name="Comma 2 3 3 3" xfId="1154" xr:uid="{00000000-0005-0000-0000-000067020000}"/>
    <cellStyle name="Comma 2 3 3 3 2" xfId="1941" xr:uid="{00000000-0005-0000-0000-000068020000}"/>
    <cellStyle name="Comma 2 3 3 3 2 2" xfId="4185" xr:uid="{00000000-0005-0000-0000-000069020000}"/>
    <cellStyle name="Comma 2 3 3 3 3" xfId="2665" xr:uid="{00000000-0005-0000-0000-00006A020000}"/>
    <cellStyle name="Comma 2 3 3 3 3 2" xfId="4909" xr:uid="{00000000-0005-0000-0000-00006B020000}"/>
    <cellStyle name="Comma 2 3 3 3 4" xfId="3399" xr:uid="{00000000-0005-0000-0000-00006C020000}"/>
    <cellStyle name="Comma 2 3 3 4" xfId="1369" xr:uid="{00000000-0005-0000-0000-00006D020000}"/>
    <cellStyle name="Comma 2 3 3 4 2" xfId="3613" xr:uid="{00000000-0005-0000-0000-00006E020000}"/>
    <cellStyle name="Comma 2 3 3 5" xfId="2155" xr:uid="{00000000-0005-0000-0000-00006F020000}"/>
    <cellStyle name="Comma 2 3 3 5 2" xfId="4399" xr:uid="{00000000-0005-0000-0000-000070020000}"/>
    <cellStyle name="Comma 2 3 3 6" xfId="2879" xr:uid="{00000000-0005-0000-0000-000071020000}"/>
    <cellStyle name="Comma 2 3 4" xfId="87" xr:uid="{00000000-0005-0000-0000-000072020000}"/>
    <cellStyle name="Comma 2 3 4 2" xfId="899" xr:uid="{00000000-0005-0000-0000-000073020000}"/>
    <cellStyle name="Comma 2 3 4 2 2" xfId="1687" xr:uid="{00000000-0005-0000-0000-000074020000}"/>
    <cellStyle name="Comma 2 3 4 2 2 2" xfId="3931" xr:uid="{00000000-0005-0000-0000-000075020000}"/>
    <cellStyle name="Comma 2 3 4 2 3" xfId="2411" xr:uid="{00000000-0005-0000-0000-000076020000}"/>
    <cellStyle name="Comma 2 3 4 2 3 2" xfId="4655" xr:uid="{00000000-0005-0000-0000-000077020000}"/>
    <cellStyle name="Comma 2 3 4 2 4" xfId="3145" xr:uid="{00000000-0005-0000-0000-000078020000}"/>
    <cellStyle name="Comma 2 3 4 3" xfId="1152" xr:uid="{00000000-0005-0000-0000-000079020000}"/>
    <cellStyle name="Comma 2 3 4 3 2" xfId="1939" xr:uid="{00000000-0005-0000-0000-00007A020000}"/>
    <cellStyle name="Comma 2 3 4 3 2 2" xfId="4183" xr:uid="{00000000-0005-0000-0000-00007B020000}"/>
    <cellStyle name="Comma 2 3 4 3 3" xfId="2663" xr:uid="{00000000-0005-0000-0000-00007C020000}"/>
    <cellStyle name="Comma 2 3 4 3 3 2" xfId="4907" xr:uid="{00000000-0005-0000-0000-00007D020000}"/>
    <cellStyle name="Comma 2 3 4 3 4" xfId="3397" xr:uid="{00000000-0005-0000-0000-00007E020000}"/>
    <cellStyle name="Comma 2 3 4 4" xfId="1367" xr:uid="{00000000-0005-0000-0000-00007F020000}"/>
    <cellStyle name="Comma 2 3 4 4 2" xfId="3611" xr:uid="{00000000-0005-0000-0000-000080020000}"/>
    <cellStyle name="Comma 2 3 4 5" xfId="2153" xr:uid="{00000000-0005-0000-0000-000081020000}"/>
    <cellStyle name="Comma 2 3 4 5 2" xfId="4397" xr:uid="{00000000-0005-0000-0000-000082020000}"/>
    <cellStyle name="Comma 2 3 4 6" xfId="2877" xr:uid="{00000000-0005-0000-0000-000083020000}"/>
    <cellStyle name="Comma 2 3 5" xfId="870" xr:uid="{00000000-0005-0000-0000-000084020000}"/>
    <cellStyle name="Comma 2 3 5 2" xfId="1658" xr:uid="{00000000-0005-0000-0000-000085020000}"/>
    <cellStyle name="Comma 2 3 5 2 2" xfId="3902" xr:uid="{00000000-0005-0000-0000-000086020000}"/>
    <cellStyle name="Comma 2 3 5 3" xfId="2382" xr:uid="{00000000-0005-0000-0000-000087020000}"/>
    <cellStyle name="Comma 2 3 5 3 2" xfId="4626" xr:uid="{00000000-0005-0000-0000-000088020000}"/>
    <cellStyle name="Comma 2 3 5 4" xfId="3116" xr:uid="{00000000-0005-0000-0000-000089020000}"/>
    <cellStyle name="Comma 2 3 6" xfId="1078" xr:uid="{00000000-0005-0000-0000-00008A020000}"/>
    <cellStyle name="Comma 2 3 6 2" xfId="1865" xr:uid="{00000000-0005-0000-0000-00008B020000}"/>
    <cellStyle name="Comma 2 3 6 2 2" xfId="4109" xr:uid="{00000000-0005-0000-0000-00008C020000}"/>
    <cellStyle name="Comma 2 3 6 3" xfId="2589" xr:uid="{00000000-0005-0000-0000-00008D020000}"/>
    <cellStyle name="Comma 2 3 6 3 2" xfId="4833" xr:uid="{00000000-0005-0000-0000-00008E020000}"/>
    <cellStyle name="Comma 2 3 6 4" xfId="3323" xr:uid="{00000000-0005-0000-0000-00008F020000}"/>
    <cellStyle name="Comma 2 3 7" xfId="1100" xr:uid="{00000000-0005-0000-0000-000090020000}"/>
    <cellStyle name="Comma 2 3 7 2" xfId="1887" xr:uid="{00000000-0005-0000-0000-000091020000}"/>
    <cellStyle name="Comma 2 3 7 2 2" xfId="4131" xr:uid="{00000000-0005-0000-0000-000092020000}"/>
    <cellStyle name="Comma 2 3 7 3" xfId="2611" xr:uid="{00000000-0005-0000-0000-000093020000}"/>
    <cellStyle name="Comma 2 3 7 3 2" xfId="4855" xr:uid="{00000000-0005-0000-0000-000094020000}"/>
    <cellStyle name="Comma 2 3 7 4" xfId="3345" xr:uid="{00000000-0005-0000-0000-000095020000}"/>
    <cellStyle name="Comma 2 3 8" xfId="1122" xr:uid="{00000000-0005-0000-0000-000096020000}"/>
    <cellStyle name="Comma 2 3 8 2" xfId="1909" xr:uid="{00000000-0005-0000-0000-000097020000}"/>
    <cellStyle name="Comma 2 3 8 2 2" xfId="4153" xr:uid="{00000000-0005-0000-0000-000098020000}"/>
    <cellStyle name="Comma 2 3 8 3" xfId="2633" xr:uid="{00000000-0005-0000-0000-000099020000}"/>
    <cellStyle name="Comma 2 3 8 3 2" xfId="4877" xr:uid="{00000000-0005-0000-0000-00009A020000}"/>
    <cellStyle name="Comma 2 3 8 4" xfId="3367" xr:uid="{00000000-0005-0000-0000-00009B020000}"/>
    <cellStyle name="Comma 2 3 9" xfId="1338" xr:uid="{00000000-0005-0000-0000-00009C020000}"/>
    <cellStyle name="Comma 2 3 9 2" xfId="3582" xr:uid="{00000000-0005-0000-0000-00009D020000}"/>
    <cellStyle name="Comma 2 30" xfId="1085" xr:uid="{00000000-0005-0000-0000-00009E020000}"/>
    <cellStyle name="Comma 2 30 2" xfId="1872" xr:uid="{00000000-0005-0000-0000-00009F020000}"/>
    <cellStyle name="Comma 2 30 2 2" xfId="4116" xr:uid="{00000000-0005-0000-0000-0000A0020000}"/>
    <cellStyle name="Comma 2 30 3" xfId="2596" xr:uid="{00000000-0005-0000-0000-0000A1020000}"/>
    <cellStyle name="Comma 2 30 3 2" xfId="4840" xr:uid="{00000000-0005-0000-0000-0000A2020000}"/>
    <cellStyle name="Comma 2 30 4" xfId="3330" xr:uid="{00000000-0005-0000-0000-0000A3020000}"/>
    <cellStyle name="Comma 2 31" xfId="1106" xr:uid="{00000000-0005-0000-0000-0000A4020000}"/>
    <cellStyle name="Comma 2 31 2" xfId="1893" xr:uid="{00000000-0005-0000-0000-0000A5020000}"/>
    <cellStyle name="Comma 2 31 2 2" xfId="4137" xr:uid="{00000000-0005-0000-0000-0000A6020000}"/>
    <cellStyle name="Comma 2 31 3" xfId="2617" xr:uid="{00000000-0005-0000-0000-0000A7020000}"/>
    <cellStyle name="Comma 2 31 3 2" xfId="4861" xr:uid="{00000000-0005-0000-0000-0000A8020000}"/>
    <cellStyle name="Comma 2 31 4" xfId="3351" xr:uid="{00000000-0005-0000-0000-0000A9020000}"/>
    <cellStyle name="Comma 2 32" xfId="1323" xr:uid="{00000000-0005-0000-0000-0000AA020000}"/>
    <cellStyle name="Comma 2 32 2" xfId="3567" xr:uid="{00000000-0005-0000-0000-0000AB020000}"/>
    <cellStyle name="Comma 2 33" xfId="2109" xr:uid="{00000000-0005-0000-0000-0000AC020000}"/>
    <cellStyle name="Comma 2 33 2" xfId="4353" xr:uid="{00000000-0005-0000-0000-0000AD020000}"/>
    <cellStyle name="Comma 2 34" xfId="2833" xr:uid="{00000000-0005-0000-0000-0000AE020000}"/>
    <cellStyle name="Comma 2 35" xfId="5075" xr:uid="{00000000-0005-0000-0000-0000AF020000}"/>
    <cellStyle name="Comma 2 36" xfId="5094" xr:uid="{00000000-0005-0000-0000-0000B0020000}"/>
    <cellStyle name="Comma 2 37" xfId="5101" xr:uid="{00000000-0005-0000-0000-0000B1020000}"/>
    <cellStyle name="Comma 2 4" xfId="16" xr:uid="{00000000-0005-0000-0000-0000B2020000}"/>
    <cellStyle name="Comma 2 4 2" xfId="90" xr:uid="{00000000-0005-0000-0000-0000B3020000}"/>
    <cellStyle name="Comma 2 4 2 2" xfId="902" xr:uid="{00000000-0005-0000-0000-0000B4020000}"/>
    <cellStyle name="Comma 2 4 2 2 2" xfId="1690" xr:uid="{00000000-0005-0000-0000-0000B5020000}"/>
    <cellStyle name="Comma 2 4 2 2 2 2" xfId="3934" xr:uid="{00000000-0005-0000-0000-0000B6020000}"/>
    <cellStyle name="Comma 2 4 2 2 3" xfId="2414" xr:uid="{00000000-0005-0000-0000-0000B7020000}"/>
    <cellStyle name="Comma 2 4 2 2 3 2" xfId="4658" xr:uid="{00000000-0005-0000-0000-0000B8020000}"/>
    <cellStyle name="Comma 2 4 2 2 4" xfId="3148" xr:uid="{00000000-0005-0000-0000-0000B9020000}"/>
    <cellStyle name="Comma 2 4 2 3" xfId="1155" xr:uid="{00000000-0005-0000-0000-0000BA020000}"/>
    <cellStyle name="Comma 2 4 2 3 2" xfId="1942" xr:uid="{00000000-0005-0000-0000-0000BB020000}"/>
    <cellStyle name="Comma 2 4 2 3 2 2" xfId="4186" xr:uid="{00000000-0005-0000-0000-0000BC020000}"/>
    <cellStyle name="Comma 2 4 2 3 3" xfId="2666" xr:uid="{00000000-0005-0000-0000-0000BD020000}"/>
    <cellStyle name="Comma 2 4 2 3 3 2" xfId="4910" xr:uid="{00000000-0005-0000-0000-0000BE020000}"/>
    <cellStyle name="Comma 2 4 2 3 4" xfId="3400" xr:uid="{00000000-0005-0000-0000-0000BF020000}"/>
    <cellStyle name="Comma 2 4 2 4" xfId="1370" xr:uid="{00000000-0005-0000-0000-0000C0020000}"/>
    <cellStyle name="Comma 2 4 2 4 2" xfId="3614" xr:uid="{00000000-0005-0000-0000-0000C1020000}"/>
    <cellStyle name="Comma 2 4 2 5" xfId="2156" xr:uid="{00000000-0005-0000-0000-0000C2020000}"/>
    <cellStyle name="Comma 2 4 2 5 2" xfId="4400" xr:uid="{00000000-0005-0000-0000-0000C3020000}"/>
    <cellStyle name="Comma 2 4 2 6" xfId="2880" xr:uid="{00000000-0005-0000-0000-0000C4020000}"/>
    <cellStyle name="Comma 2 4 3" xfId="863" xr:uid="{00000000-0005-0000-0000-0000C5020000}"/>
    <cellStyle name="Comma 2 4 3 2" xfId="1651" xr:uid="{00000000-0005-0000-0000-0000C6020000}"/>
    <cellStyle name="Comma 2 4 3 2 2" xfId="3895" xr:uid="{00000000-0005-0000-0000-0000C7020000}"/>
    <cellStyle name="Comma 2 4 3 3" xfId="2375" xr:uid="{00000000-0005-0000-0000-0000C8020000}"/>
    <cellStyle name="Comma 2 4 3 3 2" xfId="4619" xr:uid="{00000000-0005-0000-0000-0000C9020000}"/>
    <cellStyle name="Comma 2 4 3 4" xfId="3109" xr:uid="{00000000-0005-0000-0000-0000CA020000}"/>
    <cellStyle name="Comma 2 4 4" xfId="1093" xr:uid="{00000000-0005-0000-0000-0000CB020000}"/>
    <cellStyle name="Comma 2 4 4 2" xfId="1880" xr:uid="{00000000-0005-0000-0000-0000CC020000}"/>
    <cellStyle name="Comma 2 4 4 2 2" xfId="4124" xr:uid="{00000000-0005-0000-0000-0000CD020000}"/>
    <cellStyle name="Comma 2 4 4 3" xfId="2604" xr:uid="{00000000-0005-0000-0000-0000CE020000}"/>
    <cellStyle name="Comma 2 4 4 3 2" xfId="4848" xr:uid="{00000000-0005-0000-0000-0000CF020000}"/>
    <cellStyle name="Comma 2 4 4 4" xfId="3338" xr:uid="{00000000-0005-0000-0000-0000D0020000}"/>
    <cellStyle name="Comma 2 4 5" xfId="1115" xr:uid="{00000000-0005-0000-0000-0000D1020000}"/>
    <cellStyle name="Comma 2 4 5 2" xfId="1902" xr:uid="{00000000-0005-0000-0000-0000D2020000}"/>
    <cellStyle name="Comma 2 4 5 2 2" xfId="4146" xr:uid="{00000000-0005-0000-0000-0000D3020000}"/>
    <cellStyle name="Comma 2 4 5 3" xfId="2626" xr:uid="{00000000-0005-0000-0000-0000D4020000}"/>
    <cellStyle name="Comma 2 4 5 3 2" xfId="4870" xr:uid="{00000000-0005-0000-0000-0000D5020000}"/>
    <cellStyle name="Comma 2 4 5 4" xfId="3360" xr:uid="{00000000-0005-0000-0000-0000D6020000}"/>
    <cellStyle name="Comma 2 4 6" xfId="1331" xr:uid="{00000000-0005-0000-0000-0000D7020000}"/>
    <cellStyle name="Comma 2 4 6 2" xfId="3575" xr:uid="{00000000-0005-0000-0000-0000D8020000}"/>
    <cellStyle name="Comma 2 4 7" xfId="2117" xr:uid="{00000000-0005-0000-0000-0000D9020000}"/>
    <cellStyle name="Comma 2 4 7 2" xfId="4361" xr:uid="{00000000-0005-0000-0000-0000DA020000}"/>
    <cellStyle name="Comma 2 4 8" xfId="2841" xr:uid="{00000000-0005-0000-0000-0000DB020000}"/>
    <cellStyle name="Comma 2 4 9" xfId="5083" xr:uid="{00000000-0005-0000-0000-0000DC020000}"/>
    <cellStyle name="Comma 2 5" xfId="91" xr:uid="{00000000-0005-0000-0000-0000DD020000}"/>
    <cellStyle name="Comma 2 5 2" xfId="903" xr:uid="{00000000-0005-0000-0000-0000DE020000}"/>
    <cellStyle name="Comma 2 5 2 2" xfId="1691" xr:uid="{00000000-0005-0000-0000-0000DF020000}"/>
    <cellStyle name="Comma 2 5 2 2 2" xfId="3935" xr:uid="{00000000-0005-0000-0000-0000E0020000}"/>
    <cellStyle name="Comma 2 5 2 3" xfId="2415" xr:uid="{00000000-0005-0000-0000-0000E1020000}"/>
    <cellStyle name="Comma 2 5 2 3 2" xfId="4659" xr:uid="{00000000-0005-0000-0000-0000E2020000}"/>
    <cellStyle name="Comma 2 5 2 4" xfId="3149" xr:uid="{00000000-0005-0000-0000-0000E3020000}"/>
    <cellStyle name="Comma 2 5 3" xfId="1156" xr:uid="{00000000-0005-0000-0000-0000E4020000}"/>
    <cellStyle name="Comma 2 5 3 2" xfId="1943" xr:uid="{00000000-0005-0000-0000-0000E5020000}"/>
    <cellStyle name="Comma 2 5 3 2 2" xfId="4187" xr:uid="{00000000-0005-0000-0000-0000E6020000}"/>
    <cellStyle name="Comma 2 5 3 3" xfId="2667" xr:uid="{00000000-0005-0000-0000-0000E7020000}"/>
    <cellStyle name="Comma 2 5 3 3 2" xfId="4911" xr:uid="{00000000-0005-0000-0000-0000E8020000}"/>
    <cellStyle name="Comma 2 5 3 4" xfId="3401" xr:uid="{00000000-0005-0000-0000-0000E9020000}"/>
    <cellStyle name="Comma 2 5 4" xfId="1371" xr:uid="{00000000-0005-0000-0000-0000EA020000}"/>
    <cellStyle name="Comma 2 5 4 2" xfId="3615" xr:uid="{00000000-0005-0000-0000-0000EB020000}"/>
    <cellStyle name="Comma 2 5 5" xfId="2157" xr:uid="{00000000-0005-0000-0000-0000EC020000}"/>
    <cellStyle name="Comma 2 5 5 2" xfId="4401" xr:uid="{00000000-0005-0000-0000-0000ED020000}"/>
    <cellStyle name="Comma 2 5 6" xfId="2881" xr:uid="{00000000-0005-0000-0000-0000EE020000}"/>
    <cellStyle name="Comma 2 6" xfId="92" xr:uid="{00000000-0005-0000-0000-0000EF020000}"/>
    <cellStyle name="Comma 2 6 2" xfId="904" xr:uid="{00000000-0005-0000-0000-0000F0020000}"/>
    <cellStyle name="Comma 2 6 2 2" xfId="1692" xr:uid="{00000000-0005-0000-0000-0000F1020000}"/>
    <cellStyle name="Comma 2 6 2 2 2" xfId="3936" xr:uid="{00000000-0005-0000-0000-0000F2020000}"/>
    <cellStyle name="Comma 2 6 2 3" xfId="2416" xr:uid="{00000000-0005-0000-0000-0000F3020000}"/>
    <cellStyle name="Comma 2 6 2 3 2" xfId="4660" xr:uid="{00000000-0005-0000-0000-0000F4020000}"/>
    <cellStyle name="Comma 2 6 2 4" xfId="3150" xr:uid="{00000000-0005-0000-0000-0000F5020000}"/>
    <cellStyle name="Comma 2 6 3" xfId="1157" xr:uid="{00000000-0005-0000-0000-0000F6020000}"/>
    <cellStyle name="Comma 2 6 3 2" xfId="1944" xr:uid="{00000000-0005-0000-0000-0000F7020000}"/>
    <cellStyle name="Comma 2 6 3 2 2" xfId="4188" xr:uid="{00000000-0005-0000-0000-0000F8020000}"/>
    <cellStyle name="Comma 2 6 3 3" xfId="2668" xr:uid="{00000000-0005-0000-0000-0000F9020000}"/>
    <cellStyle name="Comma 2 6 3 3 2" xfId="4912" xr:uid="{00000000-0005-0000-0000-0000FA020000}"/>
    <cellStyle name="Comma 2 6 3 4" xfId="3402" xr:uid="{00000000-0005-0000-0000-0000FB020000}"/>
    <cellStyle name="Comma 2 6 4" xfId="1372" xr:uid="{00000000-0005-0000-0000-0000FC020000}"/>
    <cellStyle name="Comma 2 6 4 2" xfId="3616" xr:uid="{00000000-0005-0000-0000-0000FD020000}"/>
    <cellStyle name="Comma 2 6 5" xfId="2158" xr:uid="{00000000-0005-0000-0000-0000FE020000}"/>
    <cellStyle name="Comma 2 6 5 2" xfId="4402" xr:uid="{00000000-0005-0000-0000-0000FF020000}"/>
    <cellStyle name="Comma 2 6 6" xfId="2882" xr:uid="{00000000-0005-0000-0000-000000030000}"/>
    <cellStyle name="Comma 2 7" xfId="93" xr:uid="{00000000-0005-0000-0000-000001030000}"/>
    <cellStyle name="Comma 2 7 2" xfId="905" xr:uid="{00000000-0005-0000-0000-000002030000}"/>
    <cellStyle name="Comma 2 7 2 2" xfId="1693" xr:uid="{00000000-0005-0000-0000-000003030000}"/>
    <cellStyle name="Comma 2 7 2 2 2" xfId="3937" xr:uid="{00000000-0005-0000-0000-000004030000}"/>
    <cellStyle name="Comma 2 7 2 3" xfId="2417" xr:uid="{00000000-0005-0000-0000-000005030000}"/>
    <cellStyle name="Comma 2 7 2 3 2" xfId="4661" xr:uid="{00000000-0005-0000-0000-000006030000}"/>
    <cellStyle name="Comma 2 7 2 4" xfId="3151" xr:uid="{00000000-0005-0000-0000-000007030000}"/>
    <cellStyle name="Comma 2 7 3" xfId="1158" xr:uid="{00000000-0005-0000-0000-000008030000}"/>
    <cellStyle name="Comma 2 7 3 2" xfId="1945" xr:uid="{00000000-0005-0000-0000-000009030000}"/>
    <cellStyle name="Comma 2 7 3 2 2" xfId="4189" xr:uid="{00000000-0005-0000-0000-00000A030000}"/>
    <cellStyle name="Comma 2 7 3 3" xfId="2669" xr:uid="{00000000-0005-0000-0000-00000B030000}"/>
    <cellStyle name="Comma 2 7 3 3 2" xfId="4913" xr:uid="{00000000-0005-0000-0000-00000C030000}"/>
    <cellStyle name="Comma 2 7 3 4" xfId="3403" xr:uid="{00000000-0005-0000-0000-00000D030000}"/>
    <cellStyle name="Comma 2 7 4" xfId="1373" xr:uid="{00000000-0005-0000-0000-00000E030000}"/>
    <cellStyle name="Comma 2 7 4 2" xfId="3617" xr:uid="{00000000-0005-0000-0000-00000F030000}"/>
    <cellStyle name="Comma 2 7 5" xfId="2159" xr:uid="{00000000-0005-0000-0000-000010030000}"/>
    <cellStyle name="Comma 2 7 5 2" xfId="4403" xr:uid="{00000000-0005-0000-0000-000011030000}"/>
    <cellStyle name="Comma 2 7 6" xfId="2883" xr:uid="{00000000-0005-0000-0000-000012030000}"/>
    <cellStyle name="Comma 2 8" xfId="94" xr:uid="{00000000-0005-0000-0000-000013030000}"/>
    <cellStyle name="Comma 2 8 2" xfId="906" xr:uid="{00000000-0005-0000-0000-000014030000}"/>
    <cellStyle name="Comma 2 8 2 2" xfId="1694" xr:uid="{00000000-0005-0000-0000-000015030000}"/>
    <cellStyle name="Comma 2 8 2 2 2" xfId="3938" xr:uid="{00000000-0005-0000-0000-000016030000}"/>
    <cellStyle name="Comma 2 8 2 3" xfId="2418" xr:uid="{00000000-0005-0000-0000-000017030000}"/>
    <cellStyle name="Comma 2 8 2 3 2" xfId="4662" xr:uid="{00000000-0005-0000-0000-000018030000}"/>
    <cellStyle name="Comma 2 8 2 4" xfId="3152" xr:uid="{00000000-0005-0000-0000-000019030000}"/>
    <cellStyle name="Comma 2 8 3" xfId="1159" xr:uid="{00000000-0005-0000-0000-00001A030000}"/>
    <cellStyle name="Comma 2 8 3 2" xfId="1946" xr:uid="{00000000-0005-0000-0000-00001B030000}"/>
    <cellStyle name="Comma 2 8 3 2 2" xfId="4190" xr:uid="{00000000-0005-0000-0000-00001C030000}"/>
    <cellStyle name="Comma 2 8 3 3" xfId="2670" xr:uid="{00000000-0005-0000-0000-00001D030000}"/>
    <cellStyle name="Comma 2 8 3 3 2" xfId="4914" xr:uid="{00000000-0005-0000-0000-00001E030000}"/>
    <cellStyle name="Comma 2 8 3 4" xfId="3404" xr:uid="{00000000-0005-0000-0000-00001F030000}"/>
    <cellStyle name="Comma 2 8 4" xfId="1374" xr:uid="{00000000-0005-0000-0000-000020030000}"/>
    <cellStyle name="Comma 2 8 4 2" xfId="3618" xr:uid="{00000000-0005-0000-0000-000021030000}"/>
    <cellStyle name="Comma 2 8 5" xfId="2160" xr:uid="{00000000-0005-0000-0000-000022030000}"/>
    <cellStyle name="Comma 2 8 5 2" xfId="4404" xr:uid="{00000000-0005-0000-0000-000023030000}"/>
    <cellStyle name="Comma 2 8 6" xfId="2884" xr:uid="{00000000-0005-0000-0000-000024030000}"/>
    <cellStyle name="Comma 2 9" xfId="95" xr:uid="{00000000-0005-0000-0000-000025030000}"/>
    <cellStyle name="Comma 2 9 2" xfId="907" xr:uid="{00000000-0005-0000-0000-000026030000}"/>
    <cellStyle name="Comma 2 9 2 2" xfId="1695" xr:uid="{00000000-0005-0000-0000-000027030000}"/>
    <cellStyle name="Comma 2 9 2 2 2" xfId="3939" xr:uid="{00000000-0005-0000-0000-000028030000}"/>
    <cellStyle name="Comma 2 9 2 3" xfId="2419" xr:uid="{00000000-0005-0000-0000-000029030000}"/>
    <cellStyle name="Comma 2 9 2 3 2" xfId="4663" xr:uid="{00000000-0005-0000-0000-00002A030000}"/>
    <cellStyle name="Comma 2 9 2 4" xfId="3153" xr:uid="{00000000-0005-0000-0000-00002B030000}"/>
    <cellStyle name="Comma 2 9 3" xfId="1160" xr:uid="{00000000-0005-0000-0000-00002C030000}"/>
    <cellStyle name="Comma 2 9 3 2" xfId="1947" xr:uid="{00000000-0005-0000-0000-00002D030000}"/>
    <cellStyle name="Comma 2 9 3 2 2" xfId="4191" xr:uid="{00000000-0005-0000-0000-00002E030000}"/>
    <cellStyle name="Comma 2 9 3 3" xfId="2671" xr:uid="{00000000-0005-0000-0000-00002F030000}"/>
    <cellStyle name="Comma 2 9 3 3 2" xfId="4915" xr:uid="{00000000-0005-0000-0000-000030030000}"/>
    <cellStyle name="Comma 2 9 3 4" xfId="3405" xr:uid="{00000000-0005-0000-0000-000031030000}"/>
    <cellStyle name="Comma 2 9 4" xfId="1375" xr:uid="{00000000-0005-0000-0000-000032030000}"/>
    <cellStyle name="Comma 2 9 4 2" xfId="3619" xr:uid="{00000000-0005-0000-0000-000033030000}"/>
    <cellStyle name="Comma 2 9 5" xfId="2161" xr:uid="{00000000-0005-0000-0000-000034030000}"/>
    <cellStyle name="Comma 2 9 5 2" xfId="4405" xr:uid="{00000000-0005-0000-0000-000035030000}"/>
    <cellStyle name="Comma 2 9 6" xfId="2885" xr:uid="{00000000-0005-0000-0000-000036030000}"/>
    <cellStyle name="Comma 20" xfId="96" xr:uid="{00000000-0005-0000-0000-000037030000}"/>
    <cellStyle name="Comma 20 2" xfId="908" xr:uid="{00000000-0005-0000-0000-000038030000}"/>
    <cellStyle name="Comma 20 2 2" xfId="1696" xr:uid="{00000000-0005-0000-0000-000039030000}"/>
    <cellStyle name="Comma 20 2 2 2" xfId="3940" xr:uid="{00000000-0005-0000-0000-00003A030000}"/>
    <cellStyle name="Comma 20 2 3" xfId="2420" xr:uid="{00000000-0005-0000-0000-00003B030000}"/>
    <cellStyle name="Comma 20 2 3 2" xfId="4664" xr:uid="{00000000-0005-0000-0000-00003C030000}"/>
    <cellStyle name="Comma 20 2 4" xfId="3154" xr:uid="{00000000-0005-0000-0000-00003D030000}"/>
    <cellStyle name="Comma 20 3" xfId="1161" xr:uid="{00000000-0005-0000-0000-00003E030000}"/>
    <cellStyle name="Comma 20 3 2" xfId="1948" xr:uid="{00000000-0005-0000-0000-00003F030000}"/>
    <cellStyle name="Comma 20 3 2 2" xfId="4192" xr:uid="{00000000-0005-0000-0000-000040030000}"/>
    <cellStyle name="Comma 20 3 3" xfId="2672" xr:uid="{00000000-0005-0000-0000-000041030000}"/>
    <cellStyle name="Comma 20 3 3 2" xfId="4916" xr:uid="{00000000-0005-0000-0000-000042030000}"/>
    <cellStyle name="Comma 20 3 4" xfId="3406" xr:uid="{00000000-0005-0000-0000-000043030000}"/>
    <cellStyle name="Comma 20 4" xfId="1376" xr:uid="{00000000-0005-0000-0000-000044030000}"/>
    <cellStyle name="Comma 20 4 2" xfId="3620" xr:uid="{00000000-0005-0000-0000-000045030000}"/>
    <cellStyle name="Comma 20 5" xfId="2162" xr:uid="{00000000-0005-0000-0000-000046030000}"/>
    <cellStyle name="Comma 20 5 2" xfId="4406" xr:uid="{00000000-0005-0000-0000-000047030000}"/>
    <cellStyle name="Comma 20 6" xfId="2886" xr:uid="{00000000-0005-0000-0000-000048030000}"/>
    <cellStyle name="Comma 21" xfId="97" xr:uid="{00000000-0005-0000-0000-000049030000}"/>
    <cellStyle name="Comma 21 2" xfId="909" xr:uid="{00000000-0005-0000-0000-00004A030000}"/>
    <cellStyle name="Comma 21 2 2" xfId="1697" xr:uid="{00000000-0005-0000-0000-00004B030000}"/>
    <cellStyle name="Comma 21 2 2 2" xfId="3941" xr:uid="{00000000-0005-0000-0000-00004C030000}"/>
    <cellStyle name="Comma 21 2 3" xfId="2421" xr:uid="{00000000-0005-0000-0000-00004D030000}"/>
    <cellStyle name="Comma 21 2 3 2" xfId="4665" xr:uid="{00000000-0005-0000-0000-00004E030000}"/>
    <cellStyle name="Comma 21 2 4" xfId="3155" xr:uid="{00000000-0005-0000-0000-00004F030000}"/>
    <cellStyle name="Comma 21 3" xfId="1162" xr:uid="{00000000-0005-0000-0000-000050030000}"/>
    <cellStyle name="Comma 21 3 2" xfId="1949" xr:uid="{00000000-0005-0000-0000-000051030000}"/>
    <cellStyle name="Comma 21 3 2 2" xfId="4193" xr:uid="{00000000-0005-0000-0000-000052030000}"/>
    <cellStyle name="Comma 21 3 3" xfId="2673" xr:uid="{00000000-0005-0000-0000-000053030000}"/>
    <cellStyle name="Comma 21 3 3 2" xfId="4917" xr:uid="{00000000-0005-0000-0000-000054030000}"/>
    <cellStyle name="Comma 21 3 4" xfId="3407" xr:uid="{00000000-0005-0000-0000-000055030000}"/>
    <cellStyle name="Comma 21 4" xfId="1377" xr:uid="{00000000-0005-0000-0000-000056030000}"/>
    <cellStyle name="Comma 21 4 2" xfId="3621" xr:uid="{00000000-0005-0000-0000-000057030000}"/>
    <cellStyle name="Comma 21 5" xfId="2163" xr:uid="{00000000-0005-0000-0000-000058030000}"/>
    <cellStyle name="Comma 21 5 2" xfId="4407" xr:uid="{00000000-0005-0000-0000-000059030000}"/>
    <cellStyle name="Comma 21 6" xfId="2887" xr:uid="{00000000-0005-0000-0000-00005A030000}"/>
    <cellStyle name="Comma 22" xfId="722" xr:uid="{00000000-0005-0000-0000-00005B030000}"/>
    <cellStyle name="Comma 22 2" xfId="1037" xr:uid="{00000000-0005-0000-0000-00005C030000}"/>
    <cellStyle name="Comma 22 2 2" xfId="1825" xr:uid="{00000000-0005-0000-0000-00005D030000}"/>
    <cellStyle name="Comma 22 2 2 2" xfId="4069" xr:uid="{00000000-0005-0000-0000-00005E030000}"/>
    <cellStyle name="Comma 22 2 3" xfId="2549" xr:uid="{00000000-0005-0000-0000-00005F030000}"/>
    <cellStyle name="Comma 22 2 3 2" xfId="4793" xr:uid="{00000000-0005-0000-0000-000060030000}"/>
    <cellStyle name="Comma 22 2 4" xfId="3283" xr:uid="{00000000-0005-0000-0000-000061030000}"/>
    <cellStyle name="Comma 22 3" xfId="1290" xr:uid="{00000000-0005-0000-0000-000062030000}"/>
    <cellStyle name="Comma 22 3 2" xfId="2077" xr:uid="{00000000-0005-0000-0000-000063030000}"/>
    <cellStyle name="Comma 22 3 2 2" xfId="4321" xr:uid="{00000000-0005-0000-0000-000064030000}"/>
    <cellStyle name="Comma 22 3 3" xfId="2800" xr:uid="{00000000-0005-0000-0000-000065030000}"/>
    <cellStyle name="Comma 22 3 3 2" xfId="5044" xr:uid="{00000000-0005-0000-0000-000066030000}"/>
    <cellStyle name="Comma 22 3 4" xfId="3535" xr:uid="{00000000-0005-0000-0000-000067030000}"/>
    <cellStyle name="Comma 22 4" xfId="1557" xr:uid="{00000000-0005-0000-0000-000068030000}"/>
    <cellStyle name="Comma 22 4 2" xfId="3801" xr:uid="{00000000-0005-0000-0000-000069030000}"/>
    <cellStyle name="Comma 22 5" xfId="2335" xr:uid="{00000000-0005-0000-0000-00006A030000}"/>
    <cellStyle name="Comma 22 5 2" xfId="4579" xr:uid="{00000000-0005-0000-0000-00006B030000}"/>
    <cellStyle name="Comma 22 6" xfId="3015" xr:uid="{00000000-0005-0000-0000-00006C030000}"/>
    <cellStyle name="Comma 23" xfId="814" xr:uid="{00000000-0005-0000-0000-00006D030000}"/>
    <cellStyle name="Comma 23 2" xfId="1048" xr:uid="{00000000-0005-0000-0000-00006E030000}"/>
    <cellStyle name="Comma 23 2 2" xfId="1836" xr:uid="{00000000-0005-0000-0000-00006F030000}"/>
    <cellStyle name="Comma 23 2 2 2" xfId="4080" xr:uid="{00000000-0005-0000-0000-000070030000}"/>
    <cellStyle name="Comma 23 2 3" xfId="2560" xr:uid="{00000000-0005-0000-0000-000071030000}"/>
    <cellStyle name="Comma 23 2 3 2" xfId="4804" xr:uid="{00000000-0005-0000-0000-000072030000}"/>
    <cellStyle name="Comma 23 2 4" xfId="3294" xr:uid="{00000000-0005-0000-0000-000073030000}"/>
    <cellStyle name="Comma 23 3" xfId="1302" xr:uid="{00000000-0005-0000-0000-000074030000}"/>
    <cellStyle name="Comma 23 3 2" xfId="2089" xr:uid="{00000000-0005-0000-0000-000075030000}"/>
    <cellStyle name="Comma 23 3 2 2" xfId="4333" xr:uid="{00000000-0005-0000-0000-000076030000}"/>
    <cellStyle name="Comma 23 3 3" xfId="2811" xr:uid="{00000000-0005-0000-0000-000077030000}"/>
    <cellStyle name="Comma 23 3 3 2" xfId="5055" xr:uid="{00000000-0005-0000-0000-000078030000}"/>
    <cellStyle name="Comma 23 3 4" xfId="3547" xr:uid="{00000000-0005-0000-0000-000079030000}"/>
    <cellStyle name="Comma 23 4" xfId="1622" xr:uid="{00000000-0005-0000-0000-00007A030000}"/>
    <cellStyle name="Comma 23 4 2" xfId="3866" xr:uid="{00000000-0005-0000-0000-00007B030000}"/>
    <cellStyle name="Comma 23 5" xfId="2346" xr:uid="{00000000-0005-0000-0000-00007C030000}"/>
    <cellStyle name="Comma 23 5 2" xfId="4590" xr:uid="{00000000-0005-0000-0000-00007D030000}"/>
    <cellStyle name="Comma 23 6" xfId="3080" xr:uid="{00000000-0005-0000-0000-00007E030000}"/>
    <cellStyle name="Comma 24" xfId="98" xr:uid="{00000000-0005-0000-0000-00007F030000}"/>
    <cellStyle name="Comma 24 2" xfId="910" xr:uid="{00000000-0005-0000-0000-000080030000}"/>
    <cellStyle name="Comma 24 2 2" xfId="1698" xr:uid="{00000000-0005-0000-0000-000081030000}"/>
    <cellStyle name="Comma 24 2 2 2" xfId="3942" xr:uid="{00000000-0005-0000-0000-000082030000}"/>
    <cellStyle name="Comma 24 2 3" xfId="2422" xr:uid="{00000000-0005-0000-0000-000083030000}"/>
    <cellStyle name="Comma 24 2 3 2" xfId="4666" xr:uid="{00000000-0005-0000-0000-000084030000}"/>
    <cellStyle name="Comma 24 2 4" xfId="3156" xr:uid="{00000000-0005-0000-0000-000085030000}"/>
    <cellStyle name="Comma 24 3" xfId="1163" xr:uid="{00000000-0005-0000-0000-000086030000}"/>
    <cellStyle name="Comma 24 3 2" xfId="1950" xr:uid="{00000000-0005-0000-0000-000087030000}"/>
    <cellStyle name="Comma 24 3 2 2" xfId="4194" xr:uid="{00000000-0005-0000-0000-000088030000}"/>
    <cellStyle name="Comma 24 3 3" xfId="2674" xr:uid="{00000000-0005-0000-0000-000089030000}"/>
    <cellStyle name="Comma 24 3 3 2" xfId="4918" xr:uid="{00000000-0005-0000-0000-00008A030000}"/>
    <cellStyle name="Comma 24 3 4" xfId="3408" xr:uid="{00000000-0005-0000-0000-00008B030000}"/>
    <cellStyle name="Comma 24 4" xfId="1378" xr:uid="{00000000-0005-0000-0000-00008C030000}"/>
    <cellStyle name="Comma 24 4 2" xfId="3622" xr:uid="{00000000-0005-0000-0000-00008D030000}"/>
    <cellStyle name="Comma 24 5" xfId="2164" xr:uid="{00000000-0005-0000-0000-00008E030000}"/>
    <cellStyle name="Comma 24 5 2" xfId="4408" xr:uid="{00000000-0005-0000-0000-00008F030000}"/>
    <cellStyle name="Comma 24 6" xfId="2888" xr:uid="{00000000-0005-0000-0000-000090030000}"/>
    <cellStyle name="Comma 25" xfId="99" xr:uid="{00000000-0005-0000-0000-000091030000}"/>
    <cellStyle name="Comma 25 2" xfId="911" xr:uid="{00000000-0005-0000-0000-000092030000}"/>
    <cellStyle name="Comma 25 2 2" xfId="1699" xr:uid="{00000000-0005-0000-0000-000093030000}"/>
    <cellStyle name="Comma 25 2 2 2" xfId="3943" xr:uid="{00000000-0005-0000-0000-000094030000}"/>
    <cellStyle name="Comma 25 2 3" xfId="2423" xr:uid="{00000000-0005-0000-0000-000095030000}"/>
    <cellStyle name="Comma 25 2 3 2" xfId="4667" xr:uid="{00000000-0005-0000-0000-000096030000}"/>
    <cellStyle name="Comma 25 2 4" xfId="3157" xr:uid="{00000000-0005-0000-0000-000097030000}"/>
    <cellStyle name="Comma 25 3" xfId="1164" xr:uid="{00000000-0005-0000-0000-000098030000}"/>
    <cellStyle name="Comma 25 3 2" xfId="1951" xr:uid="{00000000-0005-0000-0000-000099030000}"/>
    <cellStyle name="Comma 25 3 2 2" xfId="4195" xr:uid="{00000000-0005-0000-0000-00009A030000}"/>
    <cellStyle name="Comma 25 3 3" xfId="2675" xr:uid="{00000000-0005-0000-0000-00009B030000}"/>
    <cellStyle name="Comma 25 3 3 2" xfId="4919" xr:uid="{00000000-0005-0000-0000-00009C030000}"/>
    <cellStyle name="Comma 25 3 4" xfId="3409" xr:uid="{00000000-0005-0000-0000-00009D030000}"/>
    <cellStyle name="Comma 25 4" xfId="1379" xr:uid="{00000000-0005-0000-0000-00009E030000}"/>
    <cellStyle name="Comma 25 4 2" xfId="3623" xr:uid="{00000000-0005-0000-0000-00009F030000}"/>
    <cellStyle name="Comma 25 5" xfId="2165" xr:uid="{00000000-0005-0000-0000-0000A0030000}"/>
    <cellStyle name="Comma 25 5 2" xfId="4409" xr:uid="{00000000-0005-0000-0000-0000A1030000}"/>
    <cellStyle name="Comma 25 6" xfId="2889" xr:uid="{00000000-0005-0000-0000-0000A2030000}"/>
    <cellStyle name="Comma 26" xfId="2" xr:uid="{00000000-0005-0000-0000-0000A3030000}"/>
    <cellStyle name="Comma 26 10" xfId="2107" xr:uid="{00000000-0005-0000-0000-0000A4030000}"/>
    <cellStyle name="Comma 26 10 2" xfId="4351" xr:uid="{00000000-0005-0000-0000-0000A5030000}"/>
    <cellStyle name="Comma 26 11" xfId="2831" xr:uid="{00000000-0005-0000-0000-0000A6030000}"/>
    <cellStyle name="Comma 26 12" xfId="5073" xr:uid="{00000000-0005-0000-0000-0000A7030000}"/>
    <cellStyle name="Comma 26 2" xfId="4" xr:uid="{00000000-0005-0000-0000-0000A8030000}"/>
    <cellStyle name="Comma 26 2 10" xfId="2832" xr:uid="{00000000-0005-0000-0000-0000A9030000}"/>
    <cellStyle name="Comma 26 2 11" xfId="5074" xr:uid="{00000000-0005-0000-0000-0000AA030000}"/>
    <cellStyle name="Comma 26 2 2" xfId="9" xr:uid="{00000000-0005-0000-0000-0000AB030000}"/>
    <cellStyle name="Comma 26 2 2 10" xfId="5078" xr:uid="{00000000-0005-0000-0000-0000AC030000}"/>
    <cellStyle name="Comma 26 2 2 2" xfId="19" xr:uid="{00000000-0005-0000-0000-0000AD030000}"/>
    <cellStyle name="Comma 26 2 2 2 2" xfId="866" xr:uid="{00000000-0005-0000-0000-0000AE030000}"/>
    <cellStyle name="Comma 26 2 2 2 2 2" xfId="1654" xr:uid="{00000000-0005-0000-0000-0000AF030000}"/>
    <cellStyle name="Comma 26 2 2 2 2 2 2" xfId="3898" xr:uid="{00000000-0005-0000-0000-0000B0030000}"/>
    <cellStyle name="Comma 26 2 2 2 2 3" xfId="2378" xr:uid="{00000000-0005-0000-0000-0000B1030000}"/>
    <cellStyle name="Comma 26 2 2 2 2 3 2" xfId="4622" xr:uid="{00000000-0005-0000-0000-0000B2030000}"/>
    <cellStyle name="Comma 26 2 2 2 2 4" xfId="3112" xr:uid="{00000000-0005-0000-0000-0000B3030000}"/>
    <cellStyle name="Comma 26 2 2 2 3" xfId="1096" xr:uid="{00000000-0005-0000-0000-0000B4030000}"/>
    <cellStyle name="Comma 26 2 2 2 3 2" xfId="1883" xr:uid="{00000000-0005-0000-0000-0000B5030000}"/>
    <cellStyle name="Comma 26 2 2 2 3 2 2" xfId="4127" xr:uid="{00000000-0005-0000-0000-0000B6030000}"/>
    <cellStyle name="Comma 26 2 2 2 3 3" xfId="2607" xr:uid="{00000000-0005-0000-0000-0000B7030000}"/>
    <cellStyle name="Comma 26 2 2 2 3 3 2" xfId="4851" xr:uid="{00000000-0005-0000-0000-0000B8030000}"/>
    <cellStyle name="Comma 26 2 2 2 3 4" xfId="3341" xr:uid="{00000000-0005-0000-0000-0000B9030000}"/>
    <cellStyle name="Comma 26 2 2 2 4" xfId="1118" xr:uid="{00000000-0005-0000-0000-0000BA030000}"/>
    <cellStyle name="Comma 26 2 2 2 4 2" xfId="1905" xr:uid="{00000000-0005-0000-0000-0000BB030000}"/>
    <cellStyle name="Comma 26 2 2 2 4 2 2" xfId="4149" xr:uid="{00000000-0005-0000-0000-0000BC030000}"/>
    <cellStyle name="Comma 26 2 2 2 4 3" xfId="2629" xr:uid="{00000000-0005-0000-0000-0000BD030000}"/>
    <cellStyle name="Comma 26 2 2 2 4 3 2" xfId="4873" xr:uid="{00000000-0005-0000-0000-0000BE030000}"/>
    <cellStyle name="Comma 26 2 2 2 4 4" xfId="3363" xr:uid="{00000000-0005-0000-0000-0000BF030000}"/>
    <cellStyle name="Comma 26 2 2 2 5" xfId="1334" xr:uid="{00000000-0005-0000-0000-0000C0030000}"/>
    <cellStyle name="Comma 26 2 2 2 5 2" xfId="3578" xr:uid="{00000000-0005-0000-0000-0000C1030000}"/>
    <cellStyle name="Comma 26 2 2 2 6" xfId="2120" xr:uid="{00000000-0005-0000-0000-0000C2030000}"/>
    <cellStyle name="Comma 26 2 2 2 6 2" xfId="4364" xr:uid="{00000000-0005-0000-0000-0000C3030000}"/>
    <cellStyle name="Comma 26 2 2 2 7" xfId="2844" xr:uid="{00000000-0005-0000-0000-0000C4030000}"/>
    <cellStyle name="Comma 26 2 2 2 8" xfId="5086" xr:uid="{00000000-0005-0000-0000-0000C5030000}"/>
    <cellStyle name="Comma 26 2 2 3" xfId="857" xr:uid="{00000000-0005-0000-0000-0000C6030000}"/>
    <cellStyle name="Comma 26 2 2 3 2" xfId="1645" xr:uid="{00000000-0005-0000-0000-0000C7030000}"/>
    <cellStyle name="Comma 26 2 2 3 2 2" xfId="3889" xr:uid="{00000000-0005-0000-0000-0000C8030000}"/>
    <cellStyle name="Comma 26 2 2 3 3" xfId="2369" xr:uid="{00000000-0005-0000-0000-0000C9030000}"/>
    <cellStyle name="Comma 26 2 2 3 3 2" xfId="4613" xr:uid="{00000000-0005-0000-0000-0000CA030000}"/>
    <cellStyle name="Comma 26 2 2 3 4" xfId="3103" xr:uid="{00000000-0005-0000-0000-0000CB030000}"/>
    <cellStyle name="Comma 26 2 2 4" xfId="1074" xr:uid="{00000000-0005-0000-0000-0000CC030000}"/>
    <cellStyle name="Comma 26 2 2 4 2" xfId="1861" xr:uid="{00000000-0005-0000-0000-0000CD030000}"/>
    <cellStyle name="Comma 26 2 2 4 2 2" xfId="4105" xr:uid="{00000000-0005-0000-0000-0000CE030000}"/>
    <cellStyle name="Comma 26 2 2 4 3" xfId="2585" xr:uid="{00000000-0005-0000-0000-0000CF030000}"/>
    <cellStyle name="Comma 26 2 2 4 3 2" xfId="4829" xr:uid="{00000000-0005-0000-0000-0000D0030000}"/>
    <cellStyle name="Comma 26 2 2 4 4" xfId="3319" xr:uid="{00000000-0005-0000-0000-0000D1030000}"/>
    <cellStyle name="Comma 26 2 2 5" xfId="1088" xr:uid="{00000000-0005-0000-0000-0000D2030000}"/>
    <cellStyle name="Comma 26 2 2 5 2" xfId="1875" xr:uid="{00000000-0005-0000-0000-0000D3030000}"/>
    <cellStyle name="Comma 26 2 2 5 2 2" xfId="4119" xr:uid="{00000000-0005-0000-0000-0000D4030000}"/>
    <cellStyle name="Comma 26 2 2 5 3" xfId="2599" xr:uid="{00000000-0005-0000-0000-0000D5030000}"/>
    <cellStyle name="Comma 26 2 2 5 3 2" xfId="4843" xr:uid="{00000000-0005-0000-0000-0000D6030000}"/>
    <cellStyle name="Comma 26 2 2 5 4" xfId="3333" xr:uid="{00000000-0005-0000-0000-0000D7030000}"/>
    <cellStyle name="Comma 26 2 2 6" xfId="1109" xr:uid="{00000000-0005-0000-0000-0000D8030000}"/>
    <cellStyle name="Comma 26 2 2 6 2" xfId="1896" xr:uid="{00000000-0005-0000-0000-0000D9030000}"/>
    <cellStyle name="Comma 26 2 2 6 2 2" xfId="4140" xr:uid="{00000000-0005-0000-0000-0000DA030000}"/>
    <cellStyle name="Comma 26 2 2 6 3" xfId="2620" xr:uid="{00000000-0005-0000-0000-0000DB030000}"/>
    <cellStyle name="Comma 26 2 2 6 3 2" xfId="4864" xr:uid="{00000000-0005-0000-0000-0000DC030000}"/>
    <cellStyle name="Comma 26 2 2 6 4" xfId="3354" xr:uid="{00000000-0005-0000-0000-0000DD030000}"/>
    <cellStyle name="Comma 26 2 2 7" xfId="1326" xr:uid="{00000000-0005-0000-0000-0000DE030000}"/>
    <cellStyle name="Comma 26 2 2 7 2" xfId="3570" xr:uid="{00000000-0005-0000-0000-0000DF030000}"/>
    <cellStyle name="Comma 26 2 2 8" xfId="2112" xr:uid="{00000000-0005-0000-0000-0000E0030000}"/>
    <cellStyle name="Comma 26 2 2 8 2" xfId="4356" xr:uid="{00000000-0005-0000-0000-0000E1030000}"/>
    <cellStyle name="Comma 26 2 2 9" xfId="2836" xr:uid="{00000000-0005-0000-0000-0000E2030000}"/>
    <cellStyle name="Comma 26 2 3" xfId="15" xr:uid="{00000000-0005-0000-0000-0000E3030000}"/>
    <cellStyle name="Comma 26 2 3 2" xfId="862" xr:uid="{00000000-0005-0000-0000-0000E4030000}"/>
    <cellStyle name="Comma 26 2 3 2 2" xfId="1650" xr:uid="{00000000-0005-0000-0000-0000E5030000}"/>
    <cellStyle name="Comma 26 2 3 2 2 2" xfId="3894" xr:uid="{00000000-0005-0000-0000-0000E6030000}"/>
    <cellStyle name="Comma 26 2 3 2 3" xfId="2374" xr:uid="{00000000-0005-0000-0000-0000E7030000}"/>
    <cellStyle name="Comma 26 2 3 2 3 2" xfId="4618" xr:uid="{00000000-0005-0000-0000-0000E8030000}"/>
    <cellStyle name="Comma 26 2 3 2 4" xfId="3108" xr:uid="{00000000-0005-0000-0000-0000E9030000}"/>
    <cellStyle name="Comma 26 2 3 3" xfId="1092" xr:uid="{00000000-0005-0000-0000-0000EA030000}"/>
    <cellStyle name="Comma 26 2 3 3 2" xfId="1879" xr:uid="{00000000-0005-0000-0000-0000EB030000}"/>
    <cellStyle name="Comma 26 2 3 3 2 2" xfId="4123" xr:uid="{00000000-0005-0000-0000-0000EC030000}"/>
    <cellStyle name="Comma 26 2 3 3 3" xfId="2603" xr:uid="{00000000-0005-0000-0000-0000ED030000}"/>
    <cellStyle name="Comma 26 2 3 3 3 2" xfId="4847" xr:uid="{00000000-0005-0000-0000-0000EE030000}"/>
    <cellStyle name="Comma 26 2 3 3 4" xfId="3337" xr:uid="{00000000-0005-0000-0000-0000EF030000}"/>
    <cellStyle name="Comma 26 2 3 4" xfId="1114" xr:uid="{00000000-0005-0000-0000-0000F0030000}"/>
    <cellStyle name="Comma 26 2 3 4 2" xfId="1901" xr:uid="{00000000-0005-0000-0000-0000F1030000}"/>
    <cellStyle name="Comma 26 2 3 4 2 2" xfId="4145" xr:uid="{00000000-0005-0000-0000-0000F2030000}"/>
    <cellStyle name="Comma 26 2 3 4 3" xfId="2625" xr:uid="{00000000-0005-0000-0000-0000F3030000}"/>
    <cellStyle name="Comma 26 2 3 4 3 2" xfId="4869" xr:uid="{00000000-0005-0000-0000-0000F4030000}"/>
    <cellStyle name="Comma 26 2 3 4 4" xfId="3359" xr:uid="{00000000-0005-0000-0000-0000F5030000}"/>
    <cellStyle name="Comma 26 2 3 5" xfId="1330" xr:uid="{00000000-0005-0000-0000-0000F6030000}"/>
    <cellStyle name="Comma 26 2 3 5 2" xfId="3574" xr:uid="{00000000-0005-0000-0000-0000F7030000}"/>
    <cellStyle name="Comma 26 2 3 6" xfId="2116" xr:uid="{00000000-0005-0000-0000-0000F8030000}"/>
    <cellStyle name="Comma 26 2 3 6 2" xfId="4360" xr:uid="{00000000-0005-0000-0000-0000F9030000}"/>
    <cellStyle name="Comma 26 2 3 7" xfId="2840" xr:uid="{00000000-0005-0000-0000-0000FA030000}"/>
    <cellStyle name="Comma 26 2 3 8" xfId="5082" xr:uid="{00000000-0005-0000-0000-0000FB030000}"/>
    <cellStyle name="Comma 26 2 4" xfId="853" xr:uid="{00000000-0005-0000-0000-0000FC030000}"/>
    <cellStyle name="Comma 26 2 4 2" xfId="1641" xr:uid="{00000000-0005-0000-0000-0000FD030000}"/>
    <cellStyle name="Comma 26 2 4 2 2" xfId="3885" xr:uid="{00000000-0005-0000-0000-0000FE030000}"/>
    <cellStyle name="Comma 26 2 4 3" xfId="2365" xr:uid="{00000000-0005-0000-0000-0000FF030000}"/>
    <cellStyle name="Comma 26 2 4 3 2" xfId="4609" xr:uid="{00000000-0005-0000-0000-000000040000}"/>
    <cellStyle name="Comma 26 2 4 4" xfId="3099" xr:uid="{00000000-0005-0000-0000-000001040000}"/>
    <cellStyle name="Comma 26 2 5" xfId="1070" xr:uid="{00000000-0005-0000-0000-000002040000}"/>
    <cellStyle name="Comma 26 2 5 2" xfId="1857" xr:uid="{00000000-0005-0000-0000-000003040000}"/>
    <cellStyle name="Comma 26 2 5 2 2" xfId="4101" xr:uid="{00000000-0005-0000-0000-000004040000}"/>
    <cellStyle name="Comma 26 2 5 3" xfId="2581" xr:uid="{00000000-0005-0000-0000-000005040000}"/>
    <cellStyle name="Comma 26 2 5 3 2" xfId="4825" xr:uid="{00000000-0005-0000-0000-000006040000}"/>
    <cellStyle name="Comma 26 2 5 4" xfId="3315" xr:uid="{00000000-0005-0000-0000-000007040000}"/>
    <cellStyle name="Comma 26 2 6" xfId="1084" xr:uid="{00000000-0005-0000-0000-000008040000}"/>
    <cellStyle name="Comma 26 2 6 2" xfId="1871" xr:uid="{00000000-0005-0000-0000-000009040000}"/>
    <cellStyle name="Comma 26 2 6 2 2" xfId="4115" xr:uid="{00000000-0005-0000-0000-00000A040000}"/>
    <cellStyle name="Comma 26 2 6 3" xfId="2595" xr:uid="{00000000-0005-0000-0000-00000B040000}"/>
    <cellStyle name="Comma 26 2 6 3 2" xfId="4839" xr:uid="{00000000-0005-0000-0000-00000C040000}"/>
    <cellStyle name="Comma 26 2 6 4" xfId="3329" xr:uid="{00000000-0005-0000-0000-00000D040000}"/>
    <cellStyle name="Comma 26 2 7" xfId="1105" xr:uid="{00000000-0005-0000-0000-00000E040000}"/>
    <cellStyle name="Comma 26 2 7 2" xfId="1892" xr:uid="{00000000-0005-0000-0000-00000F040000}"/>
    <cellStyle name="Comma 26 2 7 2 2" xfId="4136" xr:uid="{00000000-0005-0000-0000-000010040000}"/>
    <cellStyle name="Comma 26 2 7 3" xfId="2616" xr:uid="{00000000-0005-0000-0000-000011040000}"/>
    <cellStyle name="Comma 26 2 7 3 2" xfId="4860" xr:uid="{00000000-0005-0000-0000-000012040000}"/>
    <cellStyle name="Comma 26 2 7 4" xfId="3350" xr:uid="{00000000-0005-0000-0000-000013040000}"/>
    <cellStyle name="Comma 26 2 8" xfId="1322" xr:uid="{00000000-0005-0000-0000-000014040000}"/>
    <cellStyle name="Comma 26 2 8 2" xfId="3566" xr:uid="{00000000-0005-0000-0000-000015040000}"/>
    <cellStyle name="Comma 26 2 9" xfId="2108" xr:uid="{00000000-0005-0000-0000-000016040000}"/>
    <cellStyle name="Comma 26 2 9 2" xfId="4352" xr:uid="{00000000-0005-0000-0000-000017040000}"/>
    <cellStyle name="Comma 26 3" xfId="7" xr:uid="{00000000-0005-0000-0000-000018040000}"/>
    <cellStyle name="Comma 26 3 10" xfId="5076" xr:uid="{00000000-0005-0000-0000-000019040000}"/>
    <cellStyle name="Comma 26 3 2" xfId="17" xr:uid="{00000000-0005-0000-0000-00001A040000}"/>
    <cellStyle name="Comma 26 3 2 2" xfId="864" xr:uid="{00000000-0005-0000-0000-00001B040000}"/>
    <cellStyle name="Comma 26 3 2 2 2" xfId="1652" xr:uid="{00000000-0005-0000-0000-00001C040000}"/>
    <cellStyle name="Comma 26 3 2 2 2 2" xfId="3896" xr:uid="{00000000-0005-0000-0000-00001D040000}"/>
    <cellStyle name="Comma 26 3 2 2 3" xfId="2376" xr:uid="{00000000-0005-0000-0000-00001E040000}"/>
    <cellStyle name="Comma 26 3 2 2 3 2" xfId="4620" xr:uid="{00000000-0005-0000-0000-00001F040000}"/>
    <cellStyle name="Comma 26 3 2 2 4" xfId="3110" xr:uid="{00000000-0005-0000-0000-000020040000}"/>
    <cellStyle name="Comma 26 3 2 3" xfId="1094" xr:uid="{00000000-0005-0000-0000-000021040000}"/>
    <cellStyle name="Comma 26 3 2 3 2" xfId="1881" xr:uid="{00000000-0005-0000-0000-000022040000}"/>
    <cellStyle name="Comma 26 3 2 3 2 2" xfId="4125" xr:uid="{00000000-0005-0000-0000-000023040000}"/>
    <cellStyle name="Comma 26 3 2 3 3" xfId="2605" xr:uid="{00000000-0005-0000-0000-000024040000}"/>
    <cellStyle name="Comma 26 3 2 3 3 2" xfId="4849" xr:uid="{00000000-0005-0000-0000-000025040000}"/>
    <cellStyle name="Comma 26 3 2 3 4" xfId="3339" xr:uid="{00000000-0005-0000-0000-000026040000}"/>
    <cellStyle name="Comma 26 3 2 4" xfId="1116" xr:uid="{00000000-0005-0000-0000-000027040000}"/>
    <cellStyle name="Comma 26 3 2 4 2" xfId="1903" xr:uid="{00000000-0005-0000-0000-000028040000}"/>
    <cellStyle name="Comma 26 3 2 4 2 2" xfId="4147" xr:uid="{00000000-0005-0000-0000-000029040000}"/>
    <cellStyle name="Comma 26 3 2 4 3" xfId="2627" xr:uid="{00000000-0005-0000-0000-00002A040000}"/>
    <cellStyle name="Comma 26 3 2 4 3 2" xfId="4871" xr:uid="{00000000-0005-0000-0000-00002B040000}"/>
    <cellStyle name="Comma 26 3 2 4 4" xfId="3361" xr:uid="{00000000-0005-0000-0000-00002C040000}"/>
    <cellStyle name="Comma 26 3 2 5" xfId="1332" xr:uid="{00000000-0005-0000-0000-00002D040000}"/>
    <cellStyle name="Comma 26 3 2 5 2" xfId="3576" xr:uid="{00000000-0005-0000-0000-00002E040000}"/>
    <cellStyle name="Comma 26 3 2 6" xfId="2118" xr:uid="{00000000-0005-0000-0000-00002F040000}"/>
    <cellStyle name="Comma 26 3 2 6 2" xfId="4362" xr:uid="{00000000-0005-0000-0000-000030040000}"/>
    <cellStyle name="Comma 26 3 2 7" xfId="2842" xr:uid="{00000000-0005-0000-0000-000031040000}"/>
    <cellStyle name="Comma 26 3 2 8" xfId="5084" xr:uid="{00000000-0005-0000-0000-000032040000}"/>
    <cellStyle name="Comma 26 3 3" xfId="855" xr:uid="{00000000-0005-0000-0000-000033040000}"/>
    <cellStyle name="Comma 26 3 3 2" xfId="1643" xr:uid="{00000000-0005-0000-0000-000034040000}"/>
    <cellStyle name="Comma 26 3 3 2 2" xfId="3887" xr:uid="{00000000-0005-0000-0000-000035040000}"/>
    <cellStyle name="Comma 26 3 3 3" xfId="2367" xr:uid="{00000000-0005-0000-0000-000036040000}"/>
    <cellStyle name="Comma 26 3 3 3 2" xfId="4611" xr:uid="{00000000-0005-0000-0000-000037040000}"/>
    <cellStyle name="Comma 26 3 3 4" xfId="3101" xr:uid="{00000000-0005-0000-0000-000038040000}"/>
    <cellStyle name="Comma 26 3 4" xfId="1072" xr:uid="{00000000-0005-0000-0000-000039040000}"/>
    <cellStyle name="Comma 26 3 4 2" xfId="1859" xr:uid="{00000000-0005-0000-0000-00003A040000}"/>
    <cellStyle name="Comma 26 3 4 2 2" xfId="4103" xr:uid="{00000000-0005-0000-0000-00003B040000}"/>
    <cellStyle name="Comma 26 3 4 3" xfId="2583" xr:uid="{00000000-0005-0000-0000-00003C040000}"/>
    <cellStyle name="Comma 26 3 4 3 2" xfId="4827" xr:uid="{00000000-0005-0000-0000-00003D040000}"/>
    <cellStyle name="Comma 26 3 4 4" xfId="3317" xr:uid="{00000000-0005-0000-0000-00003E040000}"/>
    <cellStyle name="Comma 26 3 5" xfId="1086" xr:uid="{00000000-0005-0000-0000-00003F040000}"/>
    <cellStyle name="Comma 26 3 5 2" xfId="1873" xr:uid="{00000000-0005-0000-0000-000040040000}"/>
    <cellStyle name="Comma 26 3 5 2 2" xfId="4117" xr:uid="{00000000-0005-0000-0000-000041040000}"/>
    <cellStyle name="Comma 26 3 5 3" xfId="2597" xr:uid="{00000000-0005-0000-0000-000042040000}"/>
    <cellStyle name="Comma 26 3 5 3 2" xfId="4841" xr:uid="{00000000-0005-0000-0000-000043040000}"/>
    <cellStyle name="Comma 26 3 5 4" xfId="3331" xr:uid="{00000000-0005-0000-0000-000044040000}"/>
    <cellStyle name="Comma 26 3 6" xfId="1107" xr:uid="{00000000-0005-0000-0000-000045040000}"/>
    <cellStyle name="Comma 26 3 6 2" xfId="1894" xr:uid="{00000000-0005-0000-0000-000046040000}"/>
    <cellStyle name="Comma 26 3 6 2 2" xfId="4138" xr:uid="{00000000-0005-0000-0000-000047040000}"/>
    <cellStyle name="Comma 26 3 6 3" xfId="2618" xr:uid="{00000000-0005-0000-0000-000048040000}"/>
    <cellStyle name="Comma 26 3 6 3 2" xfId="4862" xr:uid="{00000000-0005-0000-0000-000049040000}"/>
    <cellStyle name="Comma 26 3 6 4" xfId="3352" xr:uid="{00000000-0005-0000-0000-00004A040000}"/>
    <cellStyle name="Comma 26 3 7" xfId="1324" xr:uid="{00000000-0005-0000-0000-00004B040000}"/>
    <cellStyle name="Comma 26 3 7 2" xfId="3568" xr:uid="{00000000-0005-0000-0000-00004C040000}"/>
    <cellStyle name="Comma 26 3 8" xfId="2110" xr:uid="{00000000-0005-0000-0000-00004D040000}"/>
    <cellStyle name="Comma 26 3 8 2" xfId="4354" xr:uid="{00000000-0005-0000-0000-00004E040000}"/>
    <cellStyle name="Comma 26 3 9" xfId="2834" xr:uid="{00000000-0005-0000-0000-00004F040000}"/>
    <cellStyle name="Comma 26 4" xfId="14" xr:uid="{00000000-0005-0000-0000-000050040000}"/>
    <cellStyle name="Comma 26 4 2" xfId="861" xr:uid="{00000000-0005-0000-0000-000051040000}"/>
    <cellStyle name="Comma 26 4 2 2" xfId="1649" xr:uid="{00000000-0005-0000-0000-000052040000}"/>
    <cellStyle name="Comma 26 4 2 2 2" xfId="3893" xr:uid="{00000000-0005-0000-0000-000053040000}"/>
    <cellStyle name="Comma 26 4 2 3" xfId="2373" xr:uid="{00000000-0005-0000-0000-000054040000}"/>
    <cellStyle name="Comma 26 4 2 3 2" xfId="4617" xr:uid="{00000000-0005-0000-0000-000055040000}"/>
    <cellStyle name="Comma 26 4 2 4" xfId="3107" xr:uid="{00000000-0005-0000-0000-000056040000}"/>
    <cellStyle name="Comma 26 4 3" xfId="1091" xr:uid="{00000000-0005-0000-0000-000057040000}"/>
    <cellStyle name="Comma 26 4 3 2" xfId="1878" xr:uid="{00000000-0005-0000-0000-000058040000}"/>
    <cellStyle name="Comma 26 4 3 2 2" xfId="4122" xr:uid="{00000000-0005-0000-0000-000059040000}"/>
    <cellStyle name="Comma 26 4 3 3" xfId="2602" xr:uid="{00000000-0005-0000-0000-00005A040000}"/>
    <cellStyle name="Comma 26 4 3 3 2" xfId="4846" xr:uid="{00000000-0005-0000-0000-00005B040000}"/>
    <cellStyle name="Comma 26 4 3 4" xfId="3336" xr:uid="{00000000-0005-0000-0000-00005C040000}"/>
    <cellStyle name="Comma 26 4 4" xfId="1113" xr:uid="{00000000-0005-0000-0000-00005D040000}"/>
    <cellStyle name="Comma 26 4 4 2" xfId="1900" xr:uid="{00000000-0005-0000-0000-00005E040000}"/>
    <cellStyle name="Comma 26 4 4 2 2" xfId="4144" xr:uid="{00000000-0005-0000-0000-00005F040000}"/>
    <cellStyle name="Comma 26 4 4 3" xfId="2624" xr:uid="{00000000-0005-0000-0000-000060040000}"/>
    <cellStyle name="Comma 26 4 4 3 2" xfId="4868" xr:uid="{00000000-0005-0000-0000-000061040000}"/>
    <cellStyle name="Comma 26 4 4 4" xfId="3358" xr:uid="{00000000-0005-0000-0000-000062040000}"/>
    <cellStyle name="Comma 26 4 5" xfId="1329" xr:uid="{00000000-0005-0000-0000-000063040000}"/>
    <cellStyle name="Comma 26 4 5 2" xfId="3573" xr:uid="{00000000-0005-0000-0000-000064040000}"/>
    <cellStyle name="Comma 26 4 6" xfId="2115" xr:uid="{00000000-0005-0000-0000-000065040000}"/>
    <cellStyle name="Comma 26 4 6 2" xfId="4359" xr:uid="{00000000-0005-0000-0000-000066040000}"/>
    <cellStyle name="Comma 26 4 7" xfId="2839" xr:uid="{00000000-0005-0000-0000-000067040000}"/>
    <cellStyle name="Comma 26 4 8" xfId="5081" xr:uid="{00000000-0005-0000-0000-000068040000}"/>
    <cellStyle name="Comma 26 5" xfId="852" xr:uid="{00000000-0005-0000-0000-000069040000}"/>
    <cellStyle name="Comma 26 5 2" xfId="1640" xr:uid="{00000000-0005-0000-0000-00006A040000}"/>
    <cellStyle name="Comma 26 5 2 2" xfId="3884" xr:uid="{00000000-0005-0000-0000-00006B040000}"/>
    <cellStyle name="Comma 26 5 3" xfId="2364" xr:uid="{00000000-0005-0000-0000-00006C040000}"/>
    <cellStyle name="Comma 26 5 3 2" xfId="4608" xr:uid="{00000000-0005-0000-0000-00006D040000}"/>
    <cellStyle name="Comma 26 5 4" xfId="3098" xr:uid="{00000000-0005-0000-0000-00006E040000}"/>
    <cellStyle name="Comma 26 6" xfId="1069" xr:uid="{00000000-0005-0000-0000-00006F040000}"/>
    <cellStyle name="Comma 26 6 2" xfId="1856" xr:uid="{00000000-0005-0000-0000-000070040000}"/>
    <cellStyle name="Comma 26 6 2 2" xfId="4100" xr:uid="{00000000-0005-0000-0000-000071040000}"/>
    <cellStyle name="Comma 26 6 3" xfId="2580" xr:uid="{00000000-0005-0000-0000-000072040000}"/>
    <cellStyle name="Comma 26 6 3 2" xfId="4824" xr:uid="{00000000-0005-0000-0000-000073040000}"/>
    <cellStyle name="Comma 26 6 4" xfId="3314" xr:uid="{00000000-0005-0000-0000-000074040000}"/>
    <cellStyle name="Comma 26 7" xfId="1082" xr:uid="{00000000-0005-0000-0000-000075040000}"/>
    <cellStyle name="Comma 26 7 2" xfId="1869" xr:uid="{00000000-0005-0000-0000-000076040000}"/>
    <cellStyle name="Comma 26 7 2 2" xfId="4113" xr:uid="{00000000-0005-0000-0000-000077040000}"/>
    <cellStyle name="Comma 26 7 3" xfId="2593" xr:uid="{00000000-0005-0000-0000-000078040000}"/>
    <cellStyle name="Comma 26 7 3 2" xfId="4837" xr:uid="{00000000-0005-0000-0000-000079040000}"/>
    <cellStyle name="Comma 26 7 4" xfId="3327" xr:uid="{00000000-0005-0000-0000-00007A040000}"/>
    <cellStyle name="Comma 26 8" xfId="1103" xr:uid="{00000000-0005-0000-0000-00007B040000}"/>
    <cellStyle name="Comma 26 8 2" xfId="1890" xr:uid="{00000000-0005-0000-0000-00007C040000}"/>
    <cellStyle name="Comma 26 8 2 2" xfId="4134" xr:uid="{00000000-0005-0000-0000-00007D040000}"/>
    <cellStyle name="Comma 26 8 3" xfId="2614" xr:uid="{00000000-0005-0000-0000-00007E040000}"/>
    <cellStyle name="Comma 26 8 3 2" xfId="4858" xr:uid="{00000000-0005-0000-0000-00007F040000}"/>
    <cellStyle name="Comma 26 8 4" xfId="3348" xr:uid="{00000000-0005-0000-0000-000080040000}"/>
    <cellStyle name="Comma 26 9" xfId="1321" xr:uid="{00000000-0005-0000-0000-000081040000}"/>
    <cellStyle name="Comma 26 9 2" xfId="3565" xr:uid="{00000000-0005-0000-0000-000082040000}"/>
    <cellStyle name="Comma 27" xfId="723" xr:uid="{00000000-0005-0000-0000-000083040000}"/>
    <cellStyle name="Comma 27 2" xfId="1038" xr:uid="{00000000-0005-0000-0000-000084040000}"/>
    <cellStyle name="Comma 27 2 2" xfId="1826" xr:uid="{00000000-0005-0000-0000-000085040000}"/>
    <cellStyle name="Comma 27 2 2 2" xfId="4070" xr:uid="{00000000-0005-0000-0000-000086040000}"/>
    <cellStyle name="Comma 27 2 3" xfId="2550" xr:uid="{00000000-0005-0000-0000-000087040000}"/>
    <cellStyle name="Comma 27 2 3 2" xfId="4794" xr:uid="{00000000-0005-0000-0000-000088040000}"/>
    <cellStyle name="Comma 27 2 4" xfId="3284" xr:uid="{00000000-0005-0000-0000-000089040000}"/>
    <cellStyle name="Comma 27 3" xfId="1291" xr:uid="{00000000-0005-0000-0000-00008A040000}"/>
    <cellStyle name="Comma 27 3 2" xfId="2078" xr:uid="{00000000-0005-0000-0000-00008B040000}"/>
    <cellStyle name="Comma 27 3 2 2" xfId="4322" xr:uid="{00000000-0005-0000-0000-00008C040000}"/>
    <cellStyle name="Comma 27 3 3" xfId="2801" xr:uid="{00000000-0005-0000-0000-00008D040000}"/>
    <cellStyle name="Comma 27 3 3 2" xfId="5045" xr:uid="{00000000-0005-0000-0000-00008E040000}"/>
    <cellStyle name="Comma 27 3 4" xfId="3536" xr:uid="{00000000-0005-0000-0000-00008F040000}"/>
    <cellStyle name="Comma 27 4" xfId="1558" xr:uid="{00000000-0005-0000-0000-000090040000}"/>
    <cellStyle name="Comma 27 4 2" xfId="3802" xr:uid="{00000000-0005-0000-0000-000091040000}"/>
    <cellStyle name="Comma 27 5" xfId="2336" xr:uid="{00000000-0005-0000-0000-000092040000}"/>
    <cellStyle name="Comma 27 5 2" xfId="4580" xr:uid="{00000000-0005-0000-0000-000093040000}"/>
    <cellStyle name="Comma 27 6" xfId="3016" xr:uid="{00000000-0005-0000-0000-000094040000}"/>
    <cellStyle name="Comma 28" xfId="815" xr:uid="{00000000-0005-0000-0000-000095040000}"/>
    <cellStyle name="Comma 28 2" xfId="1049" xr:uid="{00000000-0005-0000-0000-000096040000}"/>
    <cellStyle name="Comma 28 2 2" xfId="1837" xr:uid="{00000000-0005-0000-0000-000097040000}"/>
    <cellStyle name="Comma 28 2 2 2" xfId="4081" xr:uid="{00000000-0005-0000-0000-000098040000}"/>
    <cellStyle name="Comma 28 2 3" xfId="2561" xr:uid="{00000000-0005-0000-0000-000099040000}"/>
    <cellStyle name="Comma 28 2 3 2" xfId="4805" xr:uid="{00000000-0005-0000-0000-00009A040000}"/>
    <cellStyle name="Comma 28 2 4" xfId="3295" xr:uid="{00000000-0005-0000-0000-00009B040000}"/>
    <cellStyle name="Comma 28 3" xfId="1303" xr:uid="{00000000-0005-0000-0000-00009C040000}"/>
    <cellStyle name="Comma 28 3 2" xfId="2090" xr:uid="{00000000-0005-0000-0000-00009D040000}"/>
    <cellStyle name="Comma 28 3 2 2" xfId="4334" xr:uid="{00000000-0005-0000-0000-00009E040000}"/>
    <cellStyle name="Comma 28 3 3" xfId="2812" xr:uid="{00000000-0005-0000-0000-00009F040000}"/>
    <cellStyle name="Comma 28 3 3 2" xfId="5056" xr:uid="{00000000-0005-0000-0000-0000A0040000}"/>
    <cellStyle name="Comma 28 3 4" xfId="3548" xr:uid="{00000000-0005-0000-0000-0000A1040000}"/>
    <cellStyle name="Comma 28 4" xfId="1623" xr:uid="{00000000-0005-0000-0000-0000A2040000}"/>
    <cellStyle name="Comma 28 4 2" xfId="3867" xr:uid="{00000000-0005-0000-0000-0000A3040000}"/>
    <cellStyle name="Comma 28 5" xfId="2347" xr:uid="{00000000-0005-0000-0000-0000A4040000}"/>
    <cellStyle name="Comma 28 5 2" xfId="4591" xr:uid="{00000000-0005-0000-0000-0000A5040000}"/>
    <cellStyle name="Comma 28 6" xfId="3081" xr:uid="{00000000-0005-0000-0000-0000A6040000}"/>
    <cellStyle name="Comma 29" xfId="820" xr:uid="{00000000-0005-0000-0000-0000A7040000}"/>
    <cellStyle name="Comma 29 2" xfId="1051" xr:uid="{00000000-0005-0000-0000-0000A8040000}"/>
    <cellStyle name="Comma 29 2 2" xfId="1839" xr:uid="{00000000-0005-0000-0000-0000A9040000}"/>
    <cellStyle name="Comma 29 2 2 2" xfId="4083" xr:uid="{00000000-0005-0000-0000-0000AA040000}"/>
    <cellStyle name="Comma 29 2 3" xfId="2563" xr:uid="{00000000-0005-0000-0000-0000AB040000}"/>
    <cellStyle name="Comma 29 2 3 2" xfId="4807" xr:uid="{00000000-0005-0000-0000-0000AC040000}"/>
    <cellStyle name="Comma 29 2 4" xfId="3297" xr:uid="{00000000-0005-0000-0000-0000AD040000}"/>
    <cellStyle name="Comma 29 3" xfId="1305" xr:uid="{00000000-0005-0000-0000-0000AE040000}"/>
    <cellStyle name="Comma 29 3 2" xfId="2092" xr:uid="{00000000-0005-0000-0000-0000AF040000}"/>
    <cellStyle name="Comma 29 3 2 2" xfId="4336" xr:uid="{00000000-0005-0000-0000-0000B0040000}"/>
    <cellStyle name="Comma 29 3 3" xfId="2814" xr:uid="{00000000-0005-0000-0000-0000B1040000}"/>
    <cellStyle name="Comma 29 3 3 2" xfId="5058" xr:uid="{00000000-0005-0000-0000-0000B2040000}"/>
    <cellStyle name="Comma 29 3 4" xfId="3550" xr:uid="{00000000-0005-0000-0000-0000B3040000}"/>
    <cellStyle name="Comma 29 4" xfId="1625" xr:uid="{00000000-0005-0000-0000-0000B4040000}"/>
    <cellStyle name="Comma 29 4 2" xfId="3869" xr:uid="{00000000-0005-0000-0000-0000B5040000}"/>
    <cellStyle name="Comma 29 5" xfId="2349" xr:uid="{00000000-0005-0000-0000-0000B6040000}"/>
    <cellStyle name="Comma 29 5 2" xfId="4593" xr:uid="{00000000-0005-0000-0000-0000B7040000}"/>
    <cellStyle name="Comma 29 6" xfId="3083" xr:uid="{00000000-0005-0000-0000-0000B8040000}"/>
    <cellStyle name="Comma 3" xfId="21" xr:uid="{00000000-0005-0000-0000-0000B9040000}"/>
    <cellStyle name="Comma 3 10" xfId="101" xr:uid="{00000000-0005-0000-0000-0000BA040000}"/>
    <cellStyle name="Comma 3 10 2" xfId="913" xr:uid="{00000000-0005-0000-0000-0000BB040000}"/>
    <cellStyle name="Comma 3 10 2 2" xfId="1701" xr:uid="{00000000-0005-0000-0000-0000BC040000}"/>
    <cellStyle name="Comma 3 10 2 2 2" xfId="3945" xr:uid="{00000000-0005-0000-0000-0000BD040000}"/>
    <cellStyle name="Comma 3 10 2 3" xfId="2425" xr:uid="{00000000-0005-0000-0000-0000BE040000}"/>
    <cellStyle name="Comma 3 10 2 3 2" xfId="4669" xr:uid="{00000000-0005-0000-0000-0000BF040000}"/>
    <cellStyle name="Comma 3 10 2 4" xfId="3159" xr:uid="{00000000-0005-0000-0000-0000C0040000}"/>
    <cellStyle name="Comma 3 10 3" xfId="1166" xr:uid="{00000000-0005-0000-0000-0000C1040000}"/>
    <cellStyle name="Comma 3 10 3 2" xfId="1953" xr:uid="{00000000-0005-0000-0000-0000C2040000}"/>
    <cellStyle name="Comma 3 10 3 2 2" xfId="4197" xr:uid="{00000000-0005-0000-0000-0000C3040000}"/>
    <cellStyle name="Comma 3 10 3 3" xfId="2677" xr:uid="{00000000-0005-0000-0000-0000C4040000}"/>
    <cellStyle name="Comma 3 10 3 3 2" xfId="4921" xr:uid="{00000000-0005-0000-0000-0000C5040000}"/>
    <cellStyle name="Comma 3 10 3 4" xfId="3411" xr:uid="{00000000-0005-0000-0000-0000C6040000}"/>
    <cellStyle name="Comma 3 10 4" xfId="1381" xr:uid="{00000000-0005-0000-0000-0000C7040000}"/>
    <cellStyle name="Comma 3 10 4 2" xfId="3625" xr:uid="{00000000-0005-0000-0000-0000C8040000}"/>
    <cellStyle name="Comma 3 10 5" xfId="2167" xr:uid="{00000000-0005-0000-0000-0000C9040000}"/>
    <cellStyle name="Comma 3 10 5 2" xfId="4411" xr:uid="{00000000-0005-0000-0000-0000CA040000}"/>
    <cellStyle name="Comma 3 10 6" xfId="2891" xr:uid="{00000000-0005-0000-0000-0000CB040000}"/>
    <cellStyle name="Comma 3 11" xfId="102" xr:uid="{00000000-0005-0000-0000-0000CC040000}"/>
    <cellStyle name="Comma 3 11 2" xfId="914" xr:uid="{00000000-0005-0000-0000-0000CD040000}"/>
    <cellStyle name="Comma 3 11 2 2" xfId="1702" xr:uid="{00000000-0005-0000-0000-0000CE040000}"/>
    <cellStyle name="Comma 3 11 2 2 2" xfId="3946" xr:uid="{00000000-0005-0000-0000-0000CF040000}"/>
    <cellStyle name="Comma 3 11 2 3" xfId="2426" xr:uid="{00000000-0005-0000-0000-0000D0040000}"/>
    <cellStyle name="Comma 3 11 2 3 2" xfId="4670" xr:uid="{00000000-0005-0000-0000-0000D1040000}"/>
    <cellStyle name="Comma 3 11 2 4" xfId="3160" xr:uid="{00000000-0005-0000-0000-0000D2040000}"/>
    <cellStyle name="Comma 3 11 3" xfId="1167" xr:uid="{00000000-0005-0000-0000-0000D3040000}"/>
    <cellStyle name="Comma 3 11 3 2" xfId="1954" xr:uid="{00000000-0005-0000-0000-0000D4040000}"/>
    <cellStyle name="Comma 3 11 3 2 2" xfId="4198" xr:uid="{00000000-0005-0000-0000-0000D5040000}"/>
    <cellStyle name="Comma 3 11 3 3" xfId="2678" xr:uid="{00000000-0005-0000-0000-0000D6040000}"/>
    <cellStyle name="Comma 3 11 3 3 2" xfId="4922" xr:uid="{00000000-0005-0000-0000-0000D7040000}"/>
    <cellStyle name="Comma 3 11 3 4" xfId="3412" xr:uid="{00000000-0005-0000-0000-0000D8040000}"/>
    <cellStyle name="Comma 3 11 4" xfId="1382" xr:uid="{00000000-0005-0000-0000-0000D9040000}"/>
    <cellStyle name="Comma 3 11 4 2" xfId="3626" xr:uid="{00000000-0005-0000-0000-0000DA040000}"/>
    <cellStyle name="Comma 3 11 5" xfId="2168" xr:uid="{00000000-0005-0000-0000-0000DB040000}"/>
    <cellStyle name="Comma 3 11 5 2" xfId="4412" xr:uid="{00000000-0005-0000-0000-0000DC040000}"/>
    <cellStyle name="Comma 3 11 6" xfId="2892" xr:uid="{00000000-0005-0000-0000-0000DD040000}"/>
    <cellStyle name="Comma 3 12" xfId="103" xr:uid="{00000000-0005-0000-0000-0000DE040000}"/>
    <cellStyle name="Comma 3 12 2" xfId="915" xr:uid="{00000000-0005-0000-0000-0000DF040000}"/>
    <cellStyle name="Comma 3 12 2 2" xfId="1703" xr:uid="{00000000-0005-0000-0000-0000E0040000}"/>
    <cellStyle name="Comma 3 12 2 2 2" xfId="3947" xr:uid="{00000000-0005-0000-0000-0000E1040000}"/>
    <cellStyle name="Comma 3 12 2 3" xfId="2427" xr:uid="{00000000-0005-0000-0000-0000E2040000}"/>
    <cellStyle name="Comma 3 12 2 3 2" xfId="4671" xr:uid="{00000000-0005-0000-0000-0000E3040000}"/>
    <cellStyle name="Comma 3 12 2 4" xfId="3161" xr:uid="{00000000-0005-0000-0000-0000E4040000}"/>
    <cellStyle name="Comma 3 12 3" xfId="1168" xr:uid="{00000000-0005-0000-0000-0000E5040000}"/>
    <cellStyle name="Comma 3 12 3 2" xfId="1955" xr:uid="{00000000-0005-0000-0000-0000E6040000}"/>
    <cellStyle name="Comma 3 12 3 2 2" xfId="4199" xr:uid="{00000000-0005-0000-0000-0000E7040000}"/>
    <cellStyle name="Comma 3 12 3 3" xfId="2679" xr:uid="{00000000-0005-0000-0000-0000E8040000}"/>
    <cellStyle name="Comma 3 12 3 3 2" xfId="4923" xr:uid="{00000000-0005-0000-0000-0000E9040000}"/>
    <cellStyle name="Comma 3 12 3 4" xfId="3413" xr:uid="{00000000-0005-0000-0000-0000EA040000}"/>
    <cellStyle name="Comma 3 12 4" xfId="1383" xr:uid="{00000000-0005-0000-0000-0000EB040000}"/>
    <cellStyle name="Comma 3 12 4 2" xfId="3627" xr:uid="{00000000-0005-0000-0000-0000EC040000}"/>
    <cellStyle name="Comma 3 12 5" xfId="2169" xr:uid="{00000000-0005-0000-0000-0000ED040000}"/>
    <cellStyle name="Comma 3 12 5 2" xfId="4413" xr:uid="{00000000-0005-0000-0000-0000EE040000}"/>
    <cellStyle name="Comma 3 12 6" xfId="2893" xr:uid="{00000000-0005-0000-0000-0000EF040000}"/>
    <cellStyle name="Comma 3 13" xfId="104" xr:uid="{00000000-0005-0000-0000-0000F0040000}"/>
    <cellStyle name="Comma 3 13 2" xfId="916" xr:uid="{00000000-0005-0000-0000-0000F1040000}"/>
    <cellStyle name="Comma 3 13 2 2" xfId="1704" xr:uid="{00000000-0005-0000-0000-0000F2040000}"/>
    <cellStyle name="Comma 3 13 2 2 2" xfId="3948" xr:uid="{00000000-0005-0000-0000-0000F3040000}"/>
    <cellStyle name="Comma 3 13 2 3" xfId="2428" xr:uid="{00000000-0005-0000-0000-0000F4040000}"/>
    <cellStyle name="Comma 3 13 2 3 2" xfId="4672" xr:uid="{00000000-0005-0000-0000-0000F5040000}"/>
    <cellStyle name="Comma 3 13 2 4" xfId="3162" xr:uid="{00000000-0005-0000-0000-0000F6040000}"/>
    <cellStyle name="Comma 3 13 3" xfId="1169" xr:uid="{00000000-0005-0000-0000-0000F7040000}"/>
    <cellStyle name="Comma 3 13 3 2" xfId="1956" xr:uid="{00000000-0005-0000-0000-0000F8040000}"/>
    <cellStyle name="Comma 3 13 3 2 2" xfId="4200" xr:uid="{00000000-0005-0000-0000-0000F9040000}"/>
    <cellStyle name="Comma 3 13 3 3" xfId="2680" xr:uid="{00000000-0005-0000-0000-0000FA040000}"/>
    <cellStyle name="Comma 3 13 3 3 2" xfId="4924" xr:uid="{00000000-0005-0000-0000-0000FB040000}"/>
    <cellStyle name="Comma 3 13 3 4" xfId="3414" xr:uid="{00000000-0005-0000-0000-0000FC040000}"/>
    <cellStyle name="Comma 3 13 4" xfId="1384" xr:uid="{00000000-0005-0000-0000-0000FD040000}"/>
    <cellStyle name="Comma 3 13 4 2" xfId="3628" xr:uid="{00000000-0005-0000-0000-0000FE040000}"/>
    <cellStyle name="Comma 3 13 5" xfId="2170" xr:uid="{00000000-0005-0000-0000-0000FF040000}"/>
    <cellStyle name="Comma 3 13 5 2" xfId="4414" xr:uid="{00000000-0005-0000-0000-000000050000}"/>
    <cellStyle name="Comma 3 13 6" xfId="2894" xr:uid="{00000000-0005-0000-0000-000001050000}"/>
    <cellStyle name="Comma 3 14" xfId="105" xr:uid="{00000000-0005-0000-0000-000002050000}"/>
    <cellStyle name="Comma 3 14 2" xfId="917" xr:uid="{00000000-0005-0000-0000-000003050000}"/>
    <cellStyle name="Comma 3 14 2 2" xfId="1705" xr:uid="{00000000-0005-0000-0000-000004050000}"/>
    <cellStyle name="Comma 3 14 2 2 2" xfId="3949" xr:uid="{00000000-0005-0000-0000-000005050000}"/>
    <cellStyle name="Comma 3 14 2 3" xfId="2429" xr:uid="{00000000-0005-0000-0000-000006050000}"/>
    <cellStyle name="Comma 3 14 2 3 2" xfId="4673" xr:uid="{00000000-0005-0000-0000-000007050000}"/>
    <cellStyle name="Comma 3 14 2 4" xfId="3163" xr:uid="{00000000-0005-0000-0000-000008050000}"/>
    <cellStyle name="Comma 3 14 3" xfId="1170" xr:uid="{00000000-0005-0000-0000-000009050000}"/>
    <cellStyle name="Comma 3 14 3 2" xfId="1957" xr:uid="{00000000-0005-0000-0000-00000A050000}"/>
    <cellStyle name="Comma 3 14 3 2 2" xfId="4201" xr:uid="{00000000-0005-0000-0000-00000B050000}"/>
    <cellStyle name="Comma 3 14 3 3" xfId="2681" xr:uid="{00000000-0005-0000-0000-00000C050000}"/>
    <cellStyle name="Comma 3 14 3 3 2" xfId="4925" xr:uid="{00000000-0005-0000-0000-00000D050000}"/>
    <cellStyle name="Comma 3 14 3 4" xfId="3415" xr:uid="{00000000-0005-0000-0000-00000E050000}"/>
    <cellStyle name="Comma 3 14 4" xfId="1385" xr:uid="{00000000-0005-0000-0000-00000F050000}"/>
    <cellStyle name="Comma 3 14 4 2" xfId="3629" xr:uid="{00000000-0005-0000-0000-000010050000}"/>
    <cellStyle name="Comma 3 14 5" xfId="2171" xr:uid="{00000000-0005-0000-0000-000011050000}"/>
    <cellStyle name="Comma 3 14 5 2" xfId="4415" xr:uid="{00000000-0005-0000-0000-000012050000}"/>
    <cellStyle name="Comma 3 14 6" xfId="2895" xr:uid="{00000000-0005-0000-0000-000013050000}"/>
    <cellStyle name="Comma 3 15" xfId="106" xr:uid="{00000000-0005-0000-0000-000014050000}"/>
    <cellStyle name="Comma 3 15 2" xfId="918" xr:uid="{00000000-0005-0000-0000-000015050000}"/>
    <cellStyle name="Comma 3 15 2 2" xfId="1706" xr:uid="{00000000-0005-0000-0000-000016050000}"/>
    <cellStyle name="Comma 3 15 2 2 2" xfId="3950" xr:uid="{00000000-0005-0000-0000-000017050000}"/>
    <cellStyle name="Comma 3 15 2 3" xfId="2430" xr:uid="{00000000-0005-0000-0000-000018050000}"/>
    <cellStyle name="Comma 3 15 2 3 2" xfId="4674" xr:uid="{00000000-0005-0000-0000-000019050000}"/>
    <cellStyle name="Comma 3 15 2 4" xfId="3164" xr:uid="{00000000-0005-0000-0000-00001A050000}"/>
    <cellStyle name="Comma 3 15 3" xfId="1171" xr:uid="{00000000-0005-0000-0000-00001B050000}"/>
    <cellStyle name="Comma 3 15 3 2" xfId="1958" xr:uid="{00000000-0005-0000-0000-00001C050000}"/>
    <cellStyle name="Comma 3 15 3 2 2" xfId="4202" xr:uid="{00000000-0005-0000-0000-00001D050000}"/>
    <cellStyle name="Comma 3 15 3 3" xfId="2682" xr:uid="{00000000-0005-0000-0000-00001E050000}"/>
    <cellStyle name="Comma 3 15 3 3 2" xfId="4926" xr:uid="{00000000-0005-0000-0000-00001F050000}"/>
    <cellStyle name="Comma 3 15 3 4" xfId="3416" xr:uid="{00000000-0005-0000-0000-000020050000}"/>
    <cellStyle name="Comma 3 15 4" xfId="1386" xr:uid="{00000000-0005-0000-0000-000021050000}"/>
    <cellStyle name="Comma 3 15 4 2" xfId="3630" xr:uid="{00000000-0005-0000-0000-000022050000}"/>
    <cellStyle name="Comma 3 15 5" xfId="2172" xr:uid="{00000000-0005-0000-0000-000023050000}"/>
    <cellStyle name="Comma 3 15 5 2" xfId="4416" xr:uid="{00000000-0005-0000-0000-000024050000}"/>
    <cellStyle name="Comma 3 15 6" xfId="2896" xr:uid="{00000000-0005-0000-0000-000025050000}"/>
    <cellStyle name="Comma 3 16" xfId="107" xr:uid="{00000000-0005-0000-0000-000026050000}"/>
    <cellStyle name="Comma 3 16 2" xfId="919" xr:uid="{00000000-0005-0000-0000-000027050000}"/>
    <cellStyle name="Comma 3 16 2 2" xfId="1707" xr:uid="{00000000-0005-0000-0000-000028050000}"/>
    <cellStyle name="Comma 3 16 2 2 2" xfId="3951" xr:uid="{00000000-0005-0000-0000-000029050000}"/>
    <cellStyle name="Comma 3 16 2 3" xfId="2431" xr:uid="{00000000-0005-0000-0000-00002A050000}"/>
    <cellStyle name="Comma 3 16 2 3 2" xfId="4675" xr:uid="{00000000-0005-0000-0000-00002B050000}"/>
    <cellStyle name="Comma 3 16 2 4" xfId="3165" xr:uid="{00000000-0005-0000-0000-00002C050000}"/>
    <cellStyle name="Comma 3 16 3" xfId="1172" xr:uid="{00000000-0005-0000-0000-00002D050000}"/>
    <cellStyle name="Comma 3 16 3 2" xfId="1959" xr:uid="{00000000-0005-0000-0000-00002E050000}"/>
    <cellStyle name="Comma 3 16 3 2 2" xfId="4203" xr:uid="{00000000-0005-0000-0000-00002F050000}"/>
    <cellStyle name="Comma 3 16 3 3" xfId="2683" xr:uid="{00000000-0005-0000-0000-000030050000}"/>
    <cellStyle name="Comma 3 16 3 3 2" xfId="4927" xr:uid="{00000000-0005-0000-0000-000031050000}"/>
    <cellStyle name="Comma 3 16 3 4" xfId="3417" xr:uid="{00000000-0005-0000-0000-000032050000}"/>
    <cellStyle name="Comma 3 16 4" xfId="1387" xr:uid="{00000000-0005-0000-0000-000033050000}"/>
    <cellStyle name="Comma 3 16 4 2" xfId="3631" xr:uid="{00000000-0005-0000-0000-000034050000}"/>
    <cellStyle name="Comma 3 16 5" xfId="2173" xr:uid="{00000000-0005-0000-0000-000035050000}"/>
    <cellStyle name="Comma 3 16 5 2" xfId="4417" xr:uid="{00000000-0005-0000-0000-000036050000}"/>
    <cellStyle name="Comma 3 16 6" xfId="2897" xr:uid="{00000000-0005-0000-0000-000037050000}"/>
    <cellStyle name="Comma 3 17" xfId="108" xr:uid="{00000000-0005-0000-0000-000038050000}"/>
    <cellStyle name="Comma 3 17 2" xfId="920" xr:uid="{00000000-0005-0000-0000-000039050000}"/>
    <cellStyle name="Comma 3 17 2 2" xfId="1708" xr:uid="{00000000-0005-0000-0000-00003A050000}"/>
    <cellStyle name="Comma 3 17 2 2 2" xfId="3952" xr:uid="{00000000-0005-0000-0000-00003B050000}"/>
    <cellStyle name="Comma 3 17 2 3" xfId="2432" xr:uid="{00000000-0005-0000-0000-00003C050000}"/>
    <cellStyle name="Comma 3 17 2 3 2" xfId="4676" xr:uid="{00000000-0005-0000-0000-00003D050000}"/>
    <cellStyle name="Comma 3 17 2 4" xfId="3166" xr:uid="{00000000-0005-0000-0000-00003E050000}"/>
    <cellStyle name="Comma 3 17 3" xfId="1173" xr:uid="{00000000-0005-0000-0000-00003F050000}"/>
    <cellStyle name="Comma 3 17 3 2" xfId="1960" xr:uid="{00000000-0005-0000-0000-000040050000}"/>
    <cellStyle name="Comma 3 17 3 2 2" xfId="4204" xr:uid="{00000000-0005-0000-0000-000041050000}"/>
    <cellStyle name="Comma 3 17 3 3" xfId="2684" xr:uid="{00000000-0005-0000-0000-000042050000}"/>
    <cellStyle name="Comma 3 17 3 3 2" xfId="4928" xr:uid="{00000000-0005-0000-0000-000043050000}"/>
    <cellStyle name="Comma 3 17 3 4" xfId="3418" xr:uid="{00000000-0005-0000-0000-000044050000}"/>
    <cellStyle name="Comma 3 17 4" xfId="1388" xr:uid="{00000000-0005-0000-0000-000045050000}"/>
    <cellStyle name="Comma 3 17 4 2" xfId="3632" xr:uid="{00000000-0005-0000-0000-000046050000}"/>
    <cellStyle name="Comma 3 17 5" xfId="2174" xr:uid="{00000000-0005-0000-0000-000047050000}"/>
    <cellStyle name="Comma 3 17 5 2" xfId="4418" xr:uid="{00000000-0005-0000-0000-000048050000}"/>
    <cellStyle name="Comma 3 17 6" xfId="2898" xr:uid="{00000000-0005-0000-0000-000049050000}"/>
    <cellStyle name="Comma 3 18" xfId="109" xr:uid="{00000000-0005-0000-0000-00004A050000}"/>
    <cellStyle name="Comma 3 18 2" xfId="921" xr:uid="{00000000-0005-0000-0000-00004B050000}"/>
    <cellStyle name="Comma 3 18 2 2" xfId="1709" xr:uid="{00000000-0005-0000-0000-00004C050000}"/>
    <cellStyle name="Comma 3 18 2 2 2" xfId="3953" xr:uid="{00000000-0005-0000-0000-00004D050000}"/>
    <cellStyle name="Comma 3 18 2 3" xfId="2433" xr:uid="{00000000-0005-0000-0000-00004E050000}"/>
    <cellStyle name="Comma 3 18 2 3 2" xfId="4677" xr:uid="{00000000-0005-0000-0000-00004F050000}"/>
    <cellStyle name="Comma 3 18 2 4" xfId="3167" xr:uid="{00000000-0005-0000-0000-000050050000}"/>
    <cellStyle name="Comma 3 18 3" xfId="1174" xr:uid="{00000000-0005-0000-0000-000051050000}"/>
    <cellStyle name="Comma 3 18 3 2" xfId="1961" xr:uid="{00000000-0005-0000-0000-000052050000}"/>
    <cellStyle name="Comma 3 18 3 2 2" xfId="4205" xr:uid="{00000000-0005-0000-0000-000053050000}"/>
    <cellStyle name="Comma 3 18 3 3" xfId="2685" xr:uid="{00000000-0005-0000-0000-000054050000}"/>
    <cellStyle name="Comma 3 18 3 3 2" xfId="4929" xr:uid="{00000000-0005-0000-0000-000055050000}"/>
    <cellStyle name="Comma 3 18 3 4" xfId="3419" xr:uid="{00000000-0005-0000-0000-000056050000}"/>
    <cellStyle name="Comma 3 18 4" xfId="1389" xr:uid="{00000000-0005-0000-0000-000057050000}"/>
    <cellStyle name="Comma 3 18 4 2" xfId="3633" xr:uid="{00000000-0005-0000-0000-000058050000}"/>
    <cellStyle name="Comma 3 18 5" xfId="2175" xr:uid="{00000000-0005-0000-0000-000059050000}"/>
    <cellStyle name="Comma 3 18 5 2" xfId="4419" xr:uid="{00000000-0005-0000-0000-00005A050000}"/>
    <cellStyle name="Comma 3 18 6" xfId="2899" xr:uid="{00000000-0005-0000-0000-00005B050000}"/>
    <cellStyle name="Comma 3 19" xfId="110" xr:uid="{00000000-0005-0000-0000-00005C050000}"/>
    <cellStyle name="Comma 3 19 2" xfId="922" xr:uid="{00000000-0005-0000-0000-00005D050000}"/>
    <cellStyle name="Comma 3 19 2 2" xfId="1710" xr:uid="{00000000-0005-0000-0000-00005E050000}"/>
    <cellStyle name="Comma 3 19 2 2 2" xfId="3954" xr:uid="{00000000-0005-0000-0000-00005F050000}"/>
    <cellStyle name="Comma 3 19 2 3" xfId="2434" xr:uid="{00000000-0005-0000-0000-000060050000}"/>
    <cellStyle name="Comma 3 19 2 3 2" xfId="4678" xr:uid="{00000000-0005-0000-0000-000061050000}"/>
    <cellStyle name="Comma 3 19 2 4" xfId="3168" xr:uid="{00000000-0005-0000-0000-000062050000}"/>
    <cellStyle name="Comma 3 19 3" xfId="1175" xr:uid="{00000000-0005-0000-0000-000063050000}"/>
    <cellStyle name="Comma 3 19 3 2" xfId="1962" xr:uid="{00000000-0005-0000-0000-000064050000}"/>
    <cellStyle name="Comma 3 19 3 2 2" xfId="4206" xr:uid="{00000000-0005-0000-0000-000065050000}"/>
    <cellStyle name="Comma 3 19 3 3" xfId="2686" xr:uid="{00000000-0005-0000-0000-000066050000}"/>
    <cellStyle name="Comma 3 19 3 3 2" xfId="4930" xr:uid="{00000000-0005-0000-0000-000067050000}"/>
    <cellStyle name="Comma 3 19 3 4" xfId="3420" xr:uid="{00000000-0005-0000-0000-000068050000}"/>
    <cellStyle name="Comma 3 19 4" xfId="1390" xr:uid="{00000000-0005-0000-0000-000069050000}"/>
    <cellStyle name="Comma 3 19 4 2" xfId="3634" xr:uid="{00000000-0005-0000-0000-00006A050000}"/>
    <cellStyle name="Comma 3 19 5" xfId="2176" xr:uid="{00000000-0005-0000-0000-00006B050000}"/>
    <cellStyle name="Comma 3 19 5 2" xfId="4420" xr:uid="{00000000-0005-0000-0000-00006C050000}"/>
    <cellStyle name="Comma 3 19 6" xfId="2900" xr:uid="{00000000-0005-0000-0000-00006D050000}"/>
    <cellStyle name="Comma 3 2" xfId="111" xr:uid="{00000000-0005-0000-0000-00006E050000}"/>
    <cellStyle name="Comma 3 2 2" xfId="923" xr:uid="{00000000-0005-0000-0000-00006F050000}"/>
    <cellStyle name="Comma 3 2 2 2" xfId="1711" xr:uid="{00000000-0005-0000-0000-000070050000}"/>
    <cellStyle name="Comma 3 2 2 2 2" xfId="3955" xr:uid="{00000000-0005-0000-0000-000071050000}"/>
    <cellStyle name="Comma 3 2 2 3" xfId="2435" xr:uid="{00000000-0005-0000-0000-000072050000}"/>
    <cellStyle name="Comma 3 2 2 3 2" xfId="4679" xr:uid="{00000000-0005-0000-0000-000073050000}"/>
    <cellStyle name="Comma 3 2 2 4" xfId="3169" xr:uid="{00000000-0005-0000-0000-000074050000}"/>
    <cellStyle name="Comma 3 2 3" xfId="1176" xr:uid="{00000000-0005-0000-0000-000075050000}"/>
    <cellStyle name="Comma 3 2 3 2" xfId="1963" xr:uid="{00000000-0005-0000-0000-000076050000}"/>
    <cellStyle name="Comma 3 2 3 2 2" xfId="4207" xr:uid="{00000000-0005-0000-0000-000077050000}"/>
    <cellStyle name="Comma 3 2 3 3" xfId="2687" xr:uid="{00000000-0005-0000-0000-000078050000}"/>
    <cellStyle name="Comma 3 2 3 3 2" xfId="4931" xr:uid="{00000000-0005-0000-0000-000079050000}"/>
    <cellStyle name="Comma 3 2 3 4" xfId="3421" xr:uid="{00000000-0005-0000-0000-00007A050000}"/>
    <cellStyle name="Comma 3 2 4" xfId="1391" xr:uid="{00000000-0005-0000-0000-00007B050000}"/>
    <cellStyle name="Comma 3 2 4 2" xfId="3635" xr:uid="{00000000-0005-0000-0000-00007C050000}"/>
    <cellStyle name="Comma 3 2 5" xfId="2177" xr:uid="{00000000-0005-0000-0000-00007D050000}"/>
    <cellStyle name="Comma 3 2 5 2" xfId="4421" xr:uid="{00000000-0005-0000-0000-00007E050000}"/>
    <cellStyle name="Comma 3 2 6" xfId="2901" xr:uid="{00000000-0005-0000-0000-00007F050000}"/>
    <cellStyle name="Comma 3 20" xfId="112" xr:uid="{00000000-0005-0000-0000-000080050000}"/>
    <cellStyle name="Comma 3 20 2" xfId="924" xr:uid="{00000000-0005-0000-0000-000081050000}"/>
    <cellStyle name="Comma 3 20 2 2" xfId="1712" xr:uid="{00000000-0005-0000-0000-000082050000}"/>
    <cellStyle name="Comma 3 20 2 2 2" xfId="3956" xr:uid="{00000000-0005-0000-0000-000083050000}"/>
    <cellStyle name="Comma 3 20 2 3" xfId="2436" xr:uid="{00000000-0005-0000-0000-000084050000}"/>
    <cellStyle name="Comma 3 20 2 3 2" xfId="4680" xr:uid="{00000000-0005-0000-0000-000085050000}"/>
    <cellStyle name="Comma 3 20 2 4" xfId="3170" xr:uid="{00000000-0005-0000-0000-000086050000}"/>
    <cellStyle name="Comma 3 20 3" xfId="1177" xr:uid="{00000000-0005-0000-0000-000087050000}"/>
    <cellStyle name="Comma 3 20 3 2" xfId="1964" xr:uid="{00000000-0005-0000-0000-000088050000}"/>
    <cellStyle name="Comma 3 20 3 2 2" xfId="4208" xr:uid="{00000000-0005-0000-0000-000089050000}"/>
    <cellStyle name="Comma 3 20 3 3" xfId="2688" xr:uid="{00000000-0005-0000-0000-00008A050000}"/>
    <cellStyle name="Comma 3 20 3 3 2" xfId="4932" xr:uid="{00000000-0005-0000-0000-00008B050000}"/>
    <cellStyle name="Comma 3 20 3 4" xfId="3422" xr:uid="{00000000-0005-0000-0000-00008C050000}"/>
    <cellStyle name="Comma 3 20 4" xfId="1392" xr:uid="{00000000-0005-0000-0000-00008D050000}"/>
    <cellStyle name="Comma 3 20 4 2" xfId="3636" xr:uid="{00000000-0005-0000-0000-00008E050000}"/>
    <cellStyle name="Comma 3 20 5" xfId="2178" xr:uid="{00000000-0005-0000-0000-00008F050000}"/>
    <cellStyle name="Comma 3 20 5 2" xfId="4422" xr:uid="{00000000-0005-0000-0000-000090050000}"/>
    <cellStyle name="Comma 3 20 6" xfId="2902" xr:uid="{00000000-0005-0000-0000-000091050000}"/>
    <cellStyle name="Comma 3 21" xfId="113" xr:uid="{00000000-0005-0000-0000-000092050000}"/>
    <cellStyle name="Comma 3 21 2" xfId="925" xr:uid="{00000000-0005-0000-0000-000093050000}"/>
    <cellStyle name="Comma 3 21 2 2" xfId="1713" xr:uid="{00000000-0005-0000-0000-000094050000}"/>
    <cellStyle name="Comma 3 21 2 2 2" xfId="3957" xr:uid="{00000000-0005-0000-0000-000095050000}"/>
    <cellStyle name="Comma 3 21 2 3" xfId="2437" xr:uid="{00000000-0005-0000-0000-000096050000}"/>
    <cellStyle name="Comma 3 21 2 3 2" xfId="4681" xr:uid="{00000000-0005-0000-0000-000097050000}"/>
    <cellStyle name="Comma 3 21 2 4" xfId="3171" xr:uid="{00000000-0005-0000-0000-000098050000}"/>
    <cellStyle name="Comma 3 21 3" xfId="1178" xr:uid="{00000000-0005-0000-0000-000099050000}"/>
    <cellStyle name="Comma 3 21 3 2" xfId="1965" xr:uid="{00000000-0005-0000-0000-00009A050000}"/>
    <cellStyle name="Comma 3 21 3 2 2" xfId="4209" xr:uid="{00000000-0005-0000-0000-00009B050000}"/>
    <cellStyle name="Comma 3 21 3 3" xfId="2689" xr:uid="{00000000-0005-0000-0000-00009C050000}"/>
    <cellStyle name="Comma 3 21 3 3 2" xfId="4933" xr:uid="{00000000-0005-0000-0000-00009D050000}"/>
    <cellStyle name="Comma 3 21 3 4" xfId="3423" xr:uid="{00000000-0005-0000-0000-00009E050000}"/>
    <cellStyle name="Comma 3 21 4" xfId="1393" xr:uid="{00000000-0005-0000-0000-00009F050000}"/>
    <cellStyle name="Comma 3 21 4 2" xfId="3637" xr:uid="{00000000-0005-0000-0000-0000A0050000}"/>
    <cellStyle name="Comma 3 21 5" xfId="2179" xr:uid="{00000000-0005-0000-0000-0000A1050000}"/>
    <cellStyle name="Comma 3 21 5 2" xfId="4423" xr:uid="{00000000-0005-0000-0000-0000A2050000}"/>
    <cellStyle name="Comma 3 21 6" xfId="2903" xr:uid="{00000000-0005-0000-0000-0000A3050000}"/>
    <cellStyle name="Comma 3 22" xfId="114" xr:uid="{00000000-0005-0000-0000-0000A4050000}"/>
    <cellStyle name="Comma 3 22 2" xfId="926" xr:uid="{00000000-0005-0000-0000-0000A5050000}"/>
    <cellStyle name="Comma 3 22 2 2" xfId="1714" xr:uid="{00000000-0005-0000-0000-0000A6050000}"/>
    <cellStyle name="Comma 3 22 2 2 2" xfId="3958" xr:uid="{00000000-0005-0000-0000-0000A7050000}"/>
    <cellStyle name="Comma 3 22 2 3" xfId="2438" xr:uid="{00000000-0005-0000-0000-0000A8050000}"/>
    <cellStyle name="Comma 3 22 2 3 2" xfId="4682" xr:uid="{00000000-0005-0000-0000-0000A9050000}"/>
    <cellStyle name="Comma 3 22 2 4" xfId="3172" xr:uid="{00000000-0005-0000-0000-0000AA050000}"/>
    <cellStyle name="Comma 3 22 3" xfId="1179" xr:uid="{00000000-0005-0000-0000-0000AB050000}"/>
    <cellStyle name="Comma 3 22 3 2" xfId="1966" xr:uid="{00000000-0005-0000-0000-0000AC050000}"/>
    <cellStyle name="Comma 3 22 3 2 2" xfId="4210" xr:uid="{00000000-0005-0000-0000-0000AD050000}"/>
    <cellStyle name="Comma 3 22 3 3" xfId="2690" xr:uid="{00000000-0005-0000-0000-0000AE050000}"/>
    <cellStyle name="Comma 3 22 3 3 2" xfId="4934" xr:uid="{00000000-0005-0000-0000-0000AF050000}"/>
    <cellStyle name="Comma 3 22 3 4" xfId="3424" xr:uid="{00000000-0005-0000-0000-0000B0050000}"/>
    <cellStyle name="Comma 3 22 4" xfId="1394" xr:uid="{00000000-0005-0000-0000-0000B1050000}"/>
    <cellStyle name="Comma 3 22 4 2" xfId="3638" xr:uid="{00000000-0005-0000-0000-0000B2050000}"/>
    <cellStyle name="Comma 3 22 5" xfId="2180" xr:uid="{00000000-0005-0000-0000-0000B3050000}"/>
    <cellStyle name="Comma 3 22 5 2" xfId="4424" xr:uid="{00000000-0005-0000-0000-0000B4050000}"/>
    <cellStyle name="Comma 3 22 6" xfId="2904" xr:uid="{00000000-0005-0000-0000-0000B5050000}"/>
    <cellStyle name="Comma 3 23" xfId="115" xr:uid="{00000000-0005-0000-0000-0000B6050000}"/>
    <cellStyle name="Comma 3 23 2" xfId="927" xr:uid="{00000000-0005-0000-0000-0000B7050000}"/>
    <cellStyle name="Comma 3 23 2 2" xfId="1715" xr:uid="{00000000-0005-0000-0000-0000B8050000}"/>
    <cellStyle name="Comma 3 23 2 2 2" xfId="3959" xr:uid="{00000000-0005-0000-0000-0000B9050000}"/>
    <cellStyle name="Comma 3 23 2 3" xfId="2439" xr:uid="{00000000-0005-0000-0000-0000BA050000}"/>
    <cellStyle name="Comma 3 23 2 3 2" xfId="4683" xr:uid="{00000000-0005-0000-0000-0000BB050000}"/>
    <cellStyle name="Comma 3 23 2 4" xfId="3173" xr:uid="{00000000-0005-0000-0000-0000BC050000}"/>
    <cellStyle name="Comma 3 23 3" xfId="1180" xr:uid="{00000000-0005-0000-0000-0000BD050000}"/>
    <cellStyle name="Comma 3 23 3 2" xfId="1967" xr:uid="{00000000-0005-0000-0000-0000BE050000}"/>
    <cellStyle name="Comma 3 23 3 2 2" xfId="4211" xr:uid="{00000000-0005-0000-0000-0000BF050000}"/>
    <cellStyle name="Comma 3 23 3 3" xfId="2691" xr:uid="{00000000-0005-0000-0000-0000C0050000}"/>
    <cellStyle name="Comma 3 23 3 3 2" xfId="4935" xr:uid="{00000000-0005-0000-0000-0000C1050000}"/>
    <cellStyle name="Comma 3 23 3 4" xfId="3425" xr:uid="{00000000-0005-0000-0000-0000C2050000}"/>
    <cellStyle name="Comma 3 23 4" xfId="1395" xr:uid="{00000000-0005-0000-0000-0000C3050000}"/>
    <cellStyle name="Comma 3 23 4 2" xfId="3639" xr:uid="{00000000-0005-0000-0000-0000C4050000}"/>
    <cellStyle name="Comma 3 23 5" xfId="2181" xr:uid="{00000000-0005-0000-0000-0000C5050000}"/>
    <cellStyle name="Comma 3 23 5 2" xfId="4425" xr:uid="{00000000-0005-0000-0000-0000C6050000}"/>
    <cellStyle name="Comma 3 23 6" xfId="2905" xr:uid="{00000000-0005-0000-0000-0000C7050000}"/>
    <cellStyle name="Comma 3 24" xfId="116" xr:uid="{00000000-0005-0000-0000-0000C8050000}"/>
    <cellStyle name="Comma 3 24 2" xfId="928" xr:uid="{00000000-0005-0000-0000-0000C9050000}"/>
    <cellStyle name="Comma 3 24 2 2" xfId="1716" xr:uid="{00000000-0005-0000-0000-0000CA050000}"/>
    <cellStyle name="Comma 3 24 2 2 2" xfId="3960" xr:uid="{00000000-0005-0000-0000-0000CB050000}"/>
    <cellStyle name="Comma 3 24 2 3" xfId="2440" xr:uid="{00000000-0005-0000-0000-0000CC050000}"/>
    <cellStyle name="Comma 3 24 2 3 2" xfId="4684" xr:uid="{00000000-0005-0000-0000-0000CD050000}"/>
    <cellStyle name="Comma 3 24 2 4" xfId="3174" xr:uid="{00000000-0005-0000-0000-0000CE050000}"/>
    <cellStyle name="Comma 3 24 3" xfId="1181" xr:uid="{00000000-0005-0000-0000-0000CF050000}"/>
    <cellStyle name="Comma 3 24 3 2" xfId="1968" xr:uid="{00000000-0005-0000-0000-0000D0050000}"/>
    <cellStyle name="Comma 3 24 3 2 2" xfId="4212" xr:uid="{00000000-0005-0000-0000-0000D1050000}"/>
    <cellStyle name="Comma 3 24 3 3" xfId="2692" xr:uid="{00000000-0005-0000-0000-0000D2050000}"/>
    <cellStyle name="Comma 3 24 3 3 2" xfId="4936" xr:uid="{00000000-0005-0000-0000-0000D3050000}"/>
    <cellStyle name="Comma 3 24 3 4" xfId="3426" xr:uid="{00000000-0005-0000-0000-0000D4050000}"/>
    <cellStyle name="Comma 3 24 4" xfId="1396" xr:uid="{00000000-0005-0000-0000-0000D5050000}"/>
    <cellStyle name="Comma 3 24 4 2" xfId="3640" xr:uid="{00000000-0005-0000-0000-0000D6050000}"/>
    <cellStyle name="Comma 3 24 5" xfId="2182" xr:uid="{00000000-0005-0000-0000-0000D7050000}"/>
    <cellStyle name="Comma 3 24 5 2" xfId="4426" xr:uid="{00000000-0005-0000-0000-0000D8050000}"/>
    <cellStyle name="Comma 3 24 6" xfId="2906" xr:uid="{00000000-0005-0000-0000-0000D9050000}"/>
    <cellStyle name="Comma 3 25" xfId="117" xr:uid="{00000000-0005-0000-0000-0000DA050000}"/>
    <cellStyle name="Comma 3 25 2" xfId="929" xr:uid="{00000000-0005-0000-0000-0000DB050000}"/>
    <cellStyle name="Comma 3 25 2 2" xfId="1717" xr:uid="{00000000-0005-0000-0000-0000DC050000}"/>
    <cellStyle name="Comma 3 25 2 2 2" xfId="3961" xr:uid="{00000000-0005-0000-0000-0000DD050000}"/>
    <cellStyle name="Comma 3 25 2 3" xfId="2441" xr:uid="{00000000-0005-0000-0000-0000DE050000}"/>
    <cellStyle name="Comma 3 25 2 3 2" xfId="4685" xr:uid="{00000000-0005-0000-0000-0000DF050000}"/>
    <cellStyle name="Comma 3 25 2 4" xfId="3175" xr:uid="{00000000-0005-0000-0000-0000E0050000}"/>
    <cellStyle name="Comma 3 25 3" xfId="1182" xr:uid="{00000000-0005-0000-0000-0000E1050000}"/>
    <cellStyle name="Comma 3 25 3 2" xfId="1969" xr:uid="{00000000-0005-0000-0000-0000E2050000}"/>
    <cellStyle name="Comma 3 25 3 2 2" xfId="4213" xr:uid="{00000000-0005-0000-0000-0000E3050000}"/>
    <cellStyle name="Comma 3 25 3 3" xfId="2693" xr:uid="{00000000-0005-0000-0000-0000E4050000}"/>
    <cellStyle name="Comma 3 25 3 3 2" xfId="4937" xr:uid="{00000000-0005-0000-0000-0000E5050000}"/>
    <cellStyle name="Comma 3 25 3 4" xfId="3427" xr:uid="{00000000-0005-0000-0000-0000E6050000}"/>
    <cellStyle name="Comma 3 25 4" xfId="1397" xr:uid="{00000000-0005-0000-0000-0000E7050000}"/>
    <cellStyle name="Comma 3 25 4 2" xfId="3641" xr:uid="{00000000-0005-0000-0000-0000E8050000}"/>
    <cellStyle name="Comma 3 25 5" xfId="2183" xr:uid="{00000000-0005-0000-0000-0000E9050000}"/>
    <cellStyle name="Comma 3 25 5 2" xfId="4427" xr:uid="{00000000-0005-0000-0000-0000EA050000}"/>
    <cellStyle name="Comma 3 25 6" xfId="2907" xr:uid="{00000000-0005-0000-0000-0000EB050000}"/>
    <cellStyle name="Comma 3 26" xfId="118" xr:uid="{00000000-0005-0000-0000-0000EC050000}"/>
    <cellStyle name="Comma 3 26 2" xfId="930" xr:uid="{00000000-0005-0000-0000-0000ED050000}"/>
    <cellStyle name="Comma 3 26 2 2" xfId="1718" xr:uid="{00000000-0005-0000-0000-0000EE050000}"/>
    <cellStyle name="Comma 3 26 2 2 2" xfId="3962" xr:uid="{00000000-0005-0000-0000-0000EF050000}"/>
    <cellStyle name="Comma 3 26 2 3" xfId="2442" xr:uid="{00000000-0005-0000-0000-0000F0050000}"/>
    <cellStyle name="Comma 3 26 2 3 2" xfId="4686" xr:uid="{00000000-0005-0000-0000-0000F1050000}"/>
    <cellStyle name="Comma 3 26 2 4" xfId="3176" xr:uid="{00000000-0005-0000-0000-0000F2050000}"/>
    <cellStyle name="Comma 3 26 3" xfId="1183" xr:uid="{00000000-0005-0000-0000-0000F3050000}"/>
    <cellStyle name="Comma 3 26 3 2" xfId="1970" xr:uid="{00000000-0005-0000-0000-0000F4050000}"/>
    <cellStyle name="Comma 3 26 3 2 2" xfId="4214" xr:uid="{00000000-0005-0000-0000-0000F5050000}"/>
    <cellStyle name="Comma 3 26 3 3" xfId="2694" xr:uid="{00000000-0005-0000-0000-0000F6050000}"/>
    <cellStyle name="Comma 3 26 3 3 2" xfId="4938" xr:uid="{00000000-0005-0000-0000-0000F7050000}"/>
    <cellStyle name="Comma 3 26 3 4" xfId="3428" xr:uid="{00000000-0005-0000-0000-0000F8050000}"/>
    <cellStyle name="Comma 3 26 4" xfId="1398" xr:uid="{00000000-0005-0000-0000-0000F9050000}"/>
    <cellStyle name="Comma 3 26 4 2" xfId="3642" xr:uid="{00000000-0005-0000-0000-0000FA050000}"/>
    <cellStyle name="Comma 3 26 5" xfId="2184" xr:uid="{00000000-0005-0000-0000-0000FB050000}"/>
    <cellStyle name="Comma 3 26 5 2" xfId="4428" xr:uid="{00000000-0005-0000-0000-0000FC050000}"/>
    <cellStyle name="Comma 3 26 6" xfId="2908" xr:uid="{00000000-0005-0000-0000-0000FD050000}"/>
    <cellStyle name="Comma 3 27" xfId="119" xr:uid="{00000000-0005-0000-0000-0000FE050000}"/>
    <cellStyle name="Comma 3 27 2" xfId="931" xr:uid="{00000000-0005-0000-0000-0000FF050000}"/>
    <cellStyle name="Comma 3 27 2 2" xfId="1719" xr:uid="{00000000-0005-0000-0000-000000060000}"/>
    <cellStyle name="Comma 3 27 2 2 2" xfId="3963" xr:uid="{00000000-0005-0000-0000-000001060000}"/>
    <cellStyle name="Comma 3 27 2 3" xfId="2443" xr:uid="{00000000-0005-0000-0000-000002060000}"/>
    <cellStyle name="Comma 3 27 2 3 2" xfId="4687" xr:uid="{00000000-0005-0000-0000-000003060000}"/>
    <cellStyle name="Comma 3 27 2 4" xfId="3177" xr:uid="{00000000-0005-0000-0000-000004060000}"/>
    <cellStyle name="Comma 3 27 3" xfId="1184" xr:uid="{00000000-0005-0000-0000-000005060000}"/>
    <cellStyle name="Comma 3 27 3 2" xfId="1971" xr:uid="{00000000-0005-0000-0000-000006060000}"/>
    <cellStyle name="Comma 3 27 3 2 2" xfId="4215" xr:uid="{00000000-0005-0000-0000-000007060000}"/>
    <cellStyle name="Comma 3 27 3 3" xfId="2695" xr:uid="{00000000-0005-0000-0000-000008060000}"/>
    <cellStyle name="Comma 3 27 3 3 2" xfId="4939" xr:uid="{00000000-0005-0000-0000-000009060000}"/>
    <cellStyle name="Comma 3 27 3 4" xfId="3429" xr:uid="{00000000-0005-0000-0000-00000A060000}"/>
    <cellStyle name="Comma 3 27 4" xfId="1399" xr:uid="{00000000-0005-0000-0000-00000B060000}"/>
    <cellStyle name="Comma 3 27 4 2" xfId="3643" xr:uid="{00000000-0005-0000-0000-00000C060000}"/>
    <cellStyle name="Comma 3 27 5" xfId="2185" xr:uid="{00000000-0005-0000-0000-00000D060000}"/>
    <cellStyle name="Comma 3 27 5 2" xfId="4429" xr:uid="{00000000-0005-0000-0000-00000E060000}"/>
    <cellStyle name="Comma 3 27 6" xfId="2909" xr:uid="{00000000-0005-0000-0000-00000F060000}"/>
    <cellStyle name="Comma 3 28" xfId="120" xr:uid="{00000000-0005-0000-0000-000010060000}"/>
    <cellStyle name="Comma 3 28 2" xfId="932" xr:uid="{00000000-0005-0000-0000-000011060000}"/>
    <cellStyle name="Comma 3 28 2 2" xfId="1720" xr:uid="{00000000-0005-0000-0000-000012060000}"/>
    <cellStyle name="Comma 3 28 2 2 2" xfId="3964" xr:uid="{00000000-0005-0000-0000-000013060000}"/>
    <cellStyle name="Comma 3 28 2 3" xfId="2444" xr:uid="{00000000-0005-0000-0000-000014060000}"/>
    <cellStyle name="Comma 3 28 2 3 2" xfId="4688" xr:uid="{00000000-0005-0000-0000-000015060000}"/>
    <cellStyle name="Comma 3 28 2 4" xfId="3178" xr:uid="{00000000-0005-0000-0000-000016060000}"/>
    <cellStyle name="Comma 3 28 3" xfId="1185" xr:uid="{00000000-0005-0000-0000-000017060000}"/>
    <cellStyle name="Comma 3 28 3 2" xfId="1972" xr:uid="{00000000-0005-0000-0000-000018060000}"/>
    <cellStyle name="Comma 3 28 3 2 2" xfId="4216" xr:uid="{00000000-0005-0000-0000-000019060000}"/>
    <cellStyle name="Comma 3 28 3 3" xfId="2696" xr:uid="{00000000-0005-0000-0000-00001A060000}"/>
    <cellStyle name="Comma 3 28 3 3 2" xfId="4940" xr:uid="{00000000-0005-0000-0000-00001B060000}"/>
    <cellStyle name="Comma 3 28 3 4" xfId="3430" xr:uid="{00000000-0005-0000-0000-00001C060000}"/>
    <cellStyle name="Comma 3 28 4" xfId="1400" xr:uid="{00000000-0005-0000-0000-00001D060000}"/>
    <cellStyle name="Comma 3 28 4 2" xfId="3644" xr:uid="{00000000-0005-0000-0000-00001E060000}"/>
    <cellStyle name="Comma 3 28 5" xfId="2186" xr:uid="{00000000-0005-0000-0000-00001F060000}"/>
    <cellStyle name="Comma 3 28 5 2" xfId="4430" xr:uid="{00000000-0005-0000-0000-000020060000}"/>
    <cellStyle name="Comma 3 28 6" xfId="2910" xr:uid="{00000000-0005-0000-0000-000021060000}"/>
    <cellStyle name="Comma 3 29" xfId="121" xr:uid="{00000000-0005-0000-0000-000022060000}"/>
    <cellStyle name="Comma 3 29 2" xfId="933" xr:uid="{00000000-0005-0000-0000-000023060000}"/>
    <cellStyle name="Comma 3 29 2 2" xfId="1721" xr:uid="{00000000-0005-0000-0000-000024060000}"/>
    <cellStyle name="Comma 3 29 2 2 2" xfId="3965" xr:uid="{00000000-0005-0000-0000-000025060000}"/>
    <cellStyle name="Comma 3 29 2 3" xfId="2445" xr:uid="{00000000-0005-0000-0000-000026060000}"/>
    <cellStyle name="Comma 3 29 2 3 2" xfId="4689" xr:uid="{00000000-0005-0000-0000-000027060000}"/>
    <cellStyle name="Comma 3 29 2 4" xfId="3179" xr:uid="{00000000-0005-0000-0000-000028060000}"/>
    <cellStyle name="Comma 3 29 3" xfId="1186" xr:uid="{00000000-0005-0000-0000-000029060000}"/>
    <cellStyle name="Comma 3 29 3 2" xfId="1973" xr:uid="{00000000-0005-0000-0000-00002A060000}"/>
    <cellStyle name="Comma 3 29 3 2 2" xfId="4217" xr:uid="{00000000-0005-0000-0000-00002B060000}"/>
    <cellStyle name="Comma 3 29 3 3" xfId="2697" xr:uid="{00000000-0005-0000-0000-00002C060000}"/>
    <cellStyle name="Comma 3 29 3 3 2" xfId="4941" xr:uid="{00000000-0005-0000-0000-00002D060000}"/>
    <cellStyle name="Comma 3 29 3 4" xfId="3431" xr:uid="{00000000-0005-0000-0000-00002E060000}"/>
    <cellStyle name="Comma 3 29 4" xfId="1401" xr:uid="{00000000-0005-0000-0000-00002F060000}"/>
    <cellStyle name="Comma 3 29 4 2" xfId="3645" xr:uid="{00000000-0005-0000-0000-000030060000}"/>
    <cellStyle name="Comma 3 29 5" xfId="2187" xr:uid="{00000000-0005-0000-0000-000031060000}"/>
    <cellStyle name="Comma 3 29 5 2" xfId="4431" xr:uid="{00000000-0005-0000-0000-000032060000}"/>
    <cellStyle name="Comma 3 29 6" xfId="2911" xr:uid="{00000000-0005-0000-0000-000033060000}"/>
    <cellStyle name="Comma 3 3" xfId="122" xr:uid="{00000000-0005-0000-0000-000034060000}"/>
    <cellStyle name="Comma 3 3 2" xfId="934" xr:uid="{00000000-0005-0000-0000-000035060000}"/>
    <cellStyle name="Comma 3 3 2 2" xfId="1722" xr:uid="{00000000-0005-0000-0000-000036060000}"/>
    <cellStyle name="Comma 3 3 2 2 2" xfId="3966" xr:uid="{00000000-0005-0000-0000-000037060000}"/>
    <cellStyle name="Comma 3 3 2 3" xfId="2446" xr:uid="{00000000-0005-0000-0000-000038060000}"/>
    <cellStyle name="Comma 3 3 2 3 2" xfId="4690" xr:uid="{00000000-0005-0000-0000-000039060000}"/>
    <cellStyle name="Comma 3 3 2 4" xfId="3180" xr:uid="{00000000-0005-0000-0000-00003A060000}"/>
    <cellStyle name="Comma 3 3 3" xfId="1187" xr:uid="{00000000-0005-0000-0000-00003B060000}"/>
    <cellStyle name="Comma 3 3 3 2" xfId="1974" xr:uid="{00000000-0005-0000-0000-00003C060000}"/>
    <cellStyle name="Comma 3 3 3 2 2" xfId="4218" xr:uid="{00000000-0005-0000-0000-00003D060000}"/>
    <cellStyle name="Comma 3 3 3 3" xfId="2698" xr:uid="{00000000-0005-0000-0000-00003E060000}"/>
    <cellStyle name="Comma 3 3 3 3 2" xfId="4942" xr:uid="{00000000-0005-0000-0000-00003F060000}"/>
    <cellStyle name="Comma 3 3 3 4" xfId="3432" xr:uid="{00000000-0005-0000-0000-000040060000}"/>
    <cellStyle name="Comma 3 3 4" xfId="1402" xr:uid="{00000000-0005-0000-0000-000041060000}"/>
    <cellStyle name="Comma 3 3 4 2" xfId="3646" xr:uid="{00000000-0005-0000-0000-000042060000}"/>
    <cellStyle name="Comma 3 3 5" xfId="2188" xr:uid="{00000000-0005-0000-0000-000043060000}"/>
    <cellStyle name="Comma 3 3 5 2" xfId="4432" xr:uid="{00000000-0005-0000-0000-000044060000}"/>
    <cellStyle name="Comma 3 3 6" xfId="2912" xr:uid="{00000000-0005-0000-0000-000045060000}"/>
    <cellStyle name="Comma 3 30" xfId="123" xr:uid="{00000000-0005-0000-0000-000046060000}"/>
    <cellStyle name="Comma 3 30 2" xfId="935" xr:uid="{00000000-0005-0000-0000-000047060000}"/>
    <cellStyle name="Comma 3 30 2 2" xfId="1723" xr:uid="{00000000-0005-0000-0000-000048060000}"/>
    <cellStyle name="Comma 3 30 2 2 2" xfId="3967" xr:uid="{00000000-0005-0000-0000-000049060000}"/>
    <cellStyle name="Comma 3 30 2 3" xfId="2447" xr:uid="{00000000-0005-0000-0000-00004A060000}"/>
    <cellStyle name="Comma 3 30 2 3 2" xfId="4691" xr:uid="{00000000-0005-0000-0000-00004B060000}"/>
    <cellStyle name="Comma 3 30 2 4" xfId="3181" xr:uid="{00000000-0005-0000-0000-00004C060000}"/>
    <cellStyle name="Comma 3 30 3" xfId="1188" xr:uid="{00000000-0005-0000-0000-00004D060000}"/>
    <cellStyle name="Comma 3 30 3 2" xfId="1975" xr:uid="{00000000-0005-0000-0000-00004E060000}"/>
    <cellStyle name="Comma 3 30 3 2 2" xfId="4219" xr:uid="{00000000-0005-0000-0000-00004F060000}"/>
    <cellStyle name="Comma 3 30 3 3" xfId="2699" xr:uid="{00000000-0005-0000-0000-000050060000}"/>
    <cellStyle name="Comma 3 30 3 3 2" xfId="4943" xr:uid="{00000000-0005-0000-0000-000051060000}"/>
    <cellStyle name="Comma 3 30 3 4" xfId="3433" xr:uid="{00000000-0005-0000-0000-000052060000}"/>
    <cellStyle name="Comma 3 30 4" xfId="1403" xr:uid="{00000000-0005-0000-0000-000053060000}"/>
    <cellStyle name="Comma 3 30 4 2" xfId="3647" xr:uid="{00000000-0005-0000-0000-000054060000}"/>
    <cellStyle name="Comma 3 30 5" xfId="2189" xr:uid="{00000000-0005-0000-0000-000055060000}"/>
    <cellStyle name="Comma 3 30 5 2" xfId="4433" xr:uid="{00000000-0005-0000-0000-000056060000}"/>
    <cellStyle name="Comma 3 30 6" xfId="2913" xr:uid="{00000000-0005-0000-0000-000057060000}"/>
    <cellStyle name="Comma 3 31" xfId="124" xr:uid="{00000000-0005-0000-0000-000058060000}"/>
    <cellStyle name="Comma 3 31 2" xfId="936" xr:uid="{00000000-0005-0000-0000-000059060000}"/>
    <cellStyle name="Comma 3 31 2 2" xfId="1724" xr:uid="{00000000-0005-0000-0000-00005A060000}"/>
    <cellStyle name="Comma 3 31 2 2 2" xfId="3968" xr:uid="{00000000-0005-0000-0000-00005B060000}"/>
    <cellStyle name="Comma 3 31 2 3" xfId="2448" xr:uid="{00000000-0005-0000-0000-00005C060000}"/>
    <cellStyle name="Comma 3 31 2 3 2" xfId="4692" xr:uid="{00000000-0005-0000-0000-00005D060000}"/>
    <cellStyle name="Comma 3 31 2 4" xfId="3182" xr:uid="{00000000-0005-0000-0000-00005E060000}"/>
    <cellStyle name="Comma 3 31 3" xfId="1189" xr:uid="{00000000-0005-0000-0000-00005F060000}"/>
    <cellStyle name="Comma 3 31 3 2" xfId="1976" xr:uid="{00000000-0005-0000-0000-000060060000}"/>
    <cellStyle name="Comma 3 31 3 2 2" xfId="4220" xr:uid="{00000000-0005-0000-0000-000061060000}"/>
    <cellStyle name="Comma 3 31 3 3" xfId="2700" xr:uid="{00000000-0005-0000-0000-000062060000}"/>
    <cellStyle name="Comma 3 31 3 3 2" xfId="4944" xr:uid="{00000000-0005-0000-0000-000063060000}"/>
    <cellStyle name="Comma 3 31 3 4" xfId="3434" xr:uid="{00000000-0005-0000-0000-000064060000}"/>
    <cellStyle name="Comma 3 31 4" xfId="1404" xr:uid="{00000000-0005-0000-0000-000065060000}"/>
    <cellStyle name="Comma 3 31 4 2" xfId="3648" xr:uid="{00000000-0005-0000-0000-000066060000}"/>
    <cellStyle name="Comma 3 31 5" xfId="2190" xr:uid="{00000000-0005-0000-0000-000067060000}"/>
    <cellStyle name="Comma 3 31 5 2" xfId="4434" xr:uid="{00000000-0005-0000-0000-000068060000}"/>
    <cellStyle name="Comma 3 31 6" xfId="2914" xr:uid="{00000000-0005-0000-0000-000069060000}"/>
    <cellStyle name="Comma 3 32" xfId="125" xr:uid="{00000000-0005-0000-0000-00006A060000}"/>
    <cellStyle name="Comma 3 32 2" xfId="937" xr:uid="{00000000-0005-0000-0000-00006B060000}"/>
    <cellStyle name="Comma 3 32 2 2" xfId="1725" xr:uid="{00000000-0005-0000-0000-00006C060000}"/>
    <cellStyle name="Comma 3 32 2 2 2" xfId="3969" xr:uid="{00000000-0005-0000-0000-00006D060000}"/>
    <cellStyle name="Comma 3 32 2 3" xfId="2449" xr:uid="{00000000-0005-0000-0000-00006E060000}"/>
    <cellStyle name="Comma 3 32 2 3 2" xfId="4693" xr:uid="{00000000-0005-0000-0000-00006F060000}"/>
    <cellStyle name="Comma 3 32 2 4" xfId="3183" xr:uid="{00000000-0005-0000-0000-000070060000}"/>
    <cellStyle name="Comma 3 32 3" xfId="1190" xr:uid="{00000000-0005-0000-0000-000071060000}"/>
    <cellStyle name="Comma 3 32 3 2" xfId="1977" xr:uid="{00000000-0005-0000-0000-000072060000}"/>
    <cellStyle name="Comma 3 32 3 2 2" xfId="4221" xr:uid="{00000000-0005-0000-0000-000073060000}"/>
    <cellStyle name="Comma 3 32 3 3" xfId="2701" xr:uid="{00000000-0005-0000-0000-000074060000}"/>
    <cellStyle name="Comma 3 32 3 3 2" xfId="4945" xr:uid="{00000000-0005-0000-0000-000075060000}"/>
    <cellStyle name="Comma 3 32 3 4" xfId="3435" xr:uid="{00000000-0005-0000-0000-000076060000}"/>
    <cellStyle name="Comma 3 32 4" xfId="1405" xr:uid="{00000000-0005-0000-0000-000077060000}"/>
    <cellStyle name="Comma 3 32 4 2" xfId="3649" xr:uid="{00000000-0005-0000-0000-000078060000}"/>
    <cellStyle name="Comma 3 32 5" xfId="2191" xr:uid="{00000000-0005-0000-0000-000079060000}"/>
    <cellStyle name="Comma 3 32 5 2" xfId="4435" xr:uid="{00000000-0005-0000-0000-00007A060000}"/>
    <cellStyle name="Comma 3 32 6" xfId="2915" xr:uid="{00000000-0005-0000-0000-00007B060000}"/>
    <cellStyle name="Comma 3 33" xfId="126" xr:uid="{00000000-0005-0000-0000-00007C060000}"/>
    <cellStyle name="Comma 3 33 2" xfId="938" xr:uid="{00000000-0005-0000-0000-00007D060000}"/>
    <cellStyle name="Comma 3 33 2 2" xfId="1726" xr:uid="{00000000-0005-0000-0000-00007E060000}"/>
    <cellStyle name="Comma 3 33 2 2 2" xfId="3970" xr:uid="{00000000-0005-0000-0000-00007F060000}"/>
    <cellStyle name="Comma 3 33 2 3" xfId="2450" xr:uid="{00000000-0005-0000-0000-000080060000}"/>
    <cellStyle name="Comma 3 33 2 3 2" xfId="4694" xr:uid="{00000000-0005-0000-0000-000081060000}"/>
    <cellStyle name="Comma 3 33 2 4" xfId="3184" xr:uid="{00000000-0005-0000-0000-000082060000}"/>
    <cellStyle name="Comma 3 33 3" xfId="1191" xr:uid="{00000000-0005-0000-0000-000083060000}"/>
    <cellStyle name="Comma 3 33 3 2" xfId="1978" xr:uid="{00000000-0005-0000-0000-000084060000}"/>
    <cellStyle name="Comma 3 33 3 2 2" xfId="4222" xr:uid="{00000000-0005-0000-0000-000085060000}"/>
    <cellStyle name="Comma 3 33 3 3" xfId="2702" xr:uid="{00000000-0005-0000-0000-000086060000}"/>
    <cellStyle name="Comma 3 33 3 3 2" xfId="4946" xr:uid="{00000000-0005-0000-0000-000087060000}"/>
    <cellStyle name="Comma 3 33 3 4" xfId="3436" xr:uid="{00000000-0005-0000-0000-000088060000}"/>
    <cellStyle name="Comma 3 33 4" xfId="1406" xr:uid="{00000000-0005-0000-0000-000089060000}"/>
    <cellStyle name="Comma 3 33 4 2" xfId="3650" xr:uid="{00000000-0005-0000-0000-00008A060000}"/>
    <cellStyle name="Comma 3 33 5" xfId="2192" xr:uid="{00000000-0005-0000-0000-00008B060000}"/>
    <cellStyle name="Comma 3 33 5 2" xfId="4436" xr:uid="{00000000-0005-0000-0000-00008C060000}"/>
    <cellStyle name="Comma 3 33 6" xfId="2916" xr:uid="{00000000-0005-0000-0000-00008D060000}"/>
    <cellStyle name="Comma 3 34" xfId="127" xr:uid="{00000000-0005-0000-0000-00008E060000}"/>
    <cellStyle name="Comma 3 34 2" xfId="939" xr:uid="{00000000-0005-0000-0000-00008F060000}"/>
    <cellStyle name="Comma 3 34 2 2" xfId="1727" xr:uid="{00000000-0005-0000-0000-000090060000}"/>
    <cellStyle name="Comma 3 34 2 2 2" xfId="3971" xr:uid="{00000000-0005-0000-0000-000091060000}"/>
    <cellStyle name="Comma 3 34 2 3" xfId="2451" xr:uid="{00000000-0005-0000-0000-000092060000}"/>
    <cellStyle name="Comma 3 34 2 3 2" xfId="4695" xr:uid="{00000000-0005-0000-0000-000093060000}"/>
    <cellStyle name="Comma 3 34 2 4" xfId="3185" xr:uid="{00000000-0005-0000-0000-000094060000}"/>
    <cellStyle name="Comma 3 34 3" xfId="1192" xr:uid="{00000000-0005-0000-0000-000095060000}"/>
    <cellStyle name="Comma 3 34 3 2" xfId="1979" xr:uid="{00000000-0005-0000-0000-000096060000}"/>
    <cellStyle name="Comma 3 34 3 2 2" xfId="4223" xr:uid="{00000000-0005-0000-0000-000097060000}"/>
    <cellStyle name="Comma 3 34 3 3" xfId="2703" xr:uid="{00000000-0005-0000-0000-000098060000}"/>
    <cellStyle name="Comma 3 34 3 3 2" xfId="4947" xr:uid="{00000000-0005-0000-0000-000099060000}"/>
    <cellStyle name="Comma 3 34 3 4" xfId="3437" xr:uid="{00000000-0005-0000-0000-00009A060000}"/>
    <cellStyle name="Comma 3 34 4" xfId="1407" xr:uid="{00000000-0005-0000-0000-00009B060000}"/>
    <cellStyle name="Comma 3 34 4 2" xfId="3651" xr:uid="{00000000-0005-0000-0000-00009C060000}"/>
    <cellStyle name="Comma 3 34 5" xfId="2193" xr:uid="{00000000-0005-0000-0000-00009D060000}"/>
    <cellStyle name="Comma 3 34 5 2" xfId="4437" xr:uid="{00000000-0005-0000-0000-00009E060000}"/>
    <cellStyle name="Comma 3 34 6" xfId="2917" xr:uid="{00000000-0005-0000-0000-00009F060000}"/>
    <cellStyle name="Comma 3 35" xfId="128" xr:uid="{00000000-0005-0000-0000-0000A0060000}"/>
    <cellStyle name="Comma 3 35 2" xfId="940" xr:uid="{00000000-0005-0000-0000-0000A1060000}"/>
    <cellStyle name="Comma 3 35 2 2" xfId="1728" xr:uid="{00000000-0005-0000-0000-0000A2060000}"/>
    <cellStyle name="Comma 3 35 2 2 2" xfId="3972" xr:uid="{00000000-0005-0000-0000-0000A3060000}"/>
    <cellStyle name="Comma 3 35 2 3" xfId="2452" xr:uid="{00000000-0005-0000-0000-0000A4060000}"/>
    <cellStyle name="Comma 3 35 2 3 2" xfId="4696" xr:uid="{00000000-0005-0000-0000-0000A5060000}"/>
    <cellStyle name="Comma 3 35 2 4" xfId="3186" xr:uid="{00000000-0005-0000-0000-0000A6060000}"/>
    <cellStyle name="Comma 3 35 3" xfId="1193" xr:uid="{00000000-0005-0000-0000-0000A7060000}"/>
    <cellStyle name="Comma 3 35 3 2" xfId="1980" xr:uid="{00000000-0005-0000-0000-0000A8060000}"/>
    <cellStyle name="Comma 3 35 3 2 2" xfId="4224" xr:uid="{00000000-0005-0000-0000-0000A9060000}"/>
    <cellStyle name="Comma 3 35 3 3" xfId="2704" xr:uid="{00000000-0005-0000-0000-0000AA060000}"/>
    <cellStyle name="Comma 3 35 3 3 2" xfId="4948" xr:uid="{00000000-0005-0000-0000-0000AB060000}"/>
    <cellStyle name="Comma 3 35 3 4" xfId="3438" xr:uid="{00000000-0005-0000-0000-0000AC060000}"/>
    <cellStyle name="Comma 3 35 4" xfId="1408" xr:uid="{00000000-0005-0000-0000-0000AD060000}"/>
    <cellStyle name="Comma 3 35 4 2" xfId="3652" xr:uid="{00000000-0005-0000-0000-0000AE060000}"/>
    <cellStyle name="Comma 3 35 5" xfId="2194" xr:uid="{00000000-0005-0000-0000-0000AF060000}"/>
    <cellStyle name="Comma 3 35 5 2" xfId="4438" xr:uid="{00000000-0005-0000-0000-0000B0060000}"/>
    <cellStyle name="Comma 3 35 6" xfId="2918" xr:uid="{00000000-0005-0000-0000-0000B1060000}"/>
    <cellStyle name="Comma 3 36" xfId="129" xr:uid="{00000000-0005-0000-0000-0000B2060000}"/>
    <cellStyle name="Comma 3 36 2" xfId="941" xr:uid="{00000000-0005-0000-0000-0000B3060000}"/>
    <cellStyle name="Comma 3 36 2 2" xfId="1729" xr:uid="{00000000-0005-0000-0000-0000B4060000}"/>
    <cellStyle name="Comma 3 36 2 2 2" xfId="3973" xr:uid="{00000000-0005-0000-0000-0000B5060000}"/>
    <cellStyle name="Comma 3 36 2 3" xfId="2453" xr:uid="{00000000-0005-0000-0000-0000B6060000}"/>
    <cellStyle name="Comma 3 36 2 3 2" xfId="4697" xr:uid="{00000000-0005-0000-0000-0000B7060000}"/>
    <cellStyle name="Comma 3 36 2 4" xfId="3187" xr:uid="{00000000-0005-0000-0000-0000B8060000}"/>
    <cellStyle name="Comma 3 36 3" xfId="1194" xr:uid="{00000000-0005-0000-0000-0000B9060000}"/>
    <cellStyle name="Comma 3 36 3 2" xfId="1981" xr:uid="{00000000-0005-0000-0000-0000BA060000}"/>
    <cellStyle name="Comma 3 36 3 2 2" xfId="4225" xr:uid="{00000000-0005-0000-0000-0000BB060000}"/>
    <cellStyle name="Comma 3 36 3 3" xfId="2705" xr:uid="{00000000-0005-0000-0000-0000BC060000}"/>
    <cellStyle name="Comma 3 36 3 3 2" xfId="4949" xr:uid="{00000000-0005-0000-0000-0000BD060000}"/>
    <cellStyle name="Comma 3 36 3 4" xfId="3439" xr:uid="{00000000-0005-0000-0000-0000BE060000}"/>
    <cellStyle name="Comma 3 36 4" xfId="1409" xr:uid="{00000000-0005-0000-0000-0000BF060000}"/>
    <cellStyle name="Comma 3 36 4 2" xfId="3653" xr:uid="{00000000-0005-0000-0000-0000C0060000}"/>
    <cellStyle name="Comma 3 36 5" xfId="2195" xr:uid="{00000000-0005-0000-0000-0000C1060000}"/>
    <cellStyle name="Comma 3 36 5 2" xfId="4439" xr:uid="{00000000-0005-0000-0000-0000C2060000}"/>
    <cellStyle name="Comma 3 36 6" xfId="2919" xr:uid="{00000000-0005-0000-0000-0000C3060000}"/>
    <cellStyle name="Comma 3 37" xfId="130" xr:uid="{00000000-0005-0000-0000-0000C4060000}"/>
    <cellStyle name="Comma 3 37 2" xfId="942" xr:uid="{00000000-0005-0000-0000-0000C5060000}"/>
    <cellStyle name="Comma 3 37 2 2" xfId="1730" xr:uid="{00000000-0005-0000-0000-0000C6060000}"/>
    <cellStyle name="Comma 3 37 2 2 2" xfId="3974" xr:uid="{00000000-0005-0000-0000-0000C7060000}"/>
    <cellStyle name="Comma 3 37 2 3" xfId="2454" xr:uid="{00000000-0005-0000-0000-0000C8060000}"/>
    <cellStyle name="Comma 3 37 2 3 2" xfId="4698" xr:uid="{00000000-0005-0000-0000-0000C9060000}"/>
    <cellStyle name="Comma 3 37 2 4" xfId="3188" xr:uid="{00000000-0005-0000-0000-0000CA060000}"/>
    <cellStyle name="Comma 3 37 3" xfId="1195" xr:uid="{00000000-0005-0000-0000-0000CB060000}"/>
    <cellStyle name="Comma 3 37 3 2" xfId="1982" xr:uid="{00000000-0005-0000-0000-0000CC060000}"/>
    <cellStyle name="Comma 3 37 3 2 2" xfId="4226" xr:uid="{00000000-0005-0000-0000-0000CD060000}"/>
    <cellStyle name="Comma 3 37 3 3" xfId="2706" xr:uid="{00000000-0005-0000-0000-0000CE060000}"/>
    <cellStyle name="Comma 3 37 3 3 2" xfId="4950" xr:uid="{00000000-0005-0000-0000-0000CF060000}"/>
    <cellStyle name="Comma 3 37 3 4" xfId="3440" xr:uid="{00000000-0005-0000-0000-0000D0060000}"/>
    <cellStyle name="Comma 3 37 4" xfId="1410" xr:uid="{00000000-0005-0000-0000-0000D1060000}"/>
    <cellStyle name="Comma 3 37 4 2" xfId="3654" xr:uid="{00000000-0005-0000-0000-0000D2060000}"/>
    <cellStyle name="Comma 3 37 5" xfId="2196" xr:uid="{00000000-0005-0000-0000-0000D3060000}"/>
    <cellStyle name="Comma 3 37 5 2" xfId="4440" xr:uid="{00000000-0005-0000-0000-0000D4060000}"/>
    <cellStyle name="Comma 3 37 6" xfId="2920" xr:uid="{00000000-0005-0000-0000-0000D5060000}"/>
    <cellStyle name="Comma 3 38" xfId="131" xr:uid="{00000000-0005-0000-0000-0000D6060000}"/>
    <cellStyle name="Comma 3 38 2" xfId="943" xr:uid="{00000000-0005-0000-0000-0000D7060000}"/>
    <cellStyle name="Comma 3 38 2 2" xfId="1731" xr:uid="{00000000-0005-0000-0000-0000D8060000}"/>
    <cellStyle name="Comma 3 38 2 2 2" xfId="3975" xr:uid="{00000000-0005-0000-0000-0000D9060000}"/>
    <cellStyle name="Comma 3 38 2 3" xfId="2455" xr:uid="{00000000-0005-0000-0000-0000DA060000}"/>
    <cellStyle name="Comma 3 38 2 3 2" xfId="4699" xr:uid="{00000000-0005-0000-0000-0000DB060000}"/>
    <cellStyle name="Comma 3 38 2 4" xfId="3189" xr:uid="{00000000-0005-0000-0000-0000DC060000}"/>
    <cellStyle name="Comma 3 38 3" xfId="1196" xr:uid="{00000000-0005-0000-0000-0000DD060000}"/>
    <cellStyle name="Comma 3 38 3 2" xfId="1983" xr:uid="{00000000-0005-0000-0000-0000DE060000}"/>
    <cellStyle name="Comma 3 38 3 2 2" xfId="4227" xr:uid="{00000000-0005-0000-0000-0000DF060000}"/>
    <cellStyle name="Comma 3 38 3 3" xfId="2707" xr:uid="{00000000-0005-0000-0000-0000E0060000}"/>
    <cellStyle name="Comma 3 38 3 3 2" xfId="4951" xr:uid="{00000000-0005-0000-0000-0000E1060000}"/>
    <cellStyle name="Comma 3 38 3 4" xfId="3441" xr:uid="{00000000-0005-0000-0000-0000E2060000}"/>
    <cellStyle name="Comma 3 38 4" xfId="1411" xr:uid="{00000000-0005-0000-0000-0000E3060000}"/>
    <cellStyle name="Comma 3 38 4 2" xfId="3655" xr:uid="{00000000-0005-0000-0000-0000E4060000}"/>
    <cellStyle name="Comma 3 38 5" xfId="2197" xr:uid="{00000000-0005-0000-0000-0000E5060000}"/>
    <cellStyle name="Comma 3 38 5 2" xfId="4441" xr:uid="{00000000-0005-0000-0000-0000E6060000}"/>
    <cellStyle name="Comma 3 38 6" xfId="2921" xr:uid="{00000000-0005-0000-0000-0000E7060000}"/>
    <cellStyle name="Comma 3 39" xfId="132" xr:uid="{00000000-0005-0000-0000-0000E8060000}"/>
    <cellStyle name="Comma 3 39 2" xfId="944" xr:uid="{00000000-0005-0000-0000-0000E9060000}"/>
    <cellStyle name="Comma 3 39 2 2" xfId="1732" xr:uid="{00000000-0005-0000-0000-0000EA060000}"/>
    <cellStyle name="Comma 3 39 2 2 2" xfId="3976" xr:uid="{00000000-0005-0000-0000-0000EB060000}"/>
    <cellStyle name="Comma 3 39 2 3" xfId="2456" xr:uid="{00000000-0005-0000-0000-0000EC060000}"/>
    <cellStyle name="Comma 3 39 2 3 2" xfId="4700" xr:uid="{00000000-0005-0000-0000-0000ED060000}"/>
    <cellStyle name="Comma 3 39 2 4" xfId="3190" xr:uid="{00000000-0005-0000-0000-0000EE060000}"/>
    <cellStyle name="Comma 3 39 3" xfId="1197" xr:uid="{00000000-0005-0000-0000-0000EF060000}"/>
    <cellStyle name="Comma 3 39 3 2" xfId="1984" xr:uid="{00000000-0005-0000-0000-0000F0060000}"/>
    <cellStyle name="Comma 3 39 3 2 2" xfId="4228" xr:uid="{00000000-0005-0000-0000-0000F1060000}"/>
    <cellStyle name="Comma 3 39 3 3" xfId="2708" xr:uid="{00000000-0005-0000-0000-0000F2060000}"/>
    <cellStyle name="Comma 3 39 3 3 2" xfId="4952" xr:uid="{00000000-0005-0000-0000-0000F3060000}"/>
    <cellStyle name="Comma 3 39 3 4" xfId="3442" xr:uid="{00000000-0005-0000-0000-0000F4060000}"/>
    <cellStyle name="Comma 3 39 4" xfId="1412" xr:uid="{00000000-0005-0000-0000-0000F5060000}"/>
    <cellStyle name="Comma 3 39 4 2" xfId="3656" xr:uid="{00000000-0005-0000-0000-0000F6060000}"/>
    <cellStyle name="Comma 3 39 5" xfId="2198" xr:uid="{00000000-0005-0000-0000-0000F7060000}"/>
    <cellStyle name="Comma 3 39 5 2" xfId="4442" xr:uid="{00000000-0005-0000-0000-0000F8060000}"/>
    <cellStyle name="Comma 3 39 6" xfId="2922" xr:uid="{00000000-0005-0000-0000-0000F9060000}"/>
    <cellStyle name="Comma 3 4" xfId="133" xr:uid="{00000000-0005-0000-0000-0000FA060000}"/>
    <cellStyle name="Comma 3 4 2" xfId="945" xr:uid="{00000000-0005-0000-0000-0000FB060000}"/>
    <cellStyle name="Comma 3 4 2 2" xfId="1733" xr:uid="{00000000-0005-0000-0000-0000FC060000}"/>
    <cellStyle name="Comma 3 4 2 2 2" xfId="3977" xr:uid="{00000000-0005-0000-0000-0000FD060000}"/>
    <cellStyle name="Comma 3 4 2 3" xfId="2457" xr:uid="{00000000-0005-0000-0000-0000FE060000}"/>
    <cellStyle name="Comma 3 4 2 3 2" xfId="4701" xr:uid="{00000000-0005-0000-0000-0000FF060000}"/>
    <cellStyle name="Comma 3 4 2 4" xfId="3191" xr:uid="{00000000-0005-0000-0000-000000070000}"/>
    <cellStyle name="Comma 3 4 3" xfId="1198" xr:uid="{00000000-0005-0000-0000-000001070000}"/>
    <cellStyle name="Comma 3 4 3 2" xfId="1985" xr:uid="{00000000-0005-0000-0000-000002070000}"/>
    <cellStyle name="Comma 3 4 3 2 2" xfId="4229" xr:uid="{00000000-0005-0000-0000-000003070000}"/>
    <cellStyle name="Comma 3 4 3 3" xfId="2709" xr:uid="{00000000-0005-0000-0000-000004070000}"/>
    <cellStyle name="Comma 3 4 3 3 2" xfId="4953" xr:uid="{00000000-0005-0000-0000-000005070000}"/>
    <cellStyle name="Comma 3 4 3 4" xfId="3443" xr:uid="{00000000-0005-0000-0000-000006070000}"/>
    <cellStyle name="Comma 3 4 4" xfId="1413" xr:uid="{00000000-0005-0000-0000-000007070000}"/>
    <cellStyle name="Comma 3 4 4 2" xfId="3657" xr:uid="{00000000-0005-0000-0000-000008070000}"/>
    <cellStyle name="Comma 3 4 5" xfId="2199" xr:uid="{00000000-0005-0000-0000-000009070000}"/>
    <cellStyle name="Comma 3 4 5 2" xfId="4443" xr:uid="{00000000-0005-0000-0000-00000A070000}"/>
    <cellStyle name="Comma 3 4 6" xfId="2923" xr:uid="{00000000-0005-0000-0000-00000B070000}"/>
    <cellStyle name="Comma 3 40" xfId="134" xr:uid="{00000000-0005-0000-0000-00000C070000}"/>
    <cellStyle name="Comma 3 40 2" xfId="946" xr:uid="{00000000-0005-0000-0000-00000D070000}"/>
    <cellStyle name="Comma 3 40 2 2" xfId="1734" xr:uid="{00000000-0005-0000-0000-00000E070000}"/>
    <cellStyle name="Comma 3 40 2 2 2" xfId="3978" xr:uid="{00000000-0005-0000-0000-00000F070000}"/>
    <cellStyle name="Comma 3 40 2 3" xfId="2458" xr:uid="{00000000-0005-0000-0000-000010070000}"/>
    <cellStyle name="Comma 3 40 2 3 2" xfId="4702" xr:uid="{00000000-0005-0000-0000-000011070000}"/>
    <cellStyle name="Comma 3 40 2 4" xfId="3192" xr:uid="{00000000-0005-0000-0000-000012070000}"/>
    <cellStyle name="Comma 3 40 3" xfId="1199" xr:uid="{00000000-0005-0000-0000-000013070000}"/>
    <cellStyle name="Comma 3 40 3 2" xfId="1986" xr:uid="{00000000-0005-0000-0000-000014070000}"/>
    <cellStyle name="Comma 3 40 3 2 2" xfId="4230" xr:uid="{00000000-0005-0000-0000-000015070000}"/>
    <cellStyle name="Comma 3 40 3 3" xfId="2710" xr:uid="{00000000-0005-0000-0000-000016070000}"/>
    <cellStyle name="Comma 3 40 3 3 2" xfId="4954" xr:uid="{00000000-0005-0000-0000-000017070000}"/>
    <cellStyle name="Comma 3 40 3 4" xfId="3444" xr:uid="{00000000-0005-0000-0000-000018070000}"/>
    <cellStyle name="Comma 3 40 4" xfId="1414" xr:uid="{00000000-0005-0000-0000-000019070000}"/>
    <cellStyle name="Comma 3 40 4 2" xfId="3658" xr:uid="{00000000-0005-0000-0000-00001A070000}"/>
    <cellStyle name="Comma 3 40 5" xfId="2200" xr:uid="{00000000-0005-0000-0000-00001B070000}"/>
    <cellStyle name="Comma 3 40 5 2" xfId="4444" xr:uid="{00000000-0005-0000-0000-00001C070000}"/>
    <cellStyle name="Comma 3 40 6" xfId="2924" xr:uid="{00000000-0005-0000-0000-00001D070000}"/>
    <cellStyle name="Comma 3 41" xfId="135" xr:uid="{00000000-0005-0000-0000-00001E070000}"/>
    <cellStyle name="Comma 3 41 2" xfId="947" xr:uid="{00000000-0005-0000-0000-00001F070000}"/>
    <cellStyle name="Comma 3 41 2 2" xfId="1735" xr:uid="{00000000-0005-0000-0000-000020070000}"/>
    <cellStyle name="Comma 3 41 2 2 2" xfId="3979" xr:uid="{00000000-0005-0000-0000-000021070000}"/>
    <cellStyle name="Comma 3 41 2 3" xfId="2459" xr:uid="{00000000-0005-0000-0000-000022070000}"/>
    <cellStyle name="Comma 3 41 2 3 2" xfId="4703" xr:uid="{00000000-0005-0000-0000-000023070000}"/>
    <cellStyle name="Comma 3 41 2 4" xfId="3193" xr:uid="{00000000-0005-0000-0000-000024070000}"/>
    <cellStyle name="Comma 3 41 3" xfId="1200" xr:uid="{00000000-0005-0000-0000-000025070000}"/>
    <cellStyle name="Comma 3 41 3 2" xfId="1987" xr:uid="{00000000-0005-0000-0000-000026070000}"/>
    <cellStyle name="Comma 3 41 3 2 2" xfId="4231" xr:uid="{00000000-0005-0000-0000-000027070000}"/>
    <cellStyle name="Comma 3 41 3 3" xfId="2711" xr:uid="{00000000-0005-0000-0000-000028070000}"/>
    <cellStyle name="Comma 3 41 3 3 2" xfId="4955" xr:uid="{00000000-0005-0000-0000-000029070000}"/>
    <cellStyle name="Comma 3 41 3 4" xfId="3445" xr:uid="{00000000-0005-0000-0000-00002A070000}"/>
    <cellStyle name="Comma 3 41 4" xfId="1415" xr:uid="{00000000-0005-0000-0000-00002B070000}"/>
    <cellStyle name="Comma 3 41 4 2" xfId="3659" xr:uid="{00000000-0005-0000-0000-00002C070000}"/>
    <cellStyle name="Comma 3 41 5" xfId="2201" xr:uid="{00000000-0005-0000-0000-00002D070000}"/>
    <cellStyle name="Comma 3 41 5 2" xfId="4445" xr:uid="{00000000-0005-0000-0000-00002E070000}"/>
    <cellStyle name="Comma 3 41 6" xfId="2925" xr:uid="{00000000-0005-0000-0000-00002F070000}"/>
    <cellStyle name="Comma 3 42" xfId="136" xr:uid="{00000000-0005-0000-0000-000030070000}"/>
    <cellStyle name="Comma 3 42 2" xfId="948" xr:uid="{00000000-0005-0000-0000-000031070000}"/>
    <cellStyle name="Comma 3 42 2 2" xfId="1736" xr:uid="{00000000-0005-0000-0000-000032070000}"/>
    <cellStyle name="Comma 3 42 2 2 2" xfId="3980" xr:uid="{00000000-0005-0000-0000-000033070000}"/>
    <cellStyle name="Comma 3 42 2 3" xfId="2460" xr:uid="{00000000-0005-0000-0000-000034070000}"/>
    <cellStyle name="Comma 3 42 2 3 2" xfId="4704" xr:uid="{00000000-0005-0000-0000-000035070000}"/>
    <cellStyle name="Comma 3 42 2 4" xfId="3194" xr:uid="{00000000-0005-0000-0000-000036070000}"/>
    <cellStyle name="Comma 3 42 3" xfId="1201" xr:uid="{00000000-0005-0000-0000-000037070000}"/>
    <cellStyle name="Comma 3 42 3 2" xfId="1988" xr:uid="{00000000-0005-0000-0000-000038070000}"/>
    <cellStyle name="Comma 3 42 3 2 2" xfId="4232" xr:uid="{00000000-0005-0000-0000-000039070000}"/>
    <cellStyle name="Comma 3 42 3 3" xfId="2712" xr:uid="{00000000-0005-0000-0000-00003A070000}"/>
    <cellStyle name="Comma 3 42 3 3 2" xfId="4956" xr:uid="{00000000-0005-0000-0000-00003B070000}"/>
    <cellStyle name="Comma 3 42 3 4" xfId="3446" xr:uid="{00000000-0005-0000-0000-00003C070000}"/>
    <cellStyle name="Comma 3 42 4" xfId="1416" xr:uid="{00000000-0005-0000-0000-00003D070000}"/>
    <cellStyle name="Comma 3 42 4 2" xfId="3660" xr:uid="{00000000-0005-0000-0000-00003E070000}"/>
    <cellStyle name="Comma 3 42 5" xfId="2202" xr:uid="{00000000-0005-0000-0000-00003F070000}"/>
    <cellStyle name="Comma 3 42 5 2" xfId="4446" xr:uid="{00000000-0005-0000-0000-000040070000}"/>
    <cellStyle name="Comma 3 42 6" xfId="2926" xr:uid="{00000000-0005-0000-0000-000041070000}"/>
    <cellStyle name="Comma 3 43" xfId="137" xr:uid="{00000000-0005-0000-0000-000042070000}"/>
    <cellStyle name="Comma 3 43 2" xfId="949" xr:uid="{00000000-0005-0000-0000-000043070000}"/>
    <cellStyle name="Comma 3 43 2 2" xfId="1737" xr:uid="{00000000-0005-0000-0000-000044070000}"/>
    <cellStyle name="Comma 3 43 2 2 2" xfId="3981" xr:uid="{00000000-0005-0000-0000-000045070000}"/>
    <cellStyle name="Comma 3 43 2 3" xfId="2461" xr:uid="{00000000-0005-0000-0000-000046070000}"/>
    <cellStyle name="Comma 3 43 2 3 2" xfId="4705" xr:uid="{00000000-0005-0000-0000-000047070000}"/>
    <cellStyle name="Comma 3 43 2 4" xfId="3195" xr:uid="{00000000-0005-0000-0000-000048070000}"/>
    <cellStyle name="Comma 3 43 3" xfId="1202" xr:uid="{00000000-0005-0000-0000-000049070000}"/>
    <cellStyle name="Comma 3 43 3 2" xfId="1989" xr:uid="{00000000-0005-0000-0000-00004A070000}"/>
    <cellStyle name="Comma 3 43 3 2 2" xfId="4233" xr:uid="{00000000-0005-0000-0000-00004B070000}"/>
    <cellStyle name="Comma 3 43 3 3" xfId="2713" xr:uid="{00000000-0005-0000-0000-00004C070000}"/>
    <cellStyle name="Comma 3 43 3 3 2" xfId="4957" xr:uid="{00000000-0005-0000-0000-00004D070000}"/>
    <cellStyle name="Comma 3 43 3 4" xfId="3447" xr:uid="{00000000-0005-0000-0000-00004E070000}"/>
    <cellStyle name="Comma 3 43 4" xfId="1417" xr:uid="{00000000-0005-0000-0000-00004F070000}"/>
    <cellStyle name="Comma 3 43 4 2" xfId="3661" xr:uid="{00000000-0005-0000-0000-000050070000}"/>
    <cellStyle name="Comma 3 43 5" xfId="2203" xr:uid="{00000000-0005-0000-0000-000051070000}"/>
    <cellStyle name="Comma 3 43 5 2" xfId="4447" xr:uid="{00000000-0005-0000-0000-000052070000}"/>
    <cellStyle name="Comma 3 43 6" xfId="2927" xr:uid="{00000000-0005-0000-0000-000053070000}"/>
    <cellStyle name="Comma 3 44" xfId="138" xr:uid="{00000000-0005-0000-0000-000054070000}"/>
    <cellStyle name="Comma 3 44 2" xfId="950" xr:uid="{00000000-0005-0000-0000-000055070000}"/>
    <cellStyle name="Comma 3 44 2 2" xfId="1738" xr:uid="{00000000-0005-0000-0000-000056070000}"/>
    <cellStyle name="Comma 3 44 2 2 2" xfId="3982" xr:uid="{00000000-0005-0000-0000-000057070000}"/>
    <cellStyle name="Comma 3 44 2 3" xfId="2462" xr:uid="{00000000-0005-0000-0000-000058070000}"/>
    <cellStyle name="Comma 3 44 2 3 2" xfId="4706" xr:uid="{00000000-0005-0000-0000-000059070000}"/>
    <cellStyle name="Comma 3 44 2 4" xfId="3196" xr:uid="{00000000-0005-0000-0000-00005A070000}"/>
    <cellStyle name="Comma 3 44 3" xfId="1203" xr:uid="{00000000-0005-0000-0000-00005B070000}"/>
    <cellStyle name="Comma 3 44 3 2" xfId="1990" xr:uid="{00000000-0005-0000-0000-00005C070000}"/>
    <cellStyle name="Comma 3 44 3 2 2" xfId="4234" xr:uid="{00000000-0005-0000-0000-00005D070000}"/>
    <cellStyle name="Comma 3 44 3 3" xfId="2714" xr:uid="{00000000-0005-0000-0000-00005E070000}"/>
    <cellStyle name="Comma 3 44 3 3 2" xfId="4958" xr:uid="{00000000-0005-0000-0000-00005F070000}"/>
    <cellStyle name="Comma 3 44 3 4" xfId="3448" xr:uid="{00000000-0005-0000-0000-000060070000}"/>
    <cellStyle name="Comma 3 44 4" xfId="1418" xr:uid="{00000000-0005-0000-0000-000061070000}"/>
    <cellStyle name="Comma 3 44 4 2" xfId="3662" xr:uid="{00000000-0005-0000-0000-000062070000}"/>
    <cellStyle name="Comma 3 44 5" xfId="2204" xr:uid="{00000000-0005-0000-0000-000063070000}"/>
    <cellStyle name="Comma 3 44 5 2" xfId="4448" xr:uid="{00000000-0005-0000-0000-000064070000}"/>
    <cellStyle name="Comma 3 44 6" xfId="2928" xr:uid="{00000000-0005-0000-0000-000065070000}"/>
    <cellStyle name="Comma 3 45" xfId="139" xr:uid="{00000000-0005-0000-0000-000066070000}"/>
    <cellStyle name="Comma 3 45 2" xfId="951" xr:uid="{00000000-0005-0000-0000-000067070000}"/>
    <cellStyle name="Comma 3 45 2 2" xfId="1739" xr:uid="{00000000-0005-0000-0000-000068070000}"/>
    <cellStyle name="Comma 3 45 2 2 2" xfId="3983" xr:uid="{00000000-0005-0000-0000-000069070000}"/>
    <cellStyle name="Comma 3 45 2 3" xfId="2463" xr:uid="{00000000-0005-0000-0000-00006A070000}"/>
    <cellStyle name="Comma 3 45 2 3 2" xfId="4707" xr:uid="{00000000-0005-0000-0000-00006B070000}"/>
    <cellStyle name="Comma 3 45 2 4" xfId="3197" xr:uid="{00000000-0005-0000-0000-00006C070000}"/>
    <cellStyle name="Comma 3 45 3" xfId="1204" xr:uid="{00000000-0005-0000-0000-00006D070000}"/>
    <cellStyle name="Comma 3 45 3 2" xfId="1991" xr:uid="{00000000-0005-0000-0000-00006E070000}"/>
    <cellStyle name="Comma 3 45 3 2 2" xfId="4235" xr:uid="{00000000-0005-0000-0000-00006F070000}"/>
    <cellStyle name="Comma 3 45 3 3" xfId="2715" xr:uid="{00000000-0005-0000-0000-000070070000}"/>
    <cellStyle name="Comma 3 45 3 3 2" xfId="4959" xr:uid="{00000000-0005-0000-0000-000071070000}"/>
    <cellStyle name="Comma 3 45 3 4" xfId="3449" xr:uid="{00000000-0005-0000-0000-000072070000}"/>
    <cellStyle name="Comma 3 45 4" xfId="1419" xr:uid="{00000000-0005-0000-0000-000073070000}"/>
    <cellStyle name="Comma 3 45 4 2" xfId="3663" xr:uid="{00000000-0005-0000-0000-000074070000}"/>
    <cellStyle name="Comma 3 45 5" xfId="2205" xr:uid="{00000000-0005-0000-0000-000075070000}"/>
    <cellStyle name="Comma 3 45 5 2" xfId="4449" xr:uid="{00000000-0005-0000-0000-000076070000}"/>
    <cellStyle name="Comma 3 45 6" xfId="2929" xr:uid="{00000000-0005-0000-0000-000077070000}"/>
    <cellStyle name="Comma 3 46" xfId="140" xr:uid="{00000000-0005-0000-0000-000078070000}"/>
    <cellStyle name="Comma 3 46 2" xfId="952" xr:uid="{00000000-0005-0000-0000-000079070000}"/>
    <cellStyle name="Comma 3 46 2 2" xfId="1740" xr:uid="{00000000-0005-0000-0000-00007A070000}"/>
    <cellStyle name="Comma 3 46 2 2 2" xfId="3984" xr:uid="{00000000-0005-0000-0000-00007B070000}"/>
    <cellStyle name="Comma 3 46 2 3" xfId="2464" xr:uid="{00000000-0005-0000-0000-00007C070000}"/>
    <cellStyle name="Comma 3 46 2 3 2" xfId="4708" xr:uid="{00000000-0005-0000-0000-00007D070000}"/>
    <cellStyle name="Comma 3 46 2 4" xfId="3198" xr:uid="{00000000-0005-0000-0000-00007E070000}"/>
    <cellStyle name="Comma 3 46 3" xfId="1205" xr:uid="{00000000-0005-0000-0000-00007F070000}"/>
    <cellStyle name="Comma 3 46 3 2" xfId="1992" xr:uid="{00000000-0005-0000-0000-000080070000}"/>
    <cellStyle name="Comma 3 46 3 2 2" xfId="4236" xr:uid="{00000000-0005-0000-0000-000081070000}"/>
    <cellStyle name="Comma 3 46 3 3" xfId="2716" xr:uid="{00000000-0005-0000-0000-000082070000}"/>
    <cellStyle name="Comma 3 46 3 3 2" xfId="4960" xr:uid="{00000000-0005-0000-0000-000083070000}"/>
    <cellStyle name="Comma 3 46 3 4" xfId="3450" xr:uid="{00000000-0005-0000-0000-000084070000}"/>
    <cellStyle name="Comma 3 46 4" xfId="1420" xr:uid="{00000000-0005-0000-0000-000085070000}"/>
    <cellStyle name="Comma 3 46 4 2" xfId="3664" xr:uid="{00000000-0005-0000-0000-000086070000}"/>
    <cellStyle name="Comma 3 46 5" xfId="2206" xr:uid="{00000000-0005-0000-0000-000087070000}"/>
    <cellStyle name="Comma 3 46 5 2" xfId="4450" xr:uid="{00000000-0005-0000-0000-000088070000}"/>
    <cellStyle name="Comma 3 46 6" xfId="2930" xr:uid="{00000000-0005-0000-0000-000089070000}"/>
    <cellStyle name="Comma 3 47" xfId="141" xr:uid="{00000000-0005-0000-0000-00008A070000}"/>
    <cellStyle name="Comma 3 47 2" xfId="953" xr:uid="{00000000-0005-0000-0000-00008B070000}"/>
    <cellStyle name="Comma 3 47 2 2" xfId="1741" xr:uid="{00000000-0005-0000-0000-00008C070000}"/>
    <cellStyle name="Comma 3 47 2 2 2" xfId="3985" xr:uid="{00000000-0005-0000-0000-00008D070000}"/>
    <cellStyle name="Comma 3 47 2 3" xfId="2465" xr:uid="{00000000-0005-0000-0000-00008E070000}"/>
    <cellStyle name="Comma 3 47 2 3 2" xfId="4709" xr:uid="{00000000-0005-0000-0000-00008F070000}"/>
    <cellStyle name="Comma 3 47 2 4" xfId="3199" xr:uid="{00000000-0005-0000-0000-000090070000}"/>
    <cellStyle name="Comma 3 47 3" xfId="1206" xr:uid="{00000000-0005-0000-0000-000091070000}"/>
    <cellStyle name="Comma 3 47 3 2" xfId="1993" xr:uid="{00000000-0005-0000-0000-000092070000}"/>
    <cellStyle name="Comma 3 47 3 2 2" xfId="4237" xr:uid="{00000000-0005-0000-0000-000093070000}"/>
    <cellStyle name="Comma 3 47 3 3" xfId="2717" xr:uid="{00000000-0005-0000-0000-000094070000}"/>
    <cellStyle name="Comma 3 47 3 3 2" xfId="4961" xr:uid="{00000000-0005-0000-0000-000095070000}"/>
    <cellStyle name="Comma 3 47 3 4" xfId="3451" xr:uid="{00000000-0005-0000-0000-000096070000}"/>
    <cellStyle name="Comma 3 47 4" xfId="1421" xr:uid="{00000000-0005-0000-0000-000097070000}"/>
    <cellStyle name="Comma 3 47 4 2" xfId="3665" xr:uid="{00000000-0005-0000-0000-000098070000}"/>
    <cellStyle name="Comma 3 47 5" xfId="2207" xr:uid="{00000000-0005-0000-0000-000099070000}"/>
    <cellStyle name="Comma 3 47 5 2" xfId="4451" xr:uid="{00000000-0005-0000-0000-00009A070000}"/>
    <cellStyle name="Comma 3 47 6" xfId="2931" xr:uid="{00000000-0005-0000-0000-00009B070000}"/>
    <cellStyle name="Comma 3 48" xfId="142" xr:uid="{00000000-0005-0000-0000-00009C070000}"/>
    <cellStyle name="Comma 3 48 2" xfId="954" xr:uid="{00000000-0005-0000-0000-00009D070000}"/>
    <cellStyle name="Comma 3 48 2 2" xfId="1742" xr:uid="{00000000-0005-0000-0000-00009E070000}"/>
    <cellStyle name="Comma 3 48 2 2 2" xfId="3986" xr:uid="{00000000-0005-0000-0000-00009F070000}"/>
    <cellStyle name="Comma 3 48 2 3" xfId="2466" xr:uid="{00000000-0005-0000-0000-0000A0070000}"/>
    <cellStyle name="Comma 3 48 2 3 2" xfId="4710" xr:uid="{00000000-0005-0000-0000-0000A1070000}"/>
    <cellStyle name="Comma 3 48 2 4" xfId="3200" xr:uid="{00000000-0005-0000-0000-0000A2070000}"/>
    <cellStyle name="Comma 3 48 3" xfId="1207" xr:uid="{00000000-0005-0000-0000-0000A3070000}"/>
    <cellStyle name="Comma 3 48 3 2" xfId="1994" xr:uid="{00000000-0005-0000-0000-0000A4070000}"/>
    <cellStyle name="Comma 3 48 3 2 2" xfId="4238" xr:uid="{00000000-0005-0000-0000-0000A5070000}"/>
    <cellStyle name="Comma 3 48 3 3" xfId="2718" xr:uid="{00000000-0005-0000-0000-0000A6070000}"/>
    <cellStyle name="Comma 3 48 3 3 2" xfId="4962" xr:uid="{00000000-0005-0000-0000-0000A7070000}"/>
    <cellStyle name="Comma 3 48 3 4" xfId="3452" xr:uid="{00000000-0005-0000-0000-0000A8070000}"/>
    <cellStyle name="Comma 3 48 4" xfId="1422" xr:uid="{00000000-0005-0000-0000-0000A9070000}"/>
    <cellStyle name="Comma 3 48 4 2" xfId="3666" xr:uid="{00000000-0005-0000-0000-0000AA070000}"/>
    <cellStyle name="Comma 3 48 5" xfId="2208" xr:uid="{00000000-0005-0000-0000-0000AB070000}"/>
    <cellStyle name="Comma 3 48 5 2" xfId="4452" xr:uid="{00000000-0005-0000-0000-0000AC070000}"/>
    <cellStyle name="Comma 3 48 6" xfId="2932" xr:uid="{00000000-0005-0000-0000-0000AD070000}"/>
    <cellStyle name="Comma 3 49" xfId="143" xr:uid="{00000000-0005-0000-0000-0000AE070000}"/>
    <cellStyle name="Comma 3 49 2" xfId="955" xr:uid="{00000000-0005-0000-0000-0000AF070000}"/>
    <cellStyle name="Comma 3 49 2 2" xfId="1743" xr:uid="{00000000-0005-0000-0000-0000B0070000}"/>
    <cellStyle name="Comma 3 49 2 2 2" xfId="3987" xr:uid="{00000000-0005-0000-0000-0000B1070000}"/>
    <cellStyle name="Comma 3 49 2 3" xfId="2467" xr:uid="{00000000-0005-0000-0000-0000B2070000}"/>
    <cellStyle name="Comma 3 49 2 3 2" xfId="4711" xr:uid="{00000000-0005-0000-0000-0000B3070000}"/>
    <cellStyle name="Comma 3 49 2 4" xfId="3201" xr:uid="{00000000-0005-0000-0000-0000B4070000}"/>
    <cellStyle name="Comma 3 49 3" xfId="1208" xr:uid="{00000000-0005-0000-0000-0000B5070000}"/>
    <cellStyle name="Comma 3 49 3 2" xfId="1995" xr:uid="{00000000-0005-0000-0000-0000B6070000}"/>
    <cellStyle name="Comma 3 49 3 2 2" xfId="4239" xr:uid="{00000000-0005-0000-0000-0000B7070000}"/>
    <cellStyle name="Comma 3 49 3 3" xfId="2719" xr:uid="{00000000-0005-0000-0000-0000B8070000}"/>
    <cellStyle name="Comma 3 49 3 3 2" xfId="4963" xr:uid="{00000000-0005-0000-0000-0000B9070000}"/>
    <cellStyle name="Comma 3 49 3 4" xfId="3453" xr:uid="{00000000-0005-0000-0000-0000BA070000}"/>
    <cellStyle name="Comma 3 49 4" xfId="1423" xr:uid="{00000000-0005-0000-0000-0000BB070000}"/>
    <cellStyle name="Comma 3 49 4 2" xfId="3667" xr:uid="{00000000-0005-0000-0000-0000BC070000}"/>
    <cellStyle name="Comma 3 49 5" xfId="2209" xr:uid="{00000000-0005-0000-0000-0000BD070000}"/>
    <cellStyle name="Comma 3 49 5 2" xfId="4453" xr:uid="{00000000-0005-0000-0000-0000BE070000}"/>
    <cellStyle name="Comma 3 49 6" xfId="2933" xr:uid="{00000000-0005-0000-0000-0000BF070000}"/>
    <cellStyle name="Comma 3 5" xfId="144" xr:uid="{00000000-0005-0000-0000-0000C0070000}"/>
    <cellStyle name="Comma 3 5 2" xfId="956" xr:uid="{00000000-0005-0000-0000-0000C1070000}"/>
    <cellStyle name="Comma 3 5 2 2" xfId="1744" xr:uid="{00000000-0005-0000-0000-0000C2070000}"/>
    <cellStyle name="Comma 3 5 2 2 2" xfId="3988" xr:uid="{00000000-0005-0000-0000-0000C3070000}"/>
    <cellStyle name="Comma 3 5 2 3" xfId="2468" xr:uid="{00000000-0005-0000-0000-0000C4070000}"/>
    <cellStyle name="Comma 3 5 2 3 2" xfId="4712" xr:uid="{00000000-0005-0000-0000-0000C5070000}"/>
    <cellStyle name="Comma 3 5 2 4" xfId="3202" xr:uid="{00000000-0005-0000-0000-0000C6070000}"/>
    <cellStyle name="Comma 3 5 3" xfId="1209" xr:uid="{00000000-0005-0000-0000-0000C7070000}"/>
    <cellStyle name="Comma 3 5 3 2" xfId="1996" xr:uid="{00000000-0005-0000-0000-0000C8070000}"/>
    <cellStyle name="Comma 3 5 3 2 2" xfId="4240" xr:uid="{00000000-0005-0000-0000-0000C9070000}"/>
    <cellStyle name="Comma 3 5 3 3" xfId="2720" xr:uid="{00000000-0005-0000-0000-0000CA070000}"/>
    <cellStyle name="Comma 3 5 3 3 2" xfId="4964" xr:uid="{00000000-0005-0000-0000-0000CB070000}"/>
    <cellStyle name="Comma 3 5 3 4" xfId="3454" xr:uid="{00000000-0005-0000-0000-0000CC070000}"/>
    <cellStyle name="Comma 3 5 4" xfId="1424" xr:uid="{00000000-0005-0000-0000-0000CD070000}"/>
    <cellStyle name="Comma 3 5 4 2" xfId="3668" xr:uid="{00000000-0005-0000-0000-0000CE070000}"/>
    <cellStyle name="Comma 3 5 5" xfId="2210" xr:uid="{00000000-0005-0000-0000-0000CF070000}"/>
    <cellStyle name="Comma 3 5 5 2" xfId="4454" xr:uid="{00000000-0005-0000-0000-0000D0070000}"/>
    <cellStyle name="Comma 3 5 6" xfId="2934" xr:uid="{00000000-0005-0000-0000-0000D1070000}"/>
    <cellStyle name="Comma 3 50" xfId="145" xr:uid="{00000000-0005-0000-0000-0000D2070000}"/>
    <cellStyle name="Comma 3 50 2" xfId="957" xr:uid="{00000000-0005-0000-0000-0000D3070000}"/>
    <cellStyle name="Comma 3 50 2 2" xfId="1745" xr:uid="{00000000-0005-0000-0000-0000D4070000}"/>
    <cellStyle name="Comma 3 50 2 2 2" xfId="3989" xr:uid="{00000000-0005-0000-0000-0000D5070000}"/>
    <cellStyle name="Comma 3 50 2 3" xfId="2469" xr:uid="{00000000-0005-0000-0000-0000D6070000}"/>
    <cellStyle name="Comma 3 50 2 3 2" xfId="4713" xr:uid="{00000000-0005-0000-0000-0000D7070000}"/>
    <cellStyle name="Comma 3 50 2 4" xfId="3203" xr:uid="{00000000-0005-0000-0000-0000D8070000}"/>
    <cellStyle name="Comma 3 50 3" xfId="1210" xr:uid="{00000000-0005-0000-0000-0000D9070000}"/>
    <cellStyle name="Comma 3 50 3 2" xfId="1997" xr:uid="{00000000-0005-0000-0000-0000DA070000}"/>
    <cellStyle name="Comma 3 50 3 2 2" xfId="4241" xr:uid="{00000000-0005-0000-0000-0000DB070000}"/>
    <cellStyle name="Comma 3 50 3 3" xfId="2721" xr:uid="{00000000-0005-0000-0000-0000DC070000}"/>
    <cellStyle name="Comma 3 50 3 3 2" xfId="4965" xr:uid="{00000000-0005-0000-0000-0000DD070000}"/>
    <cellStyle name="Comma 3 50 3 4" xfId="3455" xr:uid="{00000000-0005-0000-0000-0000DE070000}"/>
    <cellStyle name="Comma 3 50 4" xfId="1425" xr:uid="{00000000-0005-0000-0000-0000DF070000}"/>
    <cellStyle name="Comma 3 50 4 2" xfId="3669" xr:uid="{00000000-0005-0000-0000-0000E0070000}"/>
    <cellStyle name="Comma 3 50 5" xfId="2211" xr:uid="{00000000-0005-0000-0000-0000E1070000}"/>
    <cellStyle name="Comma 3 50 5 2" xfId="4455" xr:uid="{00000000-0005-0000-0000-0000E2070000}"/>
    <cellStyle name="Comma 3 50 6" xfId="2935" xr:uid="{00000000-0005-0000-0000-0000E3070000}"/>
    <cellStyle name="Comma 3 51" xfId="146" xr:uid="{00000000-0005-0000-0000-0000E4070000}"/>
    <cellStyle name="Comma 3 51 2" xfId="958" xr:uid="{00000000-0005-0000-0000-0000E5070000}"/>
    <cellStyle name="Comma 3 51 2 2" xfId="1746" xr:uid="{00000000-0005-0000-0000-0000E6070000}"/>
    <cellStyle name="Comma 3 51 2 2 2" xfId="3990" xr:uid="{00000000-0005-0000-0000-0000E7070000}"/>
    <cellStyle name="Comma 3 51 2 3" xfId="2470" xr:uid="{00000000-0005-0000-0000-0000E8070000}"/>
    <cellStyle name="Comma 3 51 2 3 2" xfId="4714" xr:uid="{00000000-0005-0000-0000-0000E9070000}"/>
    <cellStyle name="Comma 3 51 2 4" xfId="3204" xr:uid="{00000000-0005-0000-0000-0000EA070000}"/>
    <cellStyle name="Comma 3 51 3" xfId="1211" xr:uid="{00000000-0005-0000-0000-0000EB070000}"/>
    <cellStyle name="Comma 3 51 3 2" xfId="1998" xr:uid="{00000000-0005-0000-0000-0000EC070000}"/>
    <cellStyle name="Comma 3 51 3 2 2" xfId="4242" xr:uid="{00000000-0005-0000-0000-0000ED070000}"/>
    <cellStyle name="Comma 3 51 3 3" xfId="2722" xr:uid="{00000000-0005-0000-0000-0000EE070000}"/>
    <cellStyle name="Comma 3 51 3 3 2" xfId="4966" xr:uid="{00000000-0005-0000-0000-0000EF070000}"/>
    <cellStyle name="Comma 3 51 3 4" xfId="3456" xr:uid="{00000000-0005-0000-0000-0000F0070000}"/>
    <cellStyle name="Comma 3 51 4" xfId="1426" xr:uid="{00000000-0005-0000-0000-0000F1070000}"/>
    <cellStyle name="Comma 3 51 4 2" xfId="3670" xr:uid="{00000000-0005-0000-0000-0000F2070000}"/>
    <cellStyle name="Comma 3 51 5" xfId="2212" xr:uid="{00000000-0005-0000-0000-0000F3070000}"/>
    <cellStyle name="Comma 3 51 5 2" xfId="4456" xr:uid="{00000000-0005-0000-0000-0000F4070000}"/>
    <cellStyle name="Comma 3 51 6" xfId="2936" xr:uid="{00000000-0005-0000-0000-0000F5070000}"/>
    <cellStyle name="Comma 3 52" xfId="147" xr:uid="{00000000-0005-0000-0000-0000F6070000}"/>
    <cellStyle name="Comma 3 52 2" xfId="959" xr:uid="{00000000-0005-0000-0000-0000F7070000}"/>
    <cellStyle name="Comma 3 52 2 2" xfId="1747" xr:uid="{00000000-0005-0000-0000-0000F8070000}"/>
    <cellStyle name="Comma 3 52 2 2 2" xfId="3991" xr:uid="{00000000-0005-0000-0000-0000F9070000}"/>
    <cellStyle name="Comma 3 52 2 3" xfId="2471" xr:uid="{00000000-0005-0000-0000-0000FA070000}"/>
    <cellStyle name="Comma 3 52 2 3 2" xfId="4715" xr:uid="{00000000-0005-0000-0000-0000FB070000}"/>
    <cellStyle name="Comma 3 52 2 4" xfId="3205" xr:uid="{00000000-0005-0000-0000-0000FC070000}"/>
    <cellStyle name="Comma 3 52 3" xfId="1212" xr:uid="{00000000-0005-0000-0000-0000FD070000}"/>
    <cellStyle name="Comma 3 52 3 2" xfId="1999" xr:uid="{00000000-0005-0000-0000-0000FE070000}"/>
    <cellStyle name="Comma 3 52 3 2 2" xfId="4243" xr:uid="{00000000-0005-0000-0000-0000FF070000}"/>
    <cellStyle name="Comma 3 52 3 3" xfId="2723" xr:uid="{00000000-0005-0000-0000-000000080000}"/>
    <cellStyle name="Comma 3 52 3 3 2" xfId="4967" xr:uid="{00000000-0005-0000-0000-000001080000}"/>
    <cellStyle name="Comma 3 52 3 4" xfId="3457" xr:uid="{00000000-0005-0000-0000-000002080000}"/>
    <cellStyle name="Comma 3 52 4" xfId="1427" xr:uid="{00000000-0005-0000-0000-000003080000}"/>
    <cellStyle name="Comma 3 52 4 2" xfId="3671" xr:uid="{00000000-0005-0000-0000-000004080000}"/>
    <cellStyle name="Comma 3 52 5" xfId="2213" xr:uid="{00000000-0005-0000-0000-000005080000}"/>
    <cellStyle name="Comma 3 52 5 2" xfId="4457" xr:uid="{00000000-0005-0000-0000-000006080000}"/>
    <cellStyle name="Comma 3 52 6" xfId="2937" xr:uid="{00000000-0005-0000-0000-000007080000}"/>
    <cellStyle name="Comma 3 53" xfId="148" xr:uid="{00000000-0005-0000-0000-000008080000}"/>
    <cellStyle name="Comma 3 53 2" xfId="960" xr:uid="{00000000-0005-0000-0000-000009080000}"/>
    <cellStyle name="Comma 3 53 2 2" xfId="1748" xr:uid="{00000000-0005-0000-0000-00000A080000}"/>
    <cellStyle name="Comma 3 53 2 2 2" xfId="3992" xr:uid="{00000000-0005-0000-0000-00000B080000}"/>
    <cellStyle name="Comma 3 53 2 3" xfId="2472" xr:uid="{00000000-0005-0000-0000-00000C080000}"/>
    <cellStyle name="Comma 3 53 2 3 2" xfId="4716" xr:uid="{00000000-0005-0000-0000-00000D080000}"/>
    <cellStyle name="Comma 3 53 2 4" xfId="3206" xr:uid="{00000000-0005-0000-0000-00000E080000}"/>
    <cellStyle name="Comma 3 53 3" xfId="1213" xr:uid="{00000000-0005-0000-0000-00000F080000}"/>
    <cellStyle name="Comma 3 53 3 2" xfId="2000" xr:uid="{00000000-0005-0000-0000-000010080000}"/>
    <cellStyle name="Comma 3 53 3 2 2" xfId="4244" xr:uid="{00000000-0005-0000-0000-000011080000}"/>
    <cellStyle name="Comma 3 53 3 3" xfId="2724" xr:uid="{00000000-0005-0000-0000-000012080000}"/>
    <cellStyle name="Comma 3 53 3 3 2" xfId="4968" xr:uid="{00000000-0005-0000-0000-000013080000}"/>
    <cellStyle name="Comma 3 53 3 4" xfId="3458" xr:uid="{00000000-0005-0000-0000-000014080000}"/>
    <cellStyle name="Comma 3 53 4" xfId="1428" xr:uid="{00000000-0005-0000-0000-000015080000}"/>
    <cellStyle name="Comma 3 53 4 2" xfId="3672" xr:uid="{00000000-0005-0000-0000-000016080000}"/>
    <cellStyle name="Comma 3 53 5" xfId="2214" xr:uid="{00000000-0005-0000-0000-000017080000}"/>
    <cellStyle name="Comma 3 53 5 2" xfId="4458" xr:uid="{00000000-0005-0000-0000-000018080000}"/>
    <cellStyle name="Comma 3 53 6" xfId="2938" xr:uid="{00000000-0005-0000-0000-000019080000}"/>
    <cellStyle name="Comma 3 54" xfId="100" xr:uid="{00000000-0005-0000-0000-00001A080000}"/>
    <cellStyle name="Comma 3 54 2" xfId="912" xr:uid="{00000000-0005-0000-0000-00001B080000}"/>
    <cellStyle name="Comma 3 54 2 2" xfId="1700" xr:uid="{00000000-0005-0000-0000-00001C080000}"/>
    <cellStyle name="Comma 3 54 2 2 2" xfId="3944" xr:uid="{00000000-0005-0000-0000-00001D080000}"/>
    <cellStyle name="Comma 3 54 2 3" xfId="2424" xr:uid="{00000000-0005-0000-0000-00001E080000}"/>
    <cellStyle name="Comma 3 54 2 3 2" xfId="4668" xr:uid="{00000000-0005-0000-0000-00001F080000}"/>
    <cellStyle name="Comma 3 54 2 4" xfId="3158" xr:uid="{00000000-0005-0000-0000-000020080000}"/>
    <cellStyle name="Comma 3 54 3" xfId="1165" xr:uid="{00000000-0005-0000-0000-000021080000}"/>
    <cellStyle name="Comma 3 54 3 2" xfId="1952" xr:uid="{00000000-0005-0000-0000-000022080000}"/>
    <cellStyle name="Comma 3 54 3 2 2" xfId="4196" xr:uid="{00000000-0005-0000-0000-000023080000}"/>
    <cellStyle name="Comma 3 54 3 3" xfId="2676" xr:uid="{00000000-0005-0000-0000-000024080000}"/>
    <cellStyle name="Comma 3 54 3 3 2" xfId="4920" xr:uid="{00000000-0005-0000-0000-000025080000}"/>
    <cellStyle name="Comma 3 54 3 4" xfId="3410" xr:uid="{00000000-0005-0000-0000-000026080000}"/>
    <cellStyle name="Comma 3 54 4" xfId="1380" xr:uid="{00000000-0005-0000-0000-000027080000}"/>
    <cellStyle name="Comma 3 54 4 2" xfId="3624" xr:uid="{00000000-0005-0000-0000-000028080000}"/>
    <cellStyle name="Comma 3 54 5" xfId="2166" xr:uid="{00000000-0005-0000-0000-000029080000}"/>
    <cellStyle name="Comma 3 54 5 2" xfId="4410" xr:uid="{00000000-0005-0000-0000-00002A080000}"/>
    <cellStyle name="Comma 3 54 6" xfId="2890" xr:uid="{00000000-0005-0000-0000-00002B080000}"/>
    <cellStyle name="Comma 3 55" xfId="868" xr:uid="{00000000-0005-0000-0000-00002C080000}"/>
    <cellStyle name="Comma 3 55 2" xfId="1656" xr:uid="{00000000-0005-0000-0000-00002D080000}"/>
    <cellStyle name="Comma 3 55 2 2" xfId="3900" xr:uid="{00000000-0005-0000-0000-00002E080000}"/>
    <cellStyle name="Comma 3 55 3" xfId="2380" xr:uid="{00000000-0005-0000-0000-00002F080000}"/>
    <cellStyle name="Comma 3 55 3 2" xfId="4624" xr:uid="{00000000-0005-0000-0000-000030080000}"/>
    <cellStyle name="Comma 3 55 4" xfId="3114" xr:uid="{00000000-0005-0000-0000-000031080000}"/>
    <cellStyle name="Comma 3 56" xfId="1076" xr:uid="{00000000-0005-0000-0000-000032080000}"/>
    <cellStyle name="Comma 3 56 2" xfId="1863" xr:uid="{00000000-0005-0000-0000-000033080000}"/>
    <cellStyle name="Comma 3 56 2 2" xfId="4107" xr:uid="{00000000-0005-0000-0000-000034080000}"/>
    <cellStyle name="Comma 3 56 3" xfId="2587" xr:uid="{00000000-0005-0000-0000-000035080000}"/>
    <cellStyle name="Comma 3 56 3 2" xfId="4831" xr:uid="{00000000-0005-0000-0000-000036080000}"/>
    <cellStyle name="Comma 3 56 4" xfId="3321" xr:uid="{00000000-0005-0000-0000-000037080000}"/>
    <cellStyle name="Comma 3 57" xfId="1098" xr:uid="{00000000-0005-0000-0000-000038080000}"/>
    <cellStyle name="Comma 3 57 2" xfId="1885" xr:uid="{00000000-0005-0000-0000-000039080000}"/>
    <cellStyle name="Comma 3 57 2 2" xfId="4129" xr:uid="{00000000-0005-0000-0000-00003A080000}"/>
    <cellStyle name="Comma 3 57 3" xfId="2609" xr:uid="{00000000-0005-0000-0000-00003B080000}"/>
    <cellStyle name="Comma 3 57 3 2" xfId="4853" xr:uid="{00000000-0005-0000-0000-00003C080000}"/>
    <cellStyle name="Comma 3 57 4" xfId="3343" xr:uid="{00000000-0005-0000-0000-00003D080000}"/>
    <cellStyle name="Comma 3 58" xfId="1120" xr:uid="{00000000-0005-0000-0000-00003E080000}"/>
    <cellStyle name="Comma 3 58 2" xfId="1907" xr:uid="{00000000-0005-0000-0000-00003F080000}"/>
    <cellStyle name="Comma 3 58 2 2" xfId="4151" xr:uid="{00000000-0005-0000-0000-000040080000}"/>
    <cellStyle name="Comma 3 58 3" xfId="2631" xr:uid="{00000000-0005-0000-0000-000041080000}"/>
    <cellStyle name="Comma 3 58 3 2" xfId="4875" xr:uid="{00000000-0005-0000-0000-000042080000}"/>
    <cellStyle name="Comma 3 58 4" xfId="3365" xr:uid="{00000000-0005-0000-0000-000043080000}"/>
    <cellStyle name="Comma 3 59" xfId="1336" xr:uid="{00000000-0005-0000-0000-000044080000}"/>
    <cellStyle name="Comma 3 59 2" xfId="3580" xr:uid="{00000000-0005-0000-0000-000045080000}"/>
    <cellStyle name="Comma 3 6" xfId="149" xr:uid="{00000000-0005-0000-0000-000046080000}"/>
    <cellStyle name="Comma 3 6 2" xfId="961" xr:uid="{00000000-0005-0000-0000-000047080000}"/>
    <cellStyle name="Comma 3 6 2 2" xfId="1749" xr:uid="{00000000-0005-0000-0000-000048080000}"/>
    <cellStyle name="Comma 3 6 2 2 2" xfId="3993" xr:uid="{00000000-0005-0000-0000-000049080000}"/>
    <cellStyle name="Comma 3 6 2 3" xfId="2473" xr:uid="{00000000-0005-0000-0000-00004A080000}"/>
    <cellStyle name="Comma 3 6 2 3 2" xfId="4717" xr:uid="{00000000-0005-0000-0000-00004B080000}"/>
    <cellStyle name="Comma 3 6 2 4" xfId="3207" xr:uid="{00000000-0005-0000-0000-00004C080000}"/>
    <cellStyle name="Comma 3 6 3" xfId="1214" xr:uid="{00000000-0005-0000-0000-00004D080000}"/>
    <cellStyle name="Comma 3 6 3 2" xfId="2001" xr:uid="{00000000-0005-0000-0000-00004E080000}"/>
    <cellStyle name="Comma 3 6 3 2 2" xfId="4245" xr:uid="{00000000-0005-0000-0000-00004F080000}"/>
    <cellStyle name="Comma 3 6 3 3" xfId="2725" xr:uid="{00000000-0005-0000-0000-000050080000}"/>
    <cellStyle name="Comma 3 6 3 3 2" xfId="4969" xr:uid="{00000000-0005-0000-0000-000051080000}"/>
    <cellStyle name="Comma 3 6 3 4" xfId="3459" xr:uid="{00000000-0005-0000-0000-000052080000}"/>
    <cellStyle name="Comma 3 6 4" xfId="1429" xr:uid="{00000000-0005-0000-0000-000053080000}"/>
    <cellStyle name="Comma 3 6 4 2" xfId="3673" xr:uid="{00000000-0005-0000-0000-000054080000}"/>
    <cellStyle name="Comma 3 6 5" xfId="2215" xr:uid="{00000000-0005-0000-0000-000055080000}"/>
    <cellStyle name="Comma 3 6 5 2" xfId="4459" xr:uid="{00000000-0005-0000-0000-000056080000}"/>
    <cellStyle name="Comma 3 6 6" xfId="2939" xr:uid="{00000000-0005-0000-0000-000057080000}"/>
    <cellStyle name="Comma 3 60" xfId="2122" xr:uid="{00000000-0005-0000-0000-000058080000}"/>
    <cellStyle name="Comma 3 60 2" xfId="4366" xr:uid="{00000000-0005-0000-0000-000059080000}"/>
    <cellStyle name="Comma 3 61" xfId="2846" xr:uid="{00000000-0005-0000-0000-00005A080000}"/>
    <cellStyle name="Comma 3 62" xfId="5088" xr:uid="{00000000-0005-0000-0000-00005B080000}"/>
    <cellStyle name="Comma 3 63" xfId="5097" xr:uid="{00000000-0005-0000-0000-00005C080000}"/>
    <cellStyle name="Comma 3 7" xfId="150" xr:uid="{00000000-0005-0000-0000-00005D080000}"/>
    <cellStyle name="Comma 3 7 2" xfId="962" xr:uid="{00000000-0005-0000-0000-00005E080000}"/>
    <cellStyle name="Comma 3 7 2 2" xfId="1750" xr:uid="{00000000-0005-0000-0000-00005F080000}"/>
    <cellStyle name="Comma 3 7 2 2 2" xfId="3994" xr:uid="{00000000-0005-0000-0000-000060080000}"/>
    <cellStyle name="Comma 3 7 2 3" xfId="2474" xr:uid="{00000000-0005-0000-0000-000061080000}"/>
    <cellStyle name="Comma 3 7 2 3 2" xfId="4718" xr:uid="{00000000-0005-0000-0000-000062080000}"/>
    <cellStyle name="Comma 3 7 2 4" xfId="3208" xr:uid="{00000000-0005-0000-0000-000063080000}"/>
    <cellStyle name="Comma 3 7 3" xfId="1215" xr:uid="{00000000-0005-0000-0000-000064080000}"/>
    <cellStyle name="Comma 3 7 3 2" xfId="2002" xr:uid="{00000000-0005-0000-0000-000065080000}"/>
    <cellStyle name="Comma 3 7 3 2 2" xfId="4246" xr:uid="{00000000-0005-0000-0000-000066080000}"/>
    <cellStyle name="Comma 3 7 3 3" xfId="2726" xr:uid="{00000000-0005-0000-0000-000067080000}"/>
    <cellStyle name="Comma 3 7 3 3 2" xfId="4970" xr:uid="{00000000-0005-0000-0000-000068080000}"/>
    <cellStyle name="Comma 3 7 3 4" xfId="3460" xr:uid="{00000000-0005-0000-0000-000069080000}"/>
    <cellStyle name="Comma 3 7 4" xfId="1430" xr:uid="{00000000-0005-0000-0000-00006A080000}"/>
    <cellStyle name="Comma 3 7 4 2" xfId="3674" xr:uid="{00000000-0005-0000-0000-00006B080000}"/>
    <cellStyle name="Comma 3 7 5" xfId="2216" xr:uid="{00000000-0005-0000-0000-00006C080000}"/>
    <cellStyle name="Comma 3 7 5 2" xfId="4460" xr:uid="{00000000-0005-0000-0000-00006D080000}"/>
    <cellStyle name="Comma 3 7 6" xfId="2940" xr:uid="{00000000-0005-0000-0000-00006E080000}"/>
    <cellStyle name="Comma 3 8" xfId="151" xr:uid="{00000000-0005-0000-0000-00006F080000}"/>
    <cellStyle name="Comma 3 8 2" xfId="963" xr:uid="{00000000-0005-0000-0000-000070080000}"/>
    <cellStyle name="Comma 3 8 2 2" xfId="1751" xr:uid="{00000000-0005-0000-0000-000071080000}"/>
    <cellStyle name="Comma 3 8 2 2 2" xfId="3995" xr:uid="{00000000-0005-0000-0000-000072080000}"/>
    <cellStyle name="Comma 3 8 2 3" xfId="2475" xr:uid="{00000000-0005-0000-0000-000073080000}"/>
    <cellStyle name="Comma 3 8 2 3 2" xfId="4719" xr:uid="{00000000-0005-0000-0000-000074080000}"/>
    <cellStyle name="Comma 3 8 2 4" xfId="3209" xr:uid="{00000000-0005-0000-0000-000075080000}"/>
    <cellStyle name="Comma 3 8 3" xfId="1216" xr:uid="{00000000-0005-0000-0000-000076080000}"/>
    <cellStyle name="Comma 3 8 3 2" xfId="2003" xr:uid="{00000000-0005-0000-0000-000077080000}"/>
    <cellStyle name="Comma 3 8 3 2 2" xfId="4247" xr:uid="{00000000-0005-0000-0000-000078080000}"/>
    <cellStyle name="Comma 3 8 3 3" xfId="2727" xr:uid="{00000000-0005-0000-0000-000079080000}"/>
    <cellStyle name="Comma 3 8 3 3 2" xfId="4971" xr:uid="{00000000-0005-0000-0000-00007A080000}"/>
    <cellStyle name="Comma 3 8 3 4" xfId="3461" xr:uid="{00000000-0005-0000-0000-00007B080000}"/>
    <cellStyle name="Comma 3 8 4" xfId="1431" xr:uid="{00000000-0005-0000-0000-00007C080000}"/>
    <cellStyle name="Comma 3 8 4 2" xfId="3675" xr:uid="{00000000-0005-0000-0000-00007D080000}"/>
    <cellStyle name="Comma 3 8 5" xfId="2217" xr:uid="{00000000-0005-0000-0000-00007E080000}"/>
    <cellStyle name="Comma 3 8 5 2" xfId="4461" xr:uid="{00000000-0005-0000-0000-00007F080000}"/>
    <cellStyle name="Comma 3 8 6" xfId="2941" xr:uid="{00000000-0005-0000-0000-000080080000}"/>
    <cellStyle name="Comma 3 9" xfId="152" xr:uid="{00000000-0005-0000-0000-000081080000}"/>
    <cellStyle name="Comma 3 9 2" xfId="964" xr:uid="{00000000-0005-0000-0000-000082080000}"/>
    <cellStyle name="Comma 3 9 2 2" xfId="1752" xr:uid="{00000000-0005-0000-0000-000083080000}"/>
    <cellStyle name="Comma 3 9 2 2 2" xfId="3996" xr:uid="{00000000-0005-0000-0000-000084080000}"/>
    <cellStyle name="Comma 3 9 2 3" xfId="2476" xr:uid="{00000000-0005-0000-0000-000085080000}"/>
    <cellStyle name="Comma 3 9 2 3 2" xfId="4720" xr:uid="{00000000-0005-0000-0000-000086080000}"/>
    <cellStyle name="Comma 3 9 2 4" xfId="3210" xr:uid="{00000000-0005-0000-0000-000087080000}"/>
    <cellStyle name="Comma 3 9 3" xfId="1217" xr:uid="{00000000-0005-0000-0000-000088080000}"/>
    <cellStyle name="Comma 3 9 3 2" xfId="2004" xr:uid="{00000000-0005-0000-0000-000089080000}"/>
    <cellStyle name="Comma 3 9 3 2 2" xfId="4248" xr:uid="{00000000-0005-0000-0000-00008A080000}"/>
    <cellStyle name="Comma 3 9 3 3" xfId="2728" xr:uid="{00000000-0005-0000-0000-00008B080000}"/>
    <cellStyle name="Comma 3 9 3 3 2" xfId="4972" xr:uid="{00000000-0005-0000-0000-00008C080000}"/>
    <cellStyle name="Comma 3 9 3 4" xfId="3462" xr:uid="{00000000-0005-0000-0000-00008D080000}"/>
    <cellStyle name="Comma 3 9 4" xfId="1432" xr:uid="{00000000-0005-0000-0000-00008E080000}"/>
    <cellStyle name="Comma 3 9 4 2" xfId="3676" xr:uid="{00000000-0005-0000-0000-00008F080000}"/>
    <cellStyle name="Comma 3 9 5" xfId="2218" xr:uid="{00000000-0005-0000-0000-000090080000}"/>
    <cellStyle name="Comma 3 9 5 2" xfId="4462" xr:uid="{00000000-0005-0000-0000-000091080000}"/>
    <cellStyle name="Comma 3 9 6" xfId="2942" xr:uid="{00000000-0005-0000-0000-000092080000}"/>
    <cellStyle name="Comma 30" xfId="816" xr:uid="{00000000-0005-0000-0000-000093080000}"/>
    <cellStyle name="Comma 30 2" xfId="1050" xr:uid="{00000000-0005-0000-0000-000094080000}"/>
    <cellStyle name="Comma 30 2 2" xfId="1838" xr:uid="{00000000-0005-0000-0000-000095080000}"/>
    <cellStyle name="Comma 30 2 2 2" xfId="4082" xr:uid="{00000000-0005-0000-0000-000096080000}"/>
    <cellStyle name="Comma 30 2 3" xfId="2562" xr:uid="{00000000-0005-0000-0000-000097080000}"/>
    <cellStyle name="Comma 30 2 3 2" xfId="4806" xr:uid="{00000000-0005-0000-0000-000098080000}"/>
    <cellStyle name="Comma 30 2 4" xfId="3296" xr:uid="{00000000-0005-0000-0000-000099080000}"/>
    <cellStyle name="Comma 30 3" xfId="1304" xr:uid="{00000000-0005-0000-0000-00009A080000}"/>
    <cellStyle name="Comma 30 3 2" xfId="2091" xr:uid="{00000000-0005-0000-0000-00009B080000}"/>
    <cellStyle name="Comma 30 3 2 2" xfId="4335" xr:uid="{00000000-0005-0000-0000-00009C080000}"/>
    <cellStyle name="Comma 30 3 3" xfId="2813" xr:uid="{00000000-0005-0000-0000-00009D080000}"/>
    <cellStyle name="Comma 30 3 3 2" xfId="5057" xr:uid="{00000000-0005-0000-0000-00009E080000}"/>
    <cellStyle name="Comma 30 3 4" xfId="3549" xr:uid="{00000000-0005-0000-0000-00009F080000}"/>
    <cellStyle name="Comma 30 4" xfId="1624" xr:uid="{00000000-0005-0000-0000-0000A0080000}"/>
    <cellStyle name="Comma 30 4 2" xfId="3868" xr:uid="{00000000-0005-0000-0000-0000A1080000}"/>
    <cellStyle name="Comma 30 5" xfId="2348" xr:uid="{00000000-0005-0000-0000-0000A2080000}"/>
    <cellStyle name="Comma 30 5 2" xfId="4592" xr:uid="{00000000-0005-0000-0000-0000A3080000}"/>
    <cellStyle name="Comma 30 6" xfId="3082" xr:uid="{00000000-0005-0000-0000-0000A4080000}"/>
    <cellStyle name="Comma 31" xfId="727" xr:uid="{00000000-0005-0000-0000-0000A5080000}"/>
    <cellStyle name="Comma 31 2" xfId="1040" xr:uid="{00000000-0005-0000-0000-0000A6080000}"/>
    <cellStyle name="Comma 31 2 2" xfId="1828" xr:uid="{00000000-0005-0000-0000-0000A7080000}"/>
    <cellStyle name="Comma 31 2 2 2" xfId="4072" xr:uid="{00000000-0005-0000-0000-0000A8080000}"/>
    <cellStyle name="Comma 31 2 3" xfId="2552" xr:uid="{00000000-0005-0000-0000-0000A9080000}"/>
    <cellStyle name="Comma 31 2 3 2" xfId="4796" xr:uid="{00000000-0005-0000-0000-0000AA080000}"/>
    <cellStyle name="Comma 31 2 4" xfId="3286" xr:uid="{00000000-0005-0000-0000-0000AB080000}"/>
    <cellStyle name="Comma 31 3" xfId="1293" xr:uid="{00000000-0005-0000-0000-0000AC080000}"/>
    <cellStyle name="Comma 31 3 2" xfId="2080" xr:uid="{00000000-0005-0000-0000-0000AD080000}"/>
    <cellStyle name="Comma 31 3 2 2" xfId="4324" xr:uid="{00000000-0005-0000-0000-0000AE080000}"/>
    <cellStyle name="Comma 31 3 3" xfId="2803" xr:uid="{00000000-0005-0000-0000-0000AF080000}"/>
    <cellStyle name="Comma 31 3 3 2" xfId="5047" xr:uid="{00000000-0005-0000-0000-0000B0080000}"/>
    <cellStyle name="Comma 31 3 4" xfId="3538" xr:uid="{00000000-0005-0000-0000-0000B1080000}"/>
    <cellStyle name="Comma 31 4" xfId="1560" xr:uid="{00000000-0005-0000-0000-0000B2080000}"/>
    <cellStyle name="Comma 31 4 2" xfId="3804" xr:uid="{00000000-0005-0000-0000-0000B3080000}"/>
    <cellStyle name="Comma 31 5" xfId="2338" xr:uid="{00000000-0005-0000-0000-0000B4080000}"/>
    <cellStyle name="Comma 31 5 2" xfId="4582" xr:uid="{00000000-0005-0000-0000-0000B5080000}"/>
    <cellStyle name="Comma 31 6" xfId="3018" xr:uid="{00000000-0005-0000-0000-0000B6080000}"/>
    <cellStyle name="Comma 32" xfId="824" xr:uid="{00000000-0005-0000-0000-0000B7080000}"/>
    <cellStyle name="Comma 32 2" xfId="1053" xr:uid="{00000000-0005-0000-0000-0000B8080000}"/>
    <cellStyle name="Comma 32 2 2" xfId="1841" xr:uid="{00000000-0005-0000-0000-0000B9080000}"/>
    <cellStyle name="Comma 32 2 2 2" xfId="4085" xr:uid="{00000000-0005-0000-0000-0000BA080000}"/>
    <cellStyle name="Comma 32 2 3" xfId="2565" xr:uid="{00000000-0005-0000-0000-0000BB080000}"/>
    <cellStyle name="Comma 32 2 3 2" xfId="4809" xr:uid="{00000000-0005-0000-0000-0000BC080000}"/>
    <cellStyle name="Comma 32 2 4" xfId="3299" xr:uid="{00000000-0005-0000-0000-0000BD080000}"/>
    <cellStyle name="Comma 32 3" xfId="1307" xr:uid="{00000000-0005-0000-0000-0000BE080000}"/>
    <cellStyle name="Comma 32 3 2" xfId="2094" xr:uid="{00000000-0005-0000-0000-0000BF080000}"/>
    <cellStyle name="Comma 32 3 2 2" xfId="4338" xr:uid="{00000000-0005-0000-0000-0000C0080000}"/>
    <cellStyle name="Comma 32 3 3" xfId="2816" xr:uid="{00000000-0005-0000-0000-0000C1080000}"/>
    <cellStyle name="Comma 32 3 3 2" xfId="5060" xr:uid="{00000000-0005-0000-0000-0000C2080000}"/>
    <cellStyle name="Comma 32 3 4" xfId="3552" xr:uid="{00000000-0005-0000-0000-0000C3080000}"/>
    <cellStyle name="Comma 32 4" xfId="1627" xr:uid="{00000000-0005-0000-0000-0000C4080000}"/>
    <cellStyle name="Comma 32 4 2" xfId="3871" xr:uid="{00000000-0005-0000-0000-0000C5080000}"/>
    <cellStyle name="Comma 32 5" xfId="2351" xr:uid="{00000000-0005-0000-0000-0000C6080000}"/>
    <cellStyle name="Comma 32 5 2" xfId="4595" xr:uid="{00000000-0005-0000-0000-0000C7080000}"/>
    <cellStyle name="Comma 32 6" xfId="3085" xr:uid="{00000000-0005-0000-0000-0000C8080000}"/>
    <cellStyle name="Comma 33" xfId="153" xr:uid="{00000000-0005-0000-0000-0000C9080000}"/>
    <cellStyle name="Comma 33 2" xfId="965" xr:uid="{00000000-0005-0000-0000-0000CA080000}"/>
    <cellStyle name="Comma 33 2 2" xfId="1753" xr:uid="{00000000-0005-0000-0000-0000CB080000}"/>
    <cellStyle name="Comma 33 2 2 2" xfId="3997" xr:uid="{00000000-0005-0000-0000-0000CC080000}"/>
    <cellStyle name="Comma 33 2 3" xfId="2477" xr:uid="{00000000-0005-0000-0000-0000CD080000}"/>
    <cellStyle name="Comma 33 2 3 2" xfId="4721" xr:uid="{00000000-0005-0000-0000-0000CE080000}"/>
    <cellStyle name="Comma 33 2 4" xfId="3211" xr:uid="{00000000-0005-0000-0000-0000CF080000}"/>
    <cellStyle name="Comma 33 3" xfId="1218" xr:uid="{00000000-0005-0000-0000-0000D0080000}"/>
    <cellStyle name="Comma 33 3 2" xfId="2005" xr:uid="{00000000-0005-0000-0000-0000D1080000}"/>
    <cellStyle name="Comma 33 3 2 2" xfId="4249" xr:uid="{00000000-0005-0000-0000-0000D2080000}"/>
    <cellStyle name="Comma 33 3 3" xfId="2729" xr:uid="{00000000-0005-0000-0000-0000D3080000}"/>
    <cellStyle name="Comma 33 3 3 2" xfId="4973" xr:uid="{00000000-0005-0000-0000-0000D4080000}"/>
    <cellStyle name="Comma 33 3 4" xfId="3463" xr:uid="{00000000-0005-0000-0000-0000D5080000}"/>
    <cellStyle name="Comma 33 4" xfId="1433" xr:uid="{00000000-0005-0000-0000-0000D6080000}"/>
    <cellStyle name="Comma 33 4 2" xfId="3677" xr:uid="{00000000-0005-0000-0000-0000D7080000}"/>
    <cellStyle name="Comma 33 5" xfId="2219" xr:uid="{00000000-0005-0000-0000-0000D8080000}"/>
    <cellStyle name="Comma 33 5 2" xfId="4463" xr:uid="{00000000-0005-0000-0000-0000D9080000}"/>
    <cellStyle name="Comma 33 6" xfId="2943" xr:uid="{00000000-0005-0000-0000-0000DA080000}"/>
    <cellStyle name="Comma 34" xfId="730" xr:uid="{00000000-0005-0000-0000-0000DB080000}"/>
    <cellStyle name="Comma 34 2" xfId="1043" xr:uid="{00000000-0005-0000-0000-0000DC080000}"/>
    <cellStyle name="Comma 34 2 2" xfId="1831" xr:uid="{00000000-0005-0000-0000-0000DD080000}"/>
    <cellStyle name="Comma 34 2 2 2" xfId="4075" xr:uid="{00000000-0005-0000-0000-0000DE080000}"/>
    <cellStyle name="Comma 34 2 3" xfId="2555" xr:uid="{00000000-0005-0000-0000-0000DF080000}"/>
    <cellStyle name="Comma 34 2 3 2" xfId="4799" xr:uid="{00000000-0005-0000-0000-0000E0080000}"/>
    <cellStyle name="Comma 34 2 4" xfId="3289" xr:uid="{00000000-0005-0000-0000-0000E1080000}"/>
    <cellStyle name="Comma 34 3" xfId="1296" xr:uid="{00000000-0005-0000-0000-0000E2080000}"/>
    <cellStyle name="Comma 34 3 2" xfId="2083" xr:uid="{00000000-0005-0000-0000-0000E3080000}"/>
    <cellStyle name="Comma 34 3 2 2" xfId="4327" xr:uid="{00000000-0005-0000-0000-0000E4080000}"/>
    <cellStyle name="Comma 34 3 3" xfId="2806" xr:uid="{00000000-0005-0000-0000-0000E5080000}"/>
    <cellStyle name="Comma 34 3 3 2" xfId="5050" xr:uid="{00000000-0005-0000-0000-0000E6080000}"/>
    <cellStyle name="Comma 34 3 4" xfId="3541" xr:uid="{00000000-0005-0000-0000-0000E7080000}"/>
    <cellStyle name="Comma 34 4" xfId="1563" xr:uid="{00000000-0005-0000-0000-0000E8080000}"/>
    <cellStyle name="Comma 34 4 2" xfId="3807" xr:uid="{00000000-0005-0000-0000-0000E9080000}"/>
    <cellStyle name="Comma 34 5" xfId="2341" xr:uid="{00000000-0005-0000-0000-0000EA080000}"/>
    <cellStyle name="Comma 34 5 2" xfId="4585" xr:uid="{00000000-0005-0000-0000-0000EB080000}"/>
    <cellStyle name="Comma 34 6" xfId="3021" xr:uid="{00000000-0005-0000-0000-0000EC080000}"/>
    <cellStyle name="Comma 35" xfId="823" xr:uid="{00000000-0005-0000-0000-0000ED080000}"/>
    <cellStyle name="Comma 35 2" xfId="1052" xr:uid="{00000000-0005-0000-0000-0000EE080000}"/>
    <cellStyle name="Comma 35 2 2" xfId="1840" xr:uid="{00000000-0005-0000-0000-0000EF080000}"/>
    <cellStyle name="Comma 35 2 2 2" xfId="4084" xr:uid="{00000000-0005-0000-0000-0000F0080000}"/>
    <cellStyle name="Comma 35 2 3" xfId="2564" xr:uid="{00000000-0005-0000-0000-0000F1080000}"/>
    <cellStyle name="Comma 35 2 3 2" xfId="4808" xr:uid="{00000000-0005-0000-0000-0000F2080000}"/>
    <cellStyle name="Comma 35 2 4" xfId="3298" xr:uid="{00000000-0005-0000-0000-0000F3080000}"/>
    <cellStyle name="Comma 35 3" xfId="1306" xr:uid="{00000000-0005-0000-0000-0000F4080000}"/>
    <cellStyle name="Comma 35 3 2" xfId="2093" xr:uid="{00000000-0005-0000-0000-0000F5080000}"/>
    <cellStyle name="Comma 35 3 2 2" xfId="4337" xr:uid="{00000000-0005-0000-0000-0000F6080000}"/>
    <cellStyle name="Comma 35 3 3" xfId="2815" xr:uid="{00000000-0005-0000-0000-0000F7080000}"/>
    <cellStyle name="Comma 35 3 3 2" xfId="5059" xr:uid="{00000000-0005-0000-0000-0000F8080000}"/>
    <cellStyle name="Comma 35 3 4" xfId="3551" xr:uid="{00000000-0005-0000-0000-0000F9080000}"/>
    <cellStyle name="Comma 35 4" xfId="1626" xr:uid="{00000000-0005-0000-0000-0000FA080000}"/>
    <cellStyle name="Comma 35 4 2" xfId="3870" xr:uid="{00000000-0005-0000-0000-0000FB080000}"/>
    <cellStyle name="Comma 35 5" xfId="2350" xr:uid="{00000000-0005-0000-0000-0000FC080000}"/>
    <cellStyle name="Comma 35 5 2" xfId="4594" xr:uid="{00000000-0005-0000-0000-0000FD080000}"/>
    <cellStyle name="Comma 35 6" xfId="3084" xr:uid="{00000000-0005-0000-0000-0000FE080000}"/>
    <cellStyle name="Comma 36" xfId="23" xr:uid="{00000000-0005-0000-0000-0000FF080000}"/>
    <cellStyle name="Comma 36 10" xfId="5089" xr:uid="{00000000-0005-0000-0000-000000090000}"/>
    <cellStyle name="Comma 36 2" xfId="26" xr:uid="{00000000-0005-0000-0000-000001090000}"/>
    <cellStyle name="Comma 36 2 2" xfId="871" xr:uid="{00000000-0005-0000-0000-000002090000}"/>
    <cellStyle name="Comma 36 2 2 2" xfId="1659" xr:uid="{00000000-0005-0000-0000-000003090000}"/>
    <cellStyle name="Comma 36 2 2 2 2" xfId="3903" xr:uid="{00000000-0005-0000-0000-000004090000}"/>
    <cellStyle name="Comma 36 2 2 3" xfId="2383" xr:uid="{00000000-0005-0000-0000-000005090000}"/>
    <cellStyle name="Comma 36 2 2 3 2" xfId="4627" xr:uid="{00000000-0005-0000-0000-000006090000}"/>
    <cellStyle name="Comma 36 2 2 4" xfId="3117" xr:uid="{00000000-0005-0000-0000-000007090000}"/>
    <cellStyle name="Comma 36 2 3" xfId="1079" xr:uid="{00000000-0005-0000-0000-000008090000}"/>
    <cellStyle name="Comma 36 2 3 2" xfId="1866" xr:uid="{00000000-0005-0000-0000-000009090000}"/>
    <cellStyle name="Comma 36 2 3 2 2" xfId="4110" xr:uid="{00000000-0005-0000-0000-00000A090000}"/>
    <cellStyle name="Comma 36 2 3 3" xfId="2590" xr:uid="{00000000-0005-0000-0000-00000B090000}"/>
    <cellStyle name="Comma 36 2 3 3 2" xfId="4834" xr:uid="{00000000-0005-0000-0000-00000C090000}"/>
    <cellStyle name="Comma 36 2 3 4" xfId="3324" xr:uid="{00000000-0005-0000-0000-00000D090000}"/>
    <cellStyle name="Comma 36 2 4" xfId="1101" xr:uid="{00000000-0005-0000-0000-00000E090000}"/>
    <cellStyle name="Comma 36 2 4 2" xfId="1888" xr:uid="{00000000-0005-0000-0000-00000F090000}"/>
    <cellStyle name="Comma 36 2 4 2 2" xfId="4132" xr:uid="{00000000-0005-0000-0000-000010090000}"/>
    <cellStyle name="Comma 36 2 4 3" xfId="2612" xr:uid="{00000000-0005-0000-0000-000011090000}"/>
    <cellStyle name="Comma 36 2 4 3 2" xfId="4856" xr:uid="{00000000-0005-0000-0000-000012090000}"/>
    <cellStyle name="Comma 36 2 4 4" xfId="3346" xr:uid="{00000000-0005-0000-0000-000013090000}"/>
    <cellStyle name="Comma 36 2 5" xfId="1123" xr:uid="{00000000-0005-0000-0000-000014090000}"/>
    <cellStyle name="Comma 36 2 5 2" xfId="1910" xr:uid="{00000000-0005-0000-0000-000015090000}"/>
    <cellStyle name="Comma 36 2 5 2 2" xfId="4154" xr:uid="{00000000-0005-0000-0000-000016090000}"/>
    <cellStyle name="Comma 36 2 5 3" xfId="2634" xr:uid="{00000000-0005-0000-0000-000017090000}"/>
    <cellStyle name="Comma 36 2 5 3 2" xfId="4878" xr:uid="{00000000-0005-0000-0000-000018090000}"/>
    <cellStyle name="Comma 36 2 5 4" xfId="3368" xr:uid="{00000000-0005-0000-0000-000019090000}"/>
    <cellStyle name="Comma 36 2 6" xfId="1339" xr:uid="{00000000-0005-0000-0000-00001A090000}"/>
    <cellStyle name="Comma 36 2 6 2" xfId="3583" xr:uid="{00000000-0005-0000-0000-00001B090000}"/>
    <cellStyle name="Comma 36 2 7" xfId="2125" xr:uid="{00000000-0005-0000-0000-00001C090000}"/>
    <cellStyle name="Comma 36 2 7 2" xfId="4369" xr:uid="{00000000-0005-0000-0000-00001D090000}"/>
    <cellStyle name="Comma 36 2 8" xfId="2849" xr:uid="{00000000-0005-0000-0000-00001E090000}"/>
    <cellStyle name="Comma 36 2 9" xfId="5091" xr:uid="{00000000-0005-0000-0000-00001F090000}"/>
    <cellStyle name="Comma 36 3" xfId="869" xr:uid="{00000000-0005-0000-0000-000020090000}"/>
    <cellStyle name="Comma 36 3 2" xfId="1657" xr:uid="{00000000-0005-0000-0000-000021090000}"/>
    <cellStyle name="Comma 36 3 2 2" xfId="3901" xr:uid="{00000000-0005-0000-0000-000022090000}"/>
    <cellStyle name="Comma 36 3 3" xfId="2381" xr:uid="{00000000-0005-0000-0000-000023090000}"/>
    <cellStyle name="Comma 36 3 3 2" xfId="4625" xr:uid="{00000000-0005-0000-0000-000024090000}"/>
    <cellStyle name="Comma 36 3 4" xfId="3115" xr:uid="{00000000-0005-0000-0000-000025090000}"/>
    <cellStyle name="Comma 36 4" xfId="1077" xr:uid="{00000000-0005-0000-0000-000026090000}"/>
    <cellStyle name="Comma 36 4 2" xfId="1864" xr:uid="{00000000-0005-0000-0000-000027090000}"/>
    <cellStyle name="Comma 36 4 2 2" xfId="4108" xr:uid="{00000000-0005-0000-0000-000028090000}"/>
    <cellStyle name="Comma 36 4 3" xfId="2588" xr:uid="{00000000-0005-0000-0000-000029090000}"/>
    <cellStyle name="Comma 36 4 3 2" xfId="4832" xr:uid="{00000000-0005-0000-0000-00002A090000}"/>
    <cellStyle name="Comma 36 4 4" xfId="3322" xr:uid="{00000000-0005-0000-0000-00002B090000}"/>
    <cellStyle name="Comma 36 5" xfId="1099" xr:uid="{00000000-0005-0000-0000-00002C090000}"/>
    <cellStyle name="Comma 36 5 2" xfId="1886" xr:uid="{00000000-0005-0000-0000-00002D090000}"/>
    <cellStyle name="Comma 36 5 2 2" xfId="4130" xr:uid="{00000000-0005-0000-0000-00002E090000}"/>
    <cellStyle name="Comma 36 5 3" xfId="2610" xr:uid="{00000000-0005-0000-0000-00002F090000}"/>
    <cellStyle name="Comma 36 5 3 2" xfId="4854" xr:uid="{00000000-0005-0000-0000-000030090000}"/>
    <cellStyle name="Comma 36 5 4" xfId="3344" xr:uid="{00000000-0005-0000-0000-000031090000}"/>
    <cellStyle name="Comma 36 6" xfId="1121" xr:uid="{00000000-0005-0000-0000-000032090000}"/>
    <cellStyle name="Comma 36 6 2" xfId="1908" xr:uid="{00000000-0005-0000-0000-000033090000}"/>
    <cellStyle name="Comma 36 6 2 2" xfId="4152" xr:uid="{00000000-0005-0000-0000-000034090000}"/>
    <cellStyle name="Comma 36 6 3" xfId="2632" xr:uid="{00000000-0005-0000-0000-000035090000}"/>
    <cellStyle name="Comma 36 6 3 2" xfId="4876" xr:uid="{00000000-0005-0000-0000-000036090000}"/>
    <cellStyle name="Comma 36 6 4" xfId="3366" xr:uid="{00000000-0005-0000-0000-000037090000}"/>
    <cellStyle name="Comma 36 7" xfId="1337" xr:uid="{00000000-0005-0000-0000-000038090000}"/>
    <cellStyle name="Comma 36 7 2" xfId="3581" xr:uid="{00000000-0005-0000-0000-000039090000}"/>
    <cellStyle name="Comma 36 8" xfId="2123" xr:uid="{00000000-0005-0000-0000-00003A090000}"/>
    <cellStyle name="Comma 36 8 2" xfId="4367" xr:uid="{00000000-0005-0000-0000-00003B090000}"/>
    <cellStyle name="Comma 36 9" xfId="2847" xr:uid="{00000000-0005-0000-0000-00003C090000}"/>
    <cellStyle name="Comma 37" xfId="726" xr:uid="{00000000-0005-0000-0000-00003D090000}"/>
    <cellStyle name="Comma 37 2" xfId="1039" xr:uid="{00000000-0005-0000-0000-00003E090000}"/>
    <cellStyle name="Comma 37 2 2" xfId="1827" xr:uid="{00000000-0005-0000-0000-00003F090000}"/>
    <cellStyle name="Comma 37 2 2 2" xfId="4071" xr:uid="{00000000-0005-0000-0000-000040090000}"/>
    <cellStyle name="Comma 37 2 3" xfId="2551" xr:uid="{00000000-0005-0000-0000-000041090000}"/>
    <cellStyle name="Comma 37 2 3 2" xfId="4795" xr:uid="{00000000-0005-0000-0000-000042090000}"/>
    <cellStyle name="Comma 37 2 4" xfId="3285" xr:uid="{00000000-0005-0000-0000-000043090000}"/>
    <cellStyle name="Comma 37 3" xfId="1292" xr:uid="{00000000-0005-0000-0000-000044090000}"/>
    <cellStyle name="Comma 37 3 2" xfId="2079" xr:uid="{00000000-0005-0000-0000-000045090000}"/>
    <cellStyle name="Comma 37 3 2 2" xfId="4323" xr:uid="{00000000-0005-0000-0000-000046090000}"/>
    <cellStyle name="Comma 37 3 3" xfId="2802" xr:uid="{00000000-0005-0000-0000-000047090000}"/>
    <cellStyle name="Comma 37 3 3 2" xfId="5046" xr:uid="{00000000-0005-0000-0000-000048090000}"/>
    <cellStyle name="Comma 37 3 4" xfId="3537" xr:uid="{00000000-0005-0000-0000-000049090000}"/>
    <cellStyle name="Comma 37 4" xfId="1559" xr:uid="{00000000-0005-0000-0000-00004A090000}"/>
    <cellStyle name="Comma 37 4 2" xfId="3803" xr:uid="{00000000-0005-0000-0000-00004B090000}"/>
    <cellStyle name="Comma 37 5" xfId="2337" xr:uid="{00000000-0005-0000-0000-00004C090000}"/>
    <cellStyle name="Comma 37 5 2" xfId="4581" xr:uid="{00000000-0005-0000-0000-00004D090000}"/>
    <cellStyle name="Comma 37 6" xfId="3017" xr:uid="{00000000-0005-0000-0000-00004E090000}"/>
    <cellStyle name="Comma 38" xfId="825" xr:uid="{00000000-0005-0000-0000-00004F090000}"/>
    <cellStyle name="Comma 38 2" xfId="1054" xr:uid="{00000000-0005-0000-0000-000050090000}"/>
    <cellStyle name="Comma 38 2 2" xfId="1842" xr:uid="{00000000-0005-0000-0000-000051090000}"/>
    <cellStyle name="Comma 38 2 2 2" xfId="4086" xr:uid="{00000000-0005-0000-0000-000052090000}"/>
    <cellStyle name="Comma 38 2 3" xfId="2566" xr:uid="{00000000-0005-0000-0000-000053090000}"/>
    <cellStyle name="Comma 38 2 3 2" xfId="4810" xr:uid="{00000000-0005-0000-0000-000054090000}"/>
    <cellStyle name="Comma 38 2 4" xfId="3300" xr:uid="{00000000-0005-0000-0000-000055090000}"/>
    <cellStyle name="Comma 38 3" xfId="1308" xr:uid="{00000000-0005-0000-0000-000056090000}"/>
    <cellStyle name="Comma 38 3 2" xfId="2095" xr:uid="{00000000-0005-0000-0000-000057090000}"/>
    <cellStyle name="Comma 38 3 2 2" xfId="4339" xr:uid="{00000000-0005-0000-0000-000058090000}"/>
    <cellStyle name="Comma 38 3 3" xfId="2817" xr:uid="{00000000-0005-0000-0000-000059090000}"/>
    <cellStyle name="Comma 38 3 3 2" xfId="5061" xr:uid="{00000000-0005-0000-0000-00005A090000}"/>
    <cellStyle name="Comma 38 3 4" xfId="3553" xr:uid="{00000000-0005-0000-0000-00005B090000}"/>
    <cellStyle name="Comma 38 4" xfId="1628" xr:uid="{00000000-0005-0000-0000-00005C090000}"/>
    <cellStyle name="Comma 38 4 2" xfId="3872" xr:uid="{00000000-0005-0000-0000-00005D090000}"/>
    <cellStyle name="Comma 38 5" xfId="2352" xr:uid="{00000000-0005-0000-0000-00005E090000}"/>
    <cellStyle name="Comma 38 5 2" xfId="4596" xr:uid="{00000000-0005-0000-0000-00005F090000}"/>
    <cellStyle name="Comma 38 6" xfId="3086" xr:uid="{00000000-0005-0000-0000-000060090000}"/>
    <cellStyle name="Comma 39" xfId="729" xr:uid="{00000000-0005-0000-0000-000061090000}"/>
    <cellStyle name="Comma 39 2" xfId="1042" xr:uid="{00000000-0005-0000-0000-000062090000}"/>
    <cellStyle name="Comma 39 2 2" xfId="1830" xr:uid="{00000000-0005-0000-0000-000063090000}"/>
    <cellStyle name="Comma 39 2 2 2" xfId="4074" xr:uid="{00000000-0005-0000-0000-000064090000}"/>
    <cellStyle name="Comma 39 2 3" xfId="2554" xr:uid="{00000000-0005-0000-0000-000065090000}"/>
    <cellStyle name="Comma 39 2 3 2" xfId="4798" xr:uid="{00000000-0005-0000-0000-000066090000}"/>
    <cellStyle name="Comma 39 2 4" xfId="3288" xr:uid="{00000000-0005-0000-0000-000067090000}"/>
    <cellStyle name="Comma 39 3" xfId="1295" xr:uid="{00000000-0005-0000-0000-000068090000}"/>
    <cellStyle name="Comma 39 3 2" xfId="2082" xr:uid="{00000000-0005-0000-0000-000069090000}"/>
    <cellStyle name="Comma 39 3 2 2" xfId="4326" xr:uid="{00000000-0005-0000-0000-00006A090000}"/>
    <cellStyle name="Comma 39 3 3" xfId="2805" xr:uid="{00000000-0005-0000-0000-00006B090000}"/>
    <cellStyle name="Comma 39 3 3 2" xfId="5049" xr:uid="{00000000-0005-0000-0000-00006C090000}"/>
    <cellStyle name="Comma 39 3 4" xfId="3540" xr:uid="{00000000-0005-0000-0000-00006D090000}"/>
    <cellStyle name="Comma 39 4" xfId="1562" xr:uid="{00000000-0005-0000-0000-00006E090000}"/>
    <cellStyle name="Comma 39 4 2" xfId="3806" xr:uid="{00000000-0005-0000-0000-00006F090000}"/>
    <cellStyle name="Comma 39 5" xfId="2340" xr:uid="{00000000-0005-0000-0000-000070090000}"/>
    <cellStyle name="Comma 39 5 2" xfId="4584" xr:uid="{00000000-0005-0000-0000-000071090000}"/>
    <cellStyle name="Comma 39 6" xfId="3020" xr:uid="{00000000-0005-0000-0000-000072090000}"/>
    <cellStyle name="Comma 4" xfId="13" xr:uid="{00000000-0005-0000-0000-000073090000}"/>
    <cellStyle name="Comma 4 10" xfId="5080" xr:uid="{00000000-0005-0000-0000-000074090000}"/>
    <cellStyle name="Comma 4 2" xfId="155" xr:uid="{00000000-0005-0000-0000-000075090000}"/>
    <cellStyle name="Comma 4 2 2" xfId="967" xr:uid="{00000000-0005-0000-0000-000076090000}"/>
    <cellStyle name="Comma 4 2 2 2" xfId="1755" xr:uid="{00000000-0005-0000-0000-000077090000}"/>
    <cellStyle name="Comma 4 2 2 2 2" xfId="3999" xr:uid="{00000000-0005-0000-0000-000078090000}"/>
    <cellStyle name="Comma 4 2 2 3" xfId="2479" xr:uid="{00000000-0005-0000-0000-000079090000}"/>
    <cellStyle name="Comma 4 2 2 3 2" xfId="4723" xr:uid="{00000000-0005-0000-0000-00007A090000}"/>
    <cellStyle name="Comma 4 2 2 4" xfId="3213" xr:uid="{00000000-0005-0000-0000-00007B090000}"/>
    <cellStyle name="Comma 4 2 3" xfId="1220" xr:uid="{00000000-0005-0000-0000-00007C090000}"/>
    <cellStyle name="Comma 4 2 3 2" xfId="2007" xr:uid="{00000000-0005-0000-0000-00007D090000}"/>
    <cellStyle name="Comma 4 2 3 2 2" xfId="4251" xr:uid="{00000000-0005-0000-0000-00007E090000}"/>
    <cellStyle name="Comma 4 2 3 3" xfId="2731" xr:uid="{00000000-0005-0000-0000-00007F090000}"/>
    <cellStyle name="Comma 4 2 3 3 2" xfId="4975" xr:uid="{00000000-0005-0000-0000-000080090000}"/>
    <cellStyle name="Comma 4 2 3 4" xfId="3465" xr:uid="{00000000-0005-0000-0000-000081090000}"/>
    <cellStyle name="Comma 4 2 4" xfId="1435" xr:uid="{00000000-0005-0000-0000-000082090000}"/>
    <cellStyle name="Comma 4 2 4 2" xfId="3679" xr:uid="{00000000-0005-0000-0000-000083090000}"/>
    <cellStyle name="Comma 4 2 5" xfId="2221" xr:uid="{00000000-0005-0000-0000-000084090000}"/>
    <cellStyle name="Comma 4 2 5 2" xfId="4465" xr:uid="{00000000-0005-0000-0000-000085090000}"/>
    <cellStyle name="Comma 4 2 6" xfId="2945" xr:uid="{00000000-0005-0000-0000-000086090000}"/>
    <cellStyle name="Comma 4 3" xfId="154" xr:uid="{00000000-0005-0000-0000-000087090000}"/>
    <cellStyle name="Comma 4 3 2" xfId="966" xr:uid="{00000000-0005-0000-0000-000088090000}"/>
    <cellStyle name="Comma 4 3 2 2" xfId="1754" xr:uid="{00000000-0005-0000-0000-000089090000}"/>
    <cellStyle name="Comma 4 3 2 2 2" xfId="3998" xr:uid="{00000000-0005-0000-0000-00008A090000}"/>
    <cellStyle name="Comma 4 3 2 3" xfId="2478" xr:uid="{00000000-0005-0000-0000-00008B090000}"/>
    <cellStyle name="Comma 4 3 2 3 2" xfId="4722" xr:uid="{00000000-0005-0000-0000-00008C090000}"/>
    <cellStyle name="Comma 4 3 2 4" xfId="3212" xr:uid="{00000000-0005-0000-0000-00008D090000}"/>
    <cellStyle name="Comma 4 3 3" xfId="1219" xr:uid="{00000000-0005-0000-0000-00008E090000}"/>
    <cellStyle name="Comma 4 3 3 2" xfId="2006" xr:uid="{00000000-0005-0000-0000-00008F090000}"/>
    <cellStyle name="Comma 4 3 3 2 2" xfId="4250" xr:uid="{00000000-0005-0000-0000-000090090000}"/>
    <cellStyle name="Comma 4 3 3 3" xfId="2730" xr:uid="{00000000-0005-0000-0000-000091090000}"/>
    <cellStyle name="Comma 4 3 3 3 2" xfId="4974" xr:uid="{00000000-0005-0000-0000-000092090000}"/>
    <cellStyle name="Comma 4 3 3 4" xfId="3464" xr:uid="{00000000-0005-0000-0000-000093090000}"/>
    <cellStyle name="Comma 4 3 4" xfId="1434" xr:uid="{00000000-0005-0000-0000-000094090000}"/>
    <cellStyle name="Comma 4 3 4 2" xfId="3678" xr:uid="{00000000-0005-0000-0000-000095090000}"/>
    <cellStyle name="Comma 4 3 5" xfId="2220" xr:uid="{00000000-0005-0000-0000-000096090000}"/>
    <cellStyle name="Comma 4 3 5 2" xfId="4464" xr:uid="{00000000-0005-0000-0000-000097090000}"/>
    <cellStyle name="Comma 4 3 6" xfId="2944" xr:uid="{00000000-0005-0000-0000-000098090000}"/>
    <cellStyle name="Comma 4 4" xfId="860" xr:uid="{00000000-0005-0000-0000-000099090000}"/>
    <cellStyle name="Comma 4 4 2" xfId="1648" xr:uid="{00000000-0005-0000-0000-00009A090000}"/>
    <cellStyle name="Comma 4 4 2 2" xfId="3892" xr:uid="{00000000-0005-0000-0000-00009B090000}"/>
    <cellStyle name="Comma 4 4 3" xfId="2372" xr:uid="{00000000-0005-0000-0000-00009C090000}"/>
    <cellStyle name="Comma 4 4 3 2" xfId="4616" xr:uid="{00000000-0005-0000-0000-00009D090000}"/>
    <cellStyle name="Comma 4 4 4" xfId="3106" xr:uid="{00000000-0005-0000-0000-00009E090000}"/>
    <cellStyle name="Comma 4 5" xfId="1090" xr:uid="{00000000-0005-0000-0000-00009F090000}"/>
    <cellStyle name="Comma 4 5 2" xfId="1877" xr:uid="{00000000-0005-0000-0000-0000A0090000}"/>
    <cellStyle name="Comma 4 5 2 2" xfId="4121" xr:uid="{00000000-0005-0000-0000-0000A1090000}"/>
    <cellStyle name="Comma 4 5 3" xfId="2601" xr:uid="{00000000-0005-0000-0000-0000A2090000}"/>
    <cellStyle name="Comma 4 5 3 2" xfId="4845" xr:uid="{00000000-0005-0000-0000-0000A3090000}"/>
    <cellStyle name="Comma 4 5 4" xfId="3335" xr:uid="{00000000-0005-0000-0000-0000A4090000}"/>
    <cellStyle name="Comma 4 6" xfId="1112" xr:uid="{00000000-0005-0000-0000-0000A5090000}"/>
    <cellStyle name="Comma 4 6 2" xfId="1899" xr:uid="{00000000-0005-0000-0000-0000A6090000}"/>
    <cellStyle name="Comma 4 6 2 2" xfId="4143" xr:uid="{00000000-0005-0000-0000-0000A7090000}"/>
    <cellStyle name="Comma 4 6 3" xfId="2623" xr:uid="{00000000-0005-0000-0000-0000A8090000}"/>
    <cellStyle name="Comma 4 6 3 2" xfId="4867" xr:uid="{00000000-0005-0000-0000-0000A9090000}"/>
    <cellStyle name="Comma 4 6 4" xfId="3357" xr:uid="{00000000-0005-0000-0000-0000AA090000}"/>
    <cellStyle name="Comma 4 7" xfId="1328" xr:uid="{00000000-0005-0000-0000-0000AB090000}"/>
    <cellStyle name="Comma 4 7 2" xfId="3572" xr:uid="{00000000-0005-0000-0000-0000AC090000}"/>
    <cellStyle name="Comma 4 8" xfId="2114" xr:uid="{00000000-0005-0000-0000-0000AD090000}"/>
    <cellStyle name="Comma 4 8 2" xfId="4358" xr:uid="{00000000-0005-0000-0000-0000AE090000}"/>
    <cellStyle name="Comma 4 9" xfId="2838" xr:uid="{00000000-0005-0000-0000-0000AF090000}"/>
    <cellStyle name="Comma 40" xfId="826" xr:uid="{00000000-0005-0000-0000-0000B0090000}"/>
    <cellStyle name="Comma 40 2" xfId="1055" xr:uid="{00000000-0005-0000-0000-0000B1090000}"/>
    <cellStyle name="Comma 40 2 2" xfId="1843" xr:uid="{00000000-0005-0000-0000-0000B2090000}"/>
    <cellStyle name="Comma 40 2 2 2" xfId="4087" xr:uid="{00000000-0005-0000-0000-0000B3090000}"/>
    <cellStyle name="Comma 40 2 3" xfId="2567" xr:uid="{00000000-0005-0000-0000-0000B4090000}"/>
    <cellStyle name="Comma 40 2 3 2" xfId="4811" xr:uid="{00000000-0005-0000-0000-0000B5090000}"/>
    <cellStyle name="Comma 40 2 4" xfId="3301" xr:uid="{00000000-0005-0000-0000-0000B6090000}"/>
    <cellStyle name="Comma 40 3" xfId="1309" xr:uid="{00000000-0005-0000-0000-0000B7090000}"/>
    <cellStyle name="Comma 40 3 2" xfId="2096" xr:uid="{00000000-0005-0000-0000-0000B8090000}"/>
    <cellStyle name="Comma 40 3 2 2" xfId="4340" xr:uid="{00000000-0005-0000-0000-0000B9090000}"/>
    <cellStyle name="Comma 40 3 3" xfId="2818" xr:uid="{00000000-0005-0000-0000-0000BA090000}"/>
    <cellStyle name="Comma 40 3 3 2" xfId="5062" xr:uid="{00000000-0005-0000-0000-0000BB090000}"/>
    <cellStyle name="Comma 40 3 4" xfId="3554" xr:uid="{00000000-0005-0000-0000-0000BC090000}"/>
    <cellStyle name="Comma 40 4" xfId="1629" xr:uid="{00000000-0005-0000-0000-0000BD090000}"/>
    <cellStyle name="Comma 40 4 2" xfId="3873" xr:uid="{00000000-0005-0000-0000-0000BE090000}"/>
    <cellStyle name="Comma 40 5" xfId="2353" xr:uid="{00000000-0005-0000-0000-0000BF090000}"/>
    <cellStyle name="Comma 40 5 2" xfId="4597" xr:uid="{00000000-0005-0000-0000-0000C0090000}"/>
    <cellStyle name="Comma 40 6" xfId="3087" xr:uid="{00000000-0005-0000-0000-0000C1090000}"/>
    <cellStyle name="Comma 41" xfId="728" xr:uid="{00000000-0005-0000-0000-0000C2090000}"/>
    <cellStyle name="Comma 41 2" xfId="1041" xr:uid="{00000000-0005-0000-0000-0000C3090000}"/>
    <cellStyle name="Comma 41 2 2" xfId="1829" xr:uid="{00000000-0005-0000-0000-0000C4090000}"/>
    <cellStyle name="Comma 41 2 2 2" xfId="4073" xr:uid="{00000000-0005-0000-0000-0000C5090000}"/>
    <cellStyle name="Comma 41 2 3" xfId="2553" xr:uid="{00000000-0005-0000-0000-0000C6090000}"/>
    <cellStyle name="Comma 41 2 3 2" xfId="4797" xr:uid="{00000000-0005-0000-0000-0000C7090000}"/>
    <cellStyle name="Comma 41 2 4" xfId="3287" xr:uid="{00000000-0005-0000-0000-0000C8090000}"/>
    <cellStyle name="Comma 41 3" xfId="1294" xr:uid="{00000000-0005-0000-0000-0000C9090000}"/>
    <cellStyle name="Comma 41 3 2" xfId="2081" xr:uid="{00000000-0005-0000-0000-0000CA090000}"/>
    <cellStyle name="Comma 41 3 2 2" xfId="4325" xr:uid="{00000000-0005-0000-0000-0000CB090000}"/>
    <cellStyle name="Comma 41 3 3" xfId="2804" xr:uid="{00000000-0005-0000-0000-0000CC090000}"/>
    <cellStyle name="Comma 41 3 3 2" xfId="5048" xr:uid="{00000000-0005-0000-0000-0000CD090000}"/>
    <cellStyle name="Comma 41 3 4" xfId="3539" xr:uid="{00000000-0005-0000-0000-0000CE090000}"/>
    <cellStyle name="Comma 41 4" xfId="1561" xr:uid="{00000000-0005-0000-0000-0000CF090000}"/>
    <cellStyle name="Comma 41 4 2" xfId="3805" xr:uid="{00000000-0005-0000-0000-0000D0090000}"/>
    <cellStyle name="Comma 41 5" xfId="2339" xr:uid="{00000000-0005-0000-0000-0000D1090000}"/>
    <cellStyle name="Comma 41 5 2" xfId="4583" xr:uid="{00000000-0005-0000-0000-0000D2090000}"/>
    <cellStyle name="Comma 41 6" xfId="3019" xr:uid="{00000000-0005-0000-0000-0000D3090000}"/>
    <cellStyle name="Comma 42" xfId="827" xr:uid="{00000000-0005-0000-0000-0000D4090000}"/>
    <cellStyle name="Comma 42 2" xfId="1056" xr:uid="{00000000-0005-0000-0000-0000D5090000}"/>
    <cellStyle name="Comma 42 2 2" xfId="1844" xr:uid="{00000000-0005-0000-0000-0000D6090000}"/>
    <cellStyle name="Comma 42 2 2 2" xfId="4088" xr:uid="{00000000-0005-0000-0000-0000D7090000}"/>
    <cellStyle name="Comma 42 2 3" xfId="2568" xr:uid="{00000000-0005-0000-0000-0000D8090000}"/>
    <cellStyle name="Comma 42 2 3 2" xfId="4812" xr:uid="{00000000-0005-0000-0000-0000D9090000}"/>
    <cellStyle name="Comma 42 2 4" xfId="3302" xr:uid="{00000000-0005-0000-0000-0000DA090000}"/>
    <cellStyle name="Comma 42 3" xfId="1310" xr:uid="{00000000-0005-0000-0000-0000DB090000}"/>
    <cellStyle name="Comma 42 3 2" xfId="2097" xr:uid="{00000000-0005-0000-0000-0000DC090000}"/>
    <cellStyle name="Comma 42 3 2 2" xfId="4341" xr:uid="{00000000-0005-0000-0000-0000DD090000}"/>
    <cellStyle name="Comma 42 3 3" xfId="2819" xr:uid="{00000000-0005-0000-0000-0000DE090000}"/>
    <cellStyle name="Comma 42 3 3 2" xfId="5063" xr:uid="{00000000-0005-0000-0000-0000DF090000}"/>
    <cellStyle name="Comma 42 3 4" xfId="3555" xr:uid="{00000000-0005-0000-0000-0000E0090000}"/>
    <cellStyle name="Comma 42 4" xfId="1630" xr:uid="{00000000-0005-0000-0000-0000E1090000}"/>
    <cellStyle name="Comma 42 4 2" xfId="3874" xr:uid="{00000000-0005-0000-0000-0000E2090000}"/>
    <cellStyle name="Comma 42 5" xfId="2354" xr:uid="{00000000-0005-0000-0000-0000E3090000}"/>
    <cellStyle name="Comma 42 5 2" xfId="4598" xr:uid="{00000000-0005-0000-0000-0000E4090000}"/>
    <cellStyle name="Comma 42 6" xfId="3088" xr:uid="{00000000-0005-0000-0000-0000E5090000}"/>
    <cellStyle name="Comma 43" xfId="731" xr:uid="{00000000-0005-0000-0000-0000E6090000}"/>
    <cellStyle name="Comma 43 2" xfId="1044" xr:uid="{00000000-0005-0000-0000-0000E7090000}"/>
    <cellStyle name="Comma 43 2 2" xfId="1832" xr:uid="{00000000-0005-0000-0000-0000E8090000}"/>
    <cellStyle name="Comma 43 2 2 2" xfId="4076" xr:uid="{00000000-0005-0000-0000-0000E9090000}"/>
    <cellStyle name="Comma 43 2 3" xfId="2556" xr:uid="{00000000-0005-0000-0000-0000EA090000}"/>
    <cellStyle name="Comma 43 2 3 2" xfId="4800" xr:uid="{00000000-0005-0000-0000-0000EB090000}"/>
    <cellStyle name="Comma 43 2 4" xfId="3290" xr:uid="{00000000-0005-0000-0000-0000EC090000}"/>
    <cellStyle name="Comma 43 3" xfId="1297" xr:uid="{00000000-0005-0000-0000-0000ED090000}"/>
    <cellStyle name="Comma 43 3 2" xfId="2084" xr:uid="{00000000-0005-0000-0000-0000EE090000}"/>
    <cellStyle name="Comma 43 3 2 2" xfId="4328" xr:uid="{00000000-0005-0000-0000-0000EF090000}"/>
    <cellStyle name="Comma 43 3 3" xfId="2807" xr:uid="{00000000-0005-0000-0000-0000F0090000}"/>
    <cellStyle name="Comma 43 3 3 2" xfId="5051" xr:uid="{00000000-0005-0000-0000-0000F1090000}"/>
    <cellStyle name="Comma 43 3 4" xfId="3542" xr:uid="{00000000-0005-0000-0000-0000F2090000}"/>
    <cellStyle name="Comma 43 4" xfId="1564" xr:uid="{00000000-0005-0000-0000-0000F3090000}"/>
    <cellStyle name="Comma 43 4 2" xfId="3808" xr:uid="{00000000-0005-0000-0000-0000F4090000}"/>
    <cellStyle name="Comma 43 5" xfId="2342" xr:uid="{00000000-0005-0000-0000-0000F5090000}"/>
    <cellStyle name="Comma 43 5 2" xfId="4586" xr:uid="{00000000-0005-0000-0000-0000F6090000}"/>
    <cellStyle name="Comma 43 6" xfId="3022" xr:uid="{00000000-0005-0000-0000-0000F7090000}"/>
    <cellStyle name="Comma 44" xfId="156" xr:uid="{00000000-0005-0000-0000-0000F8090000}"/>
    <cellStyle name="Comma 44 2" xfId="968" xr:uid="{00000000-0005-0000-0000-0000F9090000}"/>
    <cellStyle name="Comma 44 2 2" xfId="1756" xr:uid="{00000000-0005-0000-0000-0000FA090000}"/>
    <cellStyle name="Comma 44 2 2 2" xfId="4000" xr:uid="{00000000-0005-0000-0000-0000FB090000}"/>
    <cellStyle name="Comma 44 2 3" xfId="2480" xr:uid="{00000000-0005-0000-0000-0000FC090000}"/>
    <cellStyle name="Comma 44 2 3 2" xfId="4724" xr:uid="{00000000-0005-0000-0000-0000FD090000}"/>
    <cellStyle name="Comma 44 2 4" xfId="3214" xr:uid="{00000000-0005-0000-0000-0000FE090000}"/>
    <cellStyle name="Comma 44 3" xfId="1221" xr:uid="{00000000-0005-0000-0000-0000FF090000}"/>
    <cellStyle name="Comma 44 3 2" xfId="2008" xr:uid="{00000000-0005-0000-0000-0000000A0000}"/>
    <cellStyle name="Comma 44 3 2 2" xfId="4252" xr:uid="{00000000-0005-0000-0000-0000010A0000}"/>
    <cellStyle name="Comma 44 3 3" xfId="2732" xr:uid="{00000000-0005-0000-0000-0000020A0000}"/>
    <cellStyle name="Comma 44 3 3 2" xfId="4976" xr:uid="{00000000-0005-0000-0000-0000030A0000}"/>
    <cellStyle name="Comma 44 3 4" xfId="3466" xr:uid="{00000000-0005-0000-0000-0000040A0000}"/>
    <cellStyle name="Comma 44 4" xfId="1436" xr:uid="{00000000-0005-0000-0000-0000050A0000}"/>
    <cellStyle name="Comma 44 4 2" xfId="3680" xr:uid="{00000000-0005-0000-0000-0000060A0000}"/>
    <cellStyle name="Comma 44 5" xfId="2222" xr:uid="{00000000-0005-0000-0000-0000070A0000}"/>
    <cellStyle name="Comma 44 5 2" xfId="4466" xr:uid="{00000000-0005-0000-0000-0000080A0000}"/>
    <cellStyle name="Comma 44 6" xfId="2946" xr:uid="{00000000-0005-0000-0000-0000090A0000}"/>
    <cellStyle name="Comma 45" xfId="828" xr:uid="{00000000-0005-0000-0000-00000A0A0000}"/>
    <cellStyle name="Comma 45 2" xfId="1057" xr:uid="{00000000-0005-0000-0000-00000B0A0000}"/>
    <cellStyle name="Comma 45 2 2" xfId="1845" xr:uid="{00000000-0005-0000-0000-00000C0A0000}"/>
    <cellStyle name="Comma 45 2 2 2" xfId="4089" xr:uid="{00000000-0005-0000-0000-00000D0A0000}"/>
    <cellStyle name="Comma 45 2 3" xfId="2569" xr:uid="{00000000-0005-0000-0000-00000E0A0000}"/>
    <cellStyle name="Comma 45 2 3 2" xfId="4813" xr:uid="{00000000-0005-0000-0000-00000F0A0000}"/>
    <cellStyle name="Comma 45 2 4" xfId="3303" xr:uid="{00000000-0005-0000-0000-0000100A0000}"/>
    <cellStyle name="Comma 45 3" xfId="1311" xr:uid="{00000000-0005-0000-0000-0000110A0000}"/>
    <cellStyle name="Comma 45 3 2" xfId="2098" xr:uid="{00000000-0005-0000-0000-0000120A0000}"/>
    <cellStyle name="Comma 45 3 2 2" xfId="4342" xr:uid="{00000000-0005-0000-0000-0000130A0000}"/>
    <cellStyle name="Comma 45 3 3" xfId="2820" xr:uid="{00000000-0005-0000-0000-0000140A0000}"/>
    <cellStyle name="Comma 45 3 3 2" xfId="5064" xr:uid="{00000000-0005-0000-0000-0000150A0000}"/>
    <cellStyle name="Comma 45 3 4" xfId="3556" xr:uid="{00000000-0005-0000-0000-0000160A0000}"/>
    <cellStyle name="Comma 45 4" xfId="1631" xr:uid="{00000000-0005-0000-0000-0000170A0000}"/>
    <cellStyle name="Comma 45 4 2" xfId="3875" xr:uid="{00000000-0005-0000-0000-0000180A0000}"/>
    <cellStyle name="Comma 45 5" xfId="2355" xr:uid="{00000000-0005-0000-0000-0000190A0000}"/>
    <cellStyle name="Comma 45 5 2" xfId="4599" xr:uid="{00000000-0005-0000-0000-00001A0A0000}"/>
    <cellStyle name="Comma 45 6" xfId="3089" xr:uid="{00000000-0005-0000-0000-00001B0A0000}"/>
    <cellStyle name="Comma 46" xfId="840" xr:uid="{00000000-0005-0000-0000-00001C0A0000}"/>
    <cellStyle name="Comma 46 2" xfId="1059" xr:uid="{00000000-0005-0000-0000-00001D0A0000}"/>
    <cellStyle name="Comma 46 2 2" xfId="1847" xr:uid="{00000000-0005-0000-0000-00001E0A0000}"/>
    <cellStyle name="Comma 46 2 2 2" xfId="4091" xr:uid="{00000000-0005-0000-0000-00001F0A0000}"/>
    <cellStyle name="Comma 46 2 3" xfId="2571" xr:uid="{00000000-0005-0000-0000-0000200A0000}"/>
    <cellStyle name="Comma 46 2 3 2" xfId="4815" xr:uid="{00000000-0005-0000-0000-0000210A0000}"/>
    <cellStyle name="Comma 46 2 4" xfId="3305" xr:uid="{00000000-0005-0000-0000-0000220A0000}"/>
    <cellStyle name="Comma 46 3" xfId="1313" xr:uid="{00000000-0005-0000-0000-0000230A0000}"/>
    <cellStyle name="Comma 46 3 2" xfId="2100" xr:uid="{00000000-0005-0000-0000-0000240A0000}"/>
    <cellStyle name="Comma 46 3 2 2" xfId="4344" xr:uid="{00000000-0005-0000-0000-0000250A0000}"/>
    <cellStyle name="Comma 46 3 3" xfId="2822" xr:uid="{00000000-0005-0000-0000-0000260A0000}"/>
    <cellStyle name="Comma 46 3 3 2" xfId="5066" xr:uid="{00000000-0005-0000-0000-0000270A0000}"/>
    <cellStyle name="Comma 46 3 4" xfId="3558" xr:uid="{00000000-0005-0000-0000-0000280A0000}"/>
    <cellStyle name="Comma 46 4" xfId="1633" xr:uid="{00000000-0005-0000-0000-0000290A0000}"/>
    <cellStyle name="Comma 46 4 2" xfId="3877" xr:uid="{00000000-0005-0000-0000-00002A0A0000}"/>
    <cellStyle name="Comma 46 5" xfId="2357" xr:uid="{00000000-0005-0000-0000-00002B0A0000}"/>
    <cellStyle name="Comma 46 5 2" xfId="4601" xr:uid="{00000000-0005-0000-0000-00002C0A0000}"/>
    <cellStyle name="Comma 46 6" xfId="3091" xr:uid="{00000000-0005-0000-0000-00002D0A0000}"/>
    <cellStyle name="Comma 47" xfId="841" xr:uid="{00000000-0005-0000-0000-00002E0A0000}"/>
    <cellStyle name="Comma 47 2" xfId="1060" xr:uid="{00000000-0005-0000-0000-00002F0A0000}"/>
    <cellStyle name="Comma 47 2 2" xfId="1848" xr:uid="{00000000-0005-0000-0000-0000300A0000}"/>
    <cellStyle name="Comma 47 2 2 2" xfId="4092" xr:uid="{00000000-0005-0000-0000-0000310A0000}"/>
    <cellStyle name="Comma 47 2 3" xfId="2572" xr:uid="{00000000-0005-0000-0000-0000320A0000}"/>
    <cellStyle name="Comma 47 2 3 2" xfId="4816" xr:uid="{00000000-0005-0000-0000-0000330A0000}"/>
    <cellStyle name="Comma 47 2 4" xfId="3306" xr:uid="{00000000-0005-0000-0000-0000340A0000}"/>
    <cellStyle name="Comma 47 3" xfId="1314" xr:uid="{00000000-0005-0000-0000-0000350A0000}"/>
    <cellStyle name="Comma 47 3 2" xfId="2101" xr:uid="{00000000-0005-0000-0000-0000360A0000}"/>
    <cellStyle name="Comma 47 3 2 2" xfId="4345" xr:uid="{00000000-0005-0000-0000-0000370A0000}"/>
    <cellStyle name="Comma 47 3 3" xfId="2823" xr:uid="{00000000-0005-0000-0000-0000380A0000}"/>
    <cellStyle name="Comma 47 3 3 2" xfId="5067" xr:uid="{00000000-0005-0000-0000-0000390A0000}"/>
    <cellStyle name="Comma 47 3 4" xfId="3559" xr:uid="{00000000-0005-0000-0000-00003A0A0000}"/>
    <cellStyle name="Comma 47 4" xfId="1634" xr:uid="{00000000-0005-0000-0000-00003B0A0000}"/>
    <cellStyle name="Comma 47 4 2" xfId="3878" xr:uid="{00000000-0005-0000-0000-00003C0A0000}"/>
    <cellStyle name="Comma 47 5" xfId="2358" xr:uid="{00000000-0005-0000-0000-00003D0A0000}"/>
    <cellStyle name="Comma 47 5 2" xfId="4602" xr:uid="{00000000-0005-0000-0000-00003E0A0000}"/>
    <cellStyle name="Comma 47 6" xfId="3092" xr:uid="{00000000-0005-0000-0000-00003F0A0000}"/>
    <cellStyle name="Comma 48" xfId="157" xr:uid="{00000000-0005-0000-0000-0000400A0000}"/>
    <cellStyle name="Comma 48 2" xfId="969" xr:uid="{00000000-0005-0000-0000-0000410A0000}"/>
    <cellStyle name="Comma 48 2 2" xfId="1757" xr:uid="{00000000-0005-0000-0000-0000420A0000}"/>
    <cellStyle name="Comma 48 2 2 2" xfId="4001" xr:uid="{00000000-0005-0000-0000-0000430A0000}"/>
    <cellStyle name="Comma 48 2 3" xfId="2481" xr:uid="{00000000-0005-0000-0000-0000440A0000}"/>
    <cellStyle name="Comma 48 2 3 2" xfId="4725" xr:uid="{00000000-0005-0000-0000-0000450A0000}"/>
    <cellStyle name="Comma 48 2 4" xfId="3215" xr:uid="{00000000-0005-0000-0000-0000460A0000}"/>
    <cellStyle name="Comma 48 3" xfId="1222" xr:uid="{00000000-0005-0000-0000-0000470A0000}"/>
    <cellStyle name="Comma 48 3 2" xfId="2009" xr:uid="{00000000-0005-0000-0000-0000480A0000}"/>
    <cellStyle name="Comma 48 3 2 2" xfId="4253" xr:uid="{00000000-0005-0000-0000-0000490A0000}"/>
    <cellStyle name="Comma 48 3 3" xfId="2733" xr:uid="{00000000-0005-0000-0000-00004A0A0000}"/>
    <cellStyle name="Comma 48 3 3 2" xfId="4977" xr:uid="{00000000-0005-0000-0000-00004B0A0000}"/>
    <cellStyle name="Comma 48 3 4" xfId="3467" xr:uid="{00000000-0005-0000-0000-00004C0A0000}"/>
    <cellStyle name="Comma 48 4" xfId="1437" xr:uid="{00000000-0005-0000-0000-00004D0A0000}"/>
    <cellStyle name="Comma 48 4 2" xfId="3681" xr:uid="{00000000-0005-0000-0000-00004E0A0000}"/>
    <cellStyle name="Comma 48 5" xfId="2223" xr:uid="{00000000-0005-0000-0000-00004F0A0000}"/>
    <cellStyle name="Comma 48 5 2" xfId="4467" xr:uid="{00000000-0005-0000-0000-0000500A0000}"/>
    <cellStyle name="Comma 48 6" xfId="2947" xr:uid="{00000000-0005-0000-0000-0000510A0000}"/>
    <cellStyle name="Comma 49" xfId="735" xr:uid="{00000000-0005-0000-0000-0000520A0000}"/>
    <cellStyle name="Comma 49 2" xfId="1047" xr:uid="{00000000-0005-0000-0000-0000530A0000}"/>
    <cellStyle name="Comma 49 2 2" xfId="1835" xr:uid="{00000000-0005-0000-0000-0000540A0000}"/>
    <cellStyle name="Comma 49 2 2 2" xfId="4079" xr:uid="{00000000-0005-0000-0000-0000550A0000}"/>
    <cellStyle name="Comma 49 2 3" xfId="2559" xr:uid="{00000000-0005-0000-0000-0000560A0000}"/>
    <cellStyle name="Comma 49 2 3 2" xfId="4803" xr:uid="{00000000-0005-0000-0000-0000570A0000}"/>
    <cellStyle name="Comma 49 2 4" xfId="3293" xr:uid="{00000000-0005-0000-0000-0000580A0000}"/>
    <cellStyle name="Comma 49 3" xfId="1300" xr:uid="{00000000-0005-0000-0000-0000590A0000}"/>
    <cellStyle name="Comma 49 3 2" xfId="2087" xr:uid="{00000000-0005-0000-0000-00005A0A0000}"/>
    <cellStyle name="Comma 49 3 2 2" xfId="4331" xr:uid="{00000000-0005-0000-0000-00005B0A0000}"/>
    <cellStyle name="Comma 49 3 3" xfId="2810" xr:uid="{00000000-0005-0000-0000-00005C0A0000}"/>
    <cellStyle name="Comma 49 3 3 2" xfId="5054" xr:uid="{00000000-0005-0000-0000-00005D0A0000}"/>
    <cellStyle name="Comma 49 3 4" xfId="3545" xr:uid="{00000000-0005-0000-0000-00005E0A0000}"/>
    <cellStyle name="Comma 49 4" xfId="1567" xr:uid="{00000000-0005-0000-0000-00005F0A0000}"/>
    <cellStyle name="Comma 49 4 2" xfId="3811" xr:uid="{00000000-0005-0000-0000-0000600A0000}"/>
    <cellStyle name="Comma 49 5" xfId="2345" xr:uid="{00000000-0005-0000-0000-0000610A0000}"/>
    <cellStyle name="Comma 49 5 2" xfId="4589" xr:uid="{00000000-0005-0000-0000-0000620A0000}"/>
    <cellStyle name="Comma 49 6" xfId="3025" xr:uid="{00000000-0005-0000-0000-0000630A0000}"/>
    <cellStyle name="Comma 5" xfId="158" xr:uid="{00000000-0005-0000-0000-0000640A0000}"/>
    <cellStyle name="Comma 5 10" xfId="159" xr:uid="{00000000-0005-0000-0000-0000650A0000}"/>
    <cellStyle name="Comma 5 2" xfId="160" xr:uid="{00000000-0005-0000-0000-0000660A0000}"/>
    <cellStyle name="Comma 5 3" xfId="161" xr:uid="{00000000-0005-0000-0000-0000670A0000}"/>
    <cellStyle name="Comma 5 3 2" xfId="971" xr:uid="{00000000-0005-0000-0000-0000680A0000}"/>
    <cellStyle name="Comma 5 3 2 2" xfId="1759" xr:uid="{00000000-0005-0000-0000-0000690A0000}"/>
    <cellStyle name="Comma 5 3 2 2 2" xfId="4003" xr:uid="{00000000-0005-0000-0000-00006A0A0000}"/>
    <cellStyle name="Comma 5 3 2 3" xfId="2483" xr:uid="{00000000-0005-0000-0000-00006B0A0000}"/>
    <cellStyle name="Comma 5 3 2 3 2" xfId="4727" xr:uid="{00000000-0005-0000-0000-00006C0A0000}"/>
    <cellStyle name="Comma 5 3 2 4" xfId="3217" xr:uid="{00000000-0005-0000-0000-00006D0A0000}"/>
    <cellStyle name="Comma 5 3 3" xfId="1224" xr:uid="{00000000-0005-0000-0000-00006E0A0000}"/>
    <cellStyle name="Comma 5 3 3 2" xfId="2011" xr:uid="{00000000-0005-0000-0000-00006F0A0000}"/>
    <cellStyle name="Comma 5 3 3 2 2" xfId="4255" xr:uid="{00000000-0005-0000-0000-0000700A0000}"/>
    <cellStyle name="Comma 5 3 3 3" xfId="2735" xr:uid="{00000000-0005-0000-0000-0000710A0000}"/>
    <cellStyle name="Comma 5 3 3 3 2" xfId="4979" xr:uid="{00000000-0005-0000-0000-0000720A0000}"/>
    <cellStyle name="Comma 5 3 3 4" xfId="3469" xr:uid="{00000000-0005-0000-0000-0000730A0000}"/>
    <cellStyle name="Comma 5 3 4" xfId="1439" xr:uid="{00000000-0005-0000-0000-0000740A0000}"/>
    <cellStyle name="Comma 5 3 4 2" xfId="3683" xr:uid="{00000000-0005-0000-0000-0000750A0000}"/>
    <cellStyle name="Comma 5 3 5" xfId="2225" xr:uid="{00000000-0005-0000-0000-0000760A0000}"/>
    <cellStyle name="Comma 5 3 5 2" xfId="4469" xr:uid="{00000000-0005-0000-0000-0000770A0000}"/>
    <cellStyle name="Comma 5 3 6" xfId="2949" xr:uid="{00000000-0005-0000-0000-0000780A0000}"/>
    <cellStyle name="Comma 5 4" xfId="970" xr:uid="{00000000-0005-0000-0000-0000790A0000}"/>
    <cellStyle name="Comma 5 4 2" xfId="1758" xr:uid="{00000000-0005-0000-0000-00007A0A0000}"/>
    <cellStyle name="Comma 5 4 2 2" xfId="4002" xr:uid="{00000000-0005-0000-0000-00007B0A0000}"/>
    <cellStyle name="Comma 5 4 3" xfId="2482" xr:uid="{00000000-0005-0000-0000-00007C0A0000}"/>
    <cellStyle name="Comma 5 4 3 2" xfId="4726" xr:uid="{00000000-0005-0000-0000-00007D0A0000}"/>
    <cellStyle name="Comma 5 4 4" xfId="3216" xr:uid="{00000000-0005-0000-0000-00007E0A0000}"/>
    <cellStyle name="Comma 5 5" xfId="1223" xr:uid="{00000000-0005-0000-0000-00007F0A0000}"/>
    <cellStyle name="Comma 5 5 2" xfId="2010" xr:uid="{00000000-0005-0000-0000-0000800A0000}"/>
    <cellStyle name="Comma 5 5 2 2" xfId="4254" xr:uid="{00000000-0005-0000-0000-0000810A0000}"/>
    <cellStyle name="Comma 5 5 3" xfId="2734" xr:uid="{00000000-0005-0000-0000-0000820A0000}"/>
    <cellStyle name="Comma 5 5 3 2" xfId="4978" xr:uid="{00000000-0005-0000-0000-0000830A0000}"/>
    <cellStyle name="Comma 5 5 4" xfId="3468" xr:uid="{00000000-0005-0000-0000-0000840A0000}"/>
    <cellStyle name="Comma 5 6" xfId="1438" xr:uid="{00000000-0005-0000-0000-0000850A0000}"/>
    <cellStyle name="Comma 5 6 2" xfId="3682" xr:uid="{00000000-0005-0000-0000-0000860A0000}"/>
    <cellStyle name="Comma 5 7" xfId="2224" xr:uid="{00000000-0005-0000-0000-0000870A0000}"/>
    <cellStyle name="Comma 5 7 2" xfId="4468" xr:uid="{00000000-0005-0000-0000-0000880A0000}"/>
    <cellStyle name="Comma 5 8" xfId="2948" xr:uid="{00000000-0005-0000-0000-0000890A0000}"/>
    <cellStyle name="Comma 50" xfId="843" xr:uid="{00000000-0005-0000-0000-00008A0A0000}"/>
    <cellStyle name="Comma 50 2" xfId="1061" xr:uid="{00000000-0005-0000-0000-00008B0A0000}"/>
    <cellStyle name="Comma 50 2 2" xfId="1849" xr:uid="{00000000-0005-0000-0000-00008C0A0000}"/>
    <cellStyle name="Comma 50 2 2 2" xfId="4093" xr:uid="{00000000-0005-0000-0000-00008D0A0000}"/>
    <cellStyle name="Comma 50 2 3" xfId="2573" xr:uid="{00000000-0005-0000-0000-00008E0A0000}"/>
    <cellStyle name="Comma 50 2 3 2" xfId="4817" xr:uid="{00000000-0005-0000-0000-00008F0A0000}"/>
    <cellStyle name="Comma 50 2 4" xfId="3307" xr:uid="{00000000-0005-0000-0000-0000900A0000}"/>
    <cellStyle name="Comma 50 3" xfId="1315" xr:uid="{00000000-0005-0000-0000-0000910A0000}"/>
    <cellStyle name="Comma 50 3 2" xfId="2102" xr:uid="{00000000-0005-0000-0000-0000920A0000}"/>
    <cellStyle name="Comma 50 3 2 2" xfId="4346" xr:uid="{00000000-0005-0000-0000-0000930A0000}"/>
    <cellStyle name="Comma 50 3 3" xfId="2824" xr:uid="{00000000-0005-0000-0000-0000940A0000}"/>
    <cellStyle name="Comma 50 3 3 2" xfId="5068" xr:uid="{00000000-0005-0000-0000-0000950A0000}"/>
    <cellStyle name="Comma 50 3 4" xfId="3560" xr:uid="{00000000-0005-0000-0000-0000960A0000}"/>
    <cellStyle name="Comma 50 4" xfId="1635" xr:uid="{00000000-0005-0000-0000-0000970A0000}"/>
    <cellStyle name="Comma 50 4 2" xfId="3879" xr:uid="{00000000-0005-0000-0000-0000980A0000}"/>
    <cellStyle name="Comma 50 5" xfId="2359" xr:uid="{00000000-0005-0000-0000-0000990A0000}"/>
    <cellStyle name="Comma 50 5 2" xfId="4603" xr:uid="{00000000-0005-0000-0000-00009A0A0000}"/>
    <cellStyle name="Comma 50 6" xfId="3093" xr:uid="{00000000-0005-0000-0000-00009B0A0000}"/>
    <cellStyle name="Comma 51" xfId="835" xr:uid="{00000000-0005-0000-0000-00009C0A0000}"/>
    <cellStyle name="Comma 51 2" xfId="1058" xr:uid="{00000000-0005-0000-0000-00009D0A0000}"/>
    <cellStyle name="Comma 51 2 2" xfId="1846" xr:uid="{00000000-0005-0000-0000-00009E0A0000}"/>
    <cellStyle name="Comma 51 2 2 2" xfId="4090" xr:uid="{00000000-0005-0000-0000-00009F0A0000}"/>
    <cellStyle name="Comma 51 2 3" xfId="2570" xr:uid="{00000000-0005-0000-0000-0000A00A0000}"/>
    <cellStyle name="Comma 51 2 3 2" xfId="4814" xr:uid="{00000000-0005-0000-0000-0000A10A0000}"/>
    <cellStyle name="Comma 51 2 4" xfId="3304" xr:uid="{00000000-0005-0000-0000-0000A20A0000}"/>
    <cellStyle name="Comma 51 3" xfId="1312" xr:uid="{00000000-0005-0000-0000-0000A30A0000}"/>
    <cellStyle name="Comma 51 3 2" xfId="2099" xr:uid="{00000000-0005-0000-0000-0000A40A0000}"/>
    <cellStyle name="Comma 51 3 2 2" xfId="4343" xr:uid="{00000000-0005-0000-0000-0000A50A0000}"/>
    <cellStyle name="Comma 51 3 3" xfId="2821" xr:uid="{00000000-0005-0000-0000-0000A60A0000}"/>
    <cellStyle name="Comma 51 3 3 2" xfId="5065" xr:uid="{00000000-0005-0000-0000-0000A70A0000}"/>
    <cellStyle name="Comma 51 3 4" xfId="3557" xr:uid="{00000000-0005-0000-0000-0000A80A0000}"/>
    <cellStyle name="Comma 51 4" xfId="1632" xr:uid="{00000000-0005-0000-0000-0000A90A0000}"/>
    <cellStyle name="Comma 51 4 2" xfId="3876" xr:uid="{00000000-0005-0000-0000-0000AA0A0000}"/>
    <cellStyle name="Comma 51 5" xfId="2356" xr:uid="{00000000-0005-0000-0000-0000AB0A0000}"/>
    <cellStyle name="Comma 51 5 2" xfId="4600" xr:uid="{00000000-0005-0000-0000-0000AC0A0000}"/>
    <cellStyle name="Comma 51 6" xfId="3090" xr:uid="{00000000-0005-0000-0000-0000AD0A0000}"/>
    <cellStyle name="Comma 52" xfId="845" xr:uid="{00000000-0005-0000-0000-0000AE0A0000}"/>
    <cellStyle name="Comma 52 2" xfId="1062" xr:uid="{00000000-0005-0000-0000-0000AF0A0000}"/>
    <cellStyle name="Comma 52 2 2" xfId="1850" xr:uid="{00000000-0005-0000-0000-0000B00A0000}"/>
    <cellStyle name="Comma 52 2 2 2" xfId="4094" xr:uid="{00000000-0005-0000-0000-0000B10A0000}"/>
    <cellStyle name="Comma 52 2 3" xfId="2574" xr:uid="{00000000-0005-0000-0000-0000B20A0000}"/>
    <cellStyle name="Comma 52 2 3 2" xfId="4818" xr:uid="{00000000-0005-0000-0000-0000B30A0000}"/>
    <cellStyle name="Comma 52 2 4" xfId="3308" xr:uid="{00000000-0005-0000-0000-0000B40A0000}"/>
    <cellStyle name="Comma 52 3" xfId="1316" xr:uid="{00000000-0005-0000-0000-0000B50A0000}"/>
    <cellStyle name="Comma 52 3 2" xfId="2103" xr:uid="{00000000-0005-0000-0000-0000B60A0000}"/>
    <cellStyle name="Comma 52 3 2 2" xfId="4347" xr:uid="{00000000-0005-0000-0000-0000B70A0000}"/>
    <cellStyle name="Comma 52 3 3" xfId="2825" xr:uid="{00000000-0005-0000-0000-0000B80A0000}"/>
    <cellStyle name="Comma 52 3 3 2" xfId="5069" xr:uid="{00000000-0005-0000-0000-0000B90A0000}"/>
    <cellStyle name="Comma 52 3 4" xfId="3561" xr:uid="{00000000-0005-0000-0000-0000BA0A0000}"/>
    <cellStyle name="Comma 52 4" xfId="1636" xr:uid="{00000000-0005-0000-0000-0000BB0A0000}"/>
    <cellStyle name="Comma 52 4 2" xfId="3880" xr:uid="{00000000-0005-0000-0000-0000BC0A0000}"/>
    <cellStyle name="Comma 52 5" xfId="2360" xr:uid="{00000000-0005-0000-0000-0000BD0A0000}"/>
    <cellStyle name="Comma 52 5 2" xfId="4604" xr:uid="{00000000-0005-0000-0000-0000BE0A0000}"/>
    <cellStyle name="Comma 52 6" xfId="3094" xr:uid="{00000000-0005-0000-0000-0000BF0A0000}"/>
    <cellStyle name="Comma 53" xfId="162" xr:uid="{00000000-0005-0000-0000-0000C00A0000}"/>
    <cellStyle name="Comma 53 2" xfId="972" xr:uid="{00000000-0005-0000-0000-0000C10A0000}"/>
    <cellStyle name="Comma 53 2 2" xfId="1760" xr:uid="{00000000-0005-0000-0000-0000C20A0000}"/>
    <cellStyle name="Comma 53 2 2 2" xfId="4004" xr:uid="{00000000-0005-0000-0000-0000C30A0000}"/>
    <cellStyle name="Comma 53 2 3" xfId="2484" xr:uid="{00000000-0005-0000-0000-0000C40A0000}"/>
    <cellStyle name="Comma 53 2 3 2" xfId="4728" xr:uid="{00000000-0005-0000-0000-0000C50A0000}"/>
    <cellStyle name="Comma 53 2 4" xfId="3218" xr:uid="{00000000-0005-0000-0000-0000C60A0000}"/>
    <cellStyle name="Comma 53 3" xfId="1225" xr:uid="{00000000-0005-0000-0000-0000C70A0000}"/>
    <cellStyle name="Comma 53 3 2" xfId="2012" xr:uid="{00000000-0005-0000-0000-0000C80A0000}"/>
    <cellStyle name="Comma 53 3 2 2" xfId="4256" xr:uid="{00000000-0005-0000-0000-0000C90A0000}"/>
    <cellStyle name="Comma 53 3 3" xfId="2736" xr:uid="{00000000-0005-0000-0000-0000CA0A0000}"/>
    <cellStyle name="Comma 53 3 3 2" xfId="4980" xr:uid="{00000000-0005-0000-0000-0000CB0A0000}"/>
    <cellStyle name="Comma 53 3 4" xfId="3470" xr:uid="{00000000-0005-0000-0000-0000CC0A0000}"/>
    <cellStyle name="Comma 53 4" xfId="1440" xr:uid="{00000000-0005-0000-0000-0000CD0A0000}"/>
    <cellStyle name="Comma 53 4 2" xfId="3684" xr:uid="{00000000-0005-0000-0000-0000CE0A0000}"/>
    <cellStyle name="Comma 53 5" xfId="2226" xr:uid="{00000000-0005-0000-0000-0000CF0A0000}"/>
    <cellStyle name="Comma 53 5 2" xfId="4470" xr:uid="{00000000-0005-0000-0000-0000D00A0000}"/>
    <cellStyle name="Comma 53 6" xfId="2950" xr:uid="{00000000-0005-0000-0000-0000D10A0000}"/>
    <cellStyle name="Comma 54" xfId="734" xr:uid="{00000000-0005-0000-0000-0000D20A0000}"/>
    <cellStyle name="Comma 54 2" xfId="1046" xr:uid="{00000000-0005-0000-0000-0000D30A0000}"/>
    <cellStyle name="Comma 54 2 2" xfId="1834" xr:uid="{00000000-0005-0000-0000-0000D40A0000}"/>
    <cellStyle name="Comma 54 2 2 2" xfId="4078" xr:uid="{00000000-0005-0000-0000-0000D50A0000}"/>
    <cellStyle name="Comma 54 2 3" xfId="2558" xr:uid="{00000000-0005-0000-0000-0000D60A0000}"/>
    <cellStyle name="Comma 54 2 3 2" xfId="4802" xr:uid="{00000000-0005-0000-0000-0000D70A0000}"/>
    <cellStyle name="Comma 54 2 4" xfId="3292" xr:uid="{00000000-0005-0000-0000-0000D80A0000}"/>
    <cellStyle name="Comma 54 3" xfId="1299" xr:uid="{00000000-0005-0000-0000-0000D90A0000}"/>
    <cellStyle name="Comma 54 3 2" xfId="2086" xr:uid="{00000000-0005-0000-0000-0000DA0A0000}"/>
    <cellStyle name="Comma 54 3 2 2" xfId="4330" xr:uid="{00000000-0005-0000-0000-0000DB0A0000}"/>
    <cellStyle name="Comma 54 3 3" xfId="2809" xr:uid="{00000000-0005-0000-0000-0000DC0A0000}"/>
    <cellStyle name="Comma 54 3 3 2" xfId="5053" xr:uid="{00000000-0005-0000-0000-0000DD0A0000}"/>
    <cellStyle name="Comma 54 3 4" xfId="3544" xr:uid="{00000000-0005-0000-0000-0000DE0A0000}"/>
    <cellStyle name="Comma 54 4" xfId="1566" xr:uid="{00000000-0005-0000-0000-0000DF0A0000}"/>
    <cellStyle name="Comma 54 4 2" xfId="3810" xr:uid="{00000000-0005-0000-0000-0000E00A0000}"/>
    <cellStyle name="Comma 54 5" xfId="2344" xr:uid="{00000000-0005-0000-0000-0000E10A0000}"/>
    <cellStyle name="Comma 54 5 2" xfId="4588" xr:uid="{00000000-0005-0000-0000-0000E20A0000}"/>
    <cellStyle name="Comma 54 6" xfId="3024" xr:uid="{00000000-0005-0000-0000-0000E30A0000}"/>
    <cellStyle name="Comma 55" xfId="847" xr:uid="{00000000-0005-0000-0000-0000E40A0000}"/>
    <cellStyle name="Comma 55 2" xfId="1064" xr:uid="{00000000-0005-0000-0000-0000E50A0000}"/>
    <cellStyle name="Comma 55 2 2" xfId="1852" xr:uid="{00000000-0005-0000-0000-0000E60A0000}"/>
    <cellStyle name="Comma 55 2 2 2" xfId="4096" xr:uid="{00000000-0005-0000-0000-0000E70A0000}"/>
    <cellStyle name="Comma 55 2 3" xfId="2576" xr:uid="{00000000-0005-0000-0000-0000E80A0000}"/>
    <cellStyle name="Comma 55 2 3 2" xfId="4820" xr:uid="{00000000-0005-0000-0000-0000E90A0000}"/>
    <cellStyle name="Comma 55 2 4" xfId="3310" xr:uid="{00000000-0005-0000-0000-0000EA0A0000}"/>
    <cellStyle name="Comma 55 3" xfId="1318" xr:uid="{00000000-0005-0000-0000-0000EB0A0000}"/>
    <cellStyle name="Comma 55 3 2" xfId="2105" xr:uid="{00000000-0005-0000-0000-0000EC0A0000}"/>
    <cellStyle name="Comma 55 3 2 2" xfId="4349" xr:uid="{00000000-0005-0000-0000-0000ED0A0000}"/>
    <cellStyle name="Comma 55 3 3" xfId="2827" xr:uid="{00000000-0005-0000-0000-0000EE0A0000}"/>
    <cellStyle name="Comma 55 3 3 2" xfId="5071" xr:uid="{00000000-0005-0000-0000-0000EF0A0000}"/>
    <cellStyle name="Comma 55 3 4" xfId="3563" xr:uid="{00000000-0005-0000-0000-0000F00A0000}"/>
    <cellStyle name="Comma 55 4" xfId="1638" xr:uid="{00000000-0005-0000-0000-0000F10A0000}"/>
    <cellStyle name="Comma 55 4 2" xfId="3882" xr:uid="{00000000-0005-0000-0000-0000F20A0000}"/>
    <cellStyle name="Comma 55 5" xfId="2362" xr:uid="{00000000-0005-0000-0000-0000F30A0000}"/>
    <cellStyle name="Comma 55 5 2" xfId="4606" xr:uid="{00000000-0005-0000-0000-0000F40A0000}"/>
    <cellStyle name="Comma 55 6" xfId="3096" xr:uid="{00000000-0005-0000-0000-0000F50A0000}"/>
    <cellStyle name="Comma 56" xfId="733" xr:uid="{00000000-0005-0000-0000-0000F60A0000}"/>
    <cellStyle name="Comma 56 2" xfId="1045" xr:uid="{00000000-0005-0000-0000-0000F70A0000}"/>
    <cellStyle name="Comma 56 2 2" xfId="1833" xr:uid="{00000000-0005-0000-0000-0000F80A0000}"/>
    <cellStyle name="Comma 56 2 2 2" xfId="4077" xr:uid="{00000000-0005-0000-0000-0000F90A0000}"/>
    <cellStyle name="Comma 56 2 3" xfId="2557" xr:uid="{00000000-0005-0000-0000-0000FA0A0000}"/>
    <cellStyle name="Comma 56 2 3 2" xfId="4801" xr:uid="{00000000-0005-0000-0000-0000FB0A0000}"/>
    <cellStyle name="Comma 56 2 4" xfId="3291" xr:uid="{00000000-0005-0000-0000-0000FC0A0000}"/>
    <cellStyle name="Comma 56 3" xfId="1298" xr:uid="{00000000-0005-0000-0000-0000FD0A0000}"/>
    <cellStyle name="Comma 56 3 2" xfId="2085" xr:uid="{00000000-0005-0000-0000-0000FE0A0000}"/>
    <cellStyle name="Comma 56 3 2 2" xfId="4329" xr:uid="{00000000-0005-0000-0000-0000FF0A0000}"/>
    <cellStyle name="Comma 56 3 3" xfId="2808" xr:uid="{00000000-0005-0000-0000-0000000B0000}"/>
    <cellStyle name="Comma 56 3 3 2" xfId="5052" xr:uid="{00000000-0005-0000-0000-0000010B0000}"/>
    <cellStyle name="Comma 56 3 4" xfId="3543" xr:uid="{00000000-0005-0000-0000-0000020B0000}"/>
    <cellStyle name="Comma 56 4" xfId="1565" xr:uid="{00000000-0005-0000-0000-0000030B0000}"/>
    <cellStyle name="Comma 56 4 2" xfId="3809" xr:uid="{00000000-0005-0000-0000-0000040B0000}"/>
    <cellStyle name="Comma 56 5" xfId="2343" xr:uid="{00000000-0005-0000-0000-0000050B0000}"/>
    <cellStyle name="Comma 56 5 2" xfId="4587" xr:uid="{00000000-0005-0000-0000-0000060B0000}"/>
    <cellStyle name="Comma 56 6" xfId="3023" xr:uid="{00000000-0005-0000-0000-0000070B0000}"/>
    <cellStyle name="Comma 57" xfId="846" xr:uid="{00000000-0005-0000-0000-0000080B0000}"/>
    <cellStyle name="Comma 57 2" xfId="1063" xr:uid="{00000000-0005-0000-0000-0000090B0000}"/>
    <cellStyle name="Comma 57 2 2" xfId="1851" xr:uid="{00000000-0005-0000-0000-00000A0B0000}"/>
    <cellStyle name="Comma 57 2 2 2" xfId="4095" xr:uid="{00000000-0005-0000-0000-00000B0B0000}"/>
    <cellStyle name="Comma 57 2 3" xfId="2575" xr:uid="{00000000-0005-0000-0000-00000C0B0000}"/>
    <cellStyle name="Comma 57 2 3 2" xfId="4819" xr:uid="{00000000-0005-0000-0000-00000D0B0000}"/>
    <cellStyle name="Comma 57 2 4" xfId="3309" xr:uid="{00000000-0005-0000-0000-00000E0B0000}"/>
    <cellStyle name="Comma 57 3" xfId="1317" xr:uid="{00000000-0005-0000-0000-00000F0B0000}"/>
    <cellStyle name="Comma 57 3 2" xfId="2104" xr:uid="{00000000-0005-0000-0000-0000100B0000}"/>
    <cellStyle name="Comma 57 3 2 2" xfId="4348" xr:uid="{00000000-0005-0000-0000-0000110B0000}"/>
    <cellStyle name="Comma 57 3 3" xfId="2826" xr:uid="{00000000-0005-0000-0000-0000120B0000}"/>
    <cellStyle name="Comma 57 3 3 2" xfId="5070" xr:uid="{00000000-0005-0000-0000-0000130B0000}"/>
    <cellStyle name="Comma 57 3 4" xfId="3562" xr:uid="{00000000-0005-0000-0000-0000140B0000}"/>
    <cellStyle name="Comma 57 4" xfId="1637" xr:uid="{00000000-0005-0000-0000-0000150B0000}"/>
    <cellStyle name="Comma 57 4 2" xfId="3881" xr:uid="{00000000-0005-0000-0000-0000160B0000}"/>
    <cellStyle name="Comma 57 5" xfId="2361" xr:uid="{00000000-0005-0000-0000-0000170B0000}"/>
    <cellStyle name="Comma 57 5 2" xfId="4605" xr:uid="{00000000-0005-0000-0000-0000180B0000}"/>
    <cellStyle name="Comma 57 6" xfId="3095" xr:uid="{00000000-0005-0000-0000-0000190B0000}"/>
    <cellStyle name="Comma 58" xfId="163" xr:uid="{00000000-0005-0000-0000-00001A0B0000}"/>
    <cellStyle name="Comma 58 2" xfId="973" xr:uid="{00000000-0005-0000-0000-00001B0B0000}"/>
    <cellStyle name="Comma 58 2 2" xfId="1761" xr:uid="{00000000-0005-0000-0000-00001C0B0000}"/>
    <cellStyle name="Comma 58 2 2 2" xfId="4005" xr:uid="{00000000-0005-0000-0000-00001D0B0000}"/>
    <cellStyle name="Comma 58 2 3" xfId="2485" xr:uid="{00000000-0005-0000-0000-00001E0B0000}"/>
    <cellStyle name="Comma 58 2 3 2" xfId="4729" xr:uid="{00000000-0005-0000-0000-00001F0B0000}"/>
    <cellStyle name="Comma 58 2 4" xfId="3219" xr:uid="{00000000-0005-0000-0000-0000200B0000}"/>
    <cellStyle name="Comma 58 3" xfId="1226" xr:uid="{00000000-0005-0000-0000-0000210B0000}"/>
    <cellStyle name="Comma 58 3 2" xfId="2013" xr:uid="{00000000-0005-0000-0000-0000220B0000}"/>
    <cellStyle name="Comma 58 3 2 2" xfId="4257" xr:uid="{00000000-0005-0000-0000-0000230B0000}"/>
    <cellStyle name="Comma 58 3 3" xfId="2737" xr:uid="{00000000-0005-0000-0000-0000240B0000}"/>
    <cellStyle name="Comma 58 3 3 2" xfId="4981" xr:uid="{00000000-0005-0000-0000-0000250B0000}"/>
    <cellStyle name="Comma 58 3 4" xfId="3471" xr:uid="{00000000-0005-0000-0000-0000260B0000}"/>
    <cellStyle name="Comma 58 4" xfId="1441" xr:uid="{00000000-0005-0000-0000-0000270B0000}"/>
    <cellStyle name="Comma 58 4 2" xfId="3685" xr:uid="{00000000-0005-0000-0000-0000280B0000}"/>
    <cellStyle name="Comma 58 5" xfId="2227" xr:uid="{00000000-0005-0000-0000-0000290B0000}"/>
    <cellStyle name="Comma 58 5 2" xfId="4471" xr:uid="{00000000-0005-0000-0000-00002A0B0000}"/>
    <cellStyle name="Comma 58 6" xfId="2951" xr:uid="{00000000-0005-0000-0000-00002B0B0000}"/>
    <cellStyle name="Comma 59" xfId="851" xr:uid="{00000000-0005-0000-0000-00002C0B0000}"/>
    <cellStyle name="Comma 59 2" xfId="1639" xr:uid="{00000000-0005-0000-0000-00002D0B0000}"/>
    <cellStyle name="Comma 59 2 2" xfId="3883" xr:uid="{00000000-0005-0000-0000-00002E0B0000}"/>
    <cellStyle name="Comma 59 3" xfId="2363" xr:uid="{00000000-0005-0000-0000-00002F0B0000}"/>
    <cellStyle name="Comma 59 3 2" xfId="4607" xr:uid="{00000000-0005-0000-0000-0000300B0000}"/>
    <cellStyle name="Comma 59 4" xfId="3097" xr:uid="{00000000-0005-0000-0000-0000310B0000}"/>
    <cellStyle name="Comma 6" xfId="164" xr:uid="{00000000-0005-0000-0000-0000320B0000}"/>
    <cellStyle name="Comma 6 10" xfId="165" xr:uid="{00000000-0005-0000-0000-0000330B0000}"/>
    <cellStyle name="Comma 6 10 2" xfId="975" xr:uid="{00000000-0005-0000-0000-0000340B0000}"/>
    <cellStyle name="Comma 6 10 2 2" xfId="1763" xr:uid="{00000000-0005-0000-0000-0000350B0000}"/>
    <cellStyle name="Comma 6 10 2 2 2" xfId="4007" xr:uid="{00000000-0005-0000-0000-0000360B0000}"/>
    <cellStyle name="Comma 6 10 2 3" xfId="2487" xr:uid="{00000000-0005-0000-0000-0000370B0000}"/>
    <cellStyle name="Comma 6 10 2 3 2" xfId="4731" xr:uid="{00000000-0005-0000-0000-0000380B0000}"/>
    <cellStyle name="Comma 6 10 2 4" xfId="3221" xr:uid="{00000000-0005-0000-0000-0000390B0000}"/>
    <cellStyle name="Comma 6 10 3" xfId="1228" xr:uid="{00000000-0005-0000-0000-00003A0B0000}"/>
    <cellStyle name="Comma 6 10 3 2" xfId="2015" xr:uid="{00000000-0005-0000-0000-00003B0B0000}"/>
    <cellStyle name="Comma 6 10 3 2 2" xfId="4259" xr:uid="{00000000-0005-0000-0000-00003C0B0000}"/>
    <cellStyle name="Comma 6 10 3 3" xfId="2739" xr:uid="{00000000-0005-0000-0000-00003D0B0000}"/>
    <cellStyle name="Comma 6 10 3 3 2" xfId="4983" xr:uid="{00000000-0005-0000-0000-00003E0B0000}"/>
    <cellStyle name="Comma 6 10 3 4" xfId="3473" xr:uid="{00000000-0005-0000-0000-00003F0B0000}"/>
    <cellStyle name="Comma 6 10 4" xfId="1443" xr:uid="{00000000-0005-0000-0000-0000400B0000}"/>
    <cellStyle name="Comma 6 10 4 2" xfId="3687" xr:uid="{00000000-0005-0000-0000-0000410B0000}"/>
    <cellStyle name="Comma 6 10 5" xfId="2229" xr:uid="{00000000-0005-0000-0000-0000420B0000}"/>
    <cellStyle name="Comma 6 10 5 2" xfId="4473" xr:uid="{00000000-0005-0000-0000-0000430B0000}"/>
    <cellStyle name="Comma 6 10 6" xfId="2953" xr:uid="{00000000-0005-0000-0000-0000440B0000}"/>
    <cellStyle name="Comma 6 11" xfId="166" xr:uid="{00000000-0005-0000-0000-0000450B0000}"/>
    <cellStyle name="Comma 6 11 2" xfId="976" xr:uid="{00000000-0005-0000-0000-0000460B0000}"/>
    <cellStyle name="Comma 6 11 2 2" xfId="1764" xr:uid="{00000000-0005-0000-0000-0000470B0000}"/>
    <cellStyle name="Comma 6 11 2 2 2" xfId="4008" xr:uid="{00000000-0005-0000-0000-0000480B0000}"/>
    <cellStyle name="Comma 6 11 2 3" xfId="2488" xr:uid="{00000000-0005-0000-0000-0000490B0000}"/>
    <cellStyle name="Comma 6 11 2 3 2" xfId="4732" xr:uid="{00000000-0005-0000-0000-00004A0B0000}"/>
    <cellStyle name="Comma 6 11 2 4" xfId="3222" xr:uid="{00000000-0005-0000-0000-00004B0B0000}"/>
    <cellStyle name="Comma 6 11 3" xfId="1229" xr:uid="{00000000-0005-0000-0000-00004C0B0000}"/>
    <cellStyle name="Comma 6 11 3 2" xfId="2016" xr:uid="{00000000-0005-0000-0000-00004D0B0000}"/>
    <cellStyle name="Comma 6 11 3 2 2" xfId="4260" xr:uid="{00000000-0005-0000-0000-00004E0B0000}"/>
    <cellStyle name="Comma 6 11 3 3" xfId="2740" xr:uid="{00000000-0005-0000-0000-00004F0B0000}"/>
    <cellStyle name="Comma 6 11 3 3 2" xfId="4984" xr:uid="{00000000-0005-0000-0000-0000500B0000}"/>
    <cellStyle name="Comma 6 11 3 4" xfId="3474" xr:uid="{00000000-0005-0000-0000-0000510B0000}"/>
    <cellStyle name="Comma 6 11 4" xfId="1444" xr:uid="{00000000-0005-0000-0000-0000520B0000}"/>
    <cellStyle name="Comma 6 11 4 2" xfId="3688" xr:uid="{00000000-0005-0000-0000-0000530B0000}"/>
    <cellStyle name="Comma 6 11 5" xfId="2230" xr:uid="{00000000-0005-0000-0000-0000540B0000}"/>
    <cellStyle name="Comma 6 11 5 2" xfId="4474" xr:uid="{00000000-0005-0000-0000-0000550B0000}"/>
    <cellStyle name="Comma 6 11 6" xfId="2954" xr:uid="{00000000-0005-0000-0000-0000560B0000}"/>
    <cellStyle name="Comma 6 12" xfId="167" xr:uid="{00000000-0005-0000-0000-0000570B0000}"/>
    <cellStyle name="Comma 6 12 2" xfId="977" xr:uid="{00000000-0005-0000-0000-0000580B0000}"/>
    <cellStyle name="Comma 6 12 2 2" xfId="1765" xr:uid="{00000000-0005-0000-0000-0000590B0000}"/>
    <cellStyle name="Comma 6 12 2 2 2" xfId="4009" xr:uid="{00000000-0005-0000-0000-00005A0B0000}"/>
    <cellStyle name="Comma 6 12 2 3" xfId="2489" xr:uid="{00000000-0005-0000-0000-00005B0B0000}"/>
    <cellStyle name="Comma 6 12 2 3 2" xfId="4733" xr:uid="{00000000-0005-0000-0000-00005C0B0000}"/>
    <cellStyle name="Comma 6 12 2 4" xfId="3223" xr:uid="{00000000-0005-0000-0000-00005D0B0000}"/>
    <cellStyle name="Comma 6 12 3" xfId="1230" xr:uid="{00000000-0005-0000-0000-00005E0B0000}"/>
    <cellStyle name="Comma 6 12 3 2" xfId="2017" xr:uid="{00000000-0005-0000-0000-00005F0B0000}"/>
    <cellStyle name="Comma 6 12 3 2 2" xfId="4261" xr:uid="{00000000-0005-0000-0000-0000600B0000}"/>
    <cellStyle name="Comma 6 12 3 3" xfId="2741" xr:uid="{00000000-0005-0000-0000-0000610B0000}"/>
    <cellStyle name="Comma 6 12 3 3 2" xfId="4985" xr:uid="{00000000-0005-0000-0000-0000620B0000}"/>
    <cellStyle name="Comma 6 12 3 4" xfId="3475" xr:uid="{00000000-0005-0000-0000-0000630B0000}"/>
    <cellStyle name="Comma 6 12 4" xfId="1445" xr:uid="{00000000-0005-0000-0000-0000640B0000}"/>
    <cellStyle name="Comma 6 12 4 2" xfId="3689" xr:uid="{00000000-0005-0000-0000-0000650B0000}"/>
    <cellStyle name="Comma 6 12 5" xfId="2231" xr:uid="{00000000-0005-0000-0000-0000660B0000}"/>
    <cellStyle name="Comma 6 12 5 2" xfId="4475" xr:uid="{00000000-0005-0000-0000-0000670B0000}"/>
    <cellStyle name="Comma 6 12 6" xfId="2955" xr:uid="{00000000-0005-0000-0000-0000680B0000}"/>
    <cellStyle name="Comma 6 13" xfId="168" xr:uid="{00000000-0005-0000-0000-0000690B0000}"/>
    <cellStyle name="Comma 6 13 2" xfId="978" xr:uid="{00000000-0005-0000-0000-00006A0B0000}"/>
    <cellStyle name="Comma 6 13 2 2" xfId="1766" xr:uid="{00000000-0005-0000-0000-00006B0B0000}"/>
    <cellStyle name="Comma 6 13 2 2 2" xfId="4010" xr:uid="{00000000-0005-0000-0000-00006C0B0000}"/>
    <cellStyle name="Comma 6 13 2 3" xfId="2490" xr:uid="{00000000-0005-0000-0000-00006D0B0000}"/>
    <cellStyle name="Comma 6 13 2 3 2" xfId="4734" xr:uid="{00000000-0005-0000-0000-00006E0B0000}"/>
    <cellStyle name="Comma 6 13 2 4" xfId="3224" xr:uid="{00000000-0005-0000-0000-00006F0B0000}"/>
    <cellStyle name="Comma 6 13 3" xfId="1231" xr:uid="{00000000-0005-0000-0000-0000700B0000}"/>
    <cellStyle name="Comma 6 13 3 2" xfId="2018" xr:uid="{00000000-0005-0000-0000-0000710B0000}"/>
    <cellStyle name="Comma 6 13 3 2 2" xfId="4262" xr:uid="{00000000-0005-0000-0000-0000720B0000}"/>
    <cellStyle name="Comma 6 13 3 3" xfId="2742" xr:uid="{00000000-0005-0000-0000-0000730B0000}"/>
    <cellStyle name="Comma 6 13 3 3 2" xfId="4986" xr:uid="{00000000-0005-0000-0000-0000740B0000}"/>
    <cellStyle name="Comma 6 13 3 4" xfId="3476" xr:uid="{00000000-0005-0000-0000-0000750B0000}"/>
    <cellStyle name="Comma 6 13 4" xfId="1446" xr:uid="{00000000-0005-0000-0000-0000760B0000}"/>
    <cellStyle name="Comma 6 13 4 2" xfId="3690" xr:uid="{00000000-0005-0000-0000-0000770B0000}"/>
    <cellStyle name="Comma 6 13 5" xfId="2232" xr:uid="{00000000-0005-0000-0000-0000780B0000}"/>
    <cellStyle name="Comma 6 13 5 2" xfId="4476" xr:uid="{00000000-0005-0000-0000-0000790B0000}"/>
    <cellStyle name="Comma 6 13 6" xfId="2956" xr:uid="{00000000-0005-0000-0000-00007A0B0000}"/>
    <cellStyle name="Comma 6 14" xfId="169" xr:uid="{00000000-0005-0000-0000-00007B0B0000}"/>
    <cellStyle name="Comma 6 14 2" xfId="979" xr:uid="{00000000-0005-0000-0000-00007C0B0000}"/>
    <cellStyle name="Comma 6 14 2 2" xfId="1767" xr:uid="{00000000-0005-0000-0000-00007D0B0000}"/>
    <cellStyle name="Comma 6 14 2 2 2" xfId="4011" xr:uid="{00000000-0005-0000-0000-00007E0B0000}"/>
    <cellStyle name="Comma 6 14 2 3" xfId="2491" xr:uid="{00000000-0005-0000-0000-00007F0B0000}"/>
    <cellStyle name="Comma 6 14 2 3 2" xfId="4735" xr:uid="{00000000-0005-0000-0000-0000800B0000}"/>
    <cellStyle name="Comma 6 14 2 4" xfId="3225" xr:uid="{00000000-0005-0000-0000-0000810B0000}"/>
    <cellStyle name="Comma 6 14 3" xfId="1232" xr:uid="{00000000-0005-0000-0000-0000820B0000}"/>
    <cellStyle name="Comma 6 14 3 2" xfId="2019" xr:uid="{00000000-0005-0000-0000-0000830B0000}"/>
    <cellStyle name="Comma 6 14 3 2 2" xfId="4263" xr:uid="{00000000-0005-0000-0000-0000840B0000}"/>
    <cellStyle name="Comma 6 14 3 3" xfId="2743" xr:uid="{00000000-0005-0000-0000-0000850B0000}"/>
    <cellStyle name="Comma 6 14 3 3 2" xfId="4987" xr:uid="{00000000-0005-0000-0000-0000860B0000}"/>
    <cellStyle name="Comma 6 14 3 4" xfId="3477" xr:uid="{00000000-0005-0000-0000-0000870B0000}"/>
    <cellStyle name="Comma 6 14 4" xfId="1447" xr:uid="{00000000-0005-0000-0000-0000880B0000}"/>
    <cellStyle name="Comma 6 14 4 2" xfId="3691" xr:uid="{00000000-0005-0000-0000-0000890B0000}"/>
    <cellStyle name="Comma 6 14 5" xfId="2233" xr:uid="{00000000-0005-0000-0000-00008A0B0000}"/>
    <cellStyle name="Comma 6 14 5 2" xfId="4477" xr:uid="{00000000-0005-0000-0000-00008B0B0000}"/>
    <cellStyle name="Comma 6 14 6" xfId="2957" xr:uid="{00000000-0005-0000-0000-00008C0B0000}"/>
    <cellStyle name="Comma 6 15" xfId="170" xr:uid="{00000000-0005-0000-0000-00008D0B0000}"/>
    <cellStyle name="Comma 6 15 2" xfId="980" xr:uid="{00000000-0005-0000-0000-00008E0B0000}"/>
    <cellStyle name="Comma 6 15 2 2" xfId="1768" xr:uid="{00000000-0005-0000-0000-00008F0B0000}"/>
    <cellStyle name="Comma 6 15 2 2 2" xfId="4012" xr:uid="{00000000-0005-0000-0000-0000900B0000}"/>
    <cellStyle name="Comma 6 15 2 3" xfId="2492" xr:uid="{00000000-0005-0000-0000-0000910B0000}"/>
    <cellStyle name="Comma 6 15 2 3 2" xfId="4736" xr:uid="{00000000-0005-0000-0000-0000920B0000}"/>
    <cellStyle name="Comma 6 15 2 4" xfId="3226" xr:uid="{00000000-0005-0000-0000-0000930B0000}"/>
    <cellStyle name="Comma 6 15 3" xfId="1233" xr:uid="{00000000-0005-0000-0000-0000940B0000}"/>
    <cellStyle name="Comma 6 15 3 2" xfId="2020" xr:uid="{00000000-0005-0000-0000-0000950B0000}"/>
    <cellStyle name="Comma 6 15 3 2 2" xfId="4264" xr:uid="{00000000-0005-0000-0000-0000960B0000}"/>
    <cellStyle name="Comma 6 15 3 3" xfId="2744" xr:uid="{00000000-0005-0000-0000-0000970B0000}"/>
    <cellStyle name="Comma 6 15 3 3 2" xfId="4988" xr:uid="{00000000-0005-0000-0000-0000980B0000}"/>
    <cellStyle name="Comma 6 15 3 4" xfId="3478" xr:uid="{00000000-0005-0000-0000-0000990B0000}"/>
    <cellStyle name="Comma 6 15 4" xfId="1448" xr:uid="{00000000-0005-0000-0000-00009A0B0000}"/>
    <cellStyle name="Comma 6 15 4 2" xfId="3692" xr:uid="{00000000-0005-0000-0000-00009B0B0000}"/>
    <cellStyle name="Comma 6 15 5" xfId="2234" xr:uid="{00000000-0005-0000-0000-00009C0B0000}"/>
    <cellStyle name="Comma 6 15 5 2" xfId="4478" xr:uid="{00000000-0005-0000-0000-00009D0B0000}"/>
    <cellStyle name="Comma 6 15 6" xfId="2958" xr:uid="{00000000-0005-0000-0000-00009E0B0000}"/>
    <cellStyle name="Comma 6 16" xfId="171" xr:uid="{00000000-0005-0000-0000-00009F0B0000}"/>
    <cellStyle name="Comma 6 16 2" xfId="981" xr:uid="{00000000-0005-0000-0000-0000A00B0000}"/>
    <cellStyle name="Comma 6 16 2 2" xfId="1769" xr:uid="{00000000-0005-0000-0000-0000A10B0000}"/>
    <cellStyle name="Comma 6 16 2 2 2" xfId="4013" xr:uid="{00000000-0005-0000-0000-0000A20B0000}"/>
    <cellStyle name="Comma 6 16 2 3" xfId="2493" xr:uid="{00000000-0005-0000-0000-0000A30B0000}"/>
    <cellStyle name="Comma 6 16 2 3 2" xfId="4737" xr:uid="{00000000-0005-0000-0000-0000A40B0000}"/>
    <cellStyle name="Comma 6 16 2 4" xfId="3227" xr:uid="{00000000-0005-0000-0000-0000A50B0000}"/>
    <cellStyle name="Comma 6 16 3" xfId="1234" xr:uid="{00000000-0005-0000-0000-0000A60B0000}"/>
    <cellStyle name="Comma 6 16 3 2" xfId="2021" xr:uid="{00000000-0005-0000-0000-0000A70B0000}"/>
    <cellStyle name="Comma 6 16 3 2 2" xfId="4265" xr:uid="{00000000-0005-0000-0000-0000A80B0000}"/>
    <cellStyle name="Comma 6 16 3 3" xfId="2745" xr:uid="{00000000-0005-0000-0000-0000A90B0000}"/>
    <cellStyle name="Comma 6 16 3 3 2" xfId="4989" xr:uid="{00000000-0005-0000-0000-0000AA0B0000}"/>
    <cellStyle name="Comma 6 16 3 4" xfId="3479" xr:uid="{00000000-0005-0000-0000-0000AB0B0000}"/>
    <cellStyle name="Comma 6 16 4" xfId="1449" xr:uid="{00000000-0005-0000-0000-0000AC0B0000}"/>
    <cellStyle name="Comma 6 16 4 2" xfId="3693" xr:uid="{00000000-0005-0000-0000-0000AD0B0000}"/>
    <cellStyle name="Comma 6 16 5" xfId="2235" xr:uid="{00000000-0005-0000-0000-0000AE0B0000}"/>
    <cellStyle name="Comma 6 16 5 2" xfId="4479" xr:uid="{00000000-0005-0000-0000-0000AF0B0000}"/>
    <cellStyle name="Comma 6 16 6" xfId="2959" xr:uid="{00000000-0005-0000-0000-0000B00B0000}"/>
    <cellStyle name="Comma 6 17" xfId="172" xr:uid="{00000000-0005-0000-0000-0000B10B0000}"/>
    <cellStyle name="Comma 6 17 2" xfId="982" xr:uid="{00000000-0005-0000-0000-0000B20B0000}"/>
    <cellStyle name="Comma 6 17 2 2" xfId="1770" xr:uid="{00000000-0005-0000-0000-0000B30B0000}"/>
    <cellStyle name="Comma 6 17 2 2 2" xfId="4014" xr:uid="{00000000-0005-0000-0000-0000B40B0000}"/>
    <cellStyle name="Comma 6 17 2 3" xfId="2494" xr:uid="{00000000-0005-0000-0000-0000B50B0000}"/>
    <cellStyle name="Comma 6 17 2 3 2" xfId="4738" xr:uid="{00000000-0005-0000-0000-0000B60B0000}"/>
    <cellStyle name="Comma 6 17 2 4" xfId="3228" xr:uid="{00000000-0005-0000-0000-0000B70B0000}"/>
    <cellStyle name="Comma 6 17 3" xfId="1235" xr:uid="{00000000-0005-0000-0000-0000B80B0000}"/>
    <cellStyle name="Comma 6 17 3 2" xfId="2022" xr:uid="{00000000-0005-0000-0000-0000B90B0000}"/>
    <cellStyle name="Comma 6 17 3 2 2" xfId="4266" xr:uid="{00000000-0005-0000-0000-0000BA0B0000}"/>
    <cellStyle name="Comma 6 17 3 3" xfId="2746" xr:uid="{00000000-0005-0000-0000-0000BB0B0000}"/>
    <cellStyle name="Comma 6 17 3 3 2" xfId="4990" xr:uid="{00000000-0005-0000-0000-0000BC0B0000}"/>
    <cellStyle name="Comma 6 17 3 4" xfId="3480" xr:uid="{00000000-0005-0000-0000-0000BD0B0000}"/>
    <cellStyle name="Comma 6 17 4" xfId="1450" xr:uid="{00000000-0005-0000-0000-0000BE0B0000}"/>
    <cellStyle name="Comma 6 17 4 2" xfId="3694" xr:uid="{00000000-0005-0000-0000-0000BF0B0000}"/>
    <cellStyle name="Comma 6 17 5" xfId="2236" xr:uid="{00000000-0005-0000-0000-0000C00B0000}"/>
    <cellStyle name="Comma 6 17 5 2" xfId="4480" xr:uid="{00000000-0005-0000-0000-0000C10B0000}"/>
    <cellStyle name="Comma 6 17 6" xfId="2960" xr:uid="{00000000-0005-0000-0000-0000C20B0000}"/>
    <cellStyle name="Comma 6 18" xfId="173" xr:uid="{00000000-0005-0000-0000-0000C30B0000}"/>
    <cellStyle name="Comma 6 18 2" xfId="983" xr:uid="{00000000-0005-0000-0000-0000C40B0000}"/>
    <cellStyle name="Comma 6 18 2 2" xfId="1771" xr:uid="{00000000-0005-0000-0000-0000C50B0000}"/>
    <cellStyle name="Comma 6 18 2 2 2" xfId="4015" xr:uid="{00000000-0005-0000-0000-0000C60B0000}"/>
    <cellStyle name="Comma 6 18 2 3" xfId="2495" xr:uid="{00000000-0005-0000-0000-0000C70B0000}"/>
    <cellStyle name="Comma 6 18 2 3 2" xfId="4739" xr:uid="{00000000-0005-0000-0000-0000C80B0000}"/>
    <cellStyle name="Comma 6 18 2 4" xfId="3229" xr:uid="{00000000-0005-0000-0000-0000C90B0000}"/>
    <cellStyle name="Comma 6 18 3" xfId="1236" xr:uid="{00000000-0005-0000-0000-0000CA0B0000}"/>
    <cellStyle name="Comma 6 18 3 2" xfId="2023" xr:uid="{00000000-0005-0000-0000-0000CB0B0000}"/>
    <cellStyle name="Comma 6 18 3 2 2" xfId="4267" xr:uid="{00000000-0005-0000-0000-0000CC0B0000}"/>
    <cellStyle name="Comma 6 18 3 3" xfId="2747" xr:uid="{00000000-0005-0000-0000-0000CD0B0000}"/>
    <cellStyle name="Comma 6 18 3 3 2" xfId="4991" xr:uid="{00000000-0005-0000-0000-0000CE0B0000}"/>
    <cellStyle name="Comma 6 18 3 4" xfId="3481" xr:uid="{00000000-0005-0000-0000-0000CF0B0000}"/>
    <cellStyle name="Comma 6 18 4" xfId="1451" xr:uid="{00000000-0005-0000-0000-0000D00B0000}"/>
    <cellStyle name="Comma 6 18 4 2" xfId="3695" xr:uid="{00000000-0005-0000-0000-0000D10B0000}"/>
    <cellStyle name="Comma 6 18 5" xfId="2237" xr:uid="{00000000-0005-0000-0000-0000D20B0000}"/>
    <cellStyle name="Comma 6 18 5 2" xfId="4481" xr:uid="{00000000-0005-0000-0000-0000D30B0000}"/>
    <cellStyle name="Comma 6 18 6" xfId="2961" xr:uid="{00000000-0005-0000-0000-0000D40B0000}"/>
    <cellStyle name="Comma 6 19" xfId="174" xr:uid="{00000000-0005-0000-0000-0000D50B0000}"/>
    <cellStyle name="Comma 6 19 2" xfId="984" xr:uid="{00000000-0005-0000-0000-0000D60B0000}"/>
    <cellStyle name="Comma 6 19 2 2" xfId="1772" xr:uid="{00000000-0005-0000-0000-0000D70B0000}"/>
    <cellStyle name="Comma 6 19 2 2 2" xfId="4016" xr:uid="{00000000-0005-0000-0000-0000D80B0000}"/>
    <cellStyle name="Comma 6 19 2 3" xfId="2496" xr:uid="{00000000-0005-0000-0000-0000D90B0000}"/>
    <cellStyle name="Comma 6 19 2 3 2" xfId="4740" xr:uid="{00000000-0005-0000-0000-0000DA0B0000}"/>
    <cellStyle name="Comma 6 19 2 4" xfId="3230" xr:uid="{00000000-0005-0000-0000-0000DB0B0000}"/>
    <cellStyle name="Comma 6 19 3" xfId="1237" xr:uid="{00000000-0005-0000-0000-0000DC0B0000}"/>
    <cellStyle name="Comma 6 19 3 2" xfId="2024" xr:uid="{00000000-0005-0000-0000-0000DD0B0000}"/>
    <cellStyle name="Comma 6 19 3 2 2" xfId="4268" xr:uid="{00000000-0005-0000-0000-0000DE0B0000}"/>
    <cellStyle name="Comma 6 19 3 3" xfId="2748" xr:uid="{00000000-0005-0000-0000-0000DF0B0000}"/>
    <cellStyle name="Comma 6 19 3 3 2" xfId="4992" xr:uid="{00000000-0005-0000-0000-0000E00B0000}"/>
    <cellStyle name="Comma 6 19 3 4" xfId="3482" xr:uid="{00000000-0005-0000-0000-0000E10B0000}"/>
    <cellStyle name="Comma 6 19 4" xfId="1452" xr:uid="{00000000-0005-0000-0000-0000E20B0000}"/>
    <cellStyle name="Comma 6 19 4 2" xfId="3696" xr:uid="{00000000-0005-0000-0000-0000E30B0000}"/>
    <cellStyle name="Comma 6 19 5" xfId="2238" xr:uid="{00000000-0005-0000-0000-0000E40B0000}"/>
    <cellStyle name="Comma 6 19 5 2" xfId="4482" xr:uid="{00000000-0005-0000-0000-0000E50B0000}"/>
    <cellStyle name="Comma 6 19 6" xfId="2962" xr:uid="{00000000-0005-0000-0000-0000E60B0000}"/>
    <cellStyle name="Comma 6 2" xfId="175" xr:uid="{00000000-0005-0000-0000-0000E70B0000}"/>
    <cellStyle name="Comma 6 2 2" xfId="985" xr:uid="{00000000-0005-0000-0000-0000E80B0000}"/>
    <cellStyle name="Comma 6 2 2 2" xfId="1773" xr:uid="{00000000-0005-0000-0000-0000E90B0000}"/>
    <cellStyle name="Comma 6 2 2 2 2" xfId="4017" xr:uid="{00000000-0005-0000-0000-0000EA0B0000}"/>
    <cellStyle name="Comma 6 2 2 3" xfId="2497" xr:uid="{00000000-0005-0000-0000-0000EB0B0000}"/>
    <cellStyle name="Comma 6 2 2 3 2" xfId="4741" xr:uid="{00000000-0005-0000-0000-0000EC0B0000}"/>
    <cellStyle name="Comma 6 2 2 4" xfId="3231" xr:uid="{00000000-0005-0000-0000-0000ED0B0000}"/>
    <cellStyle name="Comma 6 2 3" xfId="1238" xr:uid="{00000000-0005-0000-0000-0000EE0B0000}"/>
    <cellStyle name="Comma 6 2 3 2" xfId="2025" xr:uid="{00000000-0005-0000-0000-0000EF0B0000}"/>
    <cellStyle name="Comma 6 2 3 2 2" xfId="4269" xr:uid="{00000000-0005-0000-0000-0000F00B0000}"/>
    <cellStyle name="Comma 6 2 3 3" xfId="2749" xr:uid="{00000000-0005-0000-0000-0000F10B0000}"/>
    <cellStyle name="Comma 6 2 3 3 2" xfId="4993" xr:uid="{00000000-0005-0000-0000-0000F20B0000}"/>
    <cellStyle name="Comma 6 2 3 4" xfId="3483" xr:uid="{00000000-0005-0000-0000-0000F30B0000}"/>
    <cellStyle name="Comma 6 2 4" xfId="1453" xr:uid="{00000000-0005-0000-0000-0000F40B0000}"/>
    <cellStyle name="Comma 6 2 4 2" xfId="3697" xr:uid="{00000000-0005-0000-0000-0000F50B0000}"/>
    <cellStyle name="Comma 6 2 5" xfId="2239" xr:uid="{00000000-0005-0000-0000-0000F60B0000}"/>
    <cellStyle name="Comma 6 2 5 2" xfId="4483" xr:uid="{00000000-0005-0000-0000-0000F70B0000}"/>
    <cellStyle name="Comma 6 2 6" xfId="2963" xr:uid="{00000000-0005-0000-0000-0000F80B0000}"/>
    <cellStyle name="Comma 6 20" xfId="176" xr:uid="{00000000-0005-0000-0000-0000F90B0000}"/>
    <cellStyle name="Comma 6 20 2" xfId="986" xr:uid="{00000000-0005-0000-0000-0000FA0B0000}"/>
    <cellStyle name="Comma 6 20 2 2" xfId="1774" xr:uid="{00000000-0005-0000-0000-0000FB0B0000}"/>
    <cellStyle name="Comma 6 20 2 2 2" xfId="4018" xr:uid="{00000000-0005-0000-0000-0000FC0B0000}"/>
    <cellStyle name="Comma 6 20 2 3" xfId="2498" xr:uid="{00000000-0005-0000-0000-0000FD0B0000}"/>
    <cellStyle name="Comma 6 20 2 3 2" xfId="4742" xr:uid="{00000000-0005-0000-0000-0000FE0B0000}"/>
    <cellStyle name="Comma 6 20 2 4" xfId="3232" xr:uid="{00000000-0005-0000-0000-0000FF0B0000}"/>
    <cellStyle name="Comma 6 20 3" xfId="1239" xr:uid="{00000000-0005-0000-0000-0000000C0000}"/>
    <cellStyle name="Comma 6 20 3 2" xfId="2026" xr:uid="{00000000-0005-0000-0000-0000010C0000}"/>
    <cellStyle name="Comma 6 20 3 2 2" xfId="4270" xr:uid="{00000000-0005-0000-0000-0000020C0000}"/>
    <cellStyle name="Comma 6 20 3 3" xfId="2750" xr:uid="{00000000-0005-0000-0000-0000030C0000}"/>
    <cellStyle name="Comma 6 20 3 3 2" xfId="4994" xr:uid="{00000000-0005-0000-0000-0000040C0000}"/>
    <cellStyle name="Comma 6 20 3 4" xfId="3484" xr:uid="{00000000-0005-0000-0000-0000050C0000}"/>
    <cellStyle name="Comma 6 20 4" xfId="1454" xr:uid="{00000000-0005-0000-0000-0000060C0000}"/>
    <cellStyle name="Comma 6 20 4 2" xfId="3698" xr:uid="{00000000-0005-0000-0000-0000070C0000}"/>
    <cellStyle name="Comma 6 20 5" xfId="2240" xr:uid="{00000000-0005-0000-0000-0000080C0000}"/>
    <cellStyle name="Comma 6 20 5 2" xfId="4484" xr:uid="{00000000-0005-0000-0000-0000090C0000}"/>
    <cellStyle name="Comma 6 20 6" xfId="2964" xr:uid="{00000000-0005-0000-0000-00000A0C0000}"/>
    <cellStyle name="Comma 6 21" xfId="177" xr:uid="{00000000-0005-0000-0000-00000B0C0000}"/>
    <cellStyle name="Comma 6 21 2" xfId="987" xr:uid="{00000000-0005-0000-0000-00000C0C0000}"/>
    <cellStyle name="Comma 6 21 2 2" xfId="1775" xr:uid="{00000000-0005-0000-0000-00000D0C0000}"/>
    <cellStyle name="Comma 6 21 2 2 2" xfId="4019" xr:uid="{00000000-0005-0000-0000-00000E0C0000}"/>
    <cellStyle name="Comma 6 21 2 3" xfId="2499" xr:uid="{00000000-0005-0000-0000-00000F0C0000}"/>
    <cellStyle name="Comma 6 21 2 3 2" xfId="4743" xr:uid="{00000000-0005-0000-0000-0000100C0000}"/>
    <cellStyle name="Comma 6 21 2 4" xfId="3233" xr:uid="{00000000-0005-0000-0000-0000110C0000}"/>
    <cellStyle name="Comma 6 21 3" xfId="1240" xr:uid="{00000000-0005-0000-0000-0000120C0000}"/>
    <cellStyle name="Comma 6 21 3 2" xfId="2027" xr:uid="{00000000-0005-0000-0000-0000130C0000}"/>
    <cellStyle name="Comma 6 21 3 2 2" xfId="4271" xr:uid="{00000000-0005-0000-0000-0000140C0000}"/>
    <cellStyle name="Comma 6 21 3 3" xfId="2751" xr:uid="{00000000-0005-0000-0000-0000150C0000}"/>
    <cellStyle name="Comma 6 21 3 3 2" xfId="4995" xr:uid="{00000000-0005-0000-0000-0000160C0000}"/>
    <cellStyle name="Comma 6 21 3 4" xfId="3485" xr:uid="{00000000-0005-0000-0000-0000170C0000}"/>
    <cellStyle name="Comma 6 21 4" xfId="1455" xr:uid="{00000000-0005-0000-0000-0000180C0000}"/>
    <cellStyle name="Comma 6 21 4 2" xfId="3699" xr:uid="{00000000-0005-0000-0000-0000190C0000}"/>
    <cellStyle name="Comma 6 21 5" xfId="2241" xr:uid="{00000000-0005-0000-0000-00001A0C0000}"/>
    <cellStyle name="Comma 6 21 5 2" xfId="4485" xr:uid="{00000000-0005-0000-0000-00001B0C0000}"/>
    <cellStyle name="Comma 6 21 6" xfId="2965" xr:uid="{00000000-0005-0000-0000-00001C0C0000}"/>
    <cellStyle name="Comma 6 22" xfId="178" xr:uid="{00000000-0005-0000-0000-00001D0C0000}"/>
    <cellStyle name="Comma 6 22 2" xfId="988" xr:uid="{00000000-0005-0000-0000-00001E0C0000}"/>
    <cellStyle name="Comma 6 22 2 2" xfId="1776" xr:uid="{00000000-0005-0000-0000-00001F0C0000}"/>
    <cellStyle name="Comma 6 22 2 2 2" xfId="4020" xr:uid="{00000000-0005-0000-0000-0000200C0000}"/>
    <cellStyle name="Comma 6 22 2 3" xfId="2500" xr:uid="{00000000-0005-0000-0000-0000210C0000}"/>
    <cellStyle name="Comma 6 22 2 3 2" xfId="4744" xr:uid="{00000000-0005-0000-0000-0000220C0000}"/>
    <cellStyle name="Comma 6 22 2 4" xfId="3234" xr:uid="{00000000-0005-0000-0000-0000230C0000}"/>
    <cellStyle name="Comma 6 22 3" xfId="1241" xr:uid="{00000000-0005-0000-0000-0000240C0000}"/>
    <cellStyle name="Comma 6 22 3 2" xfId="2028" xr:uid="{00000000-0005-0000-0000-0000250C0000}"/>
    <cellStyle name="Comma 6 22 3 2 2" xfId="4272" xr:uid="{00000000-0005-0000-0000-0000260C0000}"/>
    <cellStyle name="Comma 6 22 3 3" xfId="2752" xr:uid="{00000000-0005-0000-0000-0000270C0000}"/>
    <cellStyle name="Comma 6 22 3 3 2" xfId="4996" xr:uid="{00000000-0005-0000-0000-0000280C0000}"/>
    <cellStyle name="Comma 6 22 3 4" xfId="3486" xr:uid="{00000000-0005-0000-0000-0000290C0000}"/>
    <cellStyle name="Comma 6 22 4" xfId="1456" xr:uid="{00000000-0005-0000-0000-00002A0C0000}"/>
    <cellStyle name="Comma 6 22 4 2" xfId="3700" xr:uid="{00000000-0005-0000-0000-00002B0C0000}"/>
    <cellStyle name="Comma 6 22 5" xfId="2242" xr:uid="{00000000-0005-0000-0000-00002C0C0000}"/>
    <cellStyle name="Comma 6 22 5 2" xfId="4486" xr:uid="{00000000-0005-0000-0000-00002D0C0000}"/>
    <cellStyle name="Comma 6 22 6" xfId="2966" xr:uid="{00000000-0005-0000-0000-00002E0C0000}"/>
    <cellStyle name="Comma 6 23" xfId="179" xr:uid="{00000000-0005-0000-0000-00002F0C0000}"/>
    <cellStyle name="Comma 6 23 2" xfId="989" xr:uid="{00000000-0005-0000-0000-0000300C0000}"/>
    <cellStyle name="Comma 6 23 2 2" xfId="1777" xr:uid="{00000000-0005-0000-0000-0000310C0000}"/>
    <cellStyle name="Comma 6 23 2 2 2" xfId="4021" xr:uid="{00000000-0005-0000-0000-0000320C0000}"/>
    <cellStyle name="Comma 6 23 2 3" xfId="2501" xr:uid="{00000000-0005-0000-0000-0000330C0000}"/>
    <cellStyle name="Comma 6 23 2 3 2" xfId="4745" xr:uid="{00000000-0005-0000-0000-0000340C0000}"/>
    <cellStyle name="Comma 6 23 2 4" xfId="3235" xr:uid="{00000000-0005-0000-0000-0000350C0000}"/>
    <cellStyle name="Comma 6 23 3" xfId="1242" xr:uid="{00000000-0005-0000-0000-0000360C0000}"/>
    <cellStyle name="Comma 6 23 3 2" xfId="2029" xr:uid="{00000000-0005-0000-0000-0000370C0000}"/>
    <cellStyle name="Comma 6 23 3 2 2" xfId="4273" xr:uid="{00000000-0005-0000-0000-0000380C0000}"/>
    <cellStyle name="Comma 6 23 3 3" xfId="2753" xr:uid="{00000000-0005-0000-0000-0000390C0000}"/>
    <cellStyle name="Comma 6 23 3 3 2" xfId="4997" xr:uid="{00000000-0005-0000-0000-00003A0C0000}"/>
    <cellStyle name="Comma 6 23 3 4" xfId="3487" xr:uid="{00000000-0005-0000-0000-00003B0C0000}"/>
    <cellStyle name="Comma 6 23 4" xfId="1457" xr:uid="{00000000-0005-0000-0000-00003C0C0000}"/>
    <cellStyle name="Comma 6 23 4 2" xfId="3701" xr:uid="{00000000-0005-0000-0000-00003D0C0000}"/>
    <cellStyle name="Comma 6 23 5" xfId="2243" xr:uid="{00000000-0005-0000-0000-00003E0C0000}"/>
    <cellStyle name="Comma 6 23 5 2" xfId="4487" xr:uid="{00000000-0005-0000-0000-00003F0C0000}"/>
    <cellStyle name="Comma 6 23 6" xfId="2967" xr:uid="{00000000-0005-0000-0000-0000400C0000}"/>
    <cellStyle name="Comma 6 24" xfId="180" xr:uid="{00000000-0005-0000-0000-0000410C0000}"/>
    <cellStyle name="Comma 6 24 2" xfId="990" xr:uid="{00000000-0005-0000-0000-0000420C0000}"/>
    <cellStyle name="Comma 6 24 2 2" xfId="1778" xr:uid="{00000000-0005-0000-0000-0000430C0000}"/>
    <cellStyle name="Comma 6 24 2 2 2" xfId="4022" xr:uid="{00000000-0005-0000-0000-0000440C0000}"/>
    <cellStyle name="Comma 6 24 2 3" xfId="2502" xr:uid="{00000000-0005-0000-0000-0000450C0000}"/>
    <cellStyle name="Comma 6 24 2 3 2" xfId="4746" xr:uid="{00000000-0005-0000-0000-0000460C0000}"/>
    <cellStyle name="Comma 6 24 2 4" xfId="3236" xr:uid="{00000000-0005-0000-0000-0000470C0000}"/>
    <cellStyle name="Comma 6 24 3" xfId="1243" xr:uid="{00000000-0005-0000-0000-0000480C0000}"/>
    <cellStyle name="Comma 6 24 3 2" xfId="2030" xr:uid="{00000000-0005-0000-0000-0000490C0000}"/>
    <cellStyle name="Comma 6 24 3 2 2" xfId="4274" xr:uid="{00000000-0005-0000-0000-00004A0C0000}"/>
    <cellStyle name="Comma 6 24 3 3" xfId="2754" xr:uid="{00000000-0005-0000-0000-00004B0C0000}"/>
    <cellStyle name="Comma 6 24 3 3 2" xfId="4998" xr:uid="{00000000-0005-0000-0000-00004C0C0000}"/>
    <cellStyle name="Comma 6 24 3 4" xfId="3488" xr:uid="{00000000-0005-0000-0000-00004D0C0000}"/>
    <cellStyle name="Comma 6 24 4" xfId="1458" xr:uid="{00000000-0005-0000-0000-00004E0C0000}"/>
    <cellStyle name="Comma 6 24 4 2" xfId="3702" xr:uid="{00000000-0005-0000-0000-00004F0C0000}"/>
    <cellStyle name="Comma 6 24 5" xfId="2244" xr:uid="{00000000-0005-0000-0000-0000500C0000}"/>
    <cellStyle name="Comma 6 24 5 2" xfId="4488" xr:uid="{00000000-0005-0000-0000-0000510C0000}"/>
    <cellStyle name="Comma 6 24 6" xfId="2968" xr:uid="{00000000-0005-0000-0000-0000520C0000}"/>
    <cellStyle name="Comma 6 25" xfId="181" xr:uid="{00000000-0005-0000-0000-0000530C0000}"/>
    <cellStyle name="Comma 6 25 2" xfId="991" xr:uid="{00000000-0005-0000-0000-0000540C0000}"/>
    <cellStyle name="Comma 6 25 2 2" xfId="1779" xr:uid="{00000000-0005-0000-0000-0000550C0000}"/>
    <cellStyle name="Comma 6 25 2 2 2" xfId="4023" xr:uid="{00000000-0005-0000-0000-0000560C0000}"/>
    <cellStyle name="Comma 6 25 2 3" xfId="2503" xr:uid="{00000000-0005-0000-0000-0000570C0000}"/>
    <cellStyle name="Comma 6 25 2 3 2" xfId="4747" xr:uid="{00000000-0005-0000-0000-0000580C0000}"/>
    <cellStyle name="Comma 6 25 2 4" xfId="3237" xr:uid="{00000000-0005-0000-0000-0000590C0000}"/>
    <cellStyle name="Comma 6 25 3" xfId="1244" xr:uid="{00000000-0005-0000-0000-00005A0C0000}"/>
    <cellStyle name="Comma 6 25 3 2" xfId="2031" xr:uid="{00000000-0005-0000-0000-00005B0C0000}"/>
    <cellStyle name="Comma 6 25 3 2 2" xfId="4275" xr:uid="{00000000-0005-0000-0000-00005C0C0000}"/>
    <cellStyle name="Comma 6 25 3 3" xfId="2755" xr:uid="{00000000-0005-0000-0000-00005D0C0000}"/>
    <cellStyle name="Comma 6 25 3 3 2" xfId="4999" xr:uid="{00000000-0005-0000-0000-00005E0C0000}"/>
    <cellStyle name="Comma 6 25 3 4" xfId="3489" xr:uid="{00000000-0005-0000-0000-00005F0C0000}"/>
    <cellStyle name="Comma 6 25 4" xfId="1459" xr:uid="{00000000-0005-0000-0000-0000600C0000}"/>
    <cellStyle name="Comma 6 25 4 2" xfId="3703" xr:uid="{00000000-0005-0000-0000-0000610C0000}"/>
    <cellStyle name="Comma 6 25 5" xfId="2245" xr:uid="{00000000-0005-0000-0000-0000620C0000}"/>
    <cellStyle name="Comma 6 25 5 2" xfId="4489" xr:uid="{00000000-0005-0000-0000-0000630C0000}"/>
    <cellStyle name="Comma 6 25 6" xfId="2969" xr:uid="{00000000-0005-0000-0000-0000640C0000}"/>
    <cellStyle name="Comma 6 26" xfId="182" xr:uid="{00000000-0005-0000-0000-0000650C0000}"/>
    <cellStyle name="Comma 6 26 2" xfId="992" xr:uid="{00000000-0005-0000-0000-0000660C0000}"/>
    <cellStyle name="Comma 6 26 2 2" xfId="1780" xr:uid="{00000000-0005-0000-0000-0000670C0000}"/>
    <cellStyle name="Comma 6 26 2 2 2" xfId="4024" xr:uid="{00000000-0005-0000-0000-0000680C0000}"/>
    <cellStyle name="Comma 6 26 2 3" xfId="2504" xr:uid="{00000000-0005-0000-0000-0000690C0000}"/>
    <cellStyle name="Comma 6 26 2 3 2" xfId="4748" xr:uid="{00000000-0005-0000-0000-00006A0C0000}"/>
    <cellStyle name="Comma 6 26 2 4" xfId="3238" xr:uid="{00000000-0005-0000-0000-00006B0C0000}"/>
    <cellStyle name="Comma 6 26 3" xfId="1245" xr:uid="{00000000-0005-0000-0000-00006C0C0000}"/>
    <cellStyle name="Comma 6 26 3 2" xfId="2032" xr:uid="{00000000-0005-0000-0000-00006D0C0000}"/>
    <cellStyle name="Comma 6 26 3 2 2" xfId="4276" xr:uid="{00000000-0005-0000-0000-00006E0C0000}"/>
    <cellStyle name="Comma 6 26 3 3" xfId="2756" xr:uid="{00000000-0005-0000-0000-00006F0C0000}"/>
    <cellStyle name="Comma 6 26 3 3 2" xfId="5000" xr:uid="{00000000-0005-0000-0000-0000700C0000}"/>
    <cellStyle name="Comma 6 26 3 4" xfId="3490" xr:uid="{00000000-0005-0000-0000-0000710C0000}"/>
    <cellStyle name="Comma 6 26 4" xfId="1460" xr:uid="{00000000-0005-0000-0000-0000720C0000}"/>
    <cellStyle name="Comma 6 26 4 2" xfId="3704" xr:uid="{00000000-0005-0000-0000-0000730C0000}"/>
    <cellStyle name="Comma 6 26 5" xfId="2246" xr:uid="{00000000-0005-0000-0000-0000740C0000}"/>
    <cellStyle name="Comma 6 26 5 2" xfId="4490" xr:uid="{00000000-0005-0000-0000-0000750C0000}"/>
    <cellStyle name="Comma 6 26 6" xfId="2970" xr:uid="{00000000-0005-0000-0000-0000760C0000}"/>
    <cellStyle name="Comma 6 27" xfId="183" xr:uid="{00000000-0005-0000-0000-0000770C0000}"/>
    <cellStyle name="Comma 6 27 2" xfId="993" xr:uid="{00000000-0005-0000-0000-0000780C0000}"/>
    <cellStyle name="Comma 6 27 2 2" xfId="1781" xr:uid="{00000000-0005-0000-0000-0000790C0000}"/>
    <cellStyle name="Comma 6 27 2 2 2" xfId="4025" xr:uid="{00000000-0005-0000-0000-00007A0C0000}"/>
    <cellStyle name="Comma 6 27 2 3" xfId="2505" xr:uid="{00000000-0005-0000-0000-00007B0C0000}"/>
    <cellStyle name="Comma 6 27 2 3 2" xfId="4749" xr:uid="{00000000-0005-0000-0000-00007C0C0000}"/>
    <cellStyle name="Comma 6 27 2 4" xfId="3239" xr:uid="{00000000-0005-0000-0000-00007D0C0000}"/>
    <cellStyle name="Comma 6 27 3" xfId="1246" xr:uid="{00000000-0005-0000-0000-00007E0C0000}"/>
    <cellStyle name="Comma 6 27 3 2" xfId="2033" xr:uid="{00000000-0005-0000-0000-00007F0C0000}"/>
    <cellStyle name="Comma 6 27 3 2 2" xfId="4277" xr:uid="{00000000-0005-0000-0000-0000800C0000}"/>
    <cellStyle name="Comma 6 27 3 3" xfId="2757" xr:uid="{00000000-0005-0000-0000-0000810C0000}"/>
    <cellStyle name="Comma 6 27 3 3 2" xfId="5001" xr:uid="{00000000-0005-0000-0000-0000820C0000}"/>
    <cellStyle name="Comma 6 27 3 4" xfId="3491" xr:uid="{00000000-0005-0000-0000-0000830C0000}"/>
    <cellStyle name="Comma 6 27 4" xfId="1461" xr:uid="{00000000-0005-0000-0000-0000840C0000}"/>
    <cellStyle name="Comma 6 27 4 2" xfId="3705" xr:uid="{00000000-0005-0000-0000-0000850C0000}"/>
    <cellStyle name="Comma 6 27 5" xfId="2247" xr:uid="{00000000-0005-0000-0000-0000860C0000}"/>
    <cellStyle name="Comma 6 27 5 2" xfId="4491" xr:uid="{00000000-0005-0000-0000-0000870C0000}"/>
    <cellStyle name="Comma 6 27 6" xfId="2971" xr:uid="{00000000-0005-0000-0000-0000880C0000}"/>
    <cellStyle name="Comma 6 28" xfId="184" xr:uid="{00000000-0005-0000-0000-0000890C0000}"/>
    <cellStyle name="Comma 6 28 2" xfId="994" xr:uid="{00000000-0005-0000-0000-00008A0C0000}"/>
    <cellStyle name="Comma 6 28 2 2" xfId="1782" xr:uid="{00000000-0005-0000-0000-00008B0C0000}"/>
    <cellStyle name="Comma 6 28 2 2 2" xfId="4026" xr:uid="{00000000-0005-0000-0000-00008C0C0000}"/>
    <cellStyle name="Comma 6 28 2 3" xfId="2506" xr:uid="{00000000-0005-0000-0000-00008D0C0000}"/>
    <cellStyle name="Comma 6 28 2 3 2" xfId="4750" xr:uid="{00000000-0005-0000-0000-00008E0C0000}"/>
    <cellStyle name="Comma 6 28 2 4" xfId="3240" xr:uid="{00000000-0005-0000-0000-00008F0C0000}"/>
    <cellStyle name="Comma 6 28 3" xfId="1247" xr:uid="{00000000-0005-0000-0000-0000900C0000}"/>
    <cellStyle name="Comma 6 28 3 2" xfId="2034" xr:uid="{00000000-0005-0000-0000-0000910C0000}"/>
    <cellStyle name="Comma 6 28 3 2 2" xfId="4278" xr:uid="{00000000-0005-0000-0000-0000920C0000}"/>
    <cellStyle name="Comma 6 28 3 3" xfId="2758" xr:uid="{00000000-0005-0000-0000-0000930C0000}"/>
    <cellStyle name="Comma 6 28 3 3 2" xfId="5002" xr:uid="{00000000-0005-0000-0000-0000940C0000}"/>
    <cellStyle name="Comma 6 28 3 4" xfId="3492" xr:uid="{00000000-0005-0000-0000-0000950C0000}"/>
    <cellStyle name="Comma 6 28 4" xfId="1462" xr:uid="{00000000-0005-0000-0000-0000960C0000}"/>
    <cellStyle name="Comma 6 28 4 2" xfId="3706" xr:uid="{00000000-0005-0000-0000-0000970C0000}"/>
    <cellStyle name="Comma 6 28 5" xfId="2248" xr:uid="{00000000-0005-0000-0000-0000980C0000}"/>
    <cellStyle name="Comma 6 28 5 2" xfId="4492" xr:uid="{00000000-0005-0000-0000-0000990C0000}"/>
    <cellStyle name="Comma 6 28 6" xfId="2972" xr:uid="{00000000-0005-0000-0000-00009A0C0000}"/>
    <cellStyle name="Comma 6 29" xfId="185" xr:uid="{00000000-0005-0000-0000-00009B0C0000}"/>
    <cellStyle name="Comma 6 29 2" xfId="995" xr:uid="{00000000-0005-0000-0000-00009C0C0000}"/>
    <cellStyle name="Comma 6 29 2 2" xfId="1783" xr:uid="{00000000-0005-0000-0000-00009D0C0000}"/>
    <cellStyle name="Comma 6 29 2 2 2" xfId="4027" xr:uid="{00000000-0005-0000-0000-00009E0C0000}"/>
    <cellStyle name="Comma 6 29 2 3" xfId="2507" xr:uid="{00000000-0005-0000-0000-00009F0C0000}"/>
    <cellStyle name="Comma 6 29 2 3 2" xfId="4751" xr:uid="{00000000-0005-0000-0000-0000A00C0000}"/>
    <cellStyle name="Comma 6 29 2 4" xfId="3241" xr:uid="{00000000-0005-0000-0000-0000A10C0000}"/>
    <cellStyle name="Comma 6 29 3" xfId="1248" xr:uid="{00000000-0005-0000-0000-0000A20C0000}"/>
    <cellStyle name="Comma 6 29 3 2" xfId="2035" xr:uid="{00000000-0005-0000-0000-0000A30C0000}"/>
    <cellStyle name="Comma 6 29 3 2 2" xfId="4279" xr:uid="{00000000-0005-0000-0000-0000A40C0000}"/>
    <cellStyle name="Comma 6 29 3 3" xfId="2759" xr:uid="{00000000-0005-0000-0000-0000A50C0000}"/>
    <cellStyle name="Comma 6 29 3 3 2" xfId="5003" xr:uid="{00000000-0005-0000-0000-0000A60C0000}"/>
    <cellStyle name="Comma 6 29 3 4" xfId="3493" xr:uid="{00000000-0005-0000-0000-0000A70C0000}"/>
    <cellStyle name="Comma 6 29 4" xfId="1463" xr:uid="{00000000-0005-0000-0000-0000A80C0000}"/>
    <cellStyle name="Comma 6 29 4 2" xfId="3707" xr:uid="{00000000-0005-0000-0000-0000A90C0000}"/>
    <cellStyle name="Comma 6 29 5" xfId="2249" xr:uid="{00000000-0005-0000-0000-0000AA0C0000}"/>
    <cellStyle name="Comma 6 29 5 2" xfId="4493" xr:uid="{00000000-0005-0000-0000-0000AB0C0000}"/>
    <cellStyle name="Comma 6 29 6" xfId="2973" xr:uid="{00000000-0005-0000-0000-0000AC0C0000}"/>
    <cellStyle name="Comma 6 3" xfId="186" xr:uid="{00000000-0005-0000-0000-0000AD0C0000}"/>
    <cellStyle name="Comma 6 3 2" xfId="996" xr:uid="{00000000-0005-0000-0000-0000AE0C0000}"/>
    <cellStyle name="Comma 6 3 2 2" xfId="1784" xr:uid="{00000000-0005-0000-0000-0000AF0C0000}"/>
    <cellStyle name="Comma 6 3 2 2 2" xfId="4028" xr:uid="{00000000-0005-0000-0000-0000B00C0000}"/>
    <cellStyle name="Comma 6 3 2 3" xfId="2508" xr:uid="{00000000-0005-0000-0000-0000B10C0000}"/>
    <cellStyle name="Comma 6 3 2 3 2" xfId="4752" xr:uid="{00000000-0005-0000-0000-0000B20C0000}"/>
    <cellStyle name="Comma 6 3 2 4" xfId="3242" xr:uid="{00000000-0005-0000-0000-0000B30C0000}"/>
    <cellStyle name="Comma 6 3 3" xfId="1249" xr:uid="{00000000-0005-0000-0000-0000B40C0000}"/>
    <cellStyle name="Comma 6 3 3 2" xfId="2036" xr:uid="{00000000-0005-0000-0000-0000B50C0000}"/>
    <cellStyle name="Comma 6 3 3 2 2" xfId="4280" xr:uid="{00000000-0005-0000-0000-0000B60C0000}"/>
    <cellStyle name="Comma 6 3 3 3" xfId="2760" xr:uid="{00000000-0005-0000-0000-0000B70C0000}"/>
    <cellStyle name="Comma 6 3 3 3 2" xfId="5004" xr:uid="{00000000-0005-0000-0000-0000B80C0000}"/>
    <cellStyle name="Comma 6 3 3 4" xfId="3494" xr:uid="{00000000-0005-0000-0000-0000B90C0000}"/>
    <cellStyle name="Comma 6 3 4" xfId="1464" xr:uid="{00000000-0005-0000-0000-0000BA0C0000}"/>
    <cellStyle name="Comma 6 3 4 2" xfId="3708" xr:uid="{00000000-0005-0000-0000-0000BB0C0000}"/>
    <cellStyle name="Comma 6 3 5" xfId="2250" xr:uid="{00000000-0005-0000-0000-0000BC0C0000}"/>
    <cellStyle name="Comma 6 3 5 2" xfId="4494" xr:uid="{00000000-0005-0000-0000-0000BD0C0000}"/>
    <cellStyle name="Comma 6 3 6" xfId="2974" xr:uid="{00000000-0005-0000-0000-0000BE0C0000}"/>
    <cellStyle name="Comma 6 30" xfId="187" xr:uid="{00000000-0005-0000-0000-0000BF0C0000}"/>
    <cellStyle name="Comma 6 30 2" xfId="997" xr:uid="{00000000-0005-0000-0000-0000C00C0000}"/>
    <cellStyle name="Comma 6 30 2 2" xfId="1785" xr:uid="{00000000-0005-0000-0000-0000C10C0000}"/>
    <cellStyle name="Comma 6 30 2 2 2" xfId="4029" xr:uid="{00000000-0005-0000-0000-0000C20C0000}"/>
    <cellStyle name="Comma 6 30 2 3" xfId="2509" xr:uid="{00000000-0005-0000-0000-0000C30C0000}"/>
    <cellStyle name="Comma 6 30 2 3 2" xfId="4753" xr:uid="{00000000-0005-0000-0000-0000C40C0000}"/>
    <cellStyle name="Comma 6 30 2 4" xfId="3243" xr:uid="{00000000-0005-0000-0000-0000C50C0000}"/>
    <cellStyle name="Comma 6 30 3" xfId="1250" xr:uid="{00000000-0005-0000-0000-0000C60C0000}"/>
    <cellStyle name="Comma 6 30 3 2" xfId="2037" xr:uid="{00000000-0005-0000-0000-0000C70C0000}"/>
    <cellStyle name="Comma 6 30 3 2 2" xfId="4281" xr:uid="{00000000-0005-0000-0000-0000C80C0000}"/>
    <cellStyle name="Comma 6 30 3 3" xfId="2761" xr:uid="{00000000-0005-0000-0000-0000C90C0000}"/>
    <cellStyle name="Comma 6 30 3 3 2" xfId="5005" xr:uid="{00000000-0005-0000-0000-0000CA0C0000}"/>
    <cellStyle name="Comma 6 30 3 4" xfId="3495" xr:uid="{00000000-0005-0000-0000-0000CB0C0000}"/>
    <cellStyle name="Comma 6 30 4" xfId="1465" xr:uid="{00000000-0005-0000-0000-0000CC0C0000}"/>
    <cellStyle name="Comma 6 30 4 2" xfId="3709" xr:uid="{00000000-0005-0000-0000-0000CD0C0000}"/>
    <cellStyle name="Comma 6 30 5" xfId="2251" xr:uid="{00000000-0005-0000-0000-0000CE0C0000}"/>
    <cellStyle name="Comma 6 30 5 2" xfId="4495" xr:uid="{00000000-0005-0000-0000-0000CF0C0000}"/>
    <cellStyle name="Comma 6 30 6" xfId="2975" xr:uid="{00000000-0005-0000-0000-0000D00C0000}"/>
    <cellStyle name="Comma 6 31" xfId="188" xr:uid="{00000000-0005-0000-0000-0000D10C0000}"/>
    <cellStyle name="Comma 6 31 2" xfId="998" xr:uid="{00000000-0005-0000-0000-0000D20C0000}"/>
    <cellStyle name="Comma 6 31 2 2" xfId="1786" xr:uid="{00000000-0005-0000-0000-0000D30C0000}"/>
    <cellStyle name="Comma 6 31 2 2 2" xfId="4030" xr:uid="{00000000-0005-0000-0000-0000D40C0000}"/>
    <cellStyle name="Comma 6 31 2 3" xfId="2510" xr:uid="{00000000-0005-0000-0000-0000D50C0000}"/>
    <cellStyle name="Comma 6 31 2 3 2" xfId="4754" xr:uid="{00000000-0005-0000-0000-0000D60C0000}"/>
    <cellStyle name="Comma 6 31 2 4" xfId="3244" xr:uid="{00000000-0005-0000-0000-0000D70C0000}"/>
    <cellStyle name="Comma 6 31 3" xfId="1251" xr:uid="{00000000-0005-0000-0000-0000D80C0000}"/>
    <cellStyle name="Comma 6 31 3 2" xfId="2038" xr:uid="{00000000-0005-0000-0000-0000D90C0000}"/>
    <cellStyle name="Comma 6 31 3 2 2" xfId="4282" xr:uid="{00000000-0005-0000-0000-0000DA0C0000}"/>
    <cellStyle name="Comma 6 31 3 3" xfId="2762" xr:uid="{00000000-0005-0000-0000-0000DB0C0000}"/>
    <cellStyle name="Comma 6 31 3 3 2" xfId="5006" xr:uid="{00000000-0005-0000-0000-0000DC0C0000}"/>
    <cellStyle name="Comma 6 31 3 4" xfId="3496" xr:uid="{00000000-0005-0000-0000-0000DD0C0000}"/>
    <cellStyle name="Comma 6 31 4" xfId="1466" xr:uid="{00000000-0005-0000-0000-0000DE0C0000}"/>
    <cellStyle name="Comma 6 31 4 2" xfId="3710" xr:uid="{00000000-0005-0000-0000-0000DF0C0000}"/>
    <cellStyle name="Comma 6 31 5" xfId="2252" xr:uid="{00000000-0005-0000-0000-0000E00C0000}"/>
    <cellStyle name="Comma 6 31 5 2" xfId="4496" xr:uid="{00000000-0005-0000-0000-0000E10C0000}"/>
    <cellStyle name="Comma 6 31 6" xfId="2976" xr:uid="{00000000-0005-0000-0000-0000E20C0000}"/>
    <cellStyle name="Comma 6 32" xfId="189" xr:uid="{00000000-0005-0000-0000-0000E30C0000}"/>
    <cellStyle name="Comma 6 32 2" xfId="999" xr:uid="{00000000-0005-0000-0000-0000E40C0000}"/>
    <cellStyle name="Comma 6 32 2 2" xfId="1787" xr:uid="{00000000-0005-0000-0000-0000E50C0000}"/>
    <cellStyle name="Comma 6 32 2 2 2" xfId="4031" xr:uid="{00000000-0005-0000-0000-0000E60C0000}"/>
    <cellStyle name="Comma 6 32 2 3" xfId="2511" xr:uid="{00000000-0005-0000-0000-0000E70C0000}"/>
    <cellStyle name="Comma 6 32 2 3 2" xfId="4755" xr:uid="{00000000-0005-0000-0000-0000E80C0000}"/>
    <cellStyle name="Comma 6 32 2 4" xfId="3245" xr:uid="{00000000-0005-0000-0000-0000E90C0000}"/>
    <cellStyle name="Comma 6 32 3" xfId="1252" xr:uid="{00000000-0005-0000-0000-0000EA0C0000}"/>
    <cellStyle name="Comma 6 32 3 2" xfId="2039" xr:uid="{00000000-0005-0000-0000-0000EB0C0000}"/>
    <cellStyle name="Comma 6 32 3 2 2" xfId="4283" xr:uid="{00000000-0005-0000-0000-0000EC0C0000}"/>
    <cellStyle name="Comma 6 32 3 3" xfId="2763" xr:uid="{00000000-0005-0000-0000-0000ED0C0000}"/>
    <cellStyle name="Comma 6 32 3 3 2" xfId="5007" xr:uid="{00000000-0005-0000-0000-0000EE0C0000}"/>
    <cellStyle name="Comma 6 32 3 4" xfId="3497" xr:uid="{00000000-0005-0000-0000-0000EF0C0000}"/>
    <cellStyle name="Comma 6 32 4" xfId="1467" xr:uid="{00000000-0005-0000-0000-0000F00C0000}"/>
    <cellStyle name="Comma 6 32 4 2" xfId="3711" xr:uid="{00000000-0005-0000-0000-0000F10C0000}"/>
    <cellStyle name="Comma 6 32 5" xfId="2253" xr:uid="{00000000-0005-0000-0000-0000F20C0000}"/>
    <cellStyle name="Comma 6 32 5 2" xfId="4497" xr:uid="{00000000-0005-0000-0000-0000F30C0000}"/>
    <cellStyle name="Comma 6 32 6" xfId="2977" xr:uid="{00000000-0005-0000-0000-0000F40C0000}"/>
    <cellStyle name="Comma 6 33" xfId="190" xr:uid="{00000000-0005-0000-0000-0000F50C0000}"/>
    <cellStyle name="Comma 6 33 2" xfId="1000" xr:uid="{00000000-0005-0000-0000-0000F60C0000}"/>
    <cellStyle name="Comma 6 33 2 2" xfId="1788" xr:uid="{00000000-0005-0000-0000-0000F70C0000}"/>
    <cellStyle name="Comma 6 33 2 2 2" xfId="4032" xr:uid="{00000000-0005-0000-0000-0000F80C0000}"/>
    <cellStyle name="Comma 6 33 2 3" xfId="2512" xr:uid="{00000000-0005-0000-0000-0000F90C0000}"/>
    <cellStyle name="Comma 6 33 2 3 2" xfId="4756" xr:uid="{00000000-0005-0000-0000-0000FA0C0000}"/>
    <cellStyle name="Comma 6 33 2 4" xfId="3246" xr:uid="{00000000-0005-0000-0000-0000FB0C0000}"/>
    <cellStyle name="Comma 6 33 3" xfId="1253" xr:uid="{00000000-0005-0000-0000-0000FC0C0000}"/>
    <cellStyle name="Comma 6 33 3 2" xfId="2040" xr:uid="{00000000-0005-0000-0000-0000FD0C0000}"/>
    <cellStyle name="Comma 6 33 3 2 2" xfId="4284" xr:uid="{00000000-0005-0000-0000-0000FE0C0000}"/>
    <cellStyle name="Comma 6 33 3 3" xfId="2764" xr:uid="{00000000-0005-0000-0000-0000FF0C0000}"/>
    <cellStyle name="Comma 6 33 3 3 2" xfId="5008" xr:uid="{00000000-0005-0000-0000-0000000D0000}"/>
    <cellStyle name="Comma 6 33 3 4" xfId="3498" xr:uid="{00000000-0005-0000-0000-0000010D0000}"/>
    <cellStyle name="Comma 6 33 4" xfId="1468" xr:uid="{00000000-0005-0000-0000-0000020D0000}"/>
    <cellStyle name="Comma 6 33 4 2" xfId="3712" xr:uid="{00000000-0005-0000-0000-0000030D0000}"/>
    <cellStyle name="Comma 6 33 5" xfId="2254" xr:uid="{00000000-0005-0000-0000-0000040D0000}"/>
    <cellStyle name="Comma 6 33 5 2" xfId="4498" xr:uid="{00000000-0005-0000-0000-0000050D0000}"/>
    <cellStyle name="Comma 6 33 6" xfId="2978" xr:uid="{00000000-0005-0000-0000-0000060D0000}"/>
    <cellStyle name="Comma 6 34" xfId="191" xr:uid="{00000000-0005-0000-0000-0000070D0000}"/>
    <cellStyle name="Comma 6 34 2" xfId="1001" xr:uid="{00000000-0005-0000-0000-0000080D0000}"/>
    <cellStyle name="Comma 6 34 2 2" xfId="1789" xr:uid="{00000000-0005-0000-0000-0000090D0000}"/>
    <cellStyle name="Comma 6 34 2 2 2" xfId="4033" xr:uid="{00000000-0005-0000-0000-00000A0D0000}"/>
    <cellStyle name="Comma 6 34 2 3" xfId="2513" xr:uid="{00000000-0005-0000-0000-00000B0D0000}"/>
    <cellStyle name="Comma 6 34 2 3 2" xfId="4757" xr:uid="{00000000-0005-0000-0000-00000C0D0000}"/>
    <cellStyle name="Comma 6 34 2 4" xfId="3247" xr:uid="{00000000-0005-0000-0000-00000D0D0000}"/>
    <cellStyle name="Comma 6 34 3" xfId="1254" xr:uid="{00000000-0005-0000-0000-00000E0D0000}"/>
    <cellStyle name="Comma 6 34 3 2" xfId="2041" xr:uid="{00000000-0005-0000-0000-00000F0D0000}"/>
    <cellStyle name="Comma 6 34 3 2 2" xfId="4285" xr:uid="{00000000-0005-0000-0000-0000100D0000}"/>
    <cellStyle name="Comma 6 34 3 3" xfId="2765" xr:uid="{00000000-0005-0000-0000-0000110D0000}"/>
    <cellStyle name="Comma 6 34 3 3 2" xfId="5009" xr:uid="{00000000-0005-0000-0000-0000120D0000}"/>
    <cellStyle name="Comma 6 34 3 4" xfId="3499" xr:uid="{00000000-0005-0000-0000-0000130D0000}"/>
    <cellStyle name="Comma 6 34 4" xfId="1469" xr:uid="{00000000-0005-0000-0000-0000140D0000}"/>
    <cellStyle name="Comma 6 34 4 2" xfId="3713" xr:uid="{00000000-0005-0000-0000-0000150D0000}"/>
    <cellStyle name="Comma 6 34 5" xfId="2255" xr:uid="{00000000-0005-0000-0000-0000160D0000}"/>
    <cellStyle name="Comma 6 34 5 2" xfId="4499" xr:uid="{00000000-0005-0000-0000-0000170D0000}"/>
    <cellStyle name="Comma 6 34 6" xfId="2979" xr:uid="{00000000-0005-0000-0000-0000180D0000}"/>
    <cellStyle name="Comma 6 35" xfId="192" xr:uid="{00000000-0005-0000-0000-0000190D0000}"/>
    <cellStyle name="Comma 6 35 2" xfId="1002" xr:uid="{00000000-0005-0000-0000-00001A0D0000}"/>
    <cellStyle name="Comma 6 35 2 2" xfId="1790" xr:uid="{00000000-0005-0000-0000-00001B0D0000}"/>
    <cellStyle name="Comma 6 35 2 2 2" xfId="4034" xr:uid="{00000000-0005-0000-0000-00001C0D0000}"/>
    <cellStyle name="Comma 6 35 2 3" xfId="2514" xr:uid="{00000000-0005-0000-0000-00001D0D0000}"/>
    <cellStyle name="Comma 6 35 2 3 2" xfId="4758" xr:uid="{00000000-0005-0000-0000-00001E0D0000}"/>
    <cellStyle name="Comma 6 35 2 4" xfId="3248" xr:uid="{00000000-0005-0000-0000-00001F0D0000}"/>
    <cellStyle name="Comma 6 35 3" xfId="1255" xr:uid="{00000000-0005-0000-0000-0000200D0000}"/>
    <cellStyle name="Comma 6 35 3 2" xfId="2042" xr:uid="{00000000-0005-0000-0000-0000210D0000}"/>
    <cellStyle name="Comma 6 35 3 2 2" xfId="4286" xr:uid="{00000000-0005-0000-0000-0000220D0000}"/>
    <cellStyle name="Comma 6 35 3 3" xfId="2766" xr:uid="{00000000-0005-0000-0000-0000230D0000}"/>
    <cellStyle name="Comma 6 35 3 3 2" xfId="5010" xr:uid="{00000000-0005-0000-0000-0000240D0000}"/>
    <cellStyle name="Comma 6 35 3 4" xfId="3500" xr:uid="{00000000-0005-0000-0000-0000250D0000}"/>
    <cellStyle name="Comma 6 35 4" xfId="1470" xr:uid="{00000000-0005-0000-0000-0000260D0000}"/>
    <cellStyle name="Comma 6 35 4 2" xfId="3714" xr:uid="{00000000-0005-0000-0000-0000270D0000}"/>
    <cellStyle name="Comma 6 35 5" xfId="2256" xr:uid="{00000000-0005-0000-0000-0000280D0000}"/>
    <cellStyle name="Comma 6 35 5 2" xfId="4500" xr:uid="{00000000-0005-0000-0000-0000290D0000}"/>
    <cellStyle name="Comma 6 35 6" xfId="2980" xr:uid="{00000000-0005-0000-0000-00002A0D0000}"/>
    <cellStyle name="Comma 6 36" xfId="193" xr:uid="{00000000-0005-0000-0000-00002B0D0000}"/>
    <cellStyle name="Comma 6 36 2" xfId="1003" xr:uid="{00000000-0005-0000-0000-00002C0D0000}"/>
    <cellStyle name="Comma 6 36 2 2" xfId="1791" xr:uid="{00000000-0005-0000-0000-00002D0D0000}"/>
    <cellStyle name="Comma 6 36 2 2 2" xfId="4035" xr:uid="{00000000-0005-0000-0000-00002E0D0000}"/>
    <cellStyle name="Comma 6 36 2 3" xfId="2515" xr:uid="{00000000-0005-0000-0000-00002F0D0000}"/>
    <cellStyle name="Comma 6 36 2 3 2" xfId="4759" xr:uid="{00000000-0005-0000-0000-0000300D0000}"/>
    <cellStyle name="Comma 6 36 2 4" xfId="3249" xr:uid="{00000000-0005-0000-0000-0000310D0000}"/>
    <cellStyle name="Comma 6 36 3" xfId="1256" xr:uid="{00000000-0005-0000-0000-0000320D0000}"/>
    <cellStyle name="Comma 6 36 3 2" xfId="2043" xr:uid="{00000000-0005-0000-0000-0000330D0000}"/>
    <cellStyle name="Comma 6 36 3 2 2" xfId="4287" xr:uid="{00000000-0005-0000-0000-0000340D0000}"/>
    <cellStyle name="Comma 6 36 3 3" xfId="2767" xr:uid="{00000000-0005-0000-0000-0000350D0000}"/>
    <cellStyle name="Comma 6 36 3 3 2" xfId="5011" xr:uid="{00000000-0005-0000-0000-0000360D0000}"/>
    <cellStyle name="Comma 6 36 3 4" xfId="3501" xr:uid="{00000000-0005-0000-0000-0000370D0000}"/>
    <cellStyle name="Comma 6 36 4" xfId="1471" xr:uid="{00000000-0005-0000-0000-0000380D0000}"/>
    <cellStyle name="Comma 6 36 4 2" xfId="3715" xr:uid="{00000000-0005-0000-0000-0000390D0000}"/>
    <cellStyle name="Comma 6 36 5" xfId="2257" xr:uid="{00000000-0005-0000-0000-00003A0D0000}"/>
    <cellStyle name="Comma 6 36 5 2" xfId="4501" xr:uid="{00000000-0005-0000-0000-00003B0D0000}"/>
    <cellStyle name="Comma 6 36 6" xfId="2981" xr:uid="{00000000-0005-0000-0000-00003C0D0000}"/>
    <cellStyle name="Comma 6 37" xfId="194" xr:uid="{00000000-0005-0000-0000-00003D0D0000}"/>
    <cellStyle name="Comma 6 37 2" xfId="1004" xr:uid="{00000000-0005-0000-0000-00003E0D0000}"/>
    <cellStyle name="Comma 6 37 2 2" xfId="1792" xr:uid="{00000000-0005-0000-0000-00003F0D0000}"/>
    <cellStyle name="Comma 6 37 2 2 2" xfId="4036" xr:uid="{00000000-0005-0000-0000-0000400D0000}"/>
    <cellStyle name="Comma 6 37 2 3" xfId="2516" xr:uid="{00000000-0005-0000-0000-0000410D0000}"/>
    <cellStyle name="Comma 6 37 2 3 2" xfId="4760" xr:uid="{00000000-0005-0000-0000-0000420D0000}"/>
    <cellStyle name="Comma 6 37 2 4" xfId="3250" xr:uid="{00000000-0005-0000-0000-0000430D0000}"/>
    <cellStyle name="Comma 6 37 3" xfId="1257" xr:uid="{00000000-0005-0000-0000-0000440D0000}"/>
    <cellStyle name="Comma 6 37 3 2" xfId="2044" xr:uid="{00000000-0005-0000-0000-0000450D0000}"/>
    <cellStyle name="Comma 6 37 3 2 2" xfId="4288" xr:uid="{00000000-0005-0000-0000-0000460D0000}"/>
    <cellStyle name="Comma 6 37 3 3" xfId="2768" xr:uid="{00000000-0005-0000-0000-0000470D0000}"/>
    <cellStyle name="Comma 6 37 3 3 2" xfId="5012" xr:uid="{00000000-0005-0000-0000-0000480D0000}"/>
    <cellStyle name="Comma 6 37 3 4" xfId="3502" xr:uid="{00000000-0005-0000-0000-0000490D0000}"/>
    <cellStyle name="Comma 6 37 4" xfId="1472" xr:uid="{00000000-0005-0000-0000-00004A0D0000}"/>
    <cellStyle name="Comma 6 37 4 2" xfId="3716" xr:uid="{00000000-0005-0000-0000-00004B0D0000}"/>
    <cellStyle name="Comma 6 37 5" xfId="2258" xr:uid="{00000000-0005-0000-0000-00004C0D0000}"/>
    <cellStyle name="Comma 6 37 5 2" xfId="4502" xr:uid="{00000000-0005-0000-0000-00004D0D0000}"/>
    <cellStyle name="Comma 6 37 6" xfId="2982" xr:uid="{00000000-0005-0000-0000-00004E0D0000}"/>
    <cellStyle name="Comma 6 38" xfId="974" xr:uid="{00000000-0005-0000-0000-00004F0D0000}"/>
    <cellStyle name="Comma 6 38 2" xfId="1762" xr:uid="{00000000-0005-0000-0000-0000500D0000}"/>
    <cellStyle name="Comma 6 38 2 2" xfId="4006" xr:uid="{00000000-0005-0000-0000-0000510D0000}"/>
    <cellStyle name="Comma 6 38 3" xfId="2486" xr:uid="{00000000-0005-0000-0000-0000520D0000}"/>
    <cellStyle name="Comma 6 38 3 2" xfId="4730" xr:uid="{00000000-0005-0000-0000-0000530D0000}"/>
    <cellStyle name="Comma 6 38 4" xfId="3220" xr:uid="{00000000-0005-0000-0000-0000540D0000}"/>
    <cellStyle name="Comma 6 39" xfId="1227" xr:uid="{00000000-0005-0000-0000-0000550D0000}"/>
    <cellStyle name="Comma 6 39 2" xfId="2014" xr:uid="{00000000-0005-0000-0000-0000560D0000}"/>
    <cellStyle name="Comma 6 39 2 2" xfId="4258" xr:uid="{00000000-0005-0000-0000-0000570D0000}"/>
    <cellStyle name="Comma 6 39 3" xfId="2738" xr:uid="{00000000-0005-0000-0000-0000580D0000}"/>
    <cellStyle name="Comma 6 39 3 2" xfId="4982" xr:uid="{00000000-0005-0000-0000-0000590D0000}"/>
    <cellStyle name="Comma 6 39 4" xfId="3472" xr:uid="{00000000-0005-0000-0000-00005A0D0000}"/>
    <cellStyle name="Comma 6 4" xfId="195" xr:uid="{00000000-0005-0000-0000-00005B0D0000}"/>
    <cellStyle name="Comma 6 4 2" xfId="1005" xr:uid="{00000000-0005-0000-0000-00005C0D0000}"/>
    <cellStyle name="Comma 6 4 2 2" xfId="1793" xr:uid="{00000000-0005-0000-0000-00005D0D0000}"/>
    <cellStyle name="Comma 6 4 2 2 2" xfId="4037" xr:uid="{00000000-0005-0000-0000-00005E0D0000}"/>
    <cellStyle name="Comma 6 4 2 3" xfId="2517" xr:uid="{00000000-0005-0000-0000-00005F0D0000}"/>
    <cellStyle name="Comma 6 4 2 3 2" xfId="4761" xr:uid="{00000000-0005-0000-0000-0000600D0000}"/>
    <cellStyle name="Comma 6 4 2 4" xfId="3251" xr:uid="{00000000-0005-0000-0000-0000610D0000}"/>
    <cellStyle name="Comma 6 4 3" xfId="1258" xr:uid="{00000000-0005-0000-0000-0000620D0000}"/>
    <cellStyle name="Comma 6 4 3 2" xfId="2045" xr:uid="{00000000-0005-0000-0000-0000630D0000}"/>
    <cellStyle name="Comma 6 4 3 2 2" xfId="4289" xr:uid="{00000000-0005-0000-0000-0000640D0000}"/>
    <cellStyle name="Comma 6 4 3 3" xfId="2769" xr:uid="{00000000-0005-0000-0000-0000650D0000}"/>
    <cellStyle name="Comma 6 4 3 3 2" xfId="5013" xr:uid="{00000000-0005-0000-0000-0000660D0000}"/>
    <cellStyle name="Comma 6 4 3 4" xfId="3503" xr:uid="{00000000-0005-0000-0000-0000670D0000}"/>
    <cellStyle name="Comma 6 4 4" xfId="1473" xr:uid="{00000000-0005-0000-0000-0000680D0000}"/>
    <cellStyle name="Comma 6 4 4 2" xfId="3717" xr:uid="{00000000-0005-0000-0000-0000690D0000}"/>
    <cellStyle name="Comma 6 4 5" xfId="2259" xr:uid="{00000000-0005-0000-0000-00006A0D0000}"/>
    <cellStyle name="Comma 6 4 5 2" xfId="4503" xr:uid="{00000000-0005-0000-0000-00006B0D0000}"/>
    <cellStyle name="Comma 6 4 6" xfId="2983" xr:uid="{00000000-0005-0000-0000-00006C0D0000}"/>
    <cellStyle name="Comma 6 40" xfId="1442" xr:uid="{00000000-0005-0000-0000-00006D0D0000}"/>
    <cellStyle name="Comma 6 40 2" xfId="3686" xr:uid="{00000000-0005-0000-0000-00006E0D0000}"/>
    <cellStyle name="Comma 6 41" xfId="2228" xr:uid="{00000000-0005-0000-0000-00006F0D0000}"/>
    <cellStyle name="Comma 6 41 2" xfId="4472" xr:uid="{00000000-0005-0000-0000-0000700D0000}"/>
    <cellStyle name="Comma 6 42" xfId="2952" xr:uid="{00000000-0005-0000-0000-0000710D0000}"/>
    <cellStyle name="Comma 6 5" xfId="196" xr:uid="{00000000-0005-0000-0000-0000720D0000}"/>
    <cellStyle name="Comma 6 5 2" xfId="1006" xr:uid="{00000000-0005-0000-0000-0000730D0000}"/>
    <cellStyle name="Comma 6 5 2 2" xfId="1794" xr:uid="{00000000-0005-0000-0000-0000740D0000}"/>
    <cellStyle name="Comma 6 5 2 2 2" xfId="4038" xr:uid="{00000000-0005-0000-0000-0000750D0000}"/>
    <cellStyle name="Comma 6 5 2 3" xfId="2518" xr:uid="{00000000-0005-0000-0000-0000760D0000}"/>
    <cellStyle name="Comma 6 5 2 3 2" xfId="4762" xr:uid="{00000000-0005-0000-0000-0000770D0000}"/>
    <cellStyle name="Comma 6 5 2 4" xfId="3252" xr:uid="{00000000-0005-0000-0000-0000780D0000}"/>
    <cellStyle name="Comma 6 5 3" xfId="1259" xr:uid="{00000000-0005-0000-0000-0000790D0000}"/>
    <cellStyle name="Comma 6 5 3 2" xfId="2046" xr:uid="{00000000-0005-0000-0000-00007A0D0000}"/>
    <cellStyle name="Comma 6 5 3 2 2" xfId="4290" xr:uid="{00000000-0005-0000-0000-00007B0D0000}"/>
    <cellStyle name="Comma 6 5 3 3" xfId="2770" xr:uid="{00000000-0005-0000-0000-00007C0D0000}"/>
    <cellStyle name="Comma 6 5 3 3 2" xfId="5014" xr:uid="{00000000-0005-0000-0000-00007D0D0000}"/>
    <cellStyle name="Comma 6 5 3 4" xfId="3504" xr:uid="{00000000-0005-0000-0000-00007E0D0000}"/>
    <cellStyle name="Comma 6 5 4" xfId="1474" xr:uid="{00000000-0005-0000-0000-00007F0D0000}"/>
    <cellStyle name="Comma 6 5 4 2" xfId="3718" xr:uid="{00000000-0005-0000-0000-0000800D0000}"/>
    <cellStyle name="Comma 6 5 5" xfId="2260" xr:uid="{00000000-0005-0000-0000-0000810D0000}"/>
    <cellStyle name="Comma 6 5 5 2" xfId="4504" xr:uid="{00000000-0005-0000-0000-0000820D0000}"/>
    <cellStyle name="Comma 6 5 6" xfId="2984" xr:uid="{00000000-0005-0000-0000-0000830D0000}"/>
    <cellStyle name="Comma 6 6" xfId="197" xr:uid="{00000000-0005-0000-0000-0000840D0000}"/>
    <cellStyle name="Comma 6 6 2" xfId="1007" xr:uid="{00000000-0005-0000-0000-0000850D0000}"/>
    <cellStyle name="Comma 6 6 2 2" xfId="1795" xr:uid="{00000000-0005-0000-0000-0000860D0000}"/>
    <cellStyle name="Comma 6 6 2 2 2" xfId="4039" xr:uid="{00000000-0005-0000-0000-0000870D0000}"/>
    <cellStyle name="Comma 6 6 2 3" xfId="2519" xr:uid="{00000000-0005-0000-0000-0000880D0000}"/>
    <cellStyle name="Comma 6 6 2 3 2" xfId="4763" xr:uid="{00000000-0005-0000-0000-0000890D0000}"/>
    <cellStyle name="Comma 6 6 2 4" xfId="3253" xr:uid="{00000000-0005-0000-0000-00008A0D0000}"/>
    <cellStyle name="Comma 6 6 3" xfId="1260" xr:uid="{00000000-0005-0000-0000-00008B0D0000}"/>
    <cellStyle name="Comma 6 6 3 2" xfId="2047" xr:uid="{00000000-0005-0000-0000-00008C0D0000}"/>
    <cellStyle name="Comma 6 6 3 2 2" xfId="4291" xr:uid="{00000000-0005-0000-0000-00008D0D0000}"/>
    <cellStyle name="Comma 6 6 3 3" xfId="2771" xr:uid="{00000000-0005-0000-0000-00008E0D0000}"/>
    <cellStyle name="Comma 6 6 3 3 2" xfId="5015" xr:uid="{00000000-0005-0000-0000-00008F0D0000}"/>
    <cellStyle name="Comma 6 6 3 4" xfId="3505" xr:uid="{00000000-0005-0000-0000-0000900D0000}"/>
    <cellStyle name="Comma 6 6 4" xfId="1475" xr:uid="{00000000-0005-0000-0000-0000910D0000}"/>
    <cellStyle name="Comma 6 6 4 2" xfId="3719" xr:uid="{00000000-0005-0000-0000-0000920D0000}"/>
    <cellStyle name="Comma 6 6 5" xfId="2261" xr:uid="{00000000-0005-0000-0000-0000930D0000}"/>
    <cellStyle name="Comma 6 6 5 2" xfId="4505" xr:uid="{00000000-0005-0000-0000-0000940D0000}"/>
    <cellStyle name="Comma 6 6 6" xfId="2985" xr:uid="{00000000-0005-0000-0000-0000950D0000}"/>
    <cellStyle name="Comma 6 7" xfId="198" xr:uid="{00000000-0005-0000-0000-0000960D0000}"/>
    <cellStyle name="Comma 6 7 2" xfId="1008" xr:uid="{00000000-0005-0000-0000-0000970D0000}"/>
    <cellStyle name="Comma 6 7 2 2" xfId="1796" xr:uid="{00000000-0005-0000-0000-0000980D0000}"/>
    <cellStyle name="Comma 6 7 2 2 2" xfId="4040" xr:uid="{00000000-0005-0000-0000-0000990D0000}"/>
    <cellStyle name="Comma 6 7 2 3" xfId="2520" xr:uid="{00000000-0005-0000-0000-00009A0D0000}"/>
    <cellStyle name="Comma 6 7 2 3 2" xfId="4764" xr:uid="{00000000-0005-0000-0000-00009B0D0000}"/>
    <cellStyle name="Comma 6 7 2 4" xfId="3254" xr:uid="{00000000-0005-0000-0000-00009C0D0000}"/>
    <cellStyle name="Comma 6 7 3" xfId="1261" xr:uid="{00000000-0005-0000-0000-00009D0D0000}"/>
    <cellStyle name="Comma 6 7 3 2" xfId="2048" xr:uid="{00000000-0005-0000-0000-00009E0D0000}"/>
    <cellStyle name="Comma 6 7 3 2 2" xfId="4292" xr:uid="{00000000-0005-0000-0000-00009F0D0000}"/>
    <cellStyle name="Comma 6 7 3 3" xfId="2772" xr:uid="{00000000-0005-0000-0000-0000A00D0000}"/>
    <cellStyle name="Comma 6 7 3 3 2" xfId="5016" xr:uid="{00000000-0005-0000-0000-0000A10D0000}"/>
    <cellStyle name="Comma 6 7 3 4" xfId="3506" xr:uid="{00000000-0005-0000-0000-0000A20D0000}"/>
    <cellStyle name="Comma 6 7 4" xfId="1476" xr:uid="{00000000-0005-0000-0000-0000A30D0000}"/>
    <cellStyle name="Comma 6 7 4 2" xfId="3720" xr:uid="{00000000-0005-0000-0000-0000A40D0000}"/>
    <cellStyle name="Comma 6 7 5" xfId="2262" xr:uid="{00000000-0005-0000-0000-0000A50D0000}"/>
    <cellStyle name="Comma 6 7 5 2" xfId="4506" xr:uid="{00000000-0005-0000-0000-0000A60D0000}"/>
    <cellStyle name="Comma 6 7 6" xfId="2986" xr:uid="{00000000-0005-0000-0000-0000A70D0000}"/>
    <cellStyle name="Comma 6 8" xfId="199" xr:uid="{00000000-0005-0000-0000-0000A80D0000}"/>
    <cellStyle name="Comma 6 8 2" xfId="1009" xr:uid="{00000000-0005-0000-0000-0000A90D0000}"/>
    <cellStyle name="Comma 6 8 2 2" xfId="1797" xr:uid="{00000000-0005-0000-0000-0000AA0D0000}"/>
    <cellStyle name="Comma 6 8 2 2 2" xfId="4041" xr:uid="{00000000-0005-0000-0000-0000AB0D0000}"/>
    <cellStyle name="Comma 6 8 2 3" xfId="2521" xr:uid="{00000000-0005-0000-0000-0000AC0D0000}"/>
    <cellStyle name="Comma 6 8 2 3 2" xfId="4765" xr:uid="{00000000-0005-0000-0000-0000AD0D0000}"/>
    <cellStyle name="Comma 6 8 2 4" xfId="3255" xr:uid="{00000000-0005-0000-0000-0000AE0D0000}"/>
    <cellStyle name="Comma 6 8 3" xfId="1262" xr:uid="{00000000-0005-0000-0000-0000AF0D0000}"/>
    <cellStyle name="Comma 6 8 3 2" xfId="2049" xr:uid="{00000000-0005-0000-0000-0000B00D0000}"/>
    <cellStyle name="Comma 6 8 3 2 2" xfId="4293" xr:uid="{00000000-0005-0000-0000-0000B10D0000}"/>
    <cellStyle name="Comma 6 8 3 3" xfId="2773" xr:uid="{00000000-0005-0000-0000-0000B20D0000}"/>
    <cellStyle name="Comma 6 8 3 3 2" xfId="5017" xr:uid="{00000000-0005-0000-0000-0000B30D0000}"/>
    <cellStyle name="Comma 6 8 3 4" xfId="3507" xr:uid="{00000000-0005-0000-0000-0000B40D0000}"/>
    <cellStyle name="Comma 6 8 4" xfId="1477" xr:uid="{00000000-0005-0000-0000-0000B50D0000}"/>
    <cellStyle name="Comma 6 8 4 2" xfId="3721" xr:uid="{00000000-0005-0000-0000-0000B60D0000}"/>
    <cellStyle name="Comma 6 8 5" xfId="2263" xr:uid="{00000000-0005-0000-0000-0000B70D0000}"/>
    <cellStyle name="Comma 6 8 5 2" xfId="4507" xr:uid="{00000000-0005-0000-0000-0000B80D0000}"/>
    <cellStyle name="Comma 6 8 6" xfId="2987" xr:uid="{00000000-0005-0000-0000-0000B90D0000}"/>
    <cellStyle name="Comma 6 9" xfId="200" xr:uid="{00000000-0005-0000-0000-0000BA0D0000}"/>
    <cellStyle name="Comma 6 9 2" xfId="1010" xr:uid="{00000000-0005-0000-0000-0000BB0D0000}"/>
    <cellStyle name="Comma 6 9 2 2" xfId="1798" xr:uid="{00000000-0005-0000-0000-0000BC0D0000}"/>
    <cellStyle name="Comma 6 9 2 2 2" xfId="4042" xr:uid="{00000000-0005-0000-0000-0000BD0D0000}"/>
    <cellStyle name="Comma 6 9 2 3" xfId="2522" xr:uid="{00000000-0005-0000-0000-0000BE0D0000}"/>
    <cellStyle name="Comma 6 9 2 3 2" xfId="4766" xr:uid="{00000000-0005-0000-0000-0000BF0D0000}"/>
    <cellStyle name="Comma 6 9 2 4" xfId="3256" xr:uid="{00000000-0005-0000-0000-0000C00D0000}"/>
    <cellStyle name="Comma 6 9 3" xfId="1263" xr:uid="{00000000-0005-0000-0000-0000C10D0000}"/>
    <cellStyle name="Comma 6 9 3 2" xfId="2050" xr:uid="{00000000-0005-0000-0000-0000C20D0000}"/>
    <cellStyle name="Comma 6 9 3 2 2" xfId="4294" xr:uid="{00000000-0005-0000-0000-0000C30D0000}"/>
    <cellStyle name="Comma 6 9 3 3" xfId="2774" xr:uid="{00000000-0005-0000-0000-0000C40D0000}"/>
    <cellStyle name="Comma 6 9 3 3 2" xfId="5018" xr:uid="{00000000-0005-0000-0000-0000C50D0000}"/>
    <cellStyle name="Comma 6 9 3 4" xfId="3508" xr:uid="{00000000-0005-0000-0000-0000C60D0000}"/>
    <cellStyle name="Comma 6 9 4" xfId="1478" xr:uid="{00000000-0005-0000-0000-0000C70D0000}"/>
    <cellStyle name="Comma 6 9 4 2" xfId="3722" xr:uid="{00000000-0005-0000-0000-0000C80D0000}"/>
    <cellStyle name="Comma 6 9 5" xfId="2264" xr:uid="{00000000-0005-0000-0000-0000C90D0000}"/>
    <cellStyle name="Comma 6 9 5 2" xfId="4508" xr:uid="{00000000-0005-0000-0000-0000CA0D0000}"/>
    <cellStyle name="Comma 6 9 6" xfId="2988" xr:uid="{00000000-0005-0000-0000-0000CB0D0000}"/>
    <cellStyle name="Comma 60" xfId="1032" xr:uid="{00000000-0005-0000-0000-0000CC0D0000}"/>
    <cellStyle name="Comma 60 2" xfId="1820" xr:uid="{00000000-0005-0000-0000-0000CD0D0000}"/>
    <cellStyle name="Comma 60 2 2" xfId="4064" xr:uid="{00000000-0005-0000-0000-0000CE0D0000}"/>
    <cellStyle name="Comma 60 3" xfId="2544" xr:uid="{00000000-0005-0000-0000-0000CF0D0000}"/>
    <cellStyle name="Comma 60 3 2" xfId="4788" xr:uid="{00000000-0005-0000-0000-0000D00D0000}"/>
    <cellStyle name="Comma 60 4" xfId="3278" xr:uid="{00000000-0005-0000-0000-0000D10D0000}"/>
    <cellStyle name="Comma 61" xfId="1066" xr:uid="{00000000-0005-0000-0000-0000D20D0000}"/>
    <cellStyle name="Comma 61 2" xfId="1853" xr:uid="{00000000-0005-0000-0000-0000D30D0000}"/>
    <cellStyle name="Comma 61 2 2" xfId="4097" xr:uid="{00000000-0005-0000-0000-0000D40D0000}"/>
    <cellStyle name="Comma 61 3" xfId="2577" xr:uid="{00000000-0005-0000-0000-0000D50D0000}"/>
    <cellStyle name="Comma 61 3 2" xfId="4821" xr:uid="{00000000-0005-0000-0000-0000D60D0000}"/>
    <cellStyle name="Comma 61 4" xfId="3311" xr:uid="{00000000-0005-0000-0000-0000D70D0000}"/>
    <cellStyle name="Comma 62" xfId="1068" xr:uid="{00000000-0005-0000-0000-0000D80D0000}"/>
    <cellStyle name="Comma 62 2" xfId="1855" xr:uid="{00000000-0005-0000-0000-0000D90D0000}"/>
    <cellStyle name="Comma 62 2 2" xfId="4099" xr:uid="{00000000-0005-0000-0000-0000DA0D0000}"/>
    <cellStyle name="Comma 62 3" xfId="2579" xr:uid="{00000000-0005-0000-0000-0000DB0D0000}"/>
    <cellStyle name="Comma 62 3 2" xfId="4823" xr:uid="{00000000-0005-0000-0000-0000DC0D0000}"/>
    <cellStyle name="Comma 62 4" xfId="3313" xr:uid="{00000000-0005-0000-0000-0000DD0D0000}"/>
    <cellStyle name="Comma 63" xfId="1081" xr:uid="{00000000-0005-0000-0000-0000DE0D0000}"/>
    <cellStyle name="Comma 63 2" xfId="1868" xr:uid="{00000000-0005-0000-0000-0000DF0D0000}"/>
    <cellStyle name="Comma 63 2 2" xfId="4112" xr:uid="{00000000-0005-0000-0000-0000E00D0000}"/>
    <cellStyle name="Comma 63 3" xfId="2592" xr:uid="{00000000-0005-0000-0000-0000E10D0000}"/>
    <cellStyle name="Comma 63 3 2" xfId="4836" xr:uid="{00000000-0005-0000-0000-0000E20D0000}"/>
    <cellStyle name="Comma 63 4" xfId="3326" xr:uid="{00000000-0005-0000-0000-0000E30D0000}"/>
    <cellStyle name="Comma 64" xfId="1083" xr:uid="{00000000-0005-0000-0000-0000E40D0000}"/>
    <cellStyle name="Comma 64 2" xfId="1870" xr:uid="{00000000-0005-0000-0000-0000E50D0000}"/>
    <cellStyle name="Comma 64 2 2" xfId="4114" xr:uid="{00000000-0005-0000-0000-0000E60D0000}"/>
    <cellStyle name="Comma 64 3" xfId="2594" xr:uid="{00000000-0005-0000-0000-0000E70D0000}"/>
    <cellStyle name="Comma 64 3 2" xfId="4838" xr:uid="{00000000-0005-0000-0000-0000E80D0000}"/>
    <cellStyle name="Comma 64 4" xfId="3328" xr:uid="{00000000-0005-0000-0000-0000E90D0000}"/>
    <cellStyle name="Comma 65" xfId="1102" xr:uid="{00000000-0005-0000-0000-0000EA0D0000}"/>
    <cellStyle name="Comma 65 2" xfId="1889" xr:uid="{00000000-0005-0000-0000-0000EB0D0000}"/>
    <cellStyle name="Comma 65 2 2" xfId="4133" xr:uid="{00000000-0005-0000-0000-0000EC0D0000}"/>
    <cellStyle name="Comma 65 3" xfId="2613" xr:uid="{00000000-0005-0000-0000-0000ED0D0000}"/>
    <cellStyle name="Comma 65 3 2" xfId="4857" xr:uid="{00000000-0005-0000-0000-0000EE0D0000}"/>
    <cellStyle name="Comma 65 4" xfId="3347" xr:uid="{00000000-0005-0000-0000-0000EF0D0000}"/>
    <cellStyle name="Comma 66" xfId="1104" xr:uid="{00000000-0005-0000-0000-0000F00D0000}"/>
    <cellStyle name="Comma 66 2" xfId="1891" xr:uid="{00000000-0005-0000-0000-0000F10D0000}"/>
    <cellStyle name="Comma 66 2 2" xfId="4135" xr:uid="{00000000-0005-0000-0000-0000F20D0000}"/>
    <cellStyle name="Comma 66 3" xfId="2615" xr:uid="{00000000-0005-0000-0000-0000F30D0000}"/>
    <cellStyle name="Comma 66 3 2" xfId="4859" xr:uid="{00000000-0005-0000-0000-0000F40D0000}"/>
    <cellStyle name="Comma 66 4" xfId="3349" xr:uid="{00000000-0005-0000-0000-0000F50D0000}"/>
    <cellStyle name="Comma 67" xfId="1110" xr:uid="{00000000-0005-0000-0000-0000F60D0000}"/>
    <cellStyle name="Comma 67 2" xfId="1897" xr:uid="{00000000-0005-0000-0000-0000F70D0000}"/>
    <cellStyle name="Comma 67 2 2" xfId="4141" xr:uid="{00000000-0005-0000-0000-0000F80D0000}"/>
    <cellStyle name="Comma 67 3" xfId="2621" xr:uid="{00000000-0005-0000-0000-0000F90D0000}"/>
    <cellStyle name="Comma 67 3 2" xfId="4865" xr:uid="{00000000-0005-0000-0000-0000FA0D0000}"/>
    <cellStyle name="Comma 67 4" xfId="3355" xr:uid="{00000000-0005-0000-0000-0000FB0D0000}"/>
    <cellStyle name="Comma 68" xfId="1124" xr:uid="{00000000-0005-0000-0000-0000FC0D0000}"/>
    <cellStyle name="Comma 68 2" xfId="1911" xr:uid="{00000000-0005-0000-0000-0000FD0D0000}"/>
    <cellStyle name="Comma 68 2 2" xfId="4155" xr:uid="{00000000-0005-0000-0000-0000FE0D0000}"/>
    <cellStyle name="Comma 68 3" xfId="2635" xr:uid="{00000000-0005-0000-0000-0000FF0D0000}"/>
    <cellStyle name="Comma 68 3 2" xfId="4879" xr:uid="{00000000-0005-0000-0000-0000000E0000}"/>
    <cellStyle name="Comma 68 4" xfId="3369" xr:uid="{00000000-0005-0000-0000-0000010E0000}"/>
    <cellStyle name="Comma 69" xfId="1320" xr:uid="{00000000-0005-0000-0000-0000020E0000}"/>
    <cellStyle name="Comma 69 2" xfId="3564" xr:uid="{00000000-0005-0000-0000-0000030E0000}"/>
    <cellStyle name="Comma 7" xfId="201" xr:uid="{00000000-0005-0000-0000-0000040E0000}"/>
    <cellStyle name="Comma 7 10" xfId="202" xr:uid="{00000000-0005-0000-0000-0000050E0000}"/>
    <cellStyle name="Comma 7 10 2" xfId="1012" xr:uid="{00000000-0005-0000-0000-0000060E0000}"/>
    <cellStyle name="Comma 7 10 2 2" xfId="1800" xr:uid="{00000000-0005-0000-0000-0000070E0000}"/>
    <cellStyle name="Comma 7 10 2 2 2" xfId="4044" xr:uid="{00000000-0005-0000-0000-0000080E0000}"/>
    <cellStyle name="Comma 7 10 2 3" xfId="2524" xr:uid="{00000000-0005-0000-0000-0000090E0000}"/>
    <cellStyle name="Comma 7 10 2 3 2" xfId="4768" xr:uid="{00000000-0005-0000-0000-00000A0E0000}"/>
    <cellStyle name="Comma 7 10 2 4" xfId="3258" xr:uid="{00000000-0005-0000-0000-00000B0E0000}"/>
    <cellStyle name="Comma 7 10 3" xfId="1265" xr:uid="{00000000-0005-0000-0000-00000C0E0000}"/>
    <cellStyle name="Comma 7 10 3 2" xfId="2052" xr:uid="{00000000-0005-0000-0000-00000D0E0000}"/>
    <cellStyle name="Comma 7 10 3 2 2" xfId="4296" xr:uid="{00000000-0005-0000-0000-00000E0E0000}"/>
    <cellStyle name="Comma 7 10 3 3" xfId="2776" xr:uid="{00000000-0005-0000-0000-00000F0E0000}"/>
    <cellStyle name="Comma 7 10 3 3 2" xfId="5020" xr:uid="{00000000-0005-0000-0000-0000100E0000}"/>
    <cellStyle name="Comma 7 10 3 4" xfId="3510" xr:uid="{00000000-0005-0000-0000-0000110E0000}"/>
    <cellStyle name="Comma 7 10 4" xfId="1480" xr:uid="{00000000-0005-0000-0000-0000120E0000}"/>
    <cellStyle name="Comma 7 10 4 2" xfId="3724" xr:uid="{00000000-0005-0000-0000-0000130E0000}"/>
    <cellStyle name="Comma 7 10 5" xfId="2266" xr:uid="{00000000-0005-0000-0000-0000140E0000}"/>
    <cellStyle name="Comma 7 10 5 2" xfId="4510" xr:uid="{00000000-0005-0000-0000-0000150E0000}"/>
    <cellStyle name="Comma 7 10 6" xfId="2990" xr:uid="{00000000-0005-0000-0000-0000160E0000}"/>
    <cellStyle name="Comma 7 11" xfId="203" xr:uid="{00000000-0005-0000-0000-0000170E0000}"/>
    <cellStyle name="Comma 7 11 2" xfId="1013" xr:uid="{00000000-0005-0000-0000-0000180E0000}"/>
    <cellStyle name="Comma 7 11 2 2" xfId="1801" xr:uid="{00000000-0005-0000-0000-0000190E0000}"/>
    <cellStyle name="Comma 7 11 2 2 2" xfId="4045" xr:uid="{00000000-0005-0000-0000-00001A0E0000}"/>
    <cellStyle name="Comma 7 11 2 3" xfId="2525" xr:uid="{00000000-0005-0000-0000-00001B0E0000}"/>
    <cellStyle name="Comma 7 11 2 3 2" xfId="4769" xr:uid="{00000000-0005-0000-0000-00001C0E0000}"/>
    <cellStyle name="Comma 7 11 2 4" xfId="3259" xr:uid="{00000000-0005-0000-0000-00001D0E0000}"/>
    <cellStyle name="Comma 7 11 3" xfId="1266" xr:uid="{00000000-0005-0000-0000-00001E0E0000}"/>
    <cellStyle name="Comma 7 11 3 2" xfId="2053" xr:uid="{00000000-0005-0000-0000-00001F0E0000}"/>
    <cellStyle name="Comma 7 11 3 2 2" xfId="4297" xr:uid="{00000000-0005-0000-0000-0000200E0000}"/>
    <cellStyle name="Comma 7 11 3 3" xfId="2777" xr:uid="{00000000-0005-0000-0000-0000210E0000}"/>
    <cellStyle name="Comma 7 11 3 3 2" xfId="5021" xr:uid="{00000000-0005-0000-0000-0000220E0000}"/>
    <cellStyle name="Comma 7 11 3 4" xfId="3511" xr:uid="{00000000-0005-0000-0000-0000230E0000}"/>
    <cellStyle name="Comma 7 11 4" xfId="1481" xr:uid="{00000000-0005-0000-0000-0000240E0000}"/>
    <cellStyle name="Comma 7 11 4 2" xfId="3725" xr:uid="{00000000-0005-0000-0000-0000250E0000}"/>
    <cellStyle name="Comma 7 11 5" xfId="2267" xr:uid="{00000000-0005-0000-0000-0000260E0000}"/>
    <cellStyle name="Comma 7 11 5 2" xfId="4511" xr:uid="{00000000-0005-0000-0000-0000270E0000}"/>
    <cellStyle name="Comma 7 11 6" xfId="2991" xr:uid="{00000000-0005-0000-0000-0000280E0000}"/>
    <cellStyle name="Comma 7 12" xfId="204" xr:uid="{00000000-0005-0000-0000-0000290E0000}"/>
    <cellStyle name="Comma 7 12 2" xfId="1014" xr:uid="{00000000-0005-0000-0000-00002A0E0000}"/>
    <cellStyle name="Comma 7 12 2 2" xfId="1802" xr:uid="{00000000-0005-0000-0000-00002B0E0000}"/>
    <cellStyle name="Comma 7 12 2 2 2" xfId="4046" xr:uid="{00000000-0005-0000-0000-00002C0E0000}"/>
    <cellStyle name="Comma 7 12 2 3" xfId="2526" xr:uid="{00000000-0005-0000-0000-00002D0E0000}"/>
    <cellStyle name="Comma 7 12 2 3 2" xfId="4770" xr:uid="{00000000-0005-0000-0000-00002E0E0000}"/>
    <cellStyle name="Comma 7 12 2 4" xfId="3260" xr:uid="{00000000-0005-0000-0000-00002F0E0000}"/>
    <cellStyle name="Comma 7 12 3" xfId="1267" xr:uid="{00000000-0005-0000-0000-0000300E0000}"/>
    <cellStyle name="Comma 7 12 3 2" xfId="2054" xr:uid="{00000000-0005-0000-0000-0000310E0000}"/>
    <cellStyle name="Comma 7 12 3 2 2" xfId="4298" xr:uid="{00000000-0005-0000-0000-0000320E0000}"/>
    <cellStyle name="Comma 7 12 3 3" xfId="2778" xr:uid="{00000000-0005-0000-0000-0000330E0000}"/>
    <cellStyle name="Comma 7 12 3 3 2" xfId="5022" xr:uid="{00000000-0005-0000-0000-0000340E0000}"/>
    <cellStyle name="Comma 7 12 3 4" xfId="3512" xr:uid="{00000000-0005-0000-0000-0000350E0000}"/>
    <cellStyle name="Comma 7 12 4" xfId="1482" xr:uid="{00000000-0005-0000-0000-0000360E0000}"/>
    <cellStyle name="Comma 7 12 4 2" xfId="3726" xr:uid="{00000000-0005-0000-0000-0000370E0000}"/>
    <cellStyle name="Comma 7 12 5" xfId="2268" xr:uid="{00000000-0005-0000-0000-0000380E0000}"/>
    <cellStyle name="Comma 7 12 5 2" xfId="4512" xr:uid="{00000000-0005-0000-0000-0000390E0000}"/>
    <cellStyle name="Comma 7 12 6" xfId="2992" xr:uid="{00000000-0005-0000-0000-00003A0E0000}"/>
    <cellStyle name="Comma 7 13" xfId="205" xr:uid="{00000000-0005-0000-0000-00003B0E0000}"/>
    <cellStyle name="Comma 7 13 2" xfId="1015" xr:uid="{00000000-0005-0000-0000-00003C0E0000}"/>
    <cellStyle name="Comma 7 13 2 2" xfId="1803" xr:uid="{00000000-0005-0000-0000-00003D0E0000}"/>
    <cellStyle name="Comma 7 13 2 2 2" xfId="4047" xr:uid="{00000000-0005-0000-0000-00003E0E0000}"/>
    <cellStyle name="Comma 7 13 2 3" xfId="2527" xr:uid="{00000000-0005-0000-0000-00003F0E0000}"/>
    <cellStyle name="Comma 7 13 2 3 2" xfId="4771" xr:uid="{00000000-0005-0000-0000-0000400E0000}"/>
    <cellStyle name="Comma 7 13 2 4" xfId="3261" xr:uid="{00000000-0005-0000-0000-0000410E0000}"/>
    <cellStyle name="Comma 7 13 3" xfId="1268" xr:uid="{00000000-0005-0000-0000-0000420E0000}"/>
    <cellStyle name="Comma 7 13 3 2" xfId="2055" xr:uid="{00000000-0005-0000-0000-0000430E0000}"/>
    <cellStyle name="Comma 7 13 3 2 2" xfId="4299" xr:uid="{00000000-0005-0000-0000-0000440E0000}"/>
    <cellStyle name="Comma 7 13 3 3" xfId="2779" xr:uid="{00000000-0005-0000-0000-0000450E0000}"/>
    <cellStyle name="Comma 7 13 3 3 2" xfId="5023" xr:uid="{00000000-0005-0000-0000-0000460E0000}"/>
    <cellStyle name="Comma 7 13 3 4" xfId="3513" xr:uid="{00000000-0005-0000-0000-0000470E0000}"/>
    <cellStyle name="Comma 7 13 4" xfId="1483" xr:uid="{00000000-0005-0000-0000-0000480E0000}"/>
    <cellStyle name="Comma 7 13 4 2" xfId="3727" xr:uid="{00000000-0005-0000-0000-0000490E0000}"/>
    <cellStyle name="Comma 7 13 5" xfId="2269" xr:uid="{00000000-0005-0000-0000-00004A0E0000}"/>
    <cellStyle name="Comma 7 13 5 2" xfId="4513" xr:uid="{00000000-0005-0000-0000-00004B0E0000}"/>
    <cellStyle name="Comma 7 13 6" xfId="2993" xr:uid="{00000000-0005-0000-0000-00004C0E0000}"/>
    <cellStyle name="Comma 7 14" xfId="206" xr:uid="{00000000-0005-0000-0000-00004D0E0000}"/>
    <cellStyle name="Comma 7 14 2" xfId="1016" xr:uid="{00000000-0005-0000-0000-00004E0E0000}"/>
    <cellStyle name="Comma 7 14 2 2" xfId="1804" xr:uid="{00000000-0005-0000-0000-00004F0E0000}"/>
    <cellStyle name="Comma 7 14 2 2 2" xfId="4048" xr:uid="{00000000-0005-0000-0000-0000500E0000}"/>
    <cellStyle name="Comma 7 14 2 3" xfId="2528" xr:uid="{00000000-0005-0000-0000-0000510E0000}"/>
    <cellStyle name="Comma 7 14 2 3 2" xfId="4772" xr:uid="{00000000-0005-0000-0000-0000520E0000}"/>
    <cellStyle name="Comma 7 14 2 4" xfId="3262" xr:uid="{00000000-0005-0000-0000-0000530E0000}"/>
    <cellStyle name="Comma 7 14 3" xfId="1269" xr:uid="{00000000-0005-0000-0000-0000540E0000}"/>
    <cellStyle name="Comma 7 14 3 2" xfId="2056" xr:uid="{00000000-0005-0000-0000-0000550E0000}"/>
    <cellStyle name="Comma 7 14 3 2 2" xfId="4300" xr:uid="{00000000-0005-0000-0000-0000560E0000}"/>
    <cellStyle name="Comma 7 14 3 3" xfId="2780" xr:uid="{00000000-0005-0000-0000-0000570E0000}"/>
    <cellStyle name="Comma 7 14 3 3 2" xfId="5024" xr:uid="{00000000-0005-0000-0000-0000580E0000}"/>
    <cellStyle name="Comma 7 14 3 4" xfId="3514" xr:uid="{00000000-0005-0000-0000-0000590E0000}"/>
    <cellStyle name="Comma 7 14 4" xfId="1484" xr:uid="{00000000-0005-0000-0000-00005A0E0000}"/>
    <cellStyle name="Comma 7 14 4 2" xfId="3728" xr:uid="{00000000-0005-0000-0000-00005B0E0000}"/>
    <cellStyle name="Comma 7 14 5" xfId="2270" xr:uid="{00000000-0005-0000-0000-00005C0E0000}"/>
    <cellStyle name="Comma 7 14 5 2" xfId="4514" xr:uid="{00000000-0005-0000-0000-00005D0E0000}"/>
    <cellStyle name="Comma 7 14 6" xfId="2994" xr:uid="{00000000-0005-0000-0000-00005E0E0000}"/>
    <cellStyle name="Comma 7 15" xfId="207" xr:uid="{00000000-0005-0000-0000-00005F0E0000}"/>
    <cellStyle name="Comma 7 15 2" xfId="1017" xr:uid="{00000000-0005-0000-0000-0000600E0000}"/>
    <cellStyle name="Comma 7 15 2 2" xfId="1805" xr:uid="{00000000-0005-0000-0000-0000610E0000}"/>
    <cellStyle name="Comma 7 15 2 2 2" xfId="4049" xr:uid="{00000000-0005-0000-0000-0000620E0000}"/>
    <cellStyle name="Comma 7 15 2 3" xfId="2529" xr:uid="{00000000-0005-0000-0000-0000630E0000}"/>
    <cellStyle name="Comma 7 15 2 3 2" xfId="4773" xr:uid="{00000000-0005-0000-0000-0000640E0000}"/>
    <cellStyle name="Comma 7 15 2 4" xfId="3263" xr:uid="{00000000-0005-0000-0000-0000650E0000}"/>
    <cellStyle name="Comma 7 15 3" xfId="1270" xr:uid="{00000000-0005-0000-0000-0000660E0000}"/>
    <cellStyle name="Comma 7 15 3 2" xfId="2057" xr:uid="{00000000-0005-0000-0000-0000670E0000}"/>
    <cellStyle name="Comma 7 15 3 2 2" xfId="4301" xr:uid="{00000000-0005-0000-0000-0000680E0000}"/>
    <cellStyle name="Comma 7 15 3 3" xfId="2781" xr:uid="{00000000-0005-0000-0000-0000690E0000}"/>
    <cellStyle name="Comma 7 15 3 3 2" xfId="5025" xr:uid="{00000000-0005-0000-0000-00006A0E0000}"/>
    <cellStyle name="Comma 7 15 3 4" xfId="3515" xr:uid="{00000000-0005-0000-0000-00006B0E0000}"/>
    <cellStyle name="Comma 7 15 4" xfId="1485" xr:uid="{00000000-0005-0000-0000-00006C0E0000}"/>
    <cellStyle name="Comma 7 15 4 2" xfId="3729" xr:uid="{00000000-0005-0000-0000-00006D0E0000}"/>
    <cellStyle name="Comma 7 15 5" xfId="2271" xr:uid="{00000000-0005-0000-0000-00006E0E0000}"/>
    <cellStyle name="Comma 7 15 5 2" xfId="4515" xr:uid="{00000000-0005-0000-0000-00006F0E0000}"/>
    <cellStyle name="Comma 7 15 6" xfId="2995" xr:uid="{00000000-0005-0000-0000-0000700E0000}"/>
    <cellStyle name="Comma 7 16" xfId="1011" xr:uid="{00000000-0005-0000-0000-0000710E0000}"/>
    <cellStyle name="Comma 7 16 2" xfId="1799" xr:uid="{00000000-0005-0000-0000-0000720E0000}"/>
    <cellStyle name="Comma 7 16 2 2" xfId="4043" xr:uid="{00000000-0005-0000-0000-0000730E0000}"/>
    <cellStyle name="Comma 7 16 3" xfId="2523" xr:uid="{00000000-0005-0000-0000-0000740E0000}"/>
    <cellStyle name="Comma 7 16 3 2" xfId="4767" xr:uid="{00000000-0005-0000-0000-0000750E0000}"/>
    <cellStyle name="Comma 7 16 4" xfId="3257" xr:uid="{00000000-0005-0000-0000-0000760E0000}"/>
    <cellStyle name="Comma 7 17" xfId="1264" xr:uid="{00000000-0005-0000-0000-0000770E0000}"/>
    <cellStyle name="Comma 7 17 2" xfId="2051" xr:uid="{00000000-0005-0000-0000-0000780E0000}"/>
    <cellStyle name="Comma 7 17 2 2" xfId="4295" xr:uid="{00000000-0005-0000-0000-0000790E0000}"/>
    <cellStyle name="Comma 7 17 3" xfId="2775" xr:uid="{00000000-0005-0000-0000-00007A0E0000}"/>
    <cellStyle name="Comma 7 17 3 2" xfId="5019" xr:uid="{00000000-0005-0000-0000-00007B0E0000}"/>
    <cellStyle name="Comma 7 17 4" xfId="3509" xr:uid="{00000000-0005-0000-0000-00007C0E0000}"/>
    <cellStyle name="Comma 7 18" xfId="1479" xr:uid="{00000000-0005-0000-0000-00007D0E0000}"/>
    <cellStyle name="Comma 7 18 2" xfId="3723" xr:uid="{00000000-0005-0000-0000-00007E0E0000}"/>
    <cellStyle name="Comma 7 19" xfId="2265" xr:uid="{00000000-0005-0000-0000-00007F0E0000}"/>
    <cellStyle name="Comma 7 19 2" xfId="4509" xr:uid="{00000000-0005-0000-0000-0000800E0000}"/>
    <cellStyle name="Comma 7 2" xfId="208" xr:uid="{00000000-0005-0000-0000-0000810E0000}"/>
    <cellStyle name="Comma 7 2 2" xfId="1018" xr:uid="{00000000-0005-0000-0000-0000820E0000}"/>
    <cellStyle name="Comma 7 2 2 2" xfId="1806" xr:uid="{00000000-0005-0000-0000-0000830E0000}"/>
    <cellStyle name="Comma 7 2 2 2 2" xfId="4050" xr:uid="{00000000-0005-0000-0000-0000840E0000}"/>
    <cellStyle name="Comma 7 2 2 3" xfId="2530" xr:uid="{00000000-0005-0000-0000-0000850E0000}"/>
    <cellStyle name="Comma 7 2 2 3 2" xfId="4774" xr:uid="{00000000-0005-0000-0000-0000860E0000}"/>
    <cellStyle name="Comma 7 2 2 4" xfId="3264" xr:uid="{00000000-0005-0000-0000-0000870E0000}"/>
    <cellStyle name="Comma 7 2 3" xfId="1271" xr:uid="{00000000-0005-0000-0000-0000880E0000}"/>
    <cellStyle name="Comma 7 2 3 2" xfId="2058" xr:uid="{00000000-0005-0000-0000-0000890E0000}"/>
    <cellStyle name="Comma 7 2 3 2 2" xfId="4302" xr:uid="{00000000-0005-0000-0000-00008A0E0000}"/>
    <cellStyle name="Comma 7 2 3 3" xfId="2782" xr:uid="{00000000-0005-0000-0000-00008B0E0000}"/>
    <cellStyle name="Comma 7 2 3 3 2" xfId="5026" xr:uid="{00000000-0005-0000-0000-00008C0E0000}"/>
    <cellStyle name="Comma 7 2 3 4" xfId="3516" xr:uid="{00000000-0005-0000-0000-00008D0E0000}"/>
    <cellStyle name="Comma 7 2 4" xfId="1486" xr:uid="{00000000-0005-0000-0000-00008E0E0000}"/>
    <cellStyle name="Comma 7 2 4 2" xfId="3730" xr:uid="{00000000-0005-0000-0000-00008F0E0000}"/>
    <cellStyle name="Comma 7 2 5" xfId="2272" xr:uid="{00000000-0005-0000-0000-0000900E0000}"/>
    <cellStyle name="Comma 7 2 5 2" xfId="4516" xr:uid="{00000000-0005-0000-0000-0000910E0000}"/>
    <cellStyle name="Comma 7 2 6" xfId="2996" xr:uid="{00000000-0005-0000-0000-0000920E0000}"/>
    <cellStyle name="Comma 7 20" xfId="2989" xr:uid="{00000000-0005-0000-0000-0000930E0000}"/>
    <cellStyle name="Comma 7 3" xfId="209" xr:uid="{00000000-0005-0000-0000-0000940E0000}"/>
    <cellStyle name="Comma 7 3 2" xfId="1019" xr:uid="{00000000-0005-0000-0000-0000950E0000}"/>
    <cellStyle name="Comma 7 3 2 2" xfId="1807" xr:uid="{00000000-0005-0000-0000-0000960E0000}"/>
    <cellStyle name="Comma 7 3 2 2 2" xfId="4051" xr:uid="{00000000-0005-0000-0000-0000970E0000}"/>
    <cellStyle name="Comma 7 3 2 3" xfId="2531" xr:uid="{00000000-0005-0000-0000-0000980E0000}"/>
    <cellStyle name="Comma 7 3 2 3 2" xfId="4775" xr:uid="{00000000-0005-0000-0000-0000990E0000}"/>
    <cellStyle name="Comma 7 3 2 4" xfId="3265" xr:uid="{00000000-0005-0000-0000-00009A0E0000}"/>
    <cellStyle name="Comma 7 3 3" xfId="1272" xr:uid="{00000000-0005-0000-0000-00009B0E0000}"/>
    <cellStyle name="Comma 7 3 3 2" xfId="2059" xr:uid="{00000000-0005-0000-0000-00009C0E0000}"/>
    <cellStyle name="Comma 7 3 3 2 2" xfId="4303" xr:uid="{00000000-0005-0000-0000-00009D0E0000}"/>
    <cellStyle name="Comma 7 3 3 3" xfId="2783" xr:uid="{00000000-0005-0000-0000-00009E0E0000}"/>
    <cellStyle name="Comma 7 3 3 3 2" xfId="5027" xr:uid="{00000000-0005-0000-0000-00009F0E0000}"/>
    <cellStyle name="Comma 7 3 3 4" xfId="3517" xr:uid="{00000000-0005-0000-0000-0000A00E0000}"/>
    <cellStyle name="Comma 7 3 4" xfId="1487" xr:uid="{00000000-0005-0000-0000-0000A10E0000}"/>
    <cellStyle name="Comma 7 3 4 2" xfId="3731" xr:uid="{00000000-0005-0000-0000-0000A20E0000}"/>
    <cellStyle name="Comma 7 3 5" xfId="2273" xr:uid="{00000000-0005-0000-0000-0000A30E0000}"/>
    <cellStyle name="Comma 7 3 5 2" xfId="4517" xr:uid="{00000000-0005-0000-0000-0000A40E0000}"/>
    <cellStyle name="Comma 7 3 6" xfId="2997" xr:uid="{00000000-0005-0000-0000-0000A50E0000}"/>
    <cellStyle name="Comma 7 4" xfId="210" xr:uid="{00000000-0005-0000-0000-0000A60E0000}"/>
    <cellStyle name="Comma 7 4 2" xfId="1020" xr:uid="{00000000-0005-0000-0000-0000A70E0000}"/>
    <cellStyle name="Comma 7 4 2 2" xfId="1808" xr:uid="{00000000-0005-0000-0000-0000A80E0000}"/>
    <cellStyle name="Comma 7 4 2 2 2" xfId="4052" xr:uid="{00000000-0005-0000-0000-0000A90E0000}"/>
    <cellStyle name="Comma 7 4 2 3" xfId="2532" xr:uid="{00000000-0005-0000-0000-0000AA0E0000}"/>
    <cellStyle name="Comma 7 4 2 3 2" xfId="4776" xr:uid="{00000000-0005-0000-0000-0000AB0E0000}"/>
    <cellStyle name="Comma 7 4 2 4" xfId="3266" xr:uid="{00000000-0005-0000-0000-0000AC0E0000}"/>
    <cellStyle name="Comma 7 4 3" xfId="1273" xr:uid="{00000000-0005-0000-0000-0000AD0E0000}"/>
    <cellStyle name="Comma 7 4 3 2" xfId="2060" xr:uid="{00000000-0005-0000-0000-0000AE0E0000}"/>
    <cellStyle name="Comma 7 4 3 2 2" xfId="4304" xr:uid="{00000000-0005-0000-0000-0000AF0E0000}"/>
    <cellStyle name="Comma 7 4 3 3" xfId="2784" xr:uid="{00000000-0005-0000-0000-0000B00E0000}"/>
    <cellStyle name="Comma 7 4 3 3 2" xfId="5028" xr:uid="{00000000-0005-0000-0000-0000B10E0000}"/>
    <cellStyle name="Comma 7 4 3 4" xfId="3518" xr:uid="{00000000-0005-0000-0000-0000B20E0000}"/>
    <cellStyle name="Comma 7 4 4" xfId="1488" xr:uid="{00000000-0005-0000-0000-0000B30E0000}"/>
    <cellStyle name="Comma 7 4 4 2" xfId="3732" xr:uid="{00000000-0005-0000-0000-0000B40E0000}"/>
    <cellStyle name="Comma 7 4 5" xfId="2274" xr:uid="{00000000-0005-0000-0000-0000B50E0000}"/>
    <cellStyle name="Comma 7 4 5 2" xfId="4518" xr:uid="{00000000-0005-0000-0000-0000B60E0000}"/>
    <cellStyle name="Comma 7 4 6" xfId="2998" xr:uid="{00000000-0005-0000-0000-0000B70E0000}"/>
    <cellStyle name="Comma 7 5" xfId="211" xr:uid="{00000000-0005-0000-0000-0000B80E0000}"/>
    <cellStyle name="Comma 7 5 2" xfId="1021" xr:uid="{00000000-0005-0000-0000-0000B90E0000}"/>
    <cellStyle name="Comma 7 5 2 2" xfId="1809" xr:uid="{00000000-0005-0000-0000-0000BA0E0000}"/>
    <cellStyle name="Comma 7 5 2 2 2" xfId="4053" xr:uid="{00000000-0005-0000-0000-0000BB0E0000}"/>
    <cellStyle name="Comma 7 5 2 3" xfId="2533" xr:uid="{00000000-0005-0000-0000-0000BC0E0000}"/>
    <cellStyle name="Comma 7 5 2 3 2" xfId="4777" xr:uid="{00000000-0005-0000-0000-0000BD0E0000}"/>
    <cellStyle name="Comma 7 5 2 4" xfId="3267" xr:uid="{00000000-0005-0000-0000-0000BE0E0000}"/>
    <cellStyle name="Comma 7 5 3" xfId="1274" xr:uid="{00000000-0005-0000-0000-0000BF0E0000}"/>
    <cellStyle name="Comma 7 5 3 2" xfId="2061" xr:uid="{00000000-0005-0000-0000-0000C00E0000}"/>
    <cellStyle name="Comma 7 5 3 2 2" xfId="4305" xr:uid="{00000000-0005-0000-0000-0000C10E0000}"/>
    <cellStyle name="Comma 7 5 3 3" xfId="2785" xr:uid="{00000000-0005-0000-0000-0000C20E0000}"/>
    <cellStyle name="Comma 7 5 3 3 2" xfId="5029" xr:uid="{00000000-0005-0000-0000-0000C30E0000}"/>
    <cellStyle name="Comma 7 5 3 4" xfId="3519" xr:uid="{00000000-0005-0000-0000-0000C40E0000}"/>
    <cellStyle name="Comma 7 5 4" xfId="1489" xr:uid="{00000000-0005-0000-0000-0000C50E0000}"/>
    <cellStyle name="Comma 7 5 4 2" xfId="3733" xr:uid="{00000000-0005-0000-0000-0000C60E0000}"/>
    <cellStyle name="Comma 7 5 5" xfId="2275" xr:uid="{00000000-0005-0000-0000-0000C70E0000}"/>
    <cellStyle name="Comma 7 5 5 2" xfId="4519" xr:uid="{00000000-0005-0000-0000-0000C80E0000}"/>
    <cellStyle name="Comma 7 5 6" xfId="2999" xr:uid="{00000000-0005-0000-0000-0000C90E0000}"/>
    <cellStyle name="Comma 7 6" xfId="212" xr:uid="{00000000-0005-0000-0000-0000CA0E0000}"/>
    <cellStyle name="Comma 7 6 2" xfId="1022" xr:uid="{00000000-0005-0000-0000-0000CB0E0000}"/>
    <cellStyle name="Comma 7 6 2 2" xfId="1810" xr:uid="{00000000-0005-0000-0000-0000CC0E0000}"/>
    <cellStyle name="Comma 7 6 2 2 2" xfId="4054" xr:uid="{00000000-0005-0000-0000-0000CD0E0000}"/>
    <cellStyle name="Comma 7 6 2 3" xfId="2534" xr:uid="{00000000-0005-0000-0000-0000CE0E0000}"/>
    <cellStyle name="Comma 7 6 2 3 2" xfId="4778" xr:uid="{00000000-0005-0000-0000-0000CF0E0000}"/>
    <cellStyle name="Comma 7 6 2 4" xfId="3268" xr:uid="{00000000-0005-0000-0000-0000D00E0000}"/>
    <cellStyle name="Comma 7 6 3" xfId="1275" xr:uid="{00000000-0005-0000-0000-0000D10E0000}"/>
    <cellStyle name="Comma 7 6 3 2" xfId="2062" xr:uid="{00000000-0005-0000-0000-0000D20E0000}"/>
    <cellStyle name="Comma 7 6 3 2 2" xfId="4306" xr:uid="{00000000-0005-0000-0000-0000D30E0000}"/>
    <cellStyle name="Comma 7 6 3 3" xfId="2786" xr:uid="{00000000-0005-0000-0000-0000D40E0000}"/>
    <cellStyle name="Comma 7 6 3 3 2" xfId="5030" xr:uid="{00000000-0005-0000-0000-0000D50E0000}"/>
    <cellStyle name="Comma 7 6 3 4" xfId="3520" xr:uid="{00000000-0005-0000-0000-0000D60E0000}"/>
    <cellStyle name="Comma 7 6 4" xfId="1490" xr:uid="{00000000-0005-0000-0000-0000D70E0000}"/>
    <cellStyle name="Comma 7 6 4 2" xfId="3734" xr:uid="{00000000-0005-0000-0000-0000D80E0000}"/>
    <cellStyle name="Comma 7 6 5" xfId="2276" xr:uid="{00000000-0005-0000-0000-0000D90E0000}"/>
    <cellStyle name="Comma 7 6 5 2" xfId="4520" xr:uid="{00000000-0005-0000-0000-0000DA0E0000}"/>
    <cellStyle name="Comma 7 6 6" xfId="3000" xr:uid="{00000000-0005-0000-0000-0000DB0E0000}"/>
    <cellStyle name="Comma 7 7" xfId="213" xr:uid="{00000000-0005-0000-0000-0000DC0E0000}"/>
    <cellStyle name="Comma 7 7 2" xfId="1023" xr:uid="{00000000-0005-0000-0000-0000DD0E0000}"/>
    <cellStyle name="Comma 7 7 2 2" xfId="1811" xr:uid="{00000000-0005-0000-0000-0000DE0E0000}"/>
    <cellStyle name="Comma 7 7 2 2 2" xfId="4055" xr:uid="{00000000-0005-0000-0000-0000DF0E0000}"/>
    <cellStyle name="Comma 7 7 2 3" xfId="2535" xr:uid="{00000000-0005-0000-0000-0000E00E0000}"/>
    <cellStyle name="Comma 7 7 2 3 2" xfId="4779" xr:uid="{00000000-0005-0000-0000-0000E10E0000}"/>
    <cellStyle name="Comma 7 7 2 4" xfId="3269" xr:uid="{00000000-0005-0000-0000-0000E20E0000}"/>
    <cellStyle name="Comma 7 7 3" xfId="1276" xr:uid="{00000000-0005-0000-0000-0000E30E0000}"/>
    <cellStyle name="Comma 7 7 3 2" xfId="2063" xr:uid="{00000000-0005-0000-0000-0000E40E0000}"/>
    <cellStyle name="Comma 7 7 3 2 2" xfId="4307" xr:uid="{00000000-0005-0000-0000-0000E50E0000}"/>
    <cellStyle name="Comma 7 7 3 3" xfId="2787" xr:uid="{00000000-0005-0000-0000-0000E60E0000}"/>
    <cellStyle name="Comma 7 7 3 3 2" xfId="5031" xr:uid="{00000000-0005-0000-0000-0000E70E0000}"/>
    <cellStyle name="Comma 7 7 3 4" xfId="3521" xr:uid="{00000000-0005-0000-0000-0000E80E0000}"/>
    <cellStyle name="Comma 7 7 4" xfId="1491" xr:uid="{00000000-0005-0000-0000-0000E90E0000}"/>
    <cellStyle name="Comma 7 7 4 2" xfId="3735" xr:uid="{00000000-0005-0000-0000-0000EA0E0000}"/>
    <cellStyle name="Comma 7 7 5" xfId="2277" xr:uid="{00000000-0005-0000-0000-0000EB0E0000}"/>
    <cellStyle name="Comma 7 7 5 2" xfId="4521" xr:uid="{00000000-0005-0000-0000-0000EC0E0000}"/>
    <cellStyle name="Comma 7 7 6" xfId="3001" xr:uid="{00000000-0005-0000-0000-0000ED0E0000}"/>
    <cellStyle name="Comma 7 8" xfId="214" xr:uid="{00000000-0005-0000-0000-0000EE0E0000}"/>
    <cellStyle name="Comma 7 8 2" xfId="1024" xr:uid="{00000000-0005-0000-0000-0000EF0E0000}"/>
    <cellStyle name="Comma 7 8 2 2" xfId="1812" xr:uid="{00000000-0005-0000-0000-0000F00E0000}"/>
    <cellStyle name="Comma 7 8 2 2 2" xfId="4056" xr:uid="{00000000-0005-0000-0000-0000F10E0000}"/>
    <cellStyle name="Comma 7 8 2 3" xfId="2536" xr:uid="{00000000-0005-0000-0000-0000F20E0000}"/>
    <cellStyle name="Comma 7 8 2 3 2" xfId="4780" xr:uid="{00000000-0005-0000-0000-0000F30E0000}"/>
    <cellStyle name="Comma 7 8 2 4" xfId="3270" xr:uid="{00000000-0005-0000-0000-0000F40E0000}"/>
    <cellStyle name="Comma 7 8 3" xfId="1277" xr:uid="{00000000-0005-0000-0000-0000F50E0000}"/>
    <cellStyle name="Comma 7 8 3 2" xfId="2064" xr:uid="{00000000-0005-0000-0000-0000F60E0000}"/>
    <cellStyle name="Comma 7 8 3 2 2" xfId="4308" xr:uid="{00000000-0005-0000-0000-0000F70E0000}"/>
    <cellStyle name="Comma 7 8 3 3" xfId="2788" xr:uid="{00000000-0005-0000-0000-0000F80E0000}"/>
    <cellStyle name="Comma 7 8 3 3 2" xfId="5032" xr:uid="{00000000-0005-0000-0000-0000F90E0000}"/>
    <cellStyle name="Comma 7 8 3 4" xfId="3522" xr:uid="{00000000-0005-0000-0000-0000FA0E0000}"/>
    <cellStyle name="Comma 7 8 4" xfId="1492" xr:uid="{00000000-0005-0000-0000-0000FB0E0000}"/>
    <cellStyle name="Comma 7 8 4 2" xfId="3736" xr:uid="{00000000-0005-0000-0000-0000FC0E0000}"/>
    <cellStyle name="Comma 7 8 5" xfId="2278" xr:uid="{00000000-0005-0000-0000-0000FD0E0000}"/>
    <cellStyle name="Comma 7 8 5 2" xfId="4522" xr:uid="{00000000-0005-0000-0000-0000FE0E0000}"/>
    <cellStyle name="Comma 7 8 6" xfId="3002" xr:uid="{00000000-0005-0000-0000-0000FF0E0000}"/>
    <cellStyle name="Comma 7 9" xfId="215" xr:uid="{00000000-0005-0000-0000-0000000F0000}"/>
    <cellStyle name="Comma 7 9 2" xfId="1025" xr:uid="{00000000-0005-0000-0000-0000010F0000}"/>
    <cellStyle name="Comma 7 9 2 2" xfId="1813" xr:uid="{00000000-0005-0000-0000-0000020F0000}"/>
    <cellStyle name="Comma 7 9 2 2 2" xfId="4057" xr:uid="{00000000-0005-0000-0000-0000030F0000}"/>
    <cellStyle name="Comma 7 9 2 3" xfId="2537" xr:uid="{00000000-0005-0000-0000-0000040F0000}"/>
    <cellStyle name="Comma 7 9 2 3 2" xfId="4781" xr:uid="{00000000-0005-0000-0000-0000050F0000}"/>
    <cellStyle name="Comma 7 9 2 4" xfId="3271" xr:uid="{00000000-0005-0000-0000-0000060F0000}"/>
    <cellStyle name="Comma 7 9 3" xfId="1278" xr:uid="{00000000-0005-0000-0000-0000070F0000}"/>
    <cellStyle name="Comma 7 9 3 2" xfId="2065" xr:uid="{00000000-0005-0000-0000-0000080F0000}"/>
    <cellStyle name="Comma 7 9 3 2 2" xfId="4309" xr:uid="{00000000-0005-0000-0000-0000090F0000}"/>
    <cellStyle name="Comma 7 9 3 3" xfId="2789" xr:uid="{00000000-0005-0000-0000-00000A0F0000}"/>
    <cellStyle name="Comma 7 9 3 3 2" xfId="5033" xr:uid="{00000000-0005-0000-0000-00000B0F0000}"/>
    <cellStyle name="Comma 7 9 3 4" xfId="3523" xr:uid="{00000000-0005-0000-0000-00000C0F0000}"/>
    <cellStyle name="Comma 7 9 4" xfId="1493" xr:uid="{00000000-0005-0000-0000-00000D0F0000}"/>
    <cellStyle name="Comma 7 9 4 2" xfId="3737" xr:uid="{00000000-0005-0000-0000-00000E0F0000}"/>
    <cellStyle name="Comma 7 9 5" xfId="2279" xr:uid="{00000000-0005-0000-0000-00000F0F0000}"/>
    <cellStyle name="Comma 7 9 5 2" xfId="4523" xr:uid="{00000000-0005-0000-0000-0000100F0000}"/>
    <cellStyle name="Comma 7 9 6" xfId="3003" xr:uid="{00000000-0005-0000-0000-0000110F0000}"/>
    <cellStyle name="Comma 70" xfId="2106" xr:uid="{00000000-0005-0000-0000-0000120F0000}"/>
    <cellStyle name="Comma 70 2" xfId="4350" xr:uid="{00000000-0005-0000-0000-0000130F0000}"/>
    <cellStyle name="Comma 71" xfId="2830" xr:uid="{00000000-0005-0000-0000-0000140F0000}"/>
    <cellStyle name="Comma 72" xfId="3006" xr:uid="{00000000-0005-0000-0000-0000150F0000}"/>
    <cellStyle name="Comma 73" xfId="5072" xr:uid="{00000000-0005-0000-0000-0000160F0000}"/>
    <cellStyle name="Comma 74" xfId="5093" xr:uid="{00000000-0005-0000-0000-0000170F0000}"/>
    <cellStyle name="Comma 8" xfId="216" xr:uid="{00000000-0005-0000-0000-0000180F0000}"/>
    <cellStyle name="Comma 8 2" xfId="217" xr:uid="{00000000-0005-0000-0000-0000190F0000}"/>
    <cellStyle name="Comma 8 2 2" xfId="1027" xr:uid="{00000000-0005-0000-0000-00001A0F0000}"/>
    <cellStyle name="Comma 8 2 2 2" xfId="1815" xr:uid="{00000000-0005-0000-0000-00001B0F0000}"/>
    <cellStyle name="Comma 8 2 2 2 2" xfId="4059" xr:uid="{00000000-0005-0000-0000-00001C0F0000}"/>
    <cellStyle name="Comma 8 2 2 3" xfId="2539" xr:uid="{00000000-0005-0000-0000-00001D0F0000}"/>
    <cellStyle name="Comma 8 2 2 3 2" xfId="4783" xr:uid="{00000000-0005-0000-0000-00001E0F0000}"/>
    <cellStyle name="Comma 8 2 2 4" xfId="3273" xr:uid="{00000000-0005-0000-0000-00001F0F0000}"/>
    <cellStyle name="Comma 8 2 3" xfId="1280" xr:uid="{00000000-0005-0000-0000-0000200F0000}"/>
    <cellStyle name="Comma 8 2 3 2" xfId="2067" xr:uid="{00000000-0005-0000-0000-0000210F0000}"/>
    <cellStyle name="Comma 8 2 3 2 2" xfId="4311" xr:uid="{00000000-0005-0000-0000-0000220F0000}"/>
    <cellStyle name="Comma 8 2 3 3" xfId="2791" xr:uid="{00000000-0005-0000-0000-0000230F0000}"/>
    <cellStyle name="Comma 8 2 3 3 2" xfId="5035" xr:uid="{00000000-0005-0000-0000-0000240F0000}"/>
    <cellStyle name="Comma 8 2 3 4" xfId="3525" xr:uid="{00000000-0005-0000-0000-0000250F0000}"/>
    <cellStyle name="Comma 8 2 4" xfId="1495" xr:uid="{00000000-0005-0000-0000-0000260F0000}"/>
    <cellStyle name="Comma 8 2 4 2" xfId="3739" xr:uid="{00000000-0005-0000-0000-0000270F0000}"/>
    <cellStyle name="Comma 8 2 5" xfId="2281" xr:uid="{00000000-0005-0000-0000-0000280F0000}"/>
    <cellStyle name="Comma 8 2 5 2" xfId="4525" xr:uid="{00000000-0005-0000-0000-0000290F0000}"/>
    <cellStyle name="Comma 8 2 6" xfId="3005" xr:uid="{00000000-0005-0000-0000-00002A0F0000}"/>
    <cellStyle name="Comma 8 3" xfId="1026" xr:uid="{00000000-0005-0000-0000-00002B0F0000}"/>
    <cellStyle name="Comma 8 3 2" xfId="1814" xr:uid="{00000000-0005-0000-0000-00002C0F0000}"/>
    <cellStyle name="Comma 8 3 2 2" xfId="4058" xr:uid="{00000000-0005-0000-0000-00002D0F0000}"/>
    <cellStyle name="Comma 8 3 3" xfId="2538" xr:uid="{00000000-0005-0000-0000-00002E0F0000}"/>
    <cellStyle name="Comma 8 3 3 2" xfId="4782" xr:uid="{00000000-0005-0000-0000-00002F0F0000}"/>
    <cellStyle name="Comma 8 3 4" xfId="3272" xr:uid="{00000000-0005-0000-0000-0000300F0000}"/>
    <cellStyle name="Comma 8 4" xfId="1279" xr:uid="{00000000-0005-0000-0000-0000310F0000}"/>
    <cellStyle name="Comma 8 4 2" xfId="2066" xr:uid="{00000000-0005-0000-0000-0000320F0000}"/>
    <cellStyle name="Comma 8 4 2 2" xfId="4310" xr:uid="{00000000-0005-0000-0000-0000330F0000}"/>
    <cellStyle name="Comma 8 4 3" xfId="2790" xr:uid="{00000000-0005-0000-0000-0000340F0000}"/>
    <cellStyle name="Comma 8 4 3 2" xfId="5034" xr:uid="{00000000-0005-0000-0000-0000350F0000}"/>
    <cellStyle name="Comma 8 4 4" xfId="3524" xr:uid="{00000000-0005-0000-0000-0000360F0000}"/>
    <cellStyle name="Comma 8 5" xfId="1494" xr:uid="{00000000-0005-0000-0000-0000370F0000}"/>
    <cellStyle name="Comma 8 5 2" xfId="3738" xr:uid="{00000000-0005-0000-0000-0000380F0000}"/>
    <cellStyle name="Comma 8 6" xfId="2280" xr:uid="{00000000-0005-0000-0000-0000390F0000}"/>
    <cellStyle name="Comma 8 6 2" xfId="4524" xr:uid="{00000000-0005-0000-0000-00003A0F0000}"/>
    <cellStyle name="Comma 8 7" xfId="3004" xr:uid="{00000000-0005-0000-0000-00003B0F0000}"/>
    <cellStyle name="Comma 9" xfId="55" xr:uid="{00000000-0005-0000-0000-00003C0F0000}"/>
    <cellStyle name="Comma 9 2" xfId="872" xr:uid="{00000000-0005-0000-0000-00003D0F0000}"/>
    <cellStyle name="Comma 9 2 2" xfId="1660" xr:uid="{00000000-0005-0000-0000-00003E0F0000}"/>
    <cellStyle name="Comma 9 2 2 2" xfId="3904" xr:uid="{00000000-0005-0000-0000-00003F0F0000}"/>
    <cellStyle name="Comma 9 2 3" xfId="2384" xr:uid="{00000000-0005-0000-0000-0000400F0000}"/>
    <cellStyle name="Comma 9 2 3 2" xfId="4628" xr:uid="{00000000-0005-0000-0000-0000410F0000}"/>
    <cellStyle name="Comma 9 2 4" xfId="3118" xr:uid="{00000000-0005-0000-0000-0000420F0000}"/>
    <cellStyle name="Comma 9 3" xfId="1125" xr:uid="{00000000-0005-0000-0000-0000430F0000}"/>
    <cellStyle name="Comma 9 3 2" xfId="1912" xr:uid="{00000000-0005-0000-0000-0000440F0000}"/>
    <cellStyle name="Comma 9 3 2 2" xfId="4156" xr:uid="{00000000-0005-0000-0000-0000450F0000}"/>
    <cellStyle name="Comma 9 3 3" xfId="2636" xr:uid="{00000000-0005-0000-0000-0000460F0000}"/>
    <cellStyle name="Comma 9 3 3 2" xfId="4880" xr:uid="{00000000-0005-0000-0000-0000470F0000}"/>
    <cellStyle name="Comma 9 3 4" xfId="3370" xr:uid="{00000000-0005-0000-0000-0000480F0000}"/>
    <cellStyle name="Comma 9 4" xfId="1340" xr:uid="{00000000-0005-0000-0000-0000490F0000}"/>
    <cellStyle name="Comma 9 4 2" xfId="3584" xr:uid="{00000000-0005-0000-0000-00004A0F0000}"/>
    <cellStyle name="Comma 9 5" xfId="2126" xr:uid="{00000000-0005-0000-0000-00004B0F0000}"/>
    <cellStyle name="Comma 9 5 2" xfId="4370" xr:uid="{00000000-0005-0000-0000-00004C0F0000}"/>
    <cellStyle name="Comma 9 6" xfId="2850" xr:uid="{00000000-0005-0000-0000-00004D0F0000}"/>
    <cellStyle name="Copied" xfId="218" xr:uid="{00000000-0005-0000-0000-00004E0F0000}"/>
    <cellStyle name="Currency [00]" xfId="220" xr:uid="{00000000-0005-0000-0000-00004F0F0000}"/>
    <cellStyle name="Currency 10" xfId="804" xr:uid="{00000000-0005-0000-0000-0000500F0000}"/>
    <cellStyle name="Currency 11" xfId="740" xr:uid="{00000000-0005-0000-0000-0000510F0000}"/>
    <cellStyle name="Currency 12" xfId="806" xr:uid="{00000000-0005-0000-0000-0000520F0000}"/>
    <cellStyle name="Currency 13" xfId="742" xr:uid="{00000000-0005-0000-0000-0000530F0000}"/>
    <cellStyle name="Currency 14" xfId="805" xr:uid="{00000000-0005-0000-0000-0000540F0000}"/>
    <cellStyle name="Currency 15" xfId="739" xr:uid="{00000000-0005-0000-0000-0000550F0000}"/>
    <cellStyle name="Currency 16" xfId="807" xr:uid="{00000000-0005-0000-0000-0000560F0000}"/>
    <cellStyle name="Currency 17" xfId="743" xr:uid="{00000000-0005-0000-0000-0000570F0000}"/>
    <cellStyle name="Currency 18" xfId="808" xr:uid="{00000000-0005-0000-0000-0000580F0000}"/>
    <cellStyle name="Currency 19" xfId="741" xr:uid="{00000000-0005-0000-0000-0000590F0000}"/>
    <cellStyle name="Currency 2" xfId="5" xr:uid="{00000000-0005-0000-0000-00005A0F0000}"/>
    <cellStyle name="Currency 2 2" xfId="221" xr:uid="{00000000-0005-0000-0000-00005B0F0000}"/>
    <cellStyle name="Currency 20" xfId="809" xr:uid="{00000000-0005-0000-0000-00005C0F0000}"/>
    <cellStyle name="Currency 21" xfId="744" xr:uid="{00000000-0005-0000-0000-00005D0F0000}"/>
    <cellStyle name="Currency 22" xfId="810" xr:uid="{00000000-0005-0000-0000-00005E0F0000}"/>
    <cellStyle name="Currency 23" xfId="801" xr:uid="{00000000-0005-0000-0000-00005F0F0000}"/>
    <cellStyle name="Currency 24" xfId="811" xr:uid="{00000000-0005-0000-0000-0000600F0000}"/>
    <cellStyle name="Currency 25" xfId="800" xr:uid="{00000000-0005-0000-0000-0000610F0000}"/>
    <cellStyle name="Currency 26" xfId="813" xr:uid="{00000000-0005-0000-0000-0000620F0000}"/>
    <cellStyle name="Currency 27" xfId="799" xr:uid="{00000000-0005-0000-0000-0000630F0000}"/>
    <cellStyle name="Currency 28" xfId="812" xr:uid="{00000000-0005-0000-0000-0000640F0000}"/>
    <cellStyle name="Currency 3" xfId="8" xr:uid="{00000000-0005-0000-0000-0000650F0000}"/>
    <cellStyle name="Currency 3 10" xfId="2835" xr:uid="{00000000-0005-0000-0000-0000660F0000}"/>
    <cellStyle name="Currency 3 11" xfId="5077" xr:uid="{00000000-0005-0000-0000-0000670F0000}"/>
    <cellStyle name="Currency 3 2" xfId="18" xr:uid="{00000000-0005-0000-0000-0000680F0000}"/>
    <cellStyle name="Currency 3 2 2" xfId="865" xr:uid="{00000000-0005-0000-0000-0000690F0000}"/>
    <cellStyle name="Currency 3 2 2 2" xfId="1653" xr:uid="{00000000-0005-0000-0000-00006A0F0000}"/>
    <cellStyle name="Currency 3 2 2 2 2" xfId="3897" xr:uid="{00000000-0005-0000-0000-00006B0F0000}"/>
    <cellStyle name="Currency 3 2 2 3" xfId="2377" xr:uid="{00000000-0005-0000-0000-00006C0F0000}"/>
    <cellStyle name="Currency 3 2 2 3 2" xfId="4621" xr:uid="{00000000-0005-0000-0000-00006D0F0000}"/>
    <cellStyle name="Currency 3 2 2 4" xfId="3111" xr:uid="{00000000-0005-0000-0000-00006E0F0000}"/>
    <cellStyle name="Currency 3 2 3" xfId="1095" xr:uid="{00000000-0005-0000-0000-00006F0F0000}"/>
    <cellStyle name="Currency 3 2 3 2" xfId="1882" xr:uid="{00000000-0005-0000-0000-0000700F0000}"/>
    <cellStyle name="Currency 3 2 3 2 2" xfId="4126" xr:uid="{00000000-0005-0000-0000-0000710F0000}"/>
    <cellStyle name="Currency 3 2 3 3" xfId="2606" xr:uid="{00000000-0005-0000-0000-0000720F0000}"/>
    <cellStyle name="Currency 3 2 3 3 2" xfId="4850" xr:uid="{00000000-0005-0000-0000-0000730F0000}"/>
    <cellStyle name="Currency 3 2 3 4" xfId="3340" xr:uid="{00000000-0005-0000-0000-0000740F0000}"/>
    <cellStyle name="Currency 3 2 4" xfId="1117" xr:uid="{00000000-0005-0000-0000-0000750F0000}"/>
    <cellStyle name="Currency 3 2 4 2" xfId="1904" xr:uid="{00000000-0005-0000-0000-0000760F0000}"/>
    <cellStyle name="Currency 3 2 4 2 2" xfId="4148" xr:uid="{00000000-0005-0000-0000-0000770F0000}"/>
    <cellStyle name="Currency 3 2 4 3" xfId="2628" xr:uid="{00000000-0005-0000-0000-0000780F0000}"/>
    <cellStyle name="Currency 3 2 4 3 2" xfId="4872" xr:uid="{00000000-0005-0000-0000-0000790F0000}"/>
    <cellStyle name="Currency 3 2 4 4" xfId="3362" xr:uid="{00000000-0005-0000-0000-00007A0F0000}"/>
    <cellStyle name="Currency 3 2 5" xfId="1333" xr:uid="{00000000-0005-0000-0000-00007B0F0000}"/>
    <cellStyle name="Currency 3 2 5 2" xfId="3577" xr:uid="{00000000-0005-0000-0000-00007C0F0000}"/>
    <cellStyle name="Currency 3 2 6" xfId="2119" xr:uid="{00000000-0005-0000-0000-00007D0F0000}"/>
    <cellStyle name="Currency 3 2 6 2" xfId="4363" xr:uid="{00000000-0005-0000-0000-00007E0F0000}"/>
    <cellStyle name="Currency 3 2 7" xfId="2843" xr:uid="{00000000-0005-0000-0000-00007F0F0000}"/>
    <cellStyle name="Currency 3 2 8" xfId="5085" xr:uid="{00000000-0005-0000-0000-0000800F0000}"/>
    <cellStyle name="Currency 3 3" xfId="222" xr:uid="{00000000-0005-0000-0000-0000810F0000}"/>
    <cellStyle name="Currency 3 4" xfId="856" xr:uid="{00000000-0005-0000-0000-0000820F0000}"/>
    <cellStyle name="Currency 3 4 2" xfId="1644" xr:uid="{00000000-0005-0000-0000-0000830F0000}"/>
    <cellStyle name="Currency 3 4 2 2" xfId="3888" xr:uid="{00000000-0005-0000-0000-0000840F0000}"/>
    <cellStyle name="Currency 3 4 3" xfId="2368" xr:uid="{00000000-0005-0000-0000-0000850F0000}"/>
    <cellStyle name="Currency 3 4 3 2" xfId="4612" xr:uid="{00000000-0005-0000-0000-0000860F0000}"/>
    <cellStyle name="Currency 3 4 4" xfId="3102" xr:uid="{00000000-0005-0000-0000-0000870F0000}"/>
    <cellStyle name="Currency 3 5" xfId="1073" xr:uid="{00000000-0005-0000-0000-0000880F0000}"/>
    <cellStyle name="Currency 3 5 2" xfId="1860" xr:uid="{00000000-0005-0000-0000-0000890F0000}"/>
    <cellStyle name="Currency 3 5 2 2" xfId="4104" xr:uid="{00000000-0005-0000-0000-00008A0F0000}"/>
    <cellStyle name="Currency 3 5 3" xfId="2584" xr:uid="{00000000-0005-0000-0000-00008B0F0000}"/>
    <cellStyle name="Currency 3 5 3 2" xfId="4828" xr:uid="{00000000-0005-0000-0000-00008C0F0000}"/>
    <cellStyle name="Currency 3 5 4" xfId="3318" xr:uid="{00000000-0005-0000-0000-00008D0F0000}"/>
    <cellStyle name="Currency 3 6" xfId="1087" xr:uid="{00000000-0005-0000-0000-00008E0F0000}"/>
    <cellStyle name="Currency 3 6 2" xfId="1874" xr:uid="{00000000-0005-0000-0000-00008F0F0000}"/>
    <cellStyle name="Currency 3 6 2 2" xfId="4118" xr:uid="{00000000-0005-0000-0000-0000900F0000}"/>
    <cellStyle name="Currency 3 6 3" xfId="2598" xr:uid="{00000000-0005-0000-0000-0000910F0000}"/>
    <cellStyle name="Currency 3 6 3 2" xfId="4842" xr:uid="{00000000-0005-0000-0000-0000920F0000}"/>
    <cellStyle name="Currency 3 6 4" xfId="3332" xr:uid="{00000000-0005-0000-0000-0000930F0000}"/>
    <cellStyle name="Currency 3 7" xfId="1108" xr:uid="{00000000-0005-0000-0000-0000940F0000}"/>
    <cellStyle name="Currency 3 7 2" xfId="1895" xr:uid="{00000000-0005-0000-0000-0000950F0000}"/>
    <cellStyle name="Currency 3 7 2 2" xfId="4139" xr:uid="{00000000-0005-0000-0000-0000960F0000}"/>
    <cellStyle name="Currency 3 7 3" xfId="2619" xr:uid="{00000000-0005-0000-0000-0000970F0000}"/>
    <cellStyle name="Currency 3 7 3 2" xfId="4863" xr:uid="{00000000-0005-0000-0000-0000980F0000}"/>
    <cellStyle name="Currency 3 7 4" xfId="3353" xr:uid="{00000000-0005-0000-0000-0000990F0000}"/>
    <cellStyle name="Currency 3 8" xfId="1325" xr:uid="{00000000-0005-0000-0000-00009A0F0000}"/>
    <cellStyle name="Currency 3 8 2" xfId="3569" xr:uid="{00000000-0005-0000-0000-00009B0F0000}"/>
    <cellStyle name="Currency 3 9" xfId="2111" xr:uid="{00000000-0005-0000-0000-00009C0F0000}"/>
    <cellStyle name="Currency 3 9 2" xfId="4355" xr:uid="{00000000-0005-0000-0000-00009D0F0000}"/>
    <cellStyle name="Currency 4" xfId="219" xr:uid="{00000000-0005-0000-0000-00009E0F0000}"/>
    <cellStyle name="Currency 5" xfId="737" xr:uid="{00000000-0005-0000-0000-00009F0F0000}"/>
    <cellStyle name="Currency 6" xfId="802" xr:uid="{00000000-0005-0000-0000-0000A00F0000}"/>
    <cellStyle name="Currency 7" xfId="738" xr:uid="{00000000-0005-0000-0000-0000A10F0000}"/>
    <cellStyle name="Currency 8" xfId="803" xr:uid="{00000000-0005-0000-0000-0000A20F0000}"/>
    <cellStyle name="Currency 9" xfId="736" xr:uid="{00000000-0005-0000-0000-0000A30F0000}"/>
    <cellStyle name="Date Short" xfId="223" xr:uid="{00000000-0005-0000-0000-0000A40F0000}"/>
    <cellStyle name="DELTA" xfId="224" xr:uid="{00000000-0005-0000-0000-0000A50F0000}"/>
    <cellStyle name="Dezimal [0]_NEGS" xfId="225" xr:uid="{00000000-0005-0000-0000-0000A60F0000}"/>
    <cellStyle name="Dezimal_NEGS" xfId="226" xr:uid="{00000000-0005-0000-0000-0000A70F0000}"/>
    <cellStyle name="Enter Currency (0)" xfId="227" xr:uid="{00000000-0005-0000-0000-0000A80F0000}"/>
    <cellStyle name="Enter Currency (2)" xfId="228" xr:uid="{00000000-0005-0000-0000-0000A90F0000}"/>
    <cellStyle name="Enter Units (0)" xfId="229" xr:uid="{00000000-0005-0000-0000-0000AA0F0000}"/>
    <cellStyle name="Enter Units (1)" xfId="230" xr:uid="{00000000-0005-0000-0000-0000AB0F0000}"/>
    <cellStyle name="Enter Units (2)" xfId="231" xr:uid="{00000000-0005-0000-0000-0000AC0F0000}"/>
    <cellStyle name="Entered" xfId="232" xr:uid="{00000000-0005-0000-0000-0000AD0F0000}"/>
    <cellStyle name="Euro" xfId="233" xr:uid="{00000000-0005-0000-0000-0000AE0F0000}"/>
    <cellStyle name="Excel Built-in Normal 1 3" xfId="1065" xr:uid="{00000000-0005-0000-0000-0000AF0F0000}"/>
    <cellStyle name="Grey" xfId="234" xr:uid="{00000000-0005-0000-0000-0000B00F0000}"/>
    <cellStyle name="Grey 10" xfId="235" xr:uid="{00000000-0005-0000-0000-0000B10F0000}"/>
    <cellStyle name="Grey 11" xfId="236" xr:uid="{00000000-0005-0000-0000-0000B20F0000}"/>
    <cellStyle name="Grey 12" xfId="237" xr:uid="{00000000-0005-0000-0000-0000B30F0000}"/>
    <cellStyle name="Grey 13" xfId="238" xr:uid="{00000000-0005-0000-0000-0000B40F0000}"/>
    <cellStyle name="Grey 14" xfId="239" xr:uid="{00000000-0005-0000-0000-0000B50F0000}"/>
    <cellStyle name="Grey 15" xfId="240" xr:uid="{00000000-0005-0000-0000-0000B60F0000}"/>
    <cellStyle name="Grey 16" xfId="241" xr:uid="{00000000-0005-0000-0000-0000B70F0000}"/>
    <cellStyle name="Grey 17" xfId="242" xr:uid="{00000000-0005-0000-0000-0000B80F0000}"/>
    <cellStyle name="Grey 18" xfId="243" xr:uid="{00000000-0005-0000-0000-0000B90F0000}"/>
    <cellStyle name="Grey 19" xfId="244" xr:uid="{00000000-0005-0000-0000-0000BA0F0000}"/>
    <cellStyle name="Grey 2" xfId="245" xr:uid="{00000000-0005-0000-0000-0000BB0F0000}"/>
    <cellStyle name="Grey 2 2" xfId="246" xr:uid="{00000000-0005-0000-0000-0000BC0F0000}"/>
    <cellStyle name="Grey 20" xfId="247" xr:uid="{00000000-0005-0000-0000-0000BD0F0000}"/>
    <cellStyle name="Grey 21" xfId="248" xr:uid="{00000000-0005-0000-0000-0000BE0F0000}"/>
    <cellStyle name="Grey 22" xfId="249" xr:uid="{00000000-0005-0000-0000-0000BF0F0000}"/>
    <cellStyle name="Grey 23" xfId="250" xr:uid="{00000000-0005-0000-0000-0000C00F0000}"/>
    <cellStyle name="Grey 24" xfId="251" xr:uid="{00000000-0005-0000-0000-0000C10F0000}"/>
    <cellStyle name="Grey 25" xfId="252" xr:uid="{00000000-0005-0000-0000-0000C20F0000}"/>
    <cellStyle name="Grey 26" xfId="253" xr:uid="{00000000-0005-0000-0000-0000C30F0000}"/>
    <cellStyle name="Grey 27" xfId="254" xr:uid="{00000000-0005-0000-0000-0000C40F0000}"/>
    <cellStyle name="Grey 28" xfId="255" xr:uid="{00000000-0005-0000-0000-0000C50F0000}"/>
    <cellStyle name="Grey 29" xfId="256" xr:uid="{00000000-0005-0000-0000-0000C60F0000}"/>
    <cellStyle name="Grey 3" xfId="257" xr:uid="{00000000-0005-0000-0000-0000C70F0000}"/>
    <cellStyle name="Grey 30" xfId="258" xr:uid="{00000000-0005-0000-0000-0000C80F0000}"/>
    <cellStyle name="Grey 31" xfId="259" xr:uid="{00000000-0005-0000-0000-0000C90F0000}"/>
    <cellStyle name="Grey 32" xfId="260" xr:uid="{00000000-0005-0000-0000-0000CA0F0000}"/>
    <cellStyle name="Grey 33" xfId="261" xr:uid="{00000000-0005-0000-0000-0000CB0F0000}"/>
    <cellStyle name="Grey 34" xfId="262" xr:uid="{00000000-0005-0000-0000-0000CC0F0000}"/>
    <cellStyle name="Grey 35" xfId="263" xr:uid="{00000000-0005-0000-0000-0000CD0F0000}"/>
    <cellStyle name="Grey 36" xfId="264" xr:uid="{00000000-0005-0000-0000-0000CE0F0000}"/>
    <cellStyle name="Grey 37" xfId="265" xr:uid="{00000000-0005-0000-0000-0000CF0F0000}"/>
    <cellStyle name="Grey 38" xfId="266" xr:uid="{00000000-0005-0000-0000-0000D00F0000}"/>
    <cellStyle name="Grey 39" xfId="267" xr:uid="{00000000-0005-0000-0000-0000D10F0000}"/>
    <cellStyle name="Grey 4" xfId="268" xr:uid="{00000000-0005-0000-0000-0000D20F0000}"/>
    <cellStyle name="Grey 40" xfId="269" xr:uid="{00000000-0005-0000-0000-0000D30F0000}"/>
    <cellStyle name="Grey 41" xfId="270" xr:uid="{00000000-0005-0000-0000-0000D40F0000}"/>
    <cellStyle name="Grey 42" xfId="271" xr:uid="{00000000-0005-0000-0000-0000D50F0000}"/>
    <cellStyle name="Grey 43" xfId="272" xr:uid="{00000000-0005-0000-0000-0000D60F0000}"/>
    <cellStyle name="Grey 44" xfId="273" xr:uid="{00000000-0005-0000-0000-0000D70F0000}"/>
    <cellStyle name="Grey 45" xfId="274" xr:uid="{00000000-0005-0000-0000-0000D80F0000}"/>
    <cellStyle name="Grey 46" xfId="275" xr:uid="{00000000-0005-0000-0000-0000D90F0000}"/>
    <cellStyle name="Grey 47" xfId="276" xr:uid="{00000000-0005-0000-0000-0000DA0F0000}"/>
    <cellStyle name="Grey 48" xfId="277" xr:uid="{00000000-0005-0000-0000-0000DB0F0000}"/>
    <cellStyle name="Grey 49" xfId="278" xr:uid="{00000000-0005-0000-0000-0000DC0F0000}"/>
    <cellStyle name="Grey 5" xfId="279" xr:uid="{00000000-0005-0000-0000-0000DD0F0000}"/>
    <cellStyle name="Grey 50" xfId="280" xr:uid="{00000000-0005-0000-0000-0000DE0F0000}"/>
    <cellStyle name="Grey 51" xfId="281" xr:uid="{00000000-0005-0000-0000-0000DF0F0000}"/>
    <cellStyle name="Grey 52" xfId="282" xr:uid="{00000000-0005-0000-0000-0000E00F0000}"/>
    <cellStyle name="Grey 53" xfId="283" xr:uid="{00000000-0005-0000-0000-0000E10F0000}"/>
    <cellStyle name="Grey 6" xfId="284" xr:uid="{00000000-0005-0000-0000-0000E20F0000}"/>
    <cellStyle name="Grey 7" xfId="285" xr:uid="{00000000-0005-0000-0000-0000E30F0000}"/>
    <cellStyle name="Grey 8" xfId="286" xr:uid="{00000000-0005-0000-0000-0000E40F0000}"/>
    <cellStyle name="Grey 9" xfId="287" xr:uid="{00000000-0005-0000-0000-0000E50F0000}"/>
    <cellStyle name="HEADER" xfId="288" xr:uid="{00000000-0005-0000-0000-0000E60F0000}"/>
    <cellStyle name="HEADER 2" xfId="289" xr:uid="{00000000-0005-0000-0000-0000E70F0000}"/>
    <cellStyle name="Header1" xfId="290" xr:uid="{00000000-0005-0000-0000-0000E80F0000}"/>
    <cellStyle name="Header2" xfId="291" xr:uid="{00000000-0005-0000-0000-0000E90F0000}"/>
    <cellStyle name="Header2 2" xfId="745" xr:uid="{00000000-0005-0000-0000-0000EA0F0000}"/>
    <cellStyle name="Header2 2 2" xfId="1301" xr:uid="{00000000-0005-0000-0000-0000EB0F0000}"/>
    <cellStyle name="Header2 2 2 2" xfId="2088" xr:uid="{00000000-0005-0000-0000-0000EC0F0000}"/>
    <cellStyle name="Header2 2 2 2 2" xfId="4332" xr:uid="{00000000-0005-0000-0000-0000ED0F0000}"/>
    <cellStyle name="Header2 2 2 3" xfId="3546" xr:uid="{00000000-0005-0000-0000-0000EE0F0000}"/>
    <cellStyle name="Header2 2 3" xfId="1568" xr:uid="{00000000-0005-0000-0000-0000EF0F0000}"/>
    <cellStyle name="Header2 2 3 2" xfId="3812" xr:uid="{00000000-0005-0000-0000-0000F00F0000}"/>
    <cellStyle name="Header2 2 4" xfId="3026" xr:uid="{00000000-0005-0000-0000-0000F10F0000}"/>
    <cellStyle name="Header2 3" xfId="1281" xr:uid="{00000000-0005-0000-0000-0000F20F0000}"/>
    <cellStyle name="Header2 3 2" xfId="2068" xr:uid="{00000000-0005-0000-0000-0000F30F0000}"/>
    <cellStyle name="Header2 3 2 2" xfId="4312" xr:uid="{00000000-0005-0000-0000-0000F40F0000}"/>
    <cellStyle name="Header2 3 3" xfId="3526" xr:uid="{00000000-0005-0000-0000-0000F50F0000}"/>
    <cellStyle name="Hyperlink 2" xfId="292" xr:uid="{00000000-0005-0000-0000-0000F60F0000}"/>
    <cellStyle name="Input [yellow]" xfId="293" xr:uid="{00000000-0005-0000-0000-0000F70F0000}"/>
    <cellStyle name="Input [yellow] 10" xfId="294" xr:uid="{00000000-0005-0000-0000-0000F80F0000}"/>
    <cellStyle name="Input [yellow] 10 2" xfId="747" xr:uid="{00000000-0005-0000-0000-0000F90F0000}"/>
    <cellStyle name="Input [yellow] 10 2 2" xfId="1570" xr:uid="{00000000-0005-0000-0000-0000FA0F0000}"/>
    <cellStyle name="Input [yellow] 10 2 2 2" xfId="3814" xr:uid="{00000000-0005-0000-0000-0000FB0F0000}"/>
    <cellStyle name="Input [yellow] 10 2 3" xfId="3028" xr:uid="{00000000-0005-0000-0000-0000FC0F0000}"/>
    <cellStyle name="Input [yellow] 10 3" xfId="1497" xr:uid="{00000000-0005-0000-0000-0000FD0F0000}"/>
    <cellStyle name="Input [yellow] 10 3 2" xfId="3741" xr:uid="{00000000-0005-0000-0000-0000FE0F0000}"/>
    <cellStyle name="Input [yellow] 10 4" xfId="2283" xr:uid="{00000000-0005-0000-0000-0000FF0F0000}"/>
    <cellStyle name="Input [yellow] 10 4 2" xfId="4527" xr:uid="{00000000-0005-0000-0000-000000100000}"/>
    <cellStyle name="Input [yellow] 11" xfId="295" xr:uid="{00000000-0005-0000-0000-000001100000}"/>
    <cellStyle name="Input [yellow] 11 2" xfId="748" xr:uid="{00000000-0005-0000-0000-000002100000}"/>
    <cellStyle name="Input [yellow] 11 2 2" xfId="1571" xr:uid="{00000000-0005-0000-0000-000003100000}"/>
    <cellStyle name="Input [yellow] 11 2 2 2" xfId="3815" xr:uid="{00000000-0005-0000-0000-000004100000}"/>
    <cellStyle name="Input [yellow] 11 2 3" xfId="3029" xr:uid="{00000000-0005-0000-0000-000005100000}"/>
    <cellStyle name="Input [yellow] 11 3" xfId="1498" xr:uid="{00000000-0005-0000-0000-000006100000}"/>
    <cellStyle name="Input [yellow] 11 3 2" xfId="3742" xr:uid="{00000000-0005-0000-0000-000007100000}"/>
    <cellStyle name="Input [yellow] 11 4" xfId="2284" xr:uid="{00000000-0005-0000-0000-000008100000}"/>
    <cellStyle name="Input [yellow] 11 4 2" xfId="4528" xr:uid="{00000000-0005-0000-0000-000009100000}"/>
    <cellStyle name="Input [yellow] 12" xfId="296" xr:uid="{00000000-0005-0000-0000-00000A100000}"/>
    <cellStyle name="Input [yellow] 12 2" xfId="749" xr:uid="{00000000-0005-0000-0000-00000B100000}"/>
    <cellStyle name="Input [yellow] 12 2 2" xfId="1572" xr:uid="{00000000-0005-0000-0000-00000C100000}"/>
    <cellStyle name="Input [yellow] 12 2 2 2" xfId="3816" xr:uid="{00000000-0005-0000-0000-00000D100000}"/>
    <cellStyle name="Input [yellow] 12 2 3" xfId="3030" xr:uid="{00000000-0005-0000-0000-00000E100000}"/>
    <cellStyle name="Input [yellow] 12 3" xfId="1499" xr:uid="{00000000-0005-0000-0000-00000F100000}"/>
    <cellStyle name="Input [yellow] 12 3 2" xfId="3743" xr:uid="{00000000-0005-0000-0000-000010100000}"/>
    <cellStyle name="Input [yellow] 12 4" xfId="2285" xr:uid="{00000000-0005-0000-0000-000011100000}"/>
    <cellStyle name="Input [yellow] 12 4 2" xfId="4529" xr:uid="{00000000-0005-0000-0000-000012100000}"/>
    <cellStyle name="Input [yellow] 13" xfId="297" xr:uid="{00000000-0005-0000-0000-000013100000}"/>
    <cellStyle name="Input [yellow] 13 2" xfId="750" xr:uid="{00000000-0005-0000-0000-000014100000}"/>
    <cellStyle name="Input [yellow] 13 2 2" xfId="1573" xr:uid="{00000000-0005-0000-0000-000015100000}"/>
    <cellStyle name="Input [yellow] 13 2 2 2" xfId="3817" xr:uid="{00000000-0005-0000-0000-000016100000}"/>
    <cellStyle name="Input [yellow] 13 2 3" xfId="3031" xr:uid="{00000000-0005-0000-0000-000017100000}"/>
    <cellStyle name="Input [yellow] 13 3" xfId="1500" xr:uid="{00000000-0005-0000-0000-000018100000}"/>
    <cellStyle name="Input [yellow] 13 3 2" xfId="3744" xr:uid="{00000000-0005-0000-0000-000019100000}"/>
    <cellStyle name="Input [yellow] 13 4" xfId="2286" xr:uid="{00000000-0005-0000-0000-00001A100000}"/>
    <cellStyle name="Input [yellow] 13 4 2" xfId="4530" xr:uid="{00000000-0005-0000-0000-00001B100000}"/>
    <cellStyle name="Input [yellow] 14" xfId="298" xr:uid="{00000000-0005-0000-0000-00001C100000}"/>
    <cellStyle name="Input [yellow] 14 2" xfId="751" xr:uid="{00000000-0005-0000-0000-00001D100000}"/>
    <cellStyle name="Input [yellow] 14 2 2" xfId="1574" xr:uid="{00000000-0005-0000-0000-00001E100000}"/>
    <cellStyle name="Input [yellow] 14 2 2 2" xfId="3818" xr:uid="{00000000-0005-0000-0000-00001F100000}"/>
    <cellStyle name="Input [yellow] 14 2 3" xfId="3032" xr:uid="{00000000-0005-0000-0000-000020100000}"/>
    <cellStyle name="Input [yellow] 14 3" xfId="1501" xr:uid="{00000000-0005-0000-0000-000021100000}"/>
    <cellStyle name="Input [yellow] 14 3 2" xfId="3745" xr:uid="{00000000-0005-0000-0000-000022100000}"/>
    <cellStyle name="Input [yellow] 14 4" xfId="2287" xr:uid="{00000000-0005-0000-0000-000023100000}"/>
    <cellStyle name="Input [yellow] 14 4 2" xfId="4531" xr:uid="{00000000-0005-0000-0000-000024100000}"/>
    <cellStyle name="Input [yellow] 15" xfId="299" xr:uid="{00000000-0005-0000-0000-000025100000}"/>
    <cellStyle name="Input [yellow] 15 2" xfId="752" xr:uid="{00000000-0005-0000-0000-000026100000}"/>
    <cellStyle name="Input [yellow] 15 2 2" xfId="1575" xr:uid="{00000000-0005-0000-0000-000027100000}"/>
    <cellStyle name="Input [yellow] 15 2 2 2" xfId="3819" xr:uid="{00000000-0005-0000-0000-000028100000}"/>
    <cellStyle name="Input [yellow] 15 2 3" xfId="3033" xr:uid="{00000000-0005-0000-0000-000029100000}"/>
    <cellStyle name="Input [yellow] 15 3" xfId="1502" xr:uid="{00000000-0005-0000-0000-00002A100000}"/>
    <cellStyle name="Input [yellow] 15 3 2" xfId="3746" xr:uid="{00000000-0005-0000-0000-00002B100000}"/>
    <cellStyle name="Input [yellow] 15 4" xfId="2288" xr:uid="{00000000-0005-0000-0000-00002C100000}"/>
    <cellStyle name="Input [yellow] 15 4 2" xfId="4532" xr:uid="{00000000-0005-0000-0000-00002D100000}"/>
    <cellStyle name="Input [yellow] 16" xfId="300" xr:uid="{00000000-0005-0000-0000-00002E100000}"/>
    <cellStyle name="Input [yellow] 16 2" xfId="753" xr:uid="{00000000-0005-0000-0000-00002F100000}"/>
    <cellStyle name="Input [yellow] 16 2 2" xfId="1576" xr:uid="{00000000-0005-0000-0000-000030100000}"/>
    <cellStyle name="Input [yellow] 16 2 2 2" xfId="3820" xr:uid="{00000000-0005-0000-0000-000031100000}"/>
    <cellStyle name="Input [yellow] 16 2 3" xfId="3034" xr:uid="{00000000-0005-0000-0000-000032100000}"/>
    <cellStyle name="Input [yellow] 16 3" xfId="1503" xr:uid="{00000000-0005-0000-0000-000033100000}"/>
    <cellStyle name="Input [yellow] 16 3 2" xfId="3747" xr:uid="{00000000-0005-0000-0000-000034100000}"/>
    <cellStyle name="Input [yellow] 16 4" xfId="2289" xr:uid="{00000000-0005-0000-0000-000035100000}"/>
    <cellStyle name="Input [yellow] 16 4 2" xfId="4533" xr:uid="{00000000-0005-0000-0000-000036100000}"/>
    <cellStyle name="Input [yellow] 17" xfId="301" xr:uid="{00000000-0005-0000-0000-000037100000}"/>
    <cellStyle name="Input [yellow] 17 2" xfId="754" xr:uid="{00000000-0005-0000-0000-000038100000}"/>
    <cellStyle name="Input [yellow] 17 2 2" xfId="1577" xr:uid="{00000000-0005-0000-0000-000039100000}"/>
    <cellStyle name="Input [yellow] 17 2 2 2" xfId="3821" xr:uid="{00000000-0005-0000-0000-00003A100000}"/>
    <cellStyle name="Input [yellow] 17 2 3" xfId="3035" xr:uid="{00000000-0005-0000-0000-00003B100000}"/>
    <cellStyle name="Input [yellow] 17 3" xfId="1504" xr:uid="{00000000-0005-0000-0000-00003C100000}"/>
    <cellStyle name="Input [yellow] 17 3 2" xfId="3748" xr:uid="{00000000-0005-0000-0000-00003D100000}"/>
    <cellStyle name="Input [yellow] 17 4" xfId="2290" xr:uid="{00000000-0005-0000-0000-00003E100000}"/>
    <cellStyle name="Input [yellow] 17 4 2" xfId="4534" xr:uid="{00000000-0005-0000-0000-00003F100000}"/>
    <cellStyle name="Input [yellow] 18" xfId="302" xr:uid="{00000000-0005-0000-0000-000040100000}"/>
    <cellStyle name="Input [yellow] 18 2" xfId="755" xr:uid="{00000000-0005-0000-0000-000041100000}"/>
    <cellStyle name="Input [yellow] 18 2 2" xfId="1578" xr:uid="{00000000-0005-0000-0000-000042100000}"/>
    <cellStyle name="Input [yellow] 18 2 2 2" xfId="3822" xr:uid="{00000000-0005-0000-0000-000043100000}"/>
    <cellStyle name="Input [yellow] 18 2 3" xfId="3036" xr:uid="{00000000-0005-0000-0000-000044100000}"/>
    <cellStyle name="Input [yellow] 18 3" xfId="1505" xr:uid="{00000000-0005-0000-0000-000045100000}"/>
    <cellStyle name="Input [yellow] 18 3 2" xfId="3749" xr:uid="{00000000-0005-0000-0000-000046100000}"/>
    <cellStyle name="Input [yellow] 18 4" xfId="2291" xr:uid="{00000000-0005-0000-0000-000047100000}"/>
    <cellStyle name="Input [yellow] 18 4 2" xfId="4535" xr:uid="{00000000-0005-0000-0000-000048100000}"/>
    <cellStyle name="Input [yellow] 19" xfId="303" xr:uid="{00000000-0005-0000-0000-000049100000}"/>
    <cellStyle name="Input [yellow] 19 2" xfId="756" xr:uid="{00000000-0005-0000-0000-00004A100000}"/>
    <cellStyle name="Input [yellow] 19 2 2" xfId="1579" xr:uid="{00000000-0005-0000-0000-00004B100000}"/>
    <cellStyle name="Input [yellow] 19 2 2 2" xfId="3823" xr:uid="{00000000-0005-0000-0000-00004C100000}"/>
    <cellStyle name="Input [yellow] 19 2 3" xfId="3037" xr:uid="{00000000-0005-0000-0000-00004D100000}"/>
    <cellStyle name="Input [yellow] 19 3" xfId="1506" xr:uid="{00000000-0005-0000-0000-00004E100000}"/>
    <cellStyle name="Input [yellow] 19 3 2" xfId="3750" xr:uid="{00000000-0005-0000-0000-00004F100000}"/>
    <cellStyle name="Input [yellow] 19 4" xfId="2292" xr:uid="{00000000-0005-0000-0000-000050100000}"/>
    <cellStyle name="Input [yellow] 19 4 2" xfId="4536" xr:uid="{00000000-0005-0000-0000-000051100000}"/>
    <cellStyle name="Input [yellow] 2" xfId="304" xr:uid="{00000000-0005-0000-0000-000052100000}"/>
    <cellStyle name="Input [yellow] 2 2" xfId="305" xr:uid="{00000000-0005-0000-0000-000053100000}"/>
    <cellStyle name="Input [yellow] 2 2 2" xfId="758" xr:uid="{00000000-0005-0000-0000-000054100000}"/>
    <cellStyle name="Input [yellow] 2 2 2 2" xfId="1581" xr:uid="{00000000-0005-0000-0000-000055100000}"/>
    <cellStyle name="Input [yellow] 2 2 2 2 2" xfId="3825" xr:uid="{00000000-0005-0000-0000-000056100000}"/>
    <cellStyle name="Input [yellow] 2 2 2 3" xfId="3039" xr:uid="{00000000-0005-0000-0000-000057100000}"/>
    <cellStyle name="Input [yellow] 2 2 3" xfId="1508" xr:uid="{00000000-0005-0000-0000-000058100000}"/>
    <cellStyle name="Input [yellow] 2 2 3 2" xfId="3752" xr:uid="{00000000-0005-0000-0000-000059100000}"/>
    <cellStyle name="Input [yellow] 2 2 4" xfId="2294" xr:uid="{00000000-0005-0000-0000-00005A100000}"/>
    <cellStyle name="Input [yellow] 2 2 4 2" xfId="4538" xr:uid="{00000000-0005-0000-0000-00005B100000}"/>
    <cellStyle name="Input [yellow] 2 3" xfId="757" xr:uid="{00000000-0005-0000-0000-00005C100000}"/>
    <cellStyle name="Input [yellow] 2 3 2" xfId="1580" xr:uid="{00000000-0005-0000-0000-00005D100000}"/>
    <cellStyle name="Input [yellow] 2 3 2 2" xfId="3824" xr:uid="{00000000-0005-0000-0000-00005E100000}"/>
    <cellStyle name="Input [yellow] 2 3 3" xfId="3038" xr:uid="{00000000-0005-0000-0000-00005F100000}"/>
    <cellStyle name="Input [yellow] 2 4" xfId="1507" xr:uid="{00000000-0005-0000-0000-000060100000}"/>
    <cellStyle name="Input [yellow] 2 4 2" xfId="3751" xr:uid="{00000000-0005-0000-0000-000061100000}"/>
    <cellStyle name="Input [yellow] 2 5" xfId="2293" xr:uid="{00000000-0005-0000-0000-000062100000}"/>
    <cellStyle name="Input [yellow] 2 5 2" xfId="4537" xr:uid="{00000000-0005-0000-0000-000063100000}"/>
    <cellStyle name="Input [yellow] 20" xfId="306" xr:uid="{00000000-0005-0000-0000-000064100000}"/>
    <cellStyle name="Input [yellow] 20 2" xfId="759" xr:uid="{00000000-0005-0000-0000-000065100000}"/>
    <cellStyle name="Input [yellow] 20 2 2" xfId="1582" xr:uid="{00000000-0005-0000-0000-000066100000}"/>
    <cellStyle name="Input [yellow] 20 2 2 2" xfId="3826" xr:uid="{00000000-0005-0000-0000-000067100000}"/>
    <cellStyle name="Input [yellow] 20 2 3" xfId="3040" xr:uid="{00000000-0005-0000-0000-000068100000}"/>
    <cellStyle name="Input [yellow] 20 3" xfId="1509" xr:uid="{00000000-0005-0000-0000-000069100000}"/>
    <cellStyle name="Input [yellow] 20 3 2" xfId="3753" xr:uid="{00000000-0005-0000-0000-00006A100000}"/>
    <cellStyle name="Input [yellow] 20 4" xfId="2295" xr:uid="{00000000-0005-0000-0000-00006B100000}"/>
    <cellStyle name="Input [yellow] 20 4 2" xfId="4539" xr:uid="{00000000-0005-0000-0000-00006C100000}"/>
    <cellStyle name="Input [yellow] 21" xfId="307" xr:uid="{00000000-0005-0000-0000-00006D100000}"/>
    <cellStyle name="Input [yellow] 21 2" xfId="760" xr:uid="{00000000-0005-0000-0000-00006E100000}"/>
    <cellStyle name="Input [yellow] 21 2 2" xfId="1583" xr:uid="{00000000-0005-0000-0000-00006F100000}"/>
    <cellStyle name="Input [yellow] 21 2 2 2" xfId="3827" xr:uid="{00000000-0005-0000-0000-000070100000}"/>
    <cellStyle name="Input [yellow] 21 2 3" xfId="3041" xr:uid="{00000000-0005-0000-0000-000071100000}"/>
    <cellStyle name="Input [yellow] 21 3" xfId="1510" xr:uid="{00000000-0005-0000-0000-000072100000}"/>
    <cellStyle name="Input [yellow] 21 3 2" xfId="3754" xr:uid="{00000000-0005-0000-0000-000073100000}"/>
    <cellStyle name="Input [yellow] 21 4" xfId="2296" xr:uid="{00000000-0005-0000-0000-000074100000}"/>
    <cellStyle name="Input [yellow] 21 4 2" xfId="4540" xr:uid="{00000000-0005-0000-0000-000075100000}"/>
    <cellStyle name="Input [yellow] 22" xfId="308" xr:uid="{00000000-0005-0000-0000-000076100000}"/>
    <cellStyle name="Input [yellow] 22 2" xfId="761" xr:uid="{00000000-0005-0000-0000-000077100000}"/>
    <cellStyle name="Input [yellow] 22 2 2" xfId="1584" xr:uid="{00000000-0005-0000-0000-000078100000}"/>
    <cellStyle name="Input [yellow] 22 2 2 2" xfId="3828" xr:uid="{00000000-0005-0000-0000-000079100000}"/>
    <cellStyle name="Input [yellow] 22 2 3" xfId="3042" xr:uid="{00000000-0005-0000-0000-00007A100000}"/>
    <cellStyle name="Input [yellow] 22 3" xfId="1511" xr:uid="{00000000-0005-0000-0000-00007B100000}"/>
    <cellStyle name="Input [yellow] 22 3 2" xfId="3755" xr:uid="{00000000-0005-0000-0000-00007C100000}"/>
    <cellStyle name="Input [yellow] 22 4" xfId="2297" xr:uid="{00000000-0005-0000-0000-00007D100000}"/>
    <cellStyle name="Input [yellow] 22 4 2" xfId="4541" xr:uid="{00000000-0005-0000-0000-00007E100000}"/>
    <cellStyle name="Input [yellow] 23" xfId="309" xr:uid="{00000000-0005-0000-0000-00007F100000}"/>
    <cellStyle name="Input [yellow] 23 2" xfId="762" xr:uid="{00000000-0005-0000-0000-000080100000}"/>
    <cellStyle name="Input [yellow] 23 2 2" xfId="1585" xr:uid="{00000000-0005-0000-0000-000081100000}"/>
    <cellStyle name="Input [yellow] 23 2 2 2" xfId="3829" xr:uid="{00000000-0005-0000-0000-000082100000}"/>
    <cellStyle name="Input [yellow] 23 2 3" xfId="3043" xr:uid="{00000000-0005-0000-0000-000083100000}"/>
    <cellStyle name="Input [yellow] 23 3" xfId="1512" xr:uid="{00000000-0005-0000-0000-000084100000}"/>
    <cellStyle name="Input [yellow] 23 3 2" xfId="3756" xr:uid="{00000000-0005-0000-0000-000085100000}"/>
    <cellStyle name="Input [yellow] 23 4" xfId="2298" xr:uid="{00000000-0005-0000-0000-000086100000}"/>
    <cellStyle name="Input [yellow] 23 4 2" xfId="4542" xr:uid="{00000000-0005-0000-0000-000087100000}"/>
    <cellStyle name="Input [yellow] 24" xfId="310" xr:uid="{00000000-0005-0000-0000-000088100000}"/>
    <cellStyle name="Input [yellow] 24 2" xfId="763" xr:uid="{00000000-0005-0000-0000-000089100000}"/>
    <cellStyle name="Input [yellow] 24 2 2" xfId="1586" xr:uid="{00000000-0005-0000-0000-00008A100000}"/>
    <cellStyle name="Input [yellow] 24 2 2 2" xfId="3830" xr:uid="{00000000-0005-0000-0000-00008B100000}"/>
    <cellStyle name="Input [yellow] 24 2 3" xfId="3044" xr:uid="{00000000-0005-0000-0000-00008C100000}"/>
    <cellStyle name="Input [yellow] 24 3" xfId="1513" xr:uid="{00000000-0005-0000-0000-00008D100000}"/>
    <cellStyle name="Input [yellow] 24 3 2" xfId="3757" xr:uid="{00000000-0005-0000-0000-00008E100000}"/>
    <cellStyle name="Input [yellow] 24 4" xfId="2299" xr:uid="{00000000-0005-0000-0000-00008F100000}"/>
    <cellStyle name="Input [yellow] 24 4 2" xfId="4543" xr:uid="{00000000-0005-0000-0000-000090100000}"/>
    <cellStyle name="Input [yellow] 25" xfId="311" xr:uid="{00000000-0005-0000-0000-000091100000}"/>
    <cellStyle name="Input [yellow] 25 2" xfId="764" xr:uid="{00000000-0005-0000-0000-000092100000}"/>
    <cellStyle name="Input [yellow] 25 2 2" xfId="1587" xr:uid="{00000000-0005-0000-0000-000093100000}"/>
    <cellStyle name="Input [yellow] 25 2 2 2" xfId="3831" xr:uid="{00000000-0005-0000-0000-000094100000}"/>
    <cellStyle name="Input [yellow] 25 2 3" xfId="3045" xr:uid="{00000000-0005-0000-0000-000095100000}"/>
    <cellStyle name="Input [yellow] 25 3" xfId="1514" xr:uid="{00000000-0005-0000-0000-000096100000}"/>
    <cellStyle name="Input [yellow] 25 3 2" xfId="3758" xr:uid="{00000000-0005-0000-0000-000097100000}"/>
    <cellStyle name="Input [yellow] 25 4" xfId="2300" xr:uid="{00000000-0005-0000-0000-000098100000}"/>
    <cellStyle name="Input [yellow] 25 4 2" xfId="4544" xr:uid="{00000000-0005-0000-0000-000099100000}"/>
    <cellStyle name="Input [yellow] 26" xfId="312" xr:uid="{00000000-0005-0000-0000-00009A100000}"/>
    <cellStyle name="Input [yellow] 26 2" xfId="765" xr:uid="{00000000-0005-0000-0000-00009B100000}"/>
    <cellStyle name="Input [yellow] 26 2 2" xfId="1588" xr:uid="{00000000-0005-0000-0000-00009C100000}"/>
    <cellStyle name="Input [yellow] 26 2 2 2" xfId="3832" xr:uid="{00000000-0005-0000-0000-00009D100000}"/>
    <cellStyle name="Input [yellow] 26 2 3" xfId="3046" xr:uid="{00000000-0005-0000-0000-00009E100000}"/>
    <cellStyle name="Input [yellow] 26 3" xfId="1515" xr:uid="{00000000-0005-0000-0000-00009F100000}"/>
    <cellStyle name="Input [yellow] 26 3 2" xfId="3759" xr:uid="{00000000-0005-0000-0000-0000A0100000}"/>
    <cellStyle name="Input [yellow] 26 4" xfId="2301" xr:uid="{00000000-0005-0000-0000-0000A1100000}"/>
    <cellStyle name="Input [yellow] 26 4 2" xfId="4545" xr:uid="{00000000-0005-0000-0000-0000A2100000}"/>
    <cellStyle name="Input [yellow] 27" xfId="313" xr:uid="{00000000-0005-0000-0000-0000A3100000}"/>
    <cellStyle name="Input [yellow] 27 2" xfId="766" xr:uid="{00000000-0005-0000-0000-0000A4100000}"/>
    <cellStyle name="Input [yellow] 27 2 2" xfId="1589" xr:uid="{00000000-0005-0000-0000-0000A5100000}"/>
    <cellStyle name="Input [yellow] 27 2 2 2" xfId="3833" xr:uid="{00000000-0005-0000-0000-0000A6100000}"/>
    <cellStyle name="Input [yellow] 27 2 3" xfId="3047" xr:uid="{00000000-0005-0000-0000-0000A7100000}"/>
    <cellStyle name="Input [yellow] 27 3" xfId="1516" xr:uid="{00000000-0005-0000-0000-0000A8100000}"/>
    <cellStyle name="Input [yellow] 27 3 2" xfId="3760" xr:uid="{00000000-0005-0000-0000-0000A9100000}"/>
    <cellStyle name="Input [yellow] 27 4" xfId="2302" xr:uid="{00000000-0005-0000-0000-0000AA100000}"/>
    <cellStyle name="Input [yellow] 27 4 2" xfId="4546" xr:uid="{00000000-0005-0000-0000-0000AB100000}"/>
    <cellStyle name="Input [yellow] 28" xfId="314" xr:uid="{00000000-0005-0000-0000-0000AC100000}"/>
    <cellStyle name="Input [yellow] 28 2" xfId="767" xr:uid="{00000000-0005-0000-0000-0000AD100000}"/>
    <cellStyle name="Input [yellow] 28 2 2" xfId="1590" xr:uid="{00000000-0005-0000-0000-0000AE100000}"/>
    <cellStyle name="Input [yellow] 28 2 2 2" xfId="3834" xr:uid="{00000000-0005-0000-0000-0000AF100000}"/>
    <cellStyle name="Input [yellow] 28 2 3" xfId="3048" xr:uid="{00000000-0005-0000-0000-0000B0100000}"/>
    <cellStyle name="Input [yellow] 28 3" xfId="1517" xr:uid="{00000000-0005-0000-0000-0000B1100000}"/>
    <cellStyle name="Input [yellow] 28 3 2" xfId="3761" xr:uid="{00000000-0005-0000-0000-0000B2100000}"/>
    <cellStyle name="Input [yellow] 28 4" xfId="2303" xr:uid="{00000000-0005-0000-0000-0000B3100000}"/>
    <cellStyle name="Input [yellow] 28 4 2" xfId="4547" xr:uid="{00000000-0005-0000-0000-0000B4100000}"/>
    <cellStyle name="Input [yellow] 29" xfId="315" xr:uid="{00000000-0005-0000-0000-0000B5100000}"/>
    <cellStyle name="Input [yellow] 29 2" xfId="768" xr:uid="{00000000-0005-0000-0000-0000B6100000}"/>
    <cellStyle name="Input [yellow] 29 2 2" xfId="1591" xr:uid="{00000000-0005-0000-0000-0000B7100000}"/>
    <cellStyle name="Input [yellow] 29 2 2 2" xfId="3835" xr:uid="{00000000-0005-0000-0000-0000B8100000}"/>
    <cellStyle name="Input [yellow] 29 2 3" xfId="3049" xr:uid="{00000000-0005-0000-0000-0000B9100000}"/>
    <cellStyle name="Input [yellow] 29 3" xfId="1518" xr:uid="{00000000-0005-0000-0000-0000BA100000}"/>
    <cellStyle name="Input [yellow] 29 3 2" xfId="3762" xr:uid="{00000000-0005-0000-0000-0000BB100000}"/>
    <cellStyle name="Input [yellow] 29 4" xfId="2304" xr:uid="{00000000-0005-0000-0000-0000BC100000}"/>
    <cellStyle name="Input [yellow] 29 4 2" xfId="4548" xr:uid="{00000000-0005-0000-0000-0000BD100000}"/>
    <cellStyle name="Input [yellow] 3" xfId="316" xr:uid="{00000000-0005-0000-0000-0000BE100000}"/>
    <cellStyle name="Input [yellow] 3 2" xfId="769" xr:uid="{00000000-0005-0000-0000-0000BF100000}"/>
    <cellStyle name="Input [yellow] 3 2 2" xfId="1592" xr:uid="{00000000-0005-0000-0000-0000C0100000}"/>
    <cellStyle name="Input [yellow] 3 2 2 2" xfId="3836" xr:uid="{00000000-0005-0000-0000-0000C1100000}"/>
    <cellStyle name="Input [yellow] 3 2 3" xfId="3050" xr:uid="{00000000-0005-0000-0000-0000C2100000}"/>
    <cellStyle name="Input [yellow] 3 3" xfId="1519" xr:uid="{00000000-0005-0000-0000-0000C3100000}"/>
    <cellStyle name="Input [yellow] 3 3 2" xfId="3763" xr:uid="{00000000-0005-0000-0000-0000C4100000}"/>
    <cellStyle name="Input [yellow] 3 4" xfId="2305" xr:uid="{00000000-0005-0000-0000-0000C5100000}"/>
    <cellStyle name="Input [yellow] 3 4 2" xfId="4549" xr:uid="{00000000-0005-0000-0000-0000C6100000}"/>
    <cellStyle name="Input [yellow] 30" xfId="317" xr:uid="{00000000-0005-0000-0000-0000C7100000}"/>
    <cellStyle name="Input [yellow] 30 2" xfId="770" xr:uid="{00000000-0005-0000-0000-0000C8100000}"/>
    <cellStyle name="Input [yellow] 30 2 2" xfId="1593" xr:uid="{00000000-0005-0000-0000-0000C9100000}"/>
    <cellStyle name="Input [yellow] 30 2 2 2" xfId="3837" xr:uid="{00000000-0005-0000-0000-0000CA100000}"/>
    <cellStyle name="Input [yellow] 30 2 3" xfId="3051" xr:uid="{00000000-0005-0000-0000-0000CB100000}"/>
    <cellStyle name="Input [yellow] 30 3" xfId="1520" xr:uid="{00000000-0005-0000-0000-0000CC100000}"/>
    <cellStyle name="Input [yellow] 30 3 2" xfId="3764" xr:uid="{00000000-0005-0000-0000-0000CD100000}"/>
    <cellStyle name="Input [yellow] 30 4" xfId="2306" xr:uid="{00000000-0005-0000-0000-0000CE100000}"/>
    <cellStyle name="Input [yellow] 30 4 2" xfId="4550" xr:uid="{00000000-0005-0000-0000-0000CF100000}"/>
    <cellStyle name="Input [yellow] 31" xfId="318" xr:uid="{00000000-0005-0000-0000-0000D0100000}"/>
    <cellStyle name="Input [yellow] 31 2" xfId="771" xr:uid="{00000000-0005-0000-0000-0000D1100000}"/>
    <cellStyle name="Input [yellow] 31 2 2" xfId="1594" xr:uid="{00000000-0005-0000-0000-0000D2100000}"/>
    <cellStyle name="Input [yellow] 31 2 2 2" xfId="3838" xr:uid="{00000000-0005-0000-0000-0000D3100000}"/>
    <cellStyle name="Input [yellow] 31 2 3" xfId="3052" xr:uid="{00000000-0005-0000-0000-0000D4100000}"/>
    <cellStyle name="Input [yellow] 31 3" xfId="1521" xr:uid="{00000000-0005-0000-0000-0000D5100000}"/>
    <cellStyle name="Input [yellow] 31 3 2" xfId="3765" xr:uid="{00000000-0005-0000-0000-0000D6100000}"/>
    <cellStyle name="Input [yellow] 31 4" xfId="2307" xr:uid="{00000000-0005-0000-0000-0000D7100000}"/>
    <cellStyle name="Input [yellow] 31 4 2" xfId="4551" xr:uid="{00000000-0005-0000-0000-0000D8100000}"/>
    <cellStyle name="Input [yellow] 32" xfId="319" xr:uid="{00000000-0005-0000-0000-0000D9100000}"/>
    <cellStyle name="Input [yellow] 32 2" xfId="772" xr:uid="{00000000-0005-0000-0000-0000DA100000}"/>
    <cellStyle name="Input [yellow] 32 2 2" xfId="1595" xr:uid="{00000000-0005-0000-0000-0000DB100000}"/>
    <cellStyle name="Input [yellow] 32 2 2 2" xfId="3839" xr:uid="{00000000-0005-0000-0000-0000DC100000}"/>
    <cellStyle name="Input [yellow] 32 2 3" xfId="3053" xr:uid="{00000000-0005-0000-0000-0000DD100000}"/>
    <cellStyle name="Input [yellow] 32 3" xfId="1522" xr:uid="{00000000-0005-0000-0000-0000DE100000}"/>
    <cellStyle name="Input [yellow] 32 3 2" xfId="3766" xr:uid="{00000000-0005-0000-0000-0000DF100000}"/>
    <cellStyle name="Input [yellow] 32 4" xfId="2308" xr:uid="{00000000-0005-0000-0000-0000E0100000}"/>
    <cellStyle name="Input [yellow] 32 4 2" xfId="4552" xr:uid="{00000000-0005-0000-0000-0000E1100000}"/>
    <cellStyle name="Input [yellow] 33" xfId="320" xr:uid="{00000000-0005-0000-0000-0000E2100000}"/>
    <cellStyle name="Input [yellow] 33 2" xfId="773" xr:uid="{00000000-0005-0000-0000-0000E3100000}"/>
    <cellStyle name="Input [yellow] 33 2 2" xfId="1596" xr:uid="{00000000-0005-0000-0000-0000E4100000}"/>
    <cellStyle name="Input [yellow] 33 2 2 2" xfId="3840" xr:uid="{00000000-0005-0000-0000-0000E5100000}"/>
    <cellStyle name="Input [yellow] 33 2 3" xfId="3054" xr:uid="{00000000-0005-0000-0000-0000E6100000}"/>
    <cellStyle name="Input [yellow] 33 3" xfId="1523" xr:uid="{00000000-0005-0000-0000-0000E7100000}"/>
    <cellStyle name="Input [yellow] 33 3 2" xfId="3767" xr:uid="{00000000-0005-0000-0000-0000E8100000}"/>
    <cellStyle name="Input [yellow] 33 4" xfId="2309" xr:uid="{00000000-0005-0000-0000-0000E9100000}"/>
    <cellStyle name="Input [yellow] 33 4 2" xfId="4553" xr:uid="{00000000-0005-0000-0000-0000EA100000}"/>
    <cellStyle name="Input [yellow] 34" xfId="321" xr:uid="{00000000-0005-0000-0000-0000EB100000}"/>
    <cellStyle name="Input [yellow] 34 2" xfId="774" xr:uid="{00000000-0005-0000-0000-0000EC100000}"/>
    <cellStyle name="Input [yellow] 34 2 2" xfId="1597" xr:uid="{00000000-0005-0000-0000-0000ED100000}"/>
    <cellStyle name="Input [yellow] 34 2 2 2" xfId="3841" xr:uid="{00000000-0005-0000-0000-0000EE100000}"/>
    <cellStyle name="Input [yellow] 34 2 3" xfId="3055" xr:uid="{00000000-0005-0000-0000-0000EF100000}"/>
    <cellStyle name="Input [yellow] 34 3" xfId="1524" xr:uid="{00000000-0005-0000-0000-0000F0100000}"/>
    <cellStyle name="Input [yellow] 34 3 2" xfId="3768" xr:uid="{00000000-0005-0000-0000-0000F1100000}"/>
    <cellStyle name="Input [yellow] 34 4" xfId="2310" xr:uid="{00000000-0005-0000-0000-0000F2100000}"/>
    <cellStyle name="Input [yellow] 34 4 2" xfId="4554" xr:uid="{00000000-0005-0000-0000-0000F3100000}"/>
    <cellStyle name="Input [yellow] 35" xfId="322" xr:uid="{00000000-0005-0000-0000-0000F4100000}"/>
    <cellStyle name="Input [yellow] 35 2" xfId="775" xr:uid="{00000000-0005-0000-0000-0000F5100000}"/>
    <cellStyle name="Input [yellow] 35 2 2" xfId="1598" xr:uid="{00000000-0005-0000-0000-0000F6100000}"/>
    <cellStyle name="Input [yellow] 35 2 2 2" xfId="3842" xr:uid="{00000000-0005-0000-0000-0000F7100000}"/>
    <cellStyle name="Input [yellow] 35 2 3" xfId="3056" xr:uid="{00000000-0005-0000-0000-0000F8100000}"/>
    <cellStyle name="Input [yellow] 35 3" xfId="1525" xr:uid="{00000000-0005-0000-0000-0000F9100000}"/>
    <cellStyle name="Input [yellow] 35 3 2" xfId="3769" xr:uid="{00000000-0005-0000-0000-0000FA100000}"/>
    <cellStyle name="Input [yellow] 35 4" xfId="2311" xr:uid="{00000000-0005-0000-0000-0000FB100000}"/>
    <cellStyle name="Input [yellow] 35 4 2" xfId="4555" xr:uid="{00000000-0005-0000-0000-0000FC100000}"/>
    <cellStyle name="Input [yellow] 36" xfId="323" xr:uid="{00000000-0005-0000-0000-0000FD100000}"/>
    <cellStyle name="Input [yellow] 36 2" xfId="776" xr:uid="{00000000-0005-0000-0000-0000FE100000}"/>
    <cellStyle name="Input [yellow] 36 2 2" xfId="1599" xr:uid="{00000000-0005-0000-0000-0000FF100000}"/>
    <cellStyle name="Input [yellow] 36 2 2 2" xfId="3843" xr:uid="{00000000-0005-0000-0000-000000110000}"/>
    <cellStyle name="Input [yellow] 36 2 3" xfId="3057" xr:uid="{00000000-0005-0000-0000-000001110000}"/>
    <cellStyle name="Input [yellow] 36 3" xfId="1526" xr:uid="{00000000-0005-0000-0000-000002110000}"/>
    <cellStyle name="Input [yellow] 36 3 2" xfId="3770" xr:uid="{00000000-0005-0000-0000-000003110000}"/>
    <cellStyle name="Input [yellow] 36 4" xfId="2312" xr:uid="{00000000-0005-0000-0000-000004110000}"/>
    <cellStyle name="Input [yellow] 36 4 2" xfId="4556" xr:uid="{00000000-0005-0000-0000-000005110000}"/>
    <cellStyle name="Input [yellow] 37" xfId="324" xr:uid="{00000000-0005-0000-0000-000006110000}"/>
    <cellStyle name="Input [yellow] 37 2" xfId="777" xr:uid="{00000000-0005-0000-0000-000007110000}"/>
    <cellStyle name="Input [yellow] 37 2 2" xfId="1600" xr:uid="{00000000-0005-0000-0000-000008110000}"/>
    <cellStyle name="Input [yellow] 37 2 2 2" xfId="3844" xr:uid="{00000000-0005-0000-0000-000009110000}"/>
    <cellStyle name="Input [yellow] 37 2 3" xfId="3058" xr:uid="{00000000-0005-0000-0000-00000A110000}"/>
    <cellStyle name="Input [yellow] 37 3" xfId="1527" xr:uid="{00000000-0005-0000-0000-00000B110000}"/>
    <cellStyle name="Input [yellow] 37 3 2" xfId="3771" xr:uid="{00000000-0005-0000-0000-00000C110000}"/>
    <cellStyle name="Input [yellow] 37 4" xfId="2313" xr:uid="{00000000-0005-0000-0000-00000D110000}"/>
    <cellStyle name="Input [yellow] 37 4 2" xfId="4557" xr:uid="{00000000-0005-0000-0000-00000E110000}"/>
    <cellStyle name="Input [yellow] 38" xfId="325" xr:uid="{00000000-0005-0000-0000-00000F110000}"/>
    <cellStyle name="Input [yellow] 38 2" xfId="778" xr:uid="{00000000-0005-0000-0000-000010110000}"/>
    <cellStyle name="Input [yellow] 38 2 2" xfId="1601" xr:uid="{00000000-0005-0000-0000-000011110000}"/>
    <cellStyle name="Input [yellow] 38 2 2 2" xfId="3845" xr:uid="{00000000-0005-0000-0000-000012110000}"/>
    <cellStyle name="Input [yellow] 38 2 3" xfId="3059" xr:uid="{00000000-0005-0000-0000-000013110000}"/>
    <cellStyle name="Input [yellow] 38 3" xfId="1528" xr:uid="{00000000-0005-0000-0000-000014110000}"/>
    <cellStyle name="Input [yellow] 38 3 2" xfId="3772" xr:uid="{00000000-0005-0000-0000-000015110000}"/>
    <cellStyle name="Input [yellow] 38 4" xfId="2314" xr:uid="{00000000-0005-0000-0000-000016110000}"/>
    <cellStyle name="Input [yellow] 38 4 2" xfId="4558" xr:uid="{00000000-0005-0000-0000-000017110000}"/>
    <cellStyle name="Input [yellow] 39" xfId="326" xr:uid="{00000000-0005-0000-0000-000018110000}"/>
    <cellStyle name="Input [yellow] 39 2" xfId="779" xr:uid="{00000000-0005-0000-0000-000019110000}"/>
    <cellStyle name="Input [yellow] 39 2 2" xfId="1602" xr:uid="{00000000-0005-0000-0000-00001A110000}"/>
    <cellStyle name="Input [yellow] 39 2 2 2" xfId="3846" xr:uid="{00000000-0005-0000-0000-00001B110000}"/>
    <cellStyle name="Input [yellow] 39 2 3" xfId="3060" xr:uid="{00000000-0005-0000-0000-00001C110000}"/>
    <cellStyle name="Input [yellow] 39 3" xfId="1529" xr:uid="{00000000-0005-0000-0000-00001D110000}"/>
    <cellStyle name="Input [yellow] 39 3 2" xfId="3773" xr:uid="{00000000-0005-0000-0000-00001E110000}"/>
    <cellStyle name="Input [yellow] 39 4" xfId="2315" xr:uid="{00000000-0005-0000-0000-00001F110000}"/>
    <cellStyle name="Input [yellow] 39 4 2" xfId="4559" xr:uid="{00000000-0005-0000-0000-000020110000}"/>
    <cellStyle name="Input [yellow] 4" xfId="327" xr:uid="{00000000-0005-0000-0000-000021110000}"/>
    <cellStyle name="Input [yellow] 4 2" xfId="780" xr:uid="{00000000-0005-0000-0000-000022110000}"/>
    <cellStyle name="Input [yellow] 4 2 2" xfId="1603" xr:uid="{00000000-0005-0000-0000-000023110000}"/>
    <cellStyle name="Input [yellow] 4 2 2 2" xfId="3847" xr:uid="{00000000-0005-0000-0000-000024110000}"/>
    <cellStyle name="Input [yellow] 4 2 3" xfId="3061" xr:uid="{00000000-0005-0000-0000-000025110000}"/>
    <cellStyle name="Input [yellow] 4 3" xfId="1530" xr:uid="{00000000-0005-0000-0000-000026110000}"/>
    <cellStyle name="Input [yellow] 4 3 2" xfId="3774" xr:uid="{00000000-0005-0000-0000-000027110000}"/>
    <cellStyle name="Input [yellow] 4 4" xfId="2316" xr:uid="{00000000-0005-0000-0000-000028110000}"/>
    <cellStyle name="Input [yellow] 4 4 2" xfId="4560" xr:uid="{00000000-0005-0000-0000-000029110000}"/>
    <cellStyle name="Input [yellow] 40" xfId="328" xr:uid="{00000000-0005-0000-0000-00002A110000}"/>
    <cellStyle name="Input [yellow] 40 2" xfId="781" xr:uid="{00000000-0005-0000-0000-00002B110000}"/>
    <cellStyle name="Input [yellow] 40 2 2" xfId="1604" xr:uid="{00000000-0005-0000-0000-00002C110000}"/>
    <cellStyle name="Input [yellow] 40 2 2 2" xfId="3848" xr:uid="{00000000-0005-0000-0000-00002D110000}"/>
    <cellStyle name="Input [yellow] 40 2 3" xfId="3062" xr:uid="{00000000-0005-0000-0000-00002E110000}"/>
    <cellStyle name="Input [yellow] 40 3" xfId="1531" xr:uid="{00000000-0005-0000-0000-00002F110000}"/>
    <cellStyle name="Input [yellow] 40 3 2" xfId="3775" xr:uid="{00000000-0005-0000-0000-000030110000}"/>
    <cellStyle name="Input [yellow] 40 4" xfId="2317" xr:uid="{00000000-0005-0000-0000-000031110000}"/>
    <cellStyle name="Input [yellow] 40 4 2" xfId="4561" xr:uid="{00000000-0005-0000-0000-000032110000}"/>
    <cellStyle name="Input [yellow] 41" xfId="329" xr:uid="{00000000-0005-0000-0000-000033110000}"/>
    <cellStyle name="Input [yellow] 41 2" xfId="782" xr:uid="{00000000-0005-0000-0000-000034110000}"/>
    <cellStyle name="Input [yellow] 41 2 2" xfId="1605" xr:uid="{00000000-0005-0000-0000-000035110000}"/>
    <cellStyle name="Input [yellow] 41 2 2 2" xfId="3849" xr:uid="{00000000-0005-0000-0000-000036110000}"/>
    <cellStyle name="Input [yellow] 41 2 3" xfId="3063" xr:uid="{00000000-0005-0000-0000-000037110000}"/>
    <cellStyle name="Input [yellow] 41 3" xfId="1532" xr:uid="{00000000-0005-0000-0000-000038110000}"/>
    <cellStyle name="Input [yellow] 41 3 2" xfId="3776" xr:uid="{00000000-0005-0000-0000-000039110000}"/>
    <cellStyle name="Input [yellow] 41 4" xfId="2318" xr:uid="{00000000-0005-0000-0000-00003A110000}"/>
    <cellStyle name="Input [yellow] 41 4 2" xfId="4562" xr:uid="{00000000-0005-0000-0000-00003B110000}"/>
    <cellStyle name="Input [yellow] 42" xfId="330" xr:uid="{00000000-0005-0000-0000-00003C110000}"/>
    <cellStyle name="Input [yellow] 42 2" xfId="783" xr:uid="{00000000-0005-0000-0000-00003D110000}"/>
    <cellStyle name="Input [yellow] 42 2 2" xfId="1606" xr:uid="{00000000-0005-0000-0000-00003E110000}"/>
    <cellStyle name="Input [yellow] 42 2 2 2" xfId="3850" xr:uid="{00000000-0005-0000-0000-00003F110000}"/>
    <cellStyle name="Input [yellow] 42 2 3" xfId="3064" xr:uid="{00000000-0005-0000-0000-000040110000}"/>
    <cellStyle name="Input [yellow] 42 3" xfId="1533" xr:uid="{00000000-0005-0000-0000-000041110000}"/>
    <cellStyle name="Input [yellow] 42 3 2" xfId="3777" xr:uid="{00000000-0005-0000-0000-000042110000}"/>
    <cellStyle name="Input [yellow] 42 4" xfId="2319" xr:uid="{00000000-0005-0000-0000-000043110000}"/>
    <cellStyle name="Input [yellow] 42 4 2" xfId="4563" xr:uid="{00000000-0005-0000-0000-000044110000}"/>
    <cellStyle name="Input [yellow] 43" xfId="331" xr:uid="{00000000-0005-0000-0000-000045110000}"/>
    <cellStyle name="Input [yellow] 43 2" xfId="784" xr:uid="{00000000-0005-0000-0000-000046110000}"/>
    <cellStyle name="Input [yellow] 43 2 2" xfId="1607" xr:uid="{00000000-0005-0000-0000-000047110000}"/>
    <cellStyle name="Input [yellow] 43 2 2 2" xfId="3851" xr:uid="{00000000-0005-0000-0000-000048110000}"/>
    <cellStyle name="Input [yellow] 43 2 3" xfId="3065" xr:uid="{00000000-0005-0000-0000-000049110000}"/>
    <cellStyle name="Input [yellow] 43 3" xfId="1534" xr:uid="{00000000-0005-0000-0000-00004A110000}"/>
    <cellStyle name="Input [yellow] 43 3 2" xfId="3778" xr:uid="{00000000-0005-0000-0000-00004B110000}"/>
    <cellStyle name="Input [yellow] 43 4" xfId="2320" xr:uid="{00000000-0005-0000-0000-00004C110000}"/>
    <cellStyle name="Input [yellow] 43 4 2" xfId="4564" xr:uid="{00000000-0005-0000-0000-00004D110000}"/>
    <cellStyle name="Input [yellow] 44" xfId="332" xr:uid="{00000000-0005-0000-0000-00004E110000}"/>
    <cellStyle name="Input [yellow] 44 2" xfId="785" xr:uid="{00000000-0005-0000-0000-00004F110000}"/>
    <cellStyle name="Input [yellow] 44 2 2" xfId="1608" xr:uid="{00000000-0005-0000-0000-000050110000}"/>
    <cellStyle name="Input [yellow] 44 2 2 2" xfId="3852" xr:uid="{00000000-0005-0000-0000-000051110000}"/>
    <cellStyle name="Input [yellow] 44 2 3" xfId="3066" xr:uid="{00000000-0005-0000-0000-000052110000}"/>
    <cellStyle name="Input [yellow] 44 3" xfId="1535" xr:uid="{00000000-0005-0000-0000-000053110000}"/>
    <cellStyle name="Input [yellow] 44 3 2" xfId="3779" xr:uid="{00000000-0005-0000-0000-000054110000}"/>
    <cellStyle name="Input [yellow] 44 4" xfId="2321" xr:uid="{00000000-0005-0000-0000-000055110000}"/>
    <cellStyle name="Input [yellow] 44 4 2" xfId="4565" xr:uid="{00000000-0005-0000-0000-000056110000}"/>
    <cellStyle name="Input [yellow] 45" xfId="333" xr:uid="{00000000-0005-0000-0000-000057110000}"/>
    <cellStyle name="Input [yellow] 45 2" xfId="786" xr:uid="{00000000-0005-0000-0000-000058110000}"/>
    <cellStyle name="Input [yellow] 45 2 2" xfId="1609" xr:uid="{00000000-0005-0000-0000-000059110000}"/>
    <cellStyle name="Input [yellow] 45 2 2 2" xfId="3853" xr:uid="{00000000-0005-0000-0000-00005A110000}"/>
    <cellStyle name="Input [yellow] 45 2 3" xfId="3067" xr:uid="{00000000-0005-0000-0000-00005B110000}"/>
    <cellStyle name="Input [yellow] 45 3" xfId="1536" xr:uid="{00000000-0005-0000-0000-00005C110000}"/>
    <cellStyle name="Input [yellow] 45 3 2" xfId="3780" xr:uid="{00000000-0005-0000-0000-00005D110000}"/>
    <cellStyle name="Input [yellow] 45 4" xfId="2322" xr:uid="{00000000-0005-0000-0000-00005E110000}"/>
    <cellStyle name="Input [yellow] 45 4 2" xfId="4566" xr:uid="{00000000-0005-0000-0000-00005F110000}"/>
    <cellStyle name="Input [yellow] 46" xfId="334" xr:uid="{00000000-0005-0000-0000-000060110000}"/>
    <cellStyle name="Input [yellow] 46 2" xfId="787" xr:uid="{00000000-0005-0000-0000-000061110000}"/>
    <cellStyle name="Input [yellow] 46 2 2" xfId="1610" xr:uid="{00000000-0005-0000-0000-000062110000}"/>
    <cellStyle name="Input [yellow] 46 2 2 2" xfId="3854" xr:uid="{00000000-0005-0000-0000-000063110000}"/>
    <cellStyle name="Input [yellow] 46 2 3" xfId="3068" xr:uid="{00000000-0005-0000-0000-000064110000}"/>
    <cellStyle name="Input [yellow] 46 3" xfId="1537" xr:uid="{00000000-0005-0000-0000-000065110000}"/>
    <cellStyle name="Input [yellow] 46 3 2" xfId="3781" xr:uid="{00000000-0005-0000-0000-000066110000}"/>
    <cellStyle name="Input [yellow] 46 4" xfId="2323" xr:uid="{00000000-0005-0000-0000-000067110000}"/>
    <cellStyle name="Input [yellow] 46 4 2" xfId="4567" xr:uid="{00000000-0005-0000-0000-000068110000}"/>
    <cellStyle name="Input [yellow] 47" xfId="335" xr:uid="{00000000-0005-0000-0000-000069110000}"/>
    <cellStyle name="Input [yellow] 47 2" xfId="788" xr:uid="{00000000-0005-0000-0000-00006A110000}"/>
    <cellStyle name="Input [yellow] 47 2 2" xfId="1611" xr:uid="{00000000-0005-0000-0000-00006B110000}"/>
    <cellStyle name="Input [yellow] 47 2 2 2" xfId="3855" xr:uid="{00000000-0005-0000-0000-00006C110000}"/>
    <cellStyle name="Input [yellow] 47 2 3" xfId="3069" xr:uid="{00000000-0005-0000-0000-00006D110000}"/>
    <cellStyle name="Input [yellow] 47 3" xfId="1538" xr:uid="{00000000-0005-0000-0000-00006E110000}"/>
    <cellStyle name="Input [yellow] 47 3 2" xfId="3782" xr:uid="{00000000-0005-0000-0000-00006F110000}"/>
    <cellStyle name="Input [yellow] 47 4" xfId="2324" xr:uid="{00000000-0005-0000-0000-000070110000}"/>
    <cellStyle name="Input [yellow] 47 4 2" xfId="4568" xr:uid="{00000000-0005-0000-0000-000071110000}"/>
    <cellStyle name="Input [yellow] 48" xfId="336" xr:uid="{00000000-0005-0000-0000-000072110000}"/>
    <cellStyle name="Input [yellow] 48 2" xfId="789" xr:uid="{00000000-0005-0000-0000-000073110000}"/>
    <cellStyle name="Input [yellow] 48 2 2" xfId="1612" xr:uid="{00000000-0005-0000-0000-000074110000}"/>
    <cellStyle name="Input [yellow] 48 2 2 2" xfId="3856" xr:uid="{00000000-0005-0000-0000-000075110000}"/>
    <cellStyle name="Input [yellow] 48 2 3" xfId="3070" xr:uid="{00000000-0005-0000-0000-000076110000}"/>
    <cellStyle name="Input [yellow] 48 3" xfId="1539" xr:uid="{00000000-0005-0000-0000-000077110000}"/>
    <cellStyle name="Input [yellow] 48 3 2" xfId="3783" xr:uid="{00000000-0005-0000-0000-000078110000}"/>
    <cellStyle name="Input [yellow] 48 4" xfId="2325" xr:uid="{00000000-0005-0000-0000-000079110000}"/>
    <cellStyle name="Input [yellow] 48 4 2" xfId="4569" xr:uid="{00000000-0005-0000-0000-00007A110000}"/>
    <cellStyle name="Input [yellow] 49" xfId="337" xr:uid="{00000000-0005-0000-0000-00007B110000}"/>
    <cellStyle name="Input [yellow] 49 2" xfId="790" xr:uid="{00000000-0005-0000-0000-00007C110000}"/>
    <cellStyle name="Input [yellow] 49 2 2" xfId="1613" xr:uid="{00000000-0005-0000-0000-00007D110000}"/>
    <cellStyle name="Input [yellow] 49 2 2 2" xfId="3857" xr:uid="{00000000-0005-0000-0000-00007E110000}"/>
    <cellStyle name="Input [yellow] 49 2 3" xfId="3071" xr:uid="{00000000-0005-0000-0000-00007F110000}"/>
    <cellStyle name="Input [yellow] 49 3" xfId="1540" xr:uid="{00000000-0005-0000-0000-000080110000}"/>
    <cellStyle name="Input [yellow] 49 3 2" xfId="3784" xr:uid="{00000000-0005-0000-0000-000081110000}"/>
    <cellStyle name="Input [yellow] 49 4" xfId="2326" xr:uid="{00000000-0005-0000-0000-000082110000}"/>
    <cellStyle name="Input [yellow] 49 4 2" xfId="4570" xr:uid="{00000000-0005-0000-0000-000083110000}"/>
    <cellStyle name="Input [yellow] 5" xfId="338" xr:uid="{00000000-0005-0000-0000-000084110000}"/>
    <cellStyle name="Input [yellow] 5 2" xfId="791" xr:uid="{00000000-0005-0000-0000-000085110000}"/>
    <cellStyle name="Input [yellow] 5 2 2" xfId="1614" xr:uid="{00000000-0005-0000-0000-000086110000}"/>
    <cellStyle name="Input [yellow] 5 2 2 2" xfId="3858" xr:uid="{00000000-0005-0000-0000-000087110000}"/>
    <cellStyle name="Input [yellow] 5 2 3" xfId="3072" xr:uid="{00000000-0005-0000-0000-000088110000}"/>
    <cellStyle name="Input [yellow] 5 3" xfId="1541" xr:uid="{00000000-0005-0000-0000-000089110000}"/>
    <cellStyle name="Input [yellow] 5 3 2" xfId="3785" xr:uid="{00000000-0005-0000-0000-00008A110000}"/>
    <cellStyle name="Input [yellow] 5 4" xfId="2327" xr:uid="{00000000-0005-0000-0000-00008B110000}"/>
    <cellStyle name="Input [yellow] 5 4 2" xfId="4571" xr:uid="{00000000-0005-0000-0000-00008C110000}"/>
    <cellStyle name="Input [yellow] 50" xfId="339" xr:uid="{00000000-0005-0000-0000-00008D110000}"/>
    <cellStyle name="Input [yellow] 50 2" xfId="792" xr:uid="{00000000-0005-0000-0000-00008E110000}"/>
    <cellStyle name="Input [yellow] 50 2 2" xfId="1615" xr:uid="{00000000-0005-0000-0000-00008F110000}"/>
    <cellStyle name="Input [yellow] 50 2 2 2" xfId="3859" xr:uid="{00000000-0005-0000-0000-000090110000}"/>
    <cellStyle name="Input [yellow] 50 2 3" xfId="3073" xr:uid="{00000000-0005-0000-0000-000091110000}"/>
    <cellStyle name="Input [yellow] 50 3" xfId="1542" xr:uid="{00000000-0005-0000-0000-000092110000}"/>
    <cellStyle name="Input [yellow] 50 3 2" xfId="3786" xr:uid="{00000000-0005-0000-0000-000093110000}"/>
    <cellStyle name="Input [yellow] 50 4" xfId="2328" xr:uid="{00000000-0005-0000-0000-000094110000}"/>
    <cellStyle name="Input [yellow] 50 4 2" xfId="4572" xr:uid="{00000000-0005-0000-0000-000095110000}"/>
    <cellStyle name="Input [yellow] 51" xfId="340" xr:uid="{00000000-0005-0000-0000-000096110000}"/>
    <cellStyle name="Input [yellow] 51 2" xfId="793" xr:uid="{00000000-0005-0000-0000-000097110000}"/>
    <cellStyle name="Input [yellow] 51 2 2" xfId="1616" xr:uid="{00000000-0005-0000-0000-000098110000}"/>
    <cellStyle name="Input [yellow] 51 2 2 2" xfId="3860" xr:uid="{00000000-0005-0000-0000-000099110000}"/>
    <cellStyle name="Input [yellow] 51 2 3" xfId="3074" xr:uid="{00000000-0005-0000-0000-00009A110000}"/>
    <cellStyle name="Input [yellow] 51 3" xfId="1543" xr:uid="{00000000-0005-0000-0000-00009B110000}"/>
    <cellStyle name="Input [yellow] 51 3 2" xfId="3787" xr:uid="{00000000-0005-0000-0000-00009C110000}"/>
    <cellStyle name="Input [yellow] 51 4" xfId="2329" xr:uid="{00000000-0005-0000-0000-00009D110000}"/>
    <cellStyle name="Input [yellow] 51 4 2" xfId="4573" xr:uid="{00000000-0005-0000-0000-00009E110000}"/>
    <cellStyle name="Input [yellow] 52" xfId="341" xr:uid="{00000000-0005-0000-0000-00009F110000}"/>
    <cellStyle name="Input [yellow] 52 2" xfId="794" xr:uid="{00000000-0005-0000-0000-0000A0110000}"/>
    <cellStyle name="Input [yellow] 52 2 2" xfId="1617" xr:uid="{00000000-0005-0000-0000-0000A1110000}"/>
    <cellStyle name="Input [yellow] 52 2 2 2" xfId="3861" xr:uid="{00000000-0005-0000-0000-0000A2110000}"/>
    <cellStyle name="Input [yellow] 52 2 3" xfId="3075" xr:uid="{00000000-0005-0000-0000-0000A3110000}"/>
    <cellStyle name="Input [yellow] 52 3" xfId="1544" xr:uid="{00000000-0005-0000-0000-0000A4110000}"/>
    <cellStyle name="Input [yellow] 52 3 2" xfId="3788" xr:uid="{00000000-0005-0000-0000-0000A5110000}"/>
    <cellStyle name="Input [yellow] 52 4" xfId="2330" xr:uid="{00000000-0005-0000-0000-0000A6110000}"/>
    <cellStyle name="Input [yellow] 52 4 2" xfId="4574" xr:uid="{00000000-0005-0000-0000-0000A7110000}"/>
    <cellStyle name="Input [yellow] 53" xfId="342" xr:uid="{00000000-0005-0000-0000-0000A8110000}"/>
    <cellStyle name="Input [yellow] 54" xfId="746" xr:uid="{00000000-0005-0000-0000-0000A9110000}"/>
    <cellStyle name="Input [yellow] 54 2" xfId="1569" xr:uid="{00000000-0005-0000-0000-0000AA110000}"/>
    <cellStyle name="Input [yellow] 54 2 2" xfId="3813" xr:uid="{00000000-0005-0000-0000-0000AB110000}"/>
    <cellStyle name="Input [yellow] 54 3" xfId="3027" xr:uid="{00000000-0005-0000-0000-0000AC110000}"/>
    <cellStyle name="Input [yellow] 55" xfId="1496" xr:uid="{00000000-0005-0000-0000-0000AD110000}"/>
    <cellStyle name="Input [yellow] 55 2" xfId="3740" xr:uid="{00000000-0005-0000-0000-0000AE110000}"/>
    <cellStyle name="Input [yellow] 56" xfId="2282" xr:uid="{00000000-0005-0000-0000-0000AF110000}"/>
    <cellStyle name="Input [yellow] 56 2" xfId="4526" xr:uid="{00000000-0005-0000-0000-0000B0110000}"/>
    <cellStyle name="Input [yellow] 6" xfId="343" xr:uid="{00000000-0005-0000-0000-0000B1110000}"/>
    <cellStyle name="Input [yellow] 6 2" xfId="795" xr:uid="{00000000-0005-0000-0000-0000B2110000}"/>
    <cellStyle name="Input [yellow] 6 2 2" xfId="1618" xr:uid="{00000000-0005-0000-0000-0000B3110000}"/>
    <cellStyle name="Input [yellow] 6 2 2 2" xfId="3862" xr:uid="{00000000-0005-0000-0000-0000B4110000}"/>
    <cellStyle name="Input [yellow] 6 2 3" xfId="3076" xr:uid="{00000000-0005-0000-0000-0000B5110000}"/>
    <cellStyle name="Input [yellow] 6 3" xfId="1545" xr:uid="{00000000-0005-0000-0000-0000B6110000}"/>
    <cellStyle name="Input [yellow] 6 3 2" xfId="3789" xr:uid="{00000000-0005-0000-0000-0000B7110000}"/>
    <cellStyle name="Input [yellow] 6 4" xfId="2331" xr:uid="{00000000-0005-0000-0000-0000B8110000}"/>
    <cellStyle name="Input [yellow] 6 4 2" xfId="4575" xr:uid="{00000000-0005-0000-0000-0000B9110000}"/>
    <cellStyle name="Input [yellow] 7" xfId="344" xr:uid="{00000000-0005-0000-0000-0000BA110000}"/>
    <cellStyle name="Input [yellow] 7 2" xfId="796" xr:uid="{00000000-0005-0000-0000-0000BB110000}"/>
    <cellStyle name="Input [yellow] 7 2 2" xfId="1619" xr:uid="{00000000-0005-0000-0000-0000BC110000}"/>
    <cellStyle name="Input [yellow] 7 2 2 2" xfId="3863" xr:uid="{00000000-0005-0000-0000-0000BD110000}"/>
    <cellStyle name="Input [yellow] 7 2 3" xfId="3077" xr:uid="{00000000-0005-0000-0000-0000BE110000}"/>
    <cellStyle name="Input [yellow] 7 3" xfId="1546" xr:uid="{00000000-0005-0000-0000-0000BF110000}"/>
    <cellStyle name="Input [yellow] 7 3 2" xfId="3790" xr:uid="{00000000-0005-0000-0000-0000C0110000}"/>
    <cellStyle name="Input [yellow] 7 4" xfId="2332" xr:uid="{00000000-0005-0000-0000-0000C1110000}"/>
    <cellStyle name="Input [yellow] 7 4 2" xfId="4576" xr:uid="{00000000-0005-0000-0000-0000C2110000}"/>
    <cellStyle name="Input [yellow] 8" xfId="345" xr:uid="{00000000-0005-0000-0000-0000C3110000}"/>
    <cellStyle name="Input [yellow] 8 2" xfId="797" xr:uid="{00000000-0005-0000-0000-0000C4110000}"/>
    <cellStyle name="Input [yellow] 8 2 2" xfId="1620" xr:uid="{00000000-0005-0000-0000-0000C5110000}"/>
    <cellStyle name="Input [yellow] 8 2 2 2" xfId="3864" xr:uid="{00000000-0005-0000-0000-0000C6110000}"/>
    <cellStyle name="Input [yellow] 8 2 3" xfId="3078" xr:uid="{00000000-0005-0000-0000-0000C7110000}"/>
    <cellStyle name="Input [yellow] 8 3" xfId="1547" xr:uid="{00000000-0005-0000-0000-0000C8110000}"/>
    <cellStyle name="Input [yellow] 8 3 2" xfId="3791" xr:uid="{00000000-0005-0000-0000-0000C9110000}"/>
    <cellStyle name="Input [yellow] 8 4" xfId="2333" xr:uid="{00000000-0005-0000-0000-0000CA110000}"/>
    <cellStyle name="Input [yellow] 8 4 2" xfId="4577" xr:uid="{00000000-0005-0000-0000-0000CB110000}"/>
    <cellStyle name="Input [yellow] 9" xfId="346" xr:uid="{00000000-0005-0000-0000-0000CC110000}"/>
    <cellStyle name="Input [yellow] 9 2" xfId="798" xr:uid="{00000000-0005-0000-0000-0000CD110000}"/>
    <cellStyle name="Input [yellow] 9 2 2" xfId="1621" xr:uid="{00000000-0005-0000-0000-0000CE110000}"/>
    <cellStyle name="Input [yellow] 9 2 2 2" xfId="3865" xr:uid="{00000000-0005-0000-0000-0000CF110000}"/>
    <cellStyle name="Input [yellow] 9 2 3" xfId="3079" xr:uid="{00000000-0005-0000-0000-0000D0110000}"/>
    <cellStyle name="Input [yellow] 9 3" xfId="1548" xr:uid="{00000000-0005-0000-0000-0000D1110000}"/>
    <cellStyle name="Input [yellow] 9 3 2" xfId="3792" xr:uid="{00000000-0005-0000-0000-0000D2110000}"/>
    <cellStyle name="Input [yellow] 9 4" xfId="2334" xr:uid="{00000000-0005-0000-0000-0000D3110000}"/>
    <cellStyle name="Input [yellow] 9 4 2" xfId="4578" xr:uid="{00000000-0005-0000-0000-0000D4110000}"/>
    <cellStyle name="Link Currency (0)" xfId="347" xr:uid="{00000000-0005-0000-0000-0000D5110000}"/>
    <cellStyle name="Link Currency (2)" xfId="348" xr:uid="{00000000-0005-0000-0000-0000D6110000}"/>
    <cellStyle name="Link Units (0)" xfId="349" xr:uid="{00000000-0005-0000-0000-0000D7110000}"/>
    <cellStyle name="Link Units (1)" xfId="350" xr:uid="{00000000-0005-0000-0000-0000D8110000}"/>
    <cellStyle name="Link Units (2)" xfId="351" xr:uid="{00000000-0005-0000-0000-0000D9110000}"/>
    <cellStyle name="Model" xfId="352" xr:uid="{00000000-0005-0000-0000-0000DA110000}"/>
    <cellStyle name="Model 2" xfId="353" xr:uid="{00000000-0005-0000-0000-0000DB110000}"/>
    <cellStyle name="no dec" xfId="354" xr:uid="{00000000-0005-0000-0000-0000DC110000}"/>
    <cellStyle name="Normal" xfId="0" builtinId="0"/>
    <cellStyle name="Normal - Style1" xfId="355" xr:uid="{00000000-0005-0000-0000-0000DE110000}"/>
    <cellStyle name="Normal - Style1 2" xfId="356" xr:uid="{00000000-0005-0000-0000-0000DF110000}"/>
    <cellStyle name="Normal 10" xfId="357" xr:uid="{00000000-0005-0000-0000-0000E0110000}"/>
    <cellStyle name="Normal 10 10" xfId="358" xr:uid="{00000000-0005-0000-0000-0000E1110000}"/>
    <cellStyle name="Normal 10 11" xfId="359" xr:uid="{00000000-0005-0000-0000-0000E2110000}"/>
    <cellStyle name="Normal 10 12" xfId="360" xr:uid="{00000000-0005-0000-0000-0000E3110000}"/>
    <cellStyle name="Normal 10 13" xfId="361" xr:uid="{00000000-0005-0000-0000-0000E4110000}"/>
    <cellStyle name="Normal 10 14" xfId="362" xr:uid="{00000000-0005-0000-0000-0000E5110000}"/>
    <cellStyle name="Normal 10 15" xfId="363" xr:uid="{00000000-0005-0000-0000-0000E6110000}"/>
    <cellStyle name="Normal 10 16" xfId="364" xr:uid="{00000000-0005-0000-0000-0000E7110000}"/>
    <cellStyle name="Normal 10 17" xfId="365" xr:uid="{00000000-0005-0000-0000-0000E8110000}"/>
    <cellStyle name="Normal 10 18" xfId="366" xr:uid="{00000000-0005-0000-0000-0000E9110000}"/>
    <cellStyle name="Normal 10 19" xfId="367" xr:uid="{00000000-0005-0000-0000-0000EA110000}"/>
    <cellStyle name="Normal 10 2" xfId="368" xr:uid="{00000000-0005-0000-0000-0000EB110000}"/>
    <cellStyle name="Normal 10 2 2" xfId="1319" xr:uid="{00000000-0005-0000-0000-0000EC110000}"/>
    <cellStyle name="Normal 10 20" xfId="369" xr:uid="{00000000-0005-0000-0000-0000ED110000}"/>
    <cellStyle name="Normal 10 21" xfId="370" xr:uid="{00000000-0005-0000-0000-0000EE110000}"/>
    <cellStyle name="Normal 10 3" xfId="371" xr:uid="{00000000-0005-0000-0000-0000EF110000}"/>
    <cellStyle name="Normal 10 4" xfId="372" xr:uid="{00000000-0005-0000-0000-0000F0110000}"/>
    <cellStyle name="Normal 10 5" xfId="373" xr:uid="{00000000-0005-0000-0000-0000F1110000}"/>
    <cellStyle name="Normal 10 6" xfId="374" xr:uid="{00000000-0005-0000-0000-0000F2110000}"/>
    <cellStyle name="Normal 10 7" xfId="375" xr:uid="{00000000-0005-0000-0000-0000F3110000}"/>
    <cellStyle name="Normal 10 8" xfId="376" xr:uid="{00000000-0005-0000-0000-0000F4110000}"/>
    <cellStyle name="Normal 10 9" xfId="377" xr:uid="{00000000-0005-0000-0000-0000F5110000}"/>
    <cellStyle name="Normal 10_BS S-Sch" xfId="378" xr:uid="{00000000-0005-0000-0000-0000F6110000}"/>
    <cellStyle name="Normal 11" xfId="379" xr:uid="{00000000-0005-0000-0000-0000F7110000}"/>
    <cellStyle name="Normal 11 10" xfId="380" xr:uid="{00000000-0005-0000-0000-0000F8110000}"/>
    <cellStyle name="Normal 11 11" xfId="381" xr:uid="{00000000-0005-0000-0000-0000F9110000}"/>
    <cellStyle name="Normal 11 12" xfId="382" xr:uid="{00000000-0005-0000-0000-0000FA110000}"/>
    <cellStyle name="Normal 11 13" xfId="383" xr:uid="{00000000-0005-0000-0000-0000FB110000}"/>
    <cellStyle name="Normal 11 14" xfId="384" xr:uid="{00000000-0005-0000-0000-0000FC110000}"/>
    <cellStyle name="Normal 11 15" xfId="385" xr:uid="{00000000-0005-0000-0000-0000FD110000}"/>
    <cellStyle name="Normal 11 16" xfId="386" xr:uid="{00000000-0005-0000-0000-0000FE110000}"/>
    <cellStyle name="Normal 11 17" xfId="387" xr:uid="{00000000-0005-0000-0000-0000FF110000}"/>
    <cellStyle name="Normal 11 18" xfId="388" xr:uid="{00000000-0005-0000-0000-000000120000}"/>
    <cellStyle name="Normal 11 19" xfId="389" xr:uid="{00000000-0005-0000-0000-000001120000}"/>
    <cellStyle name="Normal 11 2" xfId="390" xr:uid="{00000000-0005-0000-0000-000002120000}"/>
    <cellStyle name="Normal 11 20" xfId="391" xr:uid="{00000000-0005-0000-0000-000003120000}"/>
    <cellStyle name="Normal 11 21" xfId="392" xr:uid="{00000000-0005-0000-0000-000004120000}"/>
    <cellStyle name="Normal 11 3" xfId="393" xr:uid="{00000000-0005-0000-0000-000005120000}"/>
    <cellStyle name="Normal 11 4" xfId="394" xr:uid="{00000000-0005-0000-0000-000006120000}"/>
    <cellStyle name="Normal 11 5" xfId="395" xr:uid="{00000000-0005-0000-0000-000007120000}"/>
    <cellStyle name="Normal 11 6" xfId="396" xr:uid="{00000000-0005-0000-0000-000008120000}"/>
    <cellStyle name="Normal 11 7" xfId="397" xr:uid="{00000000-0005-0000-0000-000009120000}"/>
    <cellStyle name="Normal 11 8" xfId="398" xr:uid="{00000000-0005-0000-0000-00000A120000}"/>
    <cellStyle name="Normal 11 9" xfId="399" xr:uid="{00000000-0005-0000-0000-00000B120000}"/>
    <cellStyle name="Normal 11_BS S-Sch" xfId="400" xr:uid="{00000000-0005-0000-0000-00000C120000}"/>
    <cellStyle name="Normal 12" xfId="401" xr:uid="{00000000-0005-0000-0000-00000D120000}"/>
    <cellStyle name="Normal 13" xfId="402" xr:uid="{00000000-0005-0000-0000-00000E120000}"/>
    <cellStyle name="Normal 14" xfId="403" xr:uid="{00000000-0005-0000-0000-00000F120000}"/>
    <cellStyle name="Normal 15" xfId="31" xr:uid="{00000000-0005-0000-0000-000010120000}"/>
    <cellStyle name="Normal 15 2" xfId="404" xr:uid="{00000000-0005-0000-0000-000011120000}"/>
    <cellStyle name="Normal 16" xfId="405" xr:uid="{00000000-0005-0000-0000-000012120000}"/>
    <cellStyle name="Normal 17" xfId="406" xr:uid="{00000000-0005-0000-0000-000013120000}"/>
    <cellStyle name="Normal 18" xfId="407" xr:uid="{00000000-0005-0000-0000-000014120000}"/>
    <cellStyle name="Normal 18 10" xfId="408" xr:uid="{00000000-0005-0000-0000-000015120000}"/>
    <cellStyle name="Normal 18 11" xfId="409" xr:uid="{00000000-0005-0000-0000-000016120000}"/>
    <cellStyle name="Normal 18 12" xfId="410" xr:uid="{00000000-0005-0000-0000-000017120000}"/>
    <cellStyle name="Normal 18 13" xfId="411" xr:uid="{00000000-0005-0000-0000-000018120000}"/>
    <cellStyle name="Normal 18 14" xfId="412" xr:uid="{00000000-0005-0000-0000-000019120000}"/>
    <cellStyle name="Normal 18 15" xfId="413" xr:uid="{00000000-0005-0000-0000-00001A120000}"/>
    <cellStyle name="Normal 18 16" xfId="414" xr:uid="{00000000-0005-0000-0000-00001B120000}"/>
    <cellStyle name="Normal 18 17" xfId="415" xr:uid="{00000000-0005-0000-0000-00001C120000}"/>
    <cellStyle name="Normal 18 18" xfId="416" xr:uid="{00000000-0005-0000-0000-00001D120000}"/>
    <cellStyle name="Normal 18 19" xfId="417" xr:uid="{00000000-0005-0000-0000-00001E120000}"/>
    <cellStyle name="Normal 18 2" xfId="418" xr:uid="{00000000-0005-0000-0000-00001F120000}"/>
    <cellStyle name="Normal 18 20" xfId="419" xr:uid="{00000000-0005-0000-0000-000020120000}"/>
    <cellStyle name="Normal 18 21" xfId="420" xr:uid="{00000000-0005-0000-0000-000021120000}"/>
    <cellStyle name="Normal 18 3" xfId="421" xr:uid="{00000000-0005-0000-0000-000022120000}"/>
    <cellStyle name="Normal 18 4" xfId="422" xr:uid="{00000000-0005-0000-0000-000023120000}"/>
    <cellStyle name="Normal 18 5" xfId="423" xr:uid="{00000000-0005-0000-0000-000024120000}"/>
    <cellStyle name="Normal 18 6" xfId="424" xr:uid="{00000000-0005-0000-0000-000025120000}"/>
    <cellStyle name="Normal 18 7" xfId="425" xr:uid="{00000000-0005-0000-0000-000026120000}"/>
    <cellStyle name="Normal 18 8" xfId="426" xr:uid="{00000000-0005-0000-0000-000027120000}"/>
    <cellStyle name="Normal 18 9" xfId="427" xr:uid="{00000000-0005-0000-0000-000028120000}"/>
    <cellStyle name="Normal 18_BS S-Sch" xfId="428" xr:uid="{00000000-0005-0000-0000-000029120000}"/>
    <cellStyle name="Normal 183 2" xfId="5092" xr:uid="{00000000-0005-0000-0000-00002A120000}"/>
    <cellStyle name="Normal 19" xfId="598" xr:uid="{00000000-0005-0000-0000-00002B120000}"/>
    <cellStyle name="Normal 2" xfId="10" xr:uid="{00000000-0005-0000-0000-00002C120000}"/>
    <cellStyle name="Normal 2 10" xfId="429" xr:uid="{00000000-0005-0000-0000-00002D120000}"/>
    <cellStyle name="Normal 2 11" xfId="430" xr:uid="{00000000-0005-0000-0000-00002E120000}"/>
    <cellStyle name="Normal 2 12" xfId="431" xr:uid="{00000000-0005-0000-0000-00002F120000}"/>
    <cellStyle name="Normal 2 13" xfId="432" xr:uid="{00000000-0005-0000-0000-000030120000}"/>
    <cellStyle name="Normal 2 14" xfId="433" xr:uid="{00000000-0005-0000-0000-000031120000}"/>
    <cellStyle name="Normal 2 15" xfId="434" xr:uid="{00000000-0005-0000-0000-000032120000}"/>
    <cellStyle name="Normal 2 16" xfId="435" xr:uid="{00000000-0005-0000-0000-000033120000}"/>
    <cellStyle name="Normal 2 17" xfId="436" xr:uid="{00000000-0005-0000-0000-000034120000}"/>
    <cellStyle name="Normal 2 18" xfId="437" xr:uid="{00000000-0005-0000-0000-000035120000}"/>
    <cellStyle name="Normal 2 19" xfId="438" xr:uid="{00000000-0005-0000-0000-000036120000}"/>
    <cellStyle name="Normal 2 2" xfId="32" xr:uid="{00000000-0005-0000-0000-000037120000}"/>
    <cellStyle name="Normal 2 2 2" xfId="439" xr:uid="{00000000-0005-0000-0000-000038120000}"/>
    <cellStyle name="Normal 2 20" xfId="440" xr:uid="{00000000-0005-0000-0000-000039120000}"/>
    <cellStyle name="Normal 2 21" xfId="441" xr:uid="{00000000-0005-0000-0000-00003A120000}"/>
    <cellStyle name="Normal 2 22" xfId="442" xr:uid="{00000000-0005-0000-0000-00003B120000}"/>
    <cellStyle name="Normal 2 23" xfId="443" xr:uid="{00000000-0005-0000-0000-00003C120000}"/>
    <cellStyle name="Normal 2 24" xfId="444" xr:uid="{00000000-0005-0000-0000-00003D120000}"/>
    <cellStyle name="Normal 2 25" xfId="445" xr:uid="{00000000-0005-0000-0000-00003E120000}"/>
    <cellStyle name="Normal 2 26" xfId="446" xr:uid="{00000000-0005-0000-0000-00003F120000}"/>
    <cellStyle name="Normal 2 27" xfId="447" xr:uid="{00000000-0005-0000-0000-000040120000}"/>
    <cellStyle name="Normal 2 28" xfId="448" xr:uid="{00000000-0005-0000-0000-000041120000}"/>
    <cellStyle name="Normal 2 29" xfId="449" xr:uid="{00000000-0005-0000-0000-000042120000}"/>
    <cellStyle name="Normal 2 3" xfId="450" xr:uid="{00000000-0005-0000-0000-000043120000}"/>
    <cellStyle name="Normal 2 30" xfId="451" xr:uid="{00000000-0005-0000-0000-000044120000}"/>
    <cellStyle name="Normal 2 31" xfId="452" xr:uid="{00000000-0005-0000-0000-000045120000}"/>
    <cellStyle name="Normal 2 32" xfId="453" xr:uid="{00000000-0005-0000-0000-000046120000}"/>
    <cellStyle name="Normal 2 33" xfId="454" xr:uid="{00000000-0005-0000-0000-000047120000}"/>
    <cellStyle name="Normal 2 34" xfId="455" xr:uid="{00000000-0005-0000-0000-000048120000}"/>
    <cellStyle name="Normal 2 35" xfId="456" xr:uid="{00000000-0005-0000-0000-000049120000}"/>
    <cellStyle name="Normal 2 36" xfId="457" xr:uid="{00000000-0005-0000-0000-00004A120000}"/>
    <cellStyle name="Normal 2 37" xfId="458" xr:uid="{00000000-0005-0000-0000-00004B120000}"/>
    <cellStyle name="Normal 2 38" xfId="459" xr:uid="{00000000-0005-0000-0000-00004C120000}"/>
    <cellStyle name="Normal 2 39" xfId="460" xr:uid="{00000000-0005-0000-0000-00004D120000}"/>
    <cellStyle name="Normal 2 4" xfId="461" xr:uid="{00000000-0005-0000-0000-00004E120000}"/>
    <cellStyle name="Normal 2 40" xfId="462" xr:uid="{00000000-0005-0000-0000-00004F120000}"/>
    <cellStyle name="Normal 2 41" xfId="463" xr:uid="{00000000-0005-0000-0000-000050120000}"/>
    <cellStyle name="Normal 2 42" xfId="464" xr:uid="{00000000-0005-0000-0000-000051120000}"/>
    <cellStyle name="Normal 2 43" xfId="465" xr:uid="{00000000-0005-0000-0000-000052120000}"/>
    <cellStyle name="Normal 2 44" xfId="466" xr:uid="{00000000-0005-0000-0000-000053120000}"/>
    <cellStyle name="Normal 2 45" xfId="467" xr:uid="{00000000-0005-0000-0000-000054120000}"/>
    <cellStyle name="Normal 2 46" xfId="468" xr:uid="{00000000-0005-0000-0000-000055120000}"/>
    <cellStyle name="Normal 2 47" xfId="469" xr:uid="{00000000-0005-0000-0000-000056120000}"/>
    <cellStyle name="Normal 2 48" xfId="470" xr:uid="{00000000-0005-0000-0000-000057120000}"/>
    <cellStyle name="Normal 2 49" xfId="471" xr:uid="{00000000-0005-0000-0000-000058120000}"/>
    <cellStyle name="Normal 2 5" xfId="472" xr:uid="{00000000-0005-0000-0000-000059120000}"/>
    <cellStyle name="Normal 2 50" xfId="473" xr:uid="{00000000-0005-0000-0000-00005A120000}"/>
    <cellStyle name="Normal 2 51" xfId="474" xr:uid="{00000000-0005-0000-0000-00005B120000}"/>
    <cellStyle name="Normal 2 52" xfId="475" xr:uid="{00000000-0005-0000-0000-00005C120000}"/>
    <cellStyle name="Normal 2 53" xfId="476" xr:uid="{00000000-0005-0000-0000-00005D120000}"/>
    <cellStyle name="Normal 2 54" xfId="477" xr:uid="{00000000-0005-0000-0000-00005E120000}"/>
    <cellStyle name="Normal 2 55" xfId="478" xr:uid="{00000000-0005-0000-0000-00005F120000}"/>
    <cellStyle name="Normal 2 56" xfId="479" xr:uid="{00000000-0005-0000-0000-000060120000}"/>
    <cellStyle name="Normal 2 57" xfId="480" xr:uid="{00000000-0005-0000-0000-000061120000}"/>
    <cellStyle name="Normal 2 58" xfId="481" xr:uid="{00000000-0005-0000-0000-000062120000}"/>
    <cellStyle name="Normal 2 59" xfId="482" xr:uid="{00000000-0005-0000-0000-000063120000}"/>
    <cellStyle name="Normal 2 6" xfId="483" xr:uid="{00000000-0005-0000-0000-000064120000}"/>
    <cellStyle name="Normal 2 60" xfId="484" xr:uid="{00000000-0005-0000-0000-000065120000}"/>
    <cellStyle name="Normal 2 61" xfId="485" xr:uid="{00000000-0005-0000-0000-000066120000}"/>
    <cellStyle name="Normal 2 62" xfId="486" xr:uid="{00000000-0005-0000-0000-000067120000}"/>
    <cellStyle name="Normal 2 63" xfId="487" xr:uid="{00000000-0005-0000-0000-000068120000}"/>
    <cellStyle name="Normal 2 64" xfId="488" xr:uid="{00000000-0005-0000-0000-000069120000}"/>
    <cellStyle name="Normal 2 65" xfId="489" xr:uid="{00000000-0005-0000-0000-00006A120000}"/>
    <cellStyle name="Normal 2 66" xfId="490" xr:uid="{00000000-0005-0000-0000-00006B120000}"/>
    <cellStyle name="Normal 2 67" xfId="491" xr:uid="{00000000-0005-0000-0000-00006C120000}"/>
    <cellStyle name="Normal 2 68" xfId="492" xr:uid="{00000000-0005-0000-0000-00006D120000}"/>
    <cellStyle name="Normal 2 69" xfId="493" xr:uid="{00000000-0005-0000-0000-00006E120000}"/>
    <cellStyle name="Normal 2 7" xfId="494" xr:uid="{00000000-0005-0000-0000-00006F120000}"/>
    <cellStyle name="Normal 2 70" xfId="495" xr:uid="{00000000-0005-0000-0000-000070120000}"/>
    <cellStyle name="Normal 2 71" xfId="496" xr:uid="{00000000-0005-0000-0000-000071120000}"/>
    <cellStyle name="Normal 2 72" xfId="497" xr:uid="{00000000-0005-0000-0000-000072120000}"/>
    <cellStyle name="Normal 2 73" xfId="498" xr:uid="{00000000-0005-0000-0000-000073120000}"/>
    <cellStyle name="Normal 2 74" xfId="499" xr:uid="{00000000-0005-0000-0000-000074120000}"/>
    <cellStyle name="Normal 2 75" xfId="500" xr:uid="{00000000-0005-0000-0000-000075120000}"/>
    <cellStyle name="Normal 2 76" xfId="501" xr:uid="{00000000-0005-0000-0000-000076120000}"/>
    <cellStyle name="Normal 2 77" xfId="502" xr:uid="{00000000-0005-0000-0000-000077120000}"/>
    <cellStyle name="Normal 2 78" xfId="503" xr:uid="{00000000-0005-0000-0000-000078120000}"/>
    <cellStyle name="Normal 2 79" xfId="504" xr:uid="{00000000-0005-0000-0000-000079120000}"/>
    <cellStyle name="Normal 2 8" xfId="505" xr:uid="{00000000-0005-0000-0000-00007A120000}"/>
    <cellStyle name="Normal 2 80" xfId="506" xr:uid="{00000000-0005-0000-0000-00007B120000}"/>
    <cellStyle name="Normal 2 81" xfId="507" xr:uid="{00000000-0005-0000-0000-00007C120000}"/>
    <cellStyle name="Normal 2 82" xfId="508" xr:uid="{00000000-0005-0000-0000-00007D120000}"/>
    <cellStyle name="Normal 2 83" xfId="509" xr:uid="{00000000-0005-0000-0000-00007E120000}"/>
    <cellStyle name="Normal 2 84" xfId="510" xr:uid="{00000000-0005-0000-0000-00007F120000}"/>
    <cellStyle name="Normal 2 85" xfId="511" xr:uid="{00000000-0005-0000-0000-000080120000}"/>
    <cellStyle name="Normal 2 86" xfId="512" xr:uid="{00000000-0005-0000-0000-000081120000}"/>
    <cellStyle name="Normal 2 87" xfId="513" xr:uid="{00000000-0005-0000-0000-000082120000}"/>
    <cellStyle name="Normal 2 88" xfId="514" xr:uid="{00000000-0005-0000-0000-000083120000}"/>
    <cellStyle name="Normal 2 89" xfId="515" xr:uid="{00000000-0005-0000-0000-000084120000}"/>
    <cellStyle name="Normal 2 9" xfId="516" xr:uid="{00000000-0005-0000-0000-000085120000}"/>
    <cellStyle name="Normal 2 90" xfId="5095" xr:uid="{00000000-0005-0000-0000-000086120000}"/>
    <cellStyle name="Normal 2_BS S-Sch" xfId="517" xr:uid="{00000000-0005-0000-0000-000087120000}"/>
    <cellStyle name="Normal 20" xfId="518" xr:uid="{00000000-0005-0000-0000-000088120000}"/>
    <cellStyle name="Normal 21" xfId="817" xr:uid="{00000000-0005-0000-0000-000089120000}"/>
    <cellStyle name="Normal 22" xfId="818" xr:uid="{00000000-0005-0000-0000-00008A120000}"/>
    <cellStyle name="Normal 23" xfId="819" xr:uid="{00000000-0005-0000-0000-00008B120000}"/>
    <cellStyle name="Normal 24" xfId="821" xr:uid="{00000000-0005-0000-0000-00008C120000}"/>
    <cellStyle name="Normal 25" xfId="519" xr:uid="{00000000-0005-0000-0000-00008D120000}"/>
    <cellStyle name="Normal 26" xfId="520" xr:uid="{00000000-0005-0000-0000-00008E120000}"/>
    <cellStyle name="Normal 27" xfId="822" xr:uid="{00000000-0005-0000-0000-00008F120000}"/>
    <cellStyle name="Normal 28" xfId="724" xr:uid="{00000000-0005-0000-0000-000090120000}"/>
    <cellStyle name="Normal 29" xfId="829" xr:uid="{00000000-0005-0000-0000-000091120000}"/>
    <cellStyle name="Normal 3" xfId="3" xr:uid="{00000000-0005-0000-0000-000092120000}"/>
    <cellStyle name="Normal 3 10" xfId="521" xr:uid="{00000000-0005-0000-0000-000093120000}"/>
    <cellStyle name="Normal 3 11" xfId="522" xr:uid="{00000000-0005-0000-0000-000094120000}"/>
    <cellStyle name="Normal 3 12" xfId="523" xr:uid="{00000000-0005-0000-0000-000095120000}"/>
    <cellStyle name="Normal 3 13" xfId="524" xr:uid="{00000000-0005-0000-0000-000096120000}"/>
    <cellStyle name="Normal 3 14" xfId="525" xr:uid="{00000000-0005-0000-0000-000097120000}"/>
    <cellStyle name="Normal 3 15" xfId="526" xr:uid="{00000000-0005-0000-0000-000098120000}"/>
    <cellStyle name="Normal 3 16" xfId="527" xr:uid="{00000000-0005-0000-0000-000099120000}"/>
    <cellStyle name="Normal 3 17" xfId="528" xr:uid="{00000000-0005-0000-0000-00009A120000}"/>
    <cellStyle name="Normal 3 18" xfId="529" xr:uid="{00000000-0005-0000-0000-00009B120000}"/>
    <cellStyle name="Normal 3 19" xfId="530" xr:uid="{00000000-0005-0000-0000-00009C120000}"/>
    <cellStyle name="Normal 3 2" xfId="24" xr:uid="{00000000-0005-0000-0000-00009D120000}"/>
    <cellStyle name="Normal 3 2 2" xfId="34" xr:uid="{00000000-0005-0000-0000-00009E120000}"/>
    <cellStyle name="Normal 3 2 3" xfId="531" xr:uid="{00000000-0005-0000-0000-00009F120000}"/>
    <cellStyle name="Normal 3 20" xfId="532" xr:uid="{00000000-0005-0000-0000-0000A0120000}"/>
    <cellStyle name="Normal 3 21" xfId="533" xr:uid="{00000000-0005-0000-0000-0000A1120000}"/>
    <cellStyle name="Normal 3 22" xfId="534" xr:uid="{00000000-0005-0000-0000-0000A2120000}"/>
    <cellStyle name="Normal 3 23" xfId="535" xr:uid="{00000000-0005-0000-0000-0000A3120000}"/>
    <cellStyle name="Normal 3 24" xfId="536" xr:uid="{00000000-0005-0000-0000-0000A4120000}"/>
    <cellStyle name="Normal 3 25" xfId="537" xr:uid="{00000000-0005-0000-0000-0000A5120000}"/>
    <cellStyle name="Normal 3 26" xfId="538" xr:uid="{00000000-0005-0000-0000-0000A6120000}"/>
    <cellStyle name="Normal 3 27" xfId="539" xr:uid="{00000000-0005-0000-0000-0000A7120000}"/>
    <cellStyle name="Normal 3 28" xfId="540" xr:uid="{00000000-0005-0000-0000-0000A8120000}"/>
    <cellStyle name="Normal 3 29" xfId="541" xr:uid="{00000000-0005-0000-0000-0000A9120000}"/>
    <cellStyle name="Normal 3 3" xfId="33" xr:uid="{00000000-0005-0000-0000-0000AA120000}"/>
    <cellStyle name="Normal 3 3 2" xfId="542" xr:uid="{00000000-0005-0000-0000-0000AB120000}"/>
    <cellStyle name="Normal 3 30" xfId="543" xr:uid="{00000000-0005-0000-0000-0000AC120000}"/>
    <cellStyle name="Normal 3 31" xfId="544" xr:uid="{00000000-0005-0000-0000-0000AD120000}"/>
    <cellStyle name="Normal 3 32" xfId="545" xr:uid="{00000000-0005-0000-0000-0000AE120000}"/>
    <cellStyle name="Normal 3 33" xfId="546" xr:uid="{00000000-0005-0000-0000-0000AF120000}"/>
    <cellStyle name="Normal 3 34" xfId="547" xr:uid="{00000000-0005-0000-0000-0000B0120000}"/>
    <cellStyle name="Normal 3 35" xfId="548" xr:uid="{00000000-0005-0000-0000-0000B1120000}"/>
    <cellStyle name="Normal 3 36" xfId="549" xr:uid="{00000000-0005-0000-0000-0000B2120000}"/>
    <cellStyle name="Normal 3 37" xfId="550" xr:uid="{00000000-0005-0000-0000-0000B3120000}"/>
    <cellStyle name="Normal 3 38" xfId="551" xr:uid="{00000000-0005-0000-0000-0000B4120000}"/>
    <cellStyle name="Normal 3 39" xfId="552" xr:uid="{00000000-0005-0000-0000-0000B5120000}"/>
    <cellStyle name="Normal 3 4" xfId="553" xr:uid="{00000000-0005-0000-0000-0000B6120000}"/>
    <cellStyle name="Normal 3 40" xfId="554" xr:uid="{00000000-0005-0000-0000-0000B7120000}"/>
    <cellStyle name="Normal 3 41" xfId="555" xr:uid="{00000000-0005-0000-0000-0000B8120000}"/>
    <cellStyle name="Normal 3 42" xfId="556" xr:uid="{00000000-0005-0000-0000-0000B9120000}"/>
    <cellStyle name="Normal 3 43" xfId="557" xr:uid="{00000000-0005-0000-0000-0000BA120000}"/>
    <cellStyle name="Normal 3 44" xfId="558" xr:uid="{00000000-0005-0000-0000-0000BB120000}"/>
    <cellStyle name="Normal 3 45" xfId="559" xr:uid="{00000000-0005-0000-0000-0000BC120000}"/>
    <cellStyle name="Normal 3 46" xfId="560" xr:uid="{00000000-0005-0000-0000-0000BD120000}"/>
    <cellStyle name="Normal 3 47" xfId="561" xr:uid="{00000000-0005-0000-0000-0000BE120000}"/>
    <cellStyle name="Normal 3 48" xfId="562" xr:uid="{00000000-0005-0000-0000-0000BF120000}"/>
    <cellStyle name="Normal 3 49" xfId="563" xr:uid="{00000000-0005-0000-0000-0000C0120000}"/>
    <cellStyle name="Normal 3 5" xfId="564" xr:uid="{00000000-0005-0000-0000-0000C1120000}"/>
    <cellStyle name="Normal 3 50" xfId="565" xr:uid="{00000000-0005-0000-0000-0000C2120000}"/>
    <cellStyle name="Normal 3 51" xfId="566" xr:uid="{00000000-0005-0000-0000-0000C3120000}"/>
    <cellStyle name="Normal 3 52" xfId="567" xr:uid="{00000000-0005-0000-0000-0000C4120000}"/>
    <cellStyle name="Normal 3 53" xfId="568" xr:uid="{00000000-0005-0000-0000-0000C5120000}"/>
    <cellStyle name="Normal 3 54" xfId="5096" xr:uid="{00000000-0005-0000-0000-0000C6120000}"/>
    <cellStyle name="Normal 3 6" xfId="569" xr:uid="{00000000-0005-0000-0000-0000C7120000}"/>
    <cellStyle name="Normal 3 7" xfId="570" xr:uid="{00000000-0005-0000-0000-0000C8120000}"/>
    <cellStyle name="Normal 3 8" xfId="571" xr:uid="{00000000-0005-0000-0000-0000C9120000}"/>
    <cellStyle name="Normal 3 9" xfId="572" xr:uid="{00000000-0005-0000-0000-0000CA120000}"/>
    <cellStyle name="Normal 30" xfId="725" xr:uid="{00000000-0005-0000-0000-0000CB120000}"/>
    <cellStyle name="Normal 31" xfId="830" xr:uid="{00000000-0005-0000-0000-0000CC120000}"/>
    <cellStyle name="Normal 32" xfId="833" xr:uid="{00000000-0005-0000-0000-0000CD120000}"/>
    <cellStyle name="Normal 33" xfId="573" xr:uid="{00000000-0005-0000-0000-0000CE120000}"/>
    <cellStyle name="Normal 33 10" xfId="574" xr:uid="{00000000-0005-0000-0000-0000CF120000}"/>
    <cellStyle name="Normal 33 11" xfId="575" xr:uid="{00000000-0005-0000-0000-0000D0120000}"/>
    <cellStyle name="Normal 33 12" xfId="576" xr:uid="{00000000-0005-0000-0000-0000D1120000}"/>
    <cellStyle name="Normal 33 13" xfId="577" xr:uid="{00000000-0005-0000-0000-0000D2120000}"/>
    <cellStyle name="Normal 33 14" xfId="578" xr:uid="{00000000-0005-0000-0000-0000D3120000}"/>
    <cellStyle name="Normal 33 15" xfId="579" xr:uid="{00000000-0005-0000-0000-0000D4120000}"/>
    <cellStyle name="Normal 33 16" xfId="580" xr:uid="{00000000-0005-0000-0000-0000D5120000}"/>
    <cellStyle name="Normal 33 17" xfId="581" xr:uid="{00000000-0005-0000-0000-0000D6120000}"/>
    <cellStyle name="Normal 33 18" xfId="582" xr:uid="{00000000-0005-0000-0000-0000D7120000}"/>
    <cellStyle name="Normal 33 19" xfId="583" xr:uid="{00000000-0005-0000-0000-0000D8120000}"/>
    <cellStyle name="Normal 33 2" xfId="584" xr:uid="{00000000-0005-0000-0000-0000D9120000}"/>
    <cellStyle name="Normal 33 20" xfId="585" xr:uid="{00000000-0005-0000-0000-0000DA120000}"/>
    <cellStyle name="Normal 33 21" xfId="586" xr:uid="{00000000-0005-0000-0000-0000DB120000}"/>
    <cellStyle name="Normal 33 3" xfId="587" xr:uid="{00000000-0005-0000-0000-0000DC120000}"/>
    <cellStyle name="Normal 33 4" xfId="588" xr:uid="{00000000-0005-0000-0000-0000DD120000}"/>
    <cellStyle name="Normal 33 5" xfId="589" xr:uid="{00000000-0005-0000-0000-0000DE120000}"/>
    <cellStyle name="Normal 33 6" xfId="590" xr:uid="{00000000-0005-0000-0000-0000DF120000}"/>
    <cellStyle name="Normal 33 7" xfId="591" xr:uid="{00000000-0005-0000-0000-0000E0120000}"/>
    <cellStyle name="Normal 33 8" xfId="592" xr:uid="{00000000-0005-0000-0000-0000E1120000}"/>
    <cellStyle name="Normal 33 9" xfId="593" xr:uid="{00000000-0005-0000-0000-0000E2120000}"/>
    <cellStyle name="Normal 33_BS S-Sch" xfId="594" xr:uid="{00000000-0005-0000-0000-0000E3120000}"/>
    <cellStyle name="Normal 34" xfId="595" xr:uid="{00000000-0005-0000-0000-0000E4120000}"/>
    <cellStyle name="Normal 35" xfId="834" xr:uid="{00000000-0005-0000-0000-0000E5120000}"/>
    <cellStyle name="Normal 36" xfId="596" xr:uid="{00000000-0005-0000-0000-0000E6120000}"/>
    <cellStyle name="Normal 37" xfId="832" xr:uid="{00000000-0005-0000-0000-0000E7120000}"/>
    <cellStyle name="Normal 38" xfId="836" xr:uid="{00000000-0005-0000-0000-0000E8120000}"/>
    <cellStyle name="Normal 39" xfId="597" xr:uid="{00000000-0005-0000-0000-0000E9120000}"/>
    <cellStyle name="Normal 4" xfId="29" xr:uid="{00000000-0005-0000-0000-0000EA120000}"/>
    <cellStyle name="Normal 4 10" xfId="599" xr:uid="{00000000-0005-0000-0000-0000EB120000}"/>
    <cellStyle name="Normal 4 11" xfId="600" xr:uid="{00000000-0005-0000-0000-0000EC120000}"/>
    <cellStyle name="Normal 4 12" xfId="601" xr:uid="{00000000-0005-0000-0000-0000ED120000}"/>
    <cellStyle name="Normal 4 13" xfId="602" xr:uid="{00000000-0005-0000-0000-0000EE120000}"/>
    <cellStyle name="Normal 4 14" xfId="603" xr:uid="{00000000-0005-0000-0000-0000EF120000}"/>
    <cellStyle name="Normal 4 15" xfId="604" xr:uid="{00000000-0005-0000-0000-0000F0120000}"/>
    <cellStyle name="Normal 4 16" xfId="605" xr:uid="{00000000-0005-0000-0000-0000F1120000}"/>
    <cellStyle name="Normal 4 2" xfId="606" xr:uid="{00000000-0005-0000-0000-0000F2120000}"/>
    <cellStyle name="Normal 4 3" xfId="607" xr:uid="{00000000-0005-0000-0000-0000F3120000}"/>
    <cellStyle name="Normal 4 4" xfId="608" xr:uid="{00000000-0005-0000-0000-0000F4120000}"/>
    <cellStyle name="Normal 4 5" xfId="609" xr:uid="{00000000-0005-0000-0000-0000F5120000}"/>
    <cellStyle name="Normal 4 6" xfId="610" xr:uid="{00000000-0005-0000-0000-0000F6120000}"/>
    <cellStyle name="Normal 4 7" xfId="611" xr:uid="{00000000-0005-0000-0000-0000F7120000}"/>
    <cellStyle name="Normal 4 8" xfId="612" xr:uid="{00000000-0005-0000-0000-0000F8120000}"/>
    <cellStyle name="Normal 4 9" xfId="613" xr:uid="{00000000-0005-0000-0000-0000F9120000}"/>
    <cellStyle name="Normal 4_BS S-Sch" xfId="614" xr:uid="{00000000-0005-0000-0000-0000FA120000}"/>
    <cellStyle name="Normal 40" xfId="615" xr:uid="{00000000-0005-0000-0000-0000FB120000}"/>
    <cellStyle name="Normal 41" xfId="837" xr:uid="{00000000-0005-0000-0000-0000FC120000}"/>
    <cellStyle name="Normal 42" xfId="838" xr:uid="{00000000-0005-0000-0000-0000FD120000}"/>
    <cellStyle name="Normal 43" xfId="831" xr:uid="{00000000-0005-0000-0000-0000FE120000}"/>
    <cellStyle name="Normal 44" xfId="616" xr:uid="{00000000-0005-0000-0000-0000FF120000}"/>
    <cellStyle name="Normal 45" xfId="839" xr:uid="{00000000-0005-0000-0000-000000130000}"/>
    <cellStyle name="Normal 46" xfId="732" xr:uid="{00000000-0005-0000-0000-000001130000}"/>
    <cellStyle name="Normal 47" xfId="842" xr:uid="{00000000-0005-0000-0000-000002130000}"/>
    <cellStyle name="Normal 48" xfId="844" xr:uid="{00000000-0005-0000-0000-000003130000}"/>
    <cellStyle name="Normal 49" xfId="849" xr:uid="{00000000-0005-0000-0000-000004130000}"/>
    <cellStyle name="Normal 5" xfId="30" xr:uid="{00000000-0005-0000-0000-000005130000}"/>
    <cellStyle name="Normal 5 10" xfId="618" xr:uid="{00000000-0005-0000-0000-000006130000}"/>
    <cellStyle name="Normal 5 11" xfId="619" xr:uid="{00000000-0005-0000-0000-000007130000}"/>
    <cellStyle name="Normal 5 12" xfId="620" xr:uid="{00000000-0005-0000-0000-000008130000}"/>
    <cellStyle name="Normal 5 13" xfId="621" xr:uid="{00000000-0005-0000-0000-000009130000}"/>
    <cellStyle name="Normal 5 14" xfId="622" xr:uid="{00000000-0005-0000-0000-00000A130000}"/>
    <cellStyle name="Normal 5 15" xfId="617" xr:uid="{00000000-0005-0000-0000-00000B130000}"/>
    <cellStyle name="Normal 5 2" xfId="623" xr:uid="{00000000-0005-0000-0000-00000C130000}"/>
    <cellStyle name="Normal 5 3" xfId="624" xr:uid="{00000000-0005-0000-0000-00000D130000}"/>
    <cellStyle name="Normal 5 4" xfId="625" xr:uid="{00000000-0005-0000-0000-00000E130000}"/>
    <cellStyle name="Normal 5 5" xfId="626" xr:uid="{00000000-0005-0000-0000-00000F130000}"/>
    <cellStyle name="Normal 5 6" xfId="627" xr:uid="{00000000-0005-0000-0000-000010130000}"/>
    <cellStyle name="Normal 5 7" xfId="628" xr:uid="{00000000-0005-0000-0000-000011130000}"/>
    <cellStyle name="Normal 5 8" xfId="629" xr:uid="{00000000-0005-0000-0000-000012130000}"/>
    <cellStyle name="Normal 5 9" xfId="630" xr:uid="{00000000-0005-0000-0000-000013130000}"/>
    <cellStyle name="Normal 50" xfId="850" xr:uid="{00000000-0005-0000-0000-000014130000}"/>
    <cellStyle name="Normal 51" xfId="848" xr:uid="{00000000-0005-0000-0000-000015130000}"/>
    <cellStyle name="Normal 57" xfId="631" xr:uid="{00000000-0005-0000-0000-000016130000}"/>
    <cellStyle name="Normal 6" xfId="632" xr:uid="{00000000-0005-0000-0000-000017130000}"/>
    <cellStyle name="Normal 6 2" xfId="633" xr:uid="{00000000-0005-0000-0000-000018130000}"/>
    <cellStyle name="Normal 6 3" xfId="634" xr:uid="{00000000-0005-0000-0000-000019130000}"/>
    <cellStyle name="Normal 61" xfId="2829" xr:uid="{00000000-0005-0000-0000-00001A130000}"/>
    <cellStyle name="Normal 7" xfId="635" xr:uid="{00000000-0005-0000-0000-00001B130000}"/>
    <cellStyle name="Normal 7 2" xfId="636" xr:uid="{00000000-0005-0000-0000-00001C130000}"/>
    <cellStyle name="Normal 7 3" xfId="637" xr:uid="{00000000-0005-0000-0000-00001D130000}"/>
    <cellStyle name="Normal 7_BS S-Sch" xfId="638" xr:uid="{00000000-0005-0000-0000-00001E130000}"/>
    <cellStyle name="Normal 8" xfId="639" xr:uid="{00000000-0005-0000-0000-00001F130000}"/>
    <cellStyle name="Normal 8 2" xfId="640" xr:uid="{00000000-0005-0000-0000-000020130000}"/>
    <cellStyle name="Normal 8_BS S-Sch" xfId="641" xr:uid="{00000000-0005-0000-0000-000021130000}"/>
    <cellStyle name="Normal 9" xfId="642" xr:uid="{00000000-0005-0000-0000-000022130000}"/>
    <cellStyle name="Normal 9 10" xfId="643" xr:uid="{00000000-0005-0000-0000-000023130000}"/>
    <cellStyle name="Normal 9 11" xfId="644" xr:uid="{00000000-0005-0000-0000-000024130000}"/>
    <cellStyle name="Normal 9 12" xfId="645" xr:uid="{00000000-0005-0000-0000-000025130000}"/>
    <cellStyle name="Normal 9 13" xfId="646" xr:uid="{00000000-0005-0000-0000-000026130000}"/>
    <cellStyle name="Normal 9 14" xfId="647" xr:uid="{00000000-0005-0000-0000-000027130000}"/>
    <cellStyle name="Normal 9 15" xfId="648" xr:uid="{00000000-0005-0000-0000-000028130000}"/>
    <cellStyle name="Normal 9 2" xfId="649" xr:uid="{00000000-0005-0000-0000-000029130000}"/>
    <cellStyle name="Normal 9 3" xfId="650" xr:uid="{00000000-0005-0000-0000-00002A130000}"/>
    <cellStyle name="Normal 9 4" xfId="651" xr:uid="{00000000-0005-0000-0000-00002B130000}"/>
    <cellStyle name="Normal 9 5" xfId="652" xr:uid="{00000000-0005-0000-0000-00002C130000}"/>
    <cellStyle name="Normal 9 6" xfId="653" xr:uid="{00000000-0005-0000-0000-00002D130000}"/>
    <cellStyle name="Normal 9 7" xfId="654" xr:uid="{00000000-0005-0000-0000-00002E130000}"/>
    <cellStyle name="Normal 9 8" xfId="655" xr:uid="{00000000-0005-0000-0000-00002F130000}"/>
    <cellStyle name="Normal 9 9" xfId="656" xr:uid="{00000000-0005-0000-0000-000030130000}"/>
    <cellStyle name="Normal 98" xfId="5098" xr:uid="{00000000-0005-0000-0000-000031130000}"/>
    <cellStyle name="Note 2" xfId="657" xr:uid="{00000000-0005-0000-0000-000032130000}"/>
    <cellStyle name="Output Amounts" xfId="658" xr:uid="{00000000-0005-0000-0000-000033130000}"/>
    <cellStyle name="Output Column Headings" xfId="659" xr:uid="{00000000-0005-0000-0000-000034130000}"/>
    <cellStyle name="Output Line Items" xfId="660" xr:uid="{00000000-0005-0000-0000-000035130000}"/>
    <cellStyle name="Output Report Heading" xfId="661" xr:uid="{00000000-0005-0000-0000-000036130000}"/>
    <cellStyle name="Output Report Title" xfId="662" xr:uid="{00000000-0005-0000-0000-000037130000}"/>
    <cellStyle name="Percent" xfId="5099" builtinId="5"/>
    <cellStyle name="Percent [0]" xfId="663" xr:uid="{00000000-0005-0000-0000-000039130000}"/>
    <cellStyle name="Percent [00]" xfId="664" xr:uid="{00000000-0005-0000-0000-00003A130000}"/>
    <cellStyle name="Percent [2]" xfId="665" xr:uid="{00000000-0005-0000-0000-00003B130000}"/>
    <cellStyle name="Percent [2] 2" xfId="666" xr:uid="{00000000-0005-0000-0000-00003C130000}"/>
    <cellStyle name="Percent 2" xfId="667" xr:uid="{00000000-0005-0000-0000-00003D130000}"/>
    <cellStyle name="Percent 2 10" xfId="668" xr:uid="{00000000-0005-0000-0000-00003E130000}"/>
    <cellStyle name="Percent 2 11" xfId="669" xr:uid="{00000000-0005-0000-0000-00003F130000}"/>
    <cellStyle name="Percent 2 12" xfId="670" xr:uid="{00000000-0005-0000-0000-000040130000}"/>
    <cellStyle name="Percent 2 13" xfId="671" xr:uid="{00000000-0005-0000-0000-000041130000}"/>
    <cellStyle name="Percent 2 14" xfId="672" xr:uid="{00000000-0005-0000-0000-000042130000}"/>
    <cellStyle name="Percent 2 15" xfId="673" xr:uid="{00000000-0005-0000-0000-000043130000}"/>
    <cellStyle name="Percent 2 16" xfId="674" xr:uid="{00000000-0005-0000-0000-000044130000}"/>
    <cellStyle name="Percent 2 17" xfId="675" xr:uid="{00000000-0005-0000-0000-000045130000}"/>
    <cellStyle name="Percent 2 18" xfId="676" xr:uid="{00000000-0005-0000-0000-000046130000}"/>
    <cellStyle name="Percent 2 19" xfId="677" xr:uid="{00000000-0005-0000-0000-000047130000}"/>
    <cellStyle name="Percent 2 2" xfId="678" xr:uid="{00000000-0005-0000-0000-000048130000}"/>
    <cellStyle name="Percent 2 20" xfId="679" xr:uid="{00000000-0005-0000-0000-000049130000}"/>
    <cellStyle name="Percent 2 21" xfId="680" xr:uid="{00000000-0005-0000-0000-00004A130000}"/>
    <cellStyle name="Percent 2 22" xfId="681" xr:uid="{00000000-0005-0000-0000-00004B130000}"/>
    <cellStyle name="Percent 2 23" xfId="682" xr:uid="{00000000-0005-0000-0000-00004C130000}"/>
    <cellStyle name="Percent 2 24" xfId="683" xr:uid="{00000000-0005-0000-0000-00004D130000}"/>
    <cellStyle name="Percent 2 25" xfId="684" xr:uid="{00000000-0005-0000-0000-00004E130000}"/>
    <cellStyle name="Percent 2 26" xfId="685" xr:uid="{00000000-0005-0000-0000-00004F130000}"/>
    <cellStyle name="Percent 2 3" xfId="686" xr:uid="{00000000-0005-0000-0000-000050130000}"/>
    <cellStyle name="Percent 2 4" xfId="687" xr:uid="{00000000-0005-0000-0000-000051130000}"/>
    <cellStyle name="Percent 2 5" xfId="688" xr:uid="{00000000-0005-0000-0000-000052130000}"/>
    <cellStyle name="Percent 2 6" xfId="689" xr:uid="{00000000-0005-0000-0000-000053130000}"/>
    <cellStyle name="Percent 2 7" xfId="690" xr:uid="{00000000-0005-0000-0000-000054130000}"/>
    <cellStyle name="Percent 2 8" xfId="691" xr:uid="{00000000-0005-0000-0000-000055130000}"/>
    <cellStyle name="Percent 2 9" xfId="692" xr:uid="{00000000-0005-0000-0000-000056130000}"/>
    <cellStyle name="Percent 3" xfId="5100" xr:uid="{00000000-0005-0000-0000-000057130000}"/>
    <cellStyle name="Percent 32" xfId="28" xr:uid="{00000000-0005-0000-0000-000058130000}"/>
    <cellStyle name="Percent 7" xfId="693" xr:uid="{00000000-0005-0000-0000-000059130000}"/>
    <cellStyle name="PrePop Currency (0)" xfId="694" xr:uid="{00000000-0005-0000-0000-00005A130000}"/>
    <cellStyle name="PrePop Currency (2)" xfId="695" xr:uid="{00000000-0005-0000-0000-00005B130000}"/>
    <cellStyle name="PrePop Units (0)" xfId="696" xr:uid="{00000000-0005-0000-0000-00005C130000}"/>
    <cellStyle name="PrePop Units (1)" xfId="697" xr:uid="{00000000-0005-0000-0000-00005D130000}"/>
    <cellStyle name="PrePop Units (2)" xfId="698" xr:uid="{00000000-0005-0000-0000-00005E130000}"/>
    <cellStyle name="RevList" xfId="699" xr:uid="{00000000-0005-0000-0000-00005F130000}"/>
    <cellStyle name="SAPBEXaggItem" xfId="700" xr:uid="{00000000-0005-0000-0000-000060130000}"/>
    <cellStyle name="SAPBEXaggItem 2" xfId="721" xr:uid="{00000000-0005-0000-0000-000061130000}"/>
    <cellStyle name="SAPBEXaggItem 2 2" xfId="1036" xr:uid="{00000000-0005-0000-0000-000062130000}"/>
    <cellStyle name="SAPBEXaggItem 2 2 2" xfId="1824" xr:uid="{00000000-0005-0000-0000-000063130000}"/>
    <cellStyle name="SAPBEXaggItem 2 2 2 2" xfId="4068" xr:uid="{00000000-0005-0000-0000-000064130000}"/>
    <cellStyle name="SAPBEXaggItem 2 2 3" xfId="2548" xr:uid="{00000000-0005-0000-0000-000065130000}"/>
    <cellStyle name="SAPBEXaggItem 2 2 3 2" xfId="4792" xr:uid="{00000000-0005-0000-0000-000066130000}"/>
    <cellStyle name="SAPBEXaggItem 2 2 4" xfId="3282" xr:uid="{00000000-0005-0000-0000-000067130000}"/>
    <cellStyle name="SAPBEXaggItem 2 3" xfId="1289" xr:uid="{00000000-0005-0000-0000-000068130000}"/>
    <cellStyle name="SAPBEXaggItem 2 3 2" xfId="2076" xr:uid="{00000000-0005-0000-0000-000069130000}"/>
    <cellStyle name="SAPBEXaggItem 2 3 2 2" xfId="4320" xr:uid="{00000000-0005-0000-0000-00006A130000}"/>
    <cellStyle name="SAPBEXaggItem 2 3 3" xfId="2799" xr:uid="{00000000-0005-0000-0000-00006B130000}"/>
    <cellStyle name="SAPBEXaggItem 2 3 3 2" xfId="5043" xr:uid="{00000000-0005-0000-0000-00006C130000}"/>
    <cellStyle name="SAPBEXaggItem 2 3 4" xfId="3534" xr:uid="{00000000-0005-0000-0000-00006D130000}"/>
    <cellStyle name="SAPBEXaggItem 2 4" xfId="1556" xr:uid="{00000000-0005-0000-0000-00006E130000}"/>
    <cellStyle name="SAPBEXaggItem 2 4 2" xfId="3800" xr:uid="{00000000-0005-0000-0000-00006F130000}"/>
    <cellStyle name="SAPBEXaggItem 2 5" xfId="3014" xr:uid="{00000000-0005-0000-0000-000070130000}"/>
    <cellStyle name="SAPBEXaggItem 3" xfId="1028" xr:uid="{00000000-0005-0000-0000-000071130000}"/>
    <cellStyle name="SAPBEXaggItem 3 2" xfId="1816" xr:uid="{00000000-0005-0000-0000-000072130000}"/>
    <cellStyle name="SAPBEXaggItem 3 2 2" xfId="4060" xr:uid="{00000000-0005-0000-0000-000073130000}"/>
    <cellStyle name="SAPBEXaggItem 3 3" xfId="2540" xr:uid="{00000000-0005-0000-0000-000074130000}"/>
    <cellStyle name="SAPBEXaggItem 3 3 2" xfId="4784" xr:uid="{00000000-0005-0000-0000-000075130000}"/>
    <cellStyle name="SAPBEXaggItem 3 4" xfId="3274" xr:uid="{00000000-0005-0000-0000-000076130000}"/>
    <cellStyle name="SAPBEXaggItem 4" xfId="1282" xr:uid="{00000000-0005-0000-0000-000077130000}"/>
    <cellStyle name="SAPBEXaggItem 4 2" xfId="2069" xr:uid="{00000000-0005-0000-0000-000078130000}"/>
    <cellStyle name="SAPBEXaggItem 4 2 2" xfId="4313" xr:uid="{00000000-0005-0000-0000-000079130000}"/>
    <cellStyle name="SAPBEXaggItem 4 3" xfId="2792" xr:uid="{00000000-0005-0000-0000-00007A130000}"/>
    <cellStyle name="SAPBEXaggItem 4 3 2" xfId="5036" xr:uid="{00000000-0005-0000-0000-00007B130000}"/>
    <cellStyle name="SAPBEXaggItem 4 4" xfId="3527" xr:uid="{00000000-0005-0000-0000-00007C130000}"/>
    <cellStyle name="SAPBEXaggItem 5" xfId="1549" xr:uid="{00000000-0005-0000-0000-00007D130000}"/>
    <cellStyle name="SAPBEXaggItem 5 2" xfId="3793" xr:uid="{00000000-0005-0000-0000-00007E130000}"/>
    <cellStyle name="SAPBEXaggItem 6" xfId="3007" xr:uid="{00000000-0005-0000-0000-00007F130000}"/>
    <cellStyle name="SAPBEXchaText" xfId="701" xr:uid="{00000000-0005-0000-0000-000080130000}"/>
    <cellStyle name="SAPBEXstdData" xfId="702" xr:uid="{00000000-0005-0000-0000-000081130000}"/>
    <cellStyle name="SAPBEXstdData 2" xfId="720" xr:uid="{00000000-0005-0000-0000-000082130000}"/>
    <cellStyle name="SAPBEXstdData 2 2" xfId="1035" xr:uid="{00000000-0005-0000-0000-000083130000}"/>
    <cellStyle name="SAPBEXstdData 2 2 2" xfId="1823" xr:uid="{00000000-0005-0000-0000-000084130000}"/>
    <cellStyle name="SAPBEXstdData 2 2 2 2" xfId="4067" xr:uid="{00000000-0005-0000-0000-000085130000}"/>
    <cellStyle name="SAPBEXstdData 2 2 3" xfId="2547" xr:uid="{00000000-0005-0000-0000-000086130000}"/>
    <cellStyle name="SAPBEXstdData 2 2 3 2" xfId="4791" xr:uid="{00000000-0005-0000-0000-000087130000}"/>
    <cellStyle name="SAPBEXstdData 2 2 4" xfId="3281" xr:uid="{00000000-0005-0000-0000-000088130000}"/>
    <cellStyle name="SAPBEXstdData 2 3" xfId="1288" xr:uid="{00000000-0005-0000-0000-000089130000}"/>
    <cellStyle name="SAPBEXstdData 2 3 2" xfId="2075" xr:uid="{00000000-0005-0000-0000-00008A130000}"/>
    <cellStyle name="SAPBEXstdData 2 3 2 2" xfId="4319" xr:uid="{00000000-0005-0000-0000-00008B130000}"/>
    <cellStyle name="SAPBEXstdData 2 3 3" xfId="2798" xr:uid="{00000000-0005-0000-0000-00008C130000}"/>
    <cellStyle name="SAPBEXstdData 2 3 3 2" xfId="5042" xr:uid="{00000000-0005-0000-0000-00008D130000}"/>
    <cellStyle name="SAPBEXstdData 2 3 4" xfId="3533" xr:uid="{00000000-0005-0000-0000-00008E130000}"/>
    <cellStyle name="SAPBEXstdData 2 4" xfId="1555" xr:uid="{00000000-0005-0000-0000-00008F130000}"/>
    <cellStyle name="SAPBEXstdData 2 4 2" xfId="3799" xr:uid="{00000000-0005-0000-0000-000090130000}"/>
    <cellStyle name="SAPBEXstdData 2 5" xfId="3013" xr:uid="{00000000-0005-0000-0000-000091130000}"/>
    <cellStyle name="SAPBEXstdData 3" xfId="1029" xr:uid="{00000000-0005-0000-0000-000092130000}"/>
    <cellStyle name="SAPBEXstdData 3 2" xfId="1817" xr:uid="{00000000-0005-0000-0000-000093130000}"/>
    <cellStyle name="SAPBEXstdData 3 2 2" xfId="4061" xr:uid="{00000000-0005-0000-0000-000094130000}"/>
    <cellStyle name="SAPBEXstdData 3 3" xfId="2541" xr:uid="{00000000-0005-0000-0000-000095130000}"/>
    <cellStyle name="SAPBEXstdData 3 3 2" xfId="4785" xr:uid="{00000000-0005-0000-0000-000096130000}"/>
    <cellStyle name="SAPBEXstdData 3 4" xfId="3275" xr:uid="{00000000-0005-0000-0000-000097130000}"/>
    <cellStyle name="SAPBEXstdData 4" xfId="1283" xr:uid="{00000000-0005-0000-0000-000098130000}"/>
    <cellStyle name="SAPBEXstdData 4 2" xfId="2070" xr:uid="{00000000-0005-0000-0000-000099130000}"/>
    <cellStyle name="SAPBEXstdData 4 2 2" xfId="4314" xr:uid="{00000000-0005-0000-0000-00009A130000}"/>
    <cellStyle name="SAPBEXstdData 4 3" xfId="2793" xr:uid="{00000000-0005-0000-0000-00009B130000}"/>
    <cellStyle name="SAPBEXstdData 4 3 2" xfId="5037" xr:uid="{00000000-0005-0000-0000-00009C130000}"/>
    <cellStyle name="SAPBEXstdData 4 4" xfId="3528" xr:uid="{00000000-0005-0000-0000-00009D130000}"/>
    <cellStyle name="SAPBEXstdData 5" xfId="1550" xr:uid="{00000000-0005-0000-0000-00009E130000}"/>
    <cellStyle name="SAPBEXstdData 5 2" xfId="3794" xr:uid="{00000000-0005-0000-0000-00009F130000}"/>
    <cellStyle name="SAPBEXstdData 6" xfId="3008" xr:uid="{00000000-0005-0000-0000-0000A0130000}"/>
    <cellStyle name="SAPBEXstdItem" xfId="703" xr:uid="{00000000-0005-0000-0000-0000A1130000}"/>
    <cellStyle name="SAPBEXstdItem 2" xfId="719" xr:uid="{00000000-0005-0000-0000-0000A2130000}"/>
    <cellStyle name="SAPBEXstdItem 2 2" xfId="1034" xr:uid="{00000000-0005-0000-0000-0000A3130000}"/>
    <cellStyle name="SAPBEXstdItem 2 2 2" xfId="1822" xr:uid="{00000000-0005-0000-0000-0000A4130000}"/>
    <cellStyle name="SAPBEXstdItem 2 2 2 2" xfId="4066" xr:uid="{00000000-0005-0000-0000-0000A5130000}"/>
    <cellStyle name="SAPBEXstdItem 2 2 3" xfId="2546" xr:uid="{00000000-0005-0000-0000-0000A6130000}"/>
    <cellStyle name="SAPBEXstdItem 2 2 3 2" xfId="4790" xr:uid="{00000000-0005-0000-0000-0000A7130000}"/>
    <cellStyle name="SAPBEXstdItem 2 2 4" xfId="3280" xr:uid="{00000000-0005-0000-0000-0000A8130000}"/>
    <cellStyle name="SAPBEXstdItem 2 3" xfId="1287" xr:uid="{00000000-0005-0000-0000-0000A9130000}"/>
    <cellStyle name="SAPBEXstdItem 2 3 2" xfId="2074" xr:uid="{00000000-0005-0000-0000-0000AA130000}"/>
    <cellStyle name="SAPBEXstdItem 2 3 2 2" xfId="4318" xr:uid="{00000000-0005-0000-0000-0000AB130000}"/>
    <cellStyle name="SAPBEXstdItem 2 3 3" xfId="2797" xr:uid="{00000000-0005-0000-0000-0000AC130000}"/>
    <cellStyle name="SAPBEXstdItem 2 3 3 2" xfId="5041" xr:uid="{00000000-0005-0000-0000-0000AD130000}"/>
    <cellStyle name="SAPBEXstdItem 2 3 4" xfId="3532" xr:uid="{00000000-0005-0000-0000-0000AE130000}"/>
    <cellStyle name="SAPBEXstdItem 2 4" xfId="1554" xr:uid="{00000000-0005-0000-0000-0000AF130000}"/>
    <cellStyle name="SAPBEXstdItem 2 4 2" xfId="3798" xr:uid="{00000000-0005-0000-0000-0000B0130000}"/>
    <cellStyle name="SAPBEXstdItem 2 5" xfId="3012" xr:uid="{00000000-0005-0000-0000-0000B1130000}"/>
    <cellStyle name="SAPBEXstdItem 3" xfId="1030" xr:uid="{00000000-0005-0000-0000-0000B2130000}"/>
    <cellStyle name="SAPBEXstdItem 3 2" xfId="1818" xr:uid="{00000000-0005-0000-0000-0000B3130000}"/>
    <cellStyle name="SAPBEXstdItem 3 2 2" xfId="4062" xr:uid="{00000000-0005-0000-0000-0000B4130000}"/>
    <cellStyle name="SAPBEXstdItem 3 3" xfId="2542" xr:uid="{00000000-0005-0000-0000-0000B5130000}"/>
    <cellStyle name="SAPBEXstdItem 3 3 2" xfId="4786" xr:uid="{00000000-0005-0000-0000-0000B6130000}"/>
    <cellStyle name="SAPBEXstdItem 3 4" xfId="3276" xr:uid="{00000000-0005-0000-0000-0000B7130000}"/>
    <cellStyle name="SAPBEXstdItem 4" xfId="1284" xr:uid="{00000000-0005-0000-0000-0000B8130000}"/>
    <cellStyle name="SAPBEXstdItem 4 2" xfId="2071" xr:uid="{00000000-0005-0000-0000-0000B9130000}"/>
    <cellStyle name="SAPBEXstdItem 4 2 2" xfId="4315" xr:uid="{00000000-0005-0000-0000-0000BA130000}"/>
    <cellStyle name="SAPBEXstdItem 4 3" xfId="2794" xr:uid="{00000000-0005-0000-0000-0000BB130000}"/>
    <cellStyle name="SAPBEXstdItem 4 3 2" xfId="5038" xr:uid="{00000000-0005-0000-0000-0000BC130000}"/>
    <cellStyle name="SAPBEXstdItem 4 4" xfId="3529" xr:uid="{00000000-0005-0000-0000-0000BD130000}"/>
    <cellStyle name="SAPBEXstdItem 5" xfId="1551" xr:uid="{00000000-0005-0000-0000-0000BE130000}"/>
    <cellStyle name="SAPBEXstdItem 5 2" xfId="3795" xr:uid="{00000000-0005-0000-0000-0000BF130000}"/>
    <cellStyle name="SAPBEXstdItem 6" xfId="3009" xr:uid="{00000000-0005-0000-0000-0000C0130000}"/>
    <cellStyle name="SAPBEXstdItemX" xfId="704" xr:uid="{00000000-0005-0000-0000-0000C1130000}"/>
    <cellStyle name="SAPBEXstdItemX 2" xfId="718" xr:uid="{00000000-0005-0000-0000-0000C2130000}"/>
    <cellStyle name="SAPBEXstdItemX 2 2" xfId="1033" xr:uid="{00000000-0005-0000-0000-0000C3130000}"/>
    <cellStyle name="SAPBEXstdItemX 2 2 2" xfId="1821" xr:uid="{00000000-0005-0000-0000-0000C4130000}"/>
    <cellStyle name="SAPBEXstdItemX 2 2 2 2" xfId="4065" xr:uid="{00000000-0005-0000-0000-0000C5130000}"/>
    <cellStyle name="SAPBEXstdItemX 2 2 3" xfId="2545" xr:uid="{00000000-0005-0000-0000-0000C6130000}"/>
    <cellStyle name="SAPBEXstdItemX 2 2 3 2" xfId="4789" xr:uid="{00000000-0005-0000-0000-0000C7130000}"/>
    <cellStyle name="SAPBEXstdItemX 2 2 4" xfId="3279" xr:uid="{00000000-0005-0000-0000-0000C8130000}"/>
    <cellStyle name="SAPBEXstdItemX 2 3" xfId="1286" xr:uid="{00000000-0005-0000-0000-0000C9130000}"/>
    <cellStyle name="SAPBEXstdItemX 2 3 2" xfId="2073" xr:uid="{00000000-0005-0000-0000-0000CA130000}"/>
    <cellStyle name="SAPBEXstdItemX 2 3 2 2" xfId="4317" xr:uid="{00000000-0005-0000-0000-0000CB130000}"/>
    <cellStyle name="SAPBEXstdItemX 2 3 3" xfId="2796" xr:uid="{00000000-0005-0000-0000-0000CC130000}"/>
    <cellStyle name="SAPBEXstdItemX 2 3 3 2" xfId="5040" xr:uid="{00000000-0005-0000-0000-0000CD130000}"/>
    <cellStyle name="SAPBEXstdItemX 2 3 4" xfId="3531" xr:uid="{00000000-0005-0000-0000-0000CE130000}"/>
    <cellStyle name="SAPBEXstdItemX 2 4" xfId="1553" xr:uid="{00000000-0005-0000-0000-0000CF130000}"/>
    <cellStyle name="SAPBEXstdItemX 2 4 2" xfId="3797" xr:uid="{00000000-0005-0000-0000-0000D0130000}"/>
    <cellStyle name="SAPBEXstdItemX 2 5" xfId="3011" xr:uid="{00000000-0005-0000-0000-0000D1130000}"/>
    <cellStyle name="SAPBEXstdItemX 3" xfId="1031" xr:uid="{00000000-0005-0000-0000-0000D2130000}"/>
    <cellStyle name="SAPBEXstdItemX 3 2" xfId="1819" xr:uid="{00000000-0005-0000-0000-0000D3130000}"/>
    <cellStyle name="SAPBEXstdItemX 3 2 2" xfId="4063" xr:uid="{00000000-0005-0000-0000-0000D4130000}"/>
    <cellStyle name="SAPBEXstdItemX 3 3" xfId="2543" xr:uid="{00000000-0005-0000-0000-0000D5130000}"/>
    <cellStyle name="SAPBEXstdItemX 3 3 2" xfId="4787" xr:uid="{00000000-0005-0000-0000-0000D6130000}"/>
    <cellStyle name="SAPBEXstdItemX 3 4" xfId="3277" xr:uid="{00000000-0005-0000-0000-0000D7130000}"/>
    <cellStyle name="SAPBEXstdItemX 4" xfId="1285" xr:uid="{00000000-0005-0000-0000-0000D8130000}"/>
    <cellStyle name="SAPBEXstdItemX 4 2" xfId="2072" xr:uid="{00000000-0005-0000-0000-0000D9130000}"/>
    <cellStyle name="SAPBEXstdItemX 4 2 2" xfId="4316" xr:uid="{00000000-0005-0000-0000-0000DA130000}"/>
    <cellStyle name="SAPBEXstdItemX 4 3" xfId="2795" xr:uid="{00000000-0005-0000-0000-0000DB130000}"/>
    <cellStyle name="SAPBEXstdItemX 4 3 2" xfId="5039" xr:uid="{00000000-0005-0000-0000-0000DC130000}"/>
    <cellStyle name="SAPBEXstdItemX 4 4" xfId="3530" xr:uid="{00000000-0005-0000-0000-0000DD130000}"/>
    <cellStyle name="SAPBEXstdItemX 5" xfId="1552" xr:uid="{00000000-0005-0000-0000-0000DE130000}"/>
    <cellStyle name="SAPBEXstdItemX 5 2" xfId="3796" xr:uid="{00000000-0005-0000-0000-0000DF130000}"/>
    <cellStyle name="SAPBEXstdItemX 6" xfId="3010" xr:uid="{00000000-0005-0000-0000-0000E0130000}"/>
    <cellStyle name="Standard_NEGS" xfId="705" xr:uid="{00000000-0005-0000-0000-0000E1130000}"/>
    <cellStyle name="Style 1" xfId="706" xr:uid="{00000000-0005-0000-0000-0000E2130000}"/>
    <cellStyle name="subhead" xfId="707" xr:uid="{00000000-0005-0000-0000-0000E3130000}"/>
    <cellStyle name="subhead 2" xfId="708" xr:uid="{00000000-0005-0000-0000-0000E4130000}"/>
    <cellStyle name="Subtotal" xfId="709" xr:uid="{00000000-0005-0000-0000-0000E5130000}"/>
    <cellStyle name="Text Indent A" xfId="710" xr:uid="{00000000-0005-0000-0000-0000E6130000}"/>
    <cellStyle name="Text Indent B" xfId="711" xr:uid="{00000000-0005-0000-0000-0000E7130000}"/>
    <cellStyle name="Text Indent C" xfId="712" xr:uid="{00000000-0005-0000-0000-0000E8130000}"/>
    <cellStyle name="Times New Roman" xfId="713" xr:uid="{00000000-0005-0000-0000-0000E9130000}"/>
    <cellStyle name="Tusental (0)_pldt" xfId="714" xr:uid="{00000000-0005-0000-0000-0000EA130000}"/>
    <cellStyle name="Tusental_pldt" xfId="715" xr:uid="{00000000-0005-0000-0000-0000EB130000}"/>
    <cellStyle name="Valuta (0)_pldt" xfId="716" xr:uid="{00000000-0005-0000-0000-0000EC130000}"/>
    <cellStyle name="Valuta_pldt" xfId="717" xr:uid="{00000000-0005-0000-0000-0000ED13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elcome/Desktop/IL&amp;FS/RK%20Working/IL&amp;FS%20current%20assets%20Valuation-%202023-V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elcome/Desktop/IL&amp;FS/RK%20Working/Provision-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elcome/Desktop/IL&amp;FS/RK%20Working/IL&amp;FS%20current%20assets%20Valuation-%202023-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refreshError="1"/>
      <sheetData sheetId="1" refreshError="1">
        <row r="5">
          <cell r="B5" t="str">
            <v>Figures in INR Lakhs</v>
          </cell>
        </row>
        <row r="16">
          <cell r="B16"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NCI-I"/>
      <sheetName val="Provisions TR 2023"/>
      <sheetName val="Trade Receivable-II"/>
      <sheetName val="Sheet1"/>
      <sheetName val="Provisions 2023"/>
      <sheetName val="Loans-III"/>
      <sheetName val="Interest Accrued"/>
      <sheetName val="Other Receivables"/>
      <sheetName val="Margin Money"/>
      <sheetName val="Tax Assets"/>
      <sheetName val="Deposits"/>
      <sheetName val="Advances to Vendor"/>
      <sheetName val="Balance - Satutory Authority"/>
      <sheetName val="Contract Assets-WIP"/>
      <sheetName val="ONCA-VI"/>
      <sheetName val="Retention Money-VII"/>
      <sheetName val="INVENTORY-VII"/>
      <sheetName val="Cash &amp; Cash Equivalents- VIII"/>
      <sheetName val="OCFA-IX"/>
      <sheetName val="CTA-X"/>
      <sheetName val="OCA-XI"/>
      <sheetName val="Debenture-2023"/>
      <sheetName val="Preferred - 2023"/>
      <sheetName val="MSEDCL Assets"/>
      <sheetName val="SECL Assets"/>
      <sheetName val="WCL Assets"/>
      <sheetName val="Sheet4"/>
    </sheetNames>
    <sheetDataSet>
      <sheetData sheetId="0"/>
      <sheetData sheetId="1">
        <row r="3">
          <cell r="B3" t="str">
            <v>Details as on 31st March 2023</v>
          </cell>
        </row>
        <row r="5">
          <cell r="B5" t="str">
            <v>Figures in INR Crores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visions TR 2018"/>
    </sheetNames>
    <sheetDataSet>
      <sheetData sheetId="0"/>
      <sheetData sheetId="1">
        <row r="25">
          <cell r="I25">
            <v>151.24997685900007</v>
          </cell>
          <cell r="J25">
            <v>70.639618610327815</v>
          </cell>
        </row>
        <row r="27">
          <cell r="J27">
            <v>52.161769555999996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NCI-I"/>
      <sheetName val="Provisions TR 2023"/>
      <sheetName val="Trade Receivable-II"/>
      <sheetName val="Provisions 2023"/>
      <sheetName val="Loans-III"/>
      <sheetName val="Interest Accrued-IV"/>
      <sheetName val="Claim for PBG-V"/>
      <sheetName val="Other Receivables-VI"/>
      <sheetName val="Margin Money-VII"/>
      <sheetName val="Tax Assets-VIII"/>
      <sheetName val="Deposits-IX"/>
      <sheetName val="Advances to Vendor-X"/>
      <sheetName val="Balance - Satutory Authority-XI"/>
      <sheetName val="Contract Assets-WIP-XII"/>
      <sheetName val="ONCA-VI"/>
      <sheetName val="Retention Money-XIII"/>
      <sheetName val="INVENTORY-VII"/>
      <sheetName val="Cash &amp; Cash Equivalents-XIV"/>
      <sheetName val="OCFA-IX"/>
      <sheetName val="CTA-X"/>
      <sheetName val="OCA-XI"/>
      <sheetName val="Debenture-2023"/>
      <sheetName val="Preferred - 2023"/>
      <sheetName val="MSEDCL Assets"/>
      <sheetName val="SECL Assets"/>
      <sheetName val="WCL Assets"/>
      <sheetName val="Sheet4"/>
    </sheetNames>
    <sheetDataSet>
      <sheetData sheetId="0"/>
      <sheetData sheetId="1">
        <row r="5">
          <cell r="B5" t="str">
            <v>Figures in INR Crores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hyperlink" Target="mailto:=@subtotal(9,D4:D40)"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277" t="s">
        <v>2</v>
      </c>
      <c r="D1" s="277"/>
      <c r="E1" s="277"/>
      <c r="F1" s="277"/>
      <c r="G1" s="277"/>
      <c r="H1" s="277"/>
      <c r="I1" s="277"/>
      <c r="J1" s="277"/>
      <c r="K1" s="277"/>
      <c r="L1" s="277"/>
      <c r="M1" s="277"/>
      <c r="N1" s="277"/>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G25"/>
  <sheetViews>
    <sheetView zoomScaleNormal="100" workbookViewId="0">
      <pane ySplit="4" topLeftCell="A5" activePane="bottomLeft" state="frozen"/>
      <selection pane="bottomLeft" activeCell="C6" sqref="C6"/>
    </sheetView>
  </sheetViews>
  <sheetFormatPr defaultColWidth="9" defaultRowHeight="13.2"/>
  <cols>
    <col min="1" max="1" width="11" style="28" bestFit="1" customWidth="1"/>
    <col min="2" max="2" width="16.88671875" style="28" customWidth="1"/>
    <col min="3" max="3" width="31.33203125" style="28" customWidth="1"/>
    <col min="4" max="16384" width="9" style="28"/>
  </cols>
  <sheetData>
    <row r="2" spans="2:7">
      <c r="B2" s="280" t="s">
        <v>66</v>
      </c>
      <c r="C2" s="280"/>
      <c r="D2" s="280"/>
      <c r="E2" s="280"/>
      <c r="F2" s="281"/>
      <c r="G2" s="280"/>
    </row>
    <row r="3" spans="2:7">
      <c r="B3" s="282" t="s">
        <v>130</v>
      </c>
      <c r="C3" s="282"/>
      <c r="D3" s="282"/>
      <c r="E3" s="282"/>
      <c r="F3" s="283"/>
      <c r="G3" s="282"/>
    </row>
    <row r="4" spans="2:7" ht="46.5" customHeight="1">
      <c r="B4" s="29" t="s">
        <v>24</v>
      </c>
      <c r="C4" s="29" t="s">
        <v>2</v>
      </c>
      <c r="D4" s="30" t="s">
        <v>65</v>
      </c>
      <c r="E4" s="30" t="s">
        <v>28</v>
      </c>
      <c r="F4" s="30" t="s">
        <v>115</v>
      </c>
      <c r="G4" s="29" t="s">
        <v>25</v>
      </c>
    </row>
    <row r="5" spans="2:7">
      <c r="B5" s="284" t="s">
        <v>94</v>
      </c>
      <c r="C5" s="284"/>
      <c r="D5" s="284"/>
      <c r="E5" s="284"/>
      <c r="F5" s="285"/>
      <c r="G5" s="284"/>
    </row>
    <row r="6" spans="2:7">
      <c r="B6" s="35">
        <v>1</v>
      </c>
      <c r="C6" s="27" t="s">
        <v>629</v>
      </c>
      <c r="D6" s="50">
        <v>4.78</v>
      </c>
      <c r="E6" s="46">
        <f>0.9+1.09</f>
        <v>1.9900000000000002</v>
      </c>
      <c r="F6" s="46">
        <f>0.63+0.763</f>
        <v>1.393</v>
      </c>
      <c r="G6" s="46" t="s">
        <v>179</v>
      </c>
    </row>
    <row r="7" spans="2:7">
      <c r="B7" s="35">
        <v>2</v>
      </c>
      <c r="C7" s="27" t="s">
        <v>578</v>
      </c>
      <c r="D7" s="50">
        <v>128.63999999999999</v>
      </c>
      <c r="E7" s="46">
        <v>95.27</v>
      </c>
      <c r="F7" s="46">
        <v>62.61</v>
      </c>
      <c r="G7" s="46" t="s">
        <v>179</v>
      </c>
    </row>
    <row r="8" spans="2:7">
      <c r="B8" s="35">
        <v>3</v>
      </c>
      <c r="C8" s="27" t="s">
        <v>10</v>
      </c>
      <c r="D8" s="50">
        <v>111.66</v>
      </c>
      <c r="E8" s="46">
        <v>118.44</v>
      </c>
      <c r="F8" s="46">
        <v>82.91</v>
      </c>
      <c r="G8" s="46" t="s">
        <v>179</v>
      </c>
    </row>
    <row r="9" spans="2:7">
      <c r="B9" s="35">
        <v>4</v>
      </c>
      <c r="C9" s="27" t="s">
        <v>630</v>
      </c>
      <c r="D9" s="50">
        <v>3.75</v>
      </c>
      <c r="E9" s="46" t="s">
        <v>179</v>
      </c>
      <c r="F9" s="46" t="s">
        <v>179</v>
      </c>
      <c r="G9" s="46" t="s">
        <v>179</v>
      </c>
    </row>
    <row r="10" spans="2:7">
      <c r="B10" s="35">
        <v>5</v>
      </c>
      <c r="C10" s="27" t="s">
        <v>140</v>
      </c>
      <c r="D10" s="50">
        <v>0.65</v>
      </c>
      <c r="E10" s="46" t="s">
        <v>179</v>
      </c>
      <c r="F10" s="46" t="s">
        <v>179</v>
      </c>
      <c r="G10" s="46" t="s">
        <v>179</v>
      </c>
    </row>
    <row r="11" spans="2:7">
      <c r="B11" s="35">
        <v>6</v>
      </c>
      <c r="C11" s="27" t="s">
        <v>88</v>
      </c>
      <c r="D11" s="50">
        <f>'NCI-I'!D10</f>
        <v>56.55</v>
      </c>
      <c r="E11" s="50">
        <f>'NCI-I'!H10</f>
        <v>60.997381557744873</v>
      </c>
      <c r="F11" s="50">
        <f>'NCI-I'!I10</f>
        <v>60.997381557744873</v>
      </c>
      <c r="G11" s="36" t="s">
        <v>31</v>
      </c>
    </row>
    <row r="12" spans="2:7">
      <c r="B12" s="35">
        <v>7</v>
      </c>
      <c r="C12" s="27" t="s">
        <v>100</v>
      </c>
      <c r="D12" s="50">
        <f>'Trade Receivable-II'!D8</f>
        <v>264.43521027179679</v>
      </c>
      <c r="E12" s="50">
        <f>'Trade Receivable-II'!K8</f>
        <v>170.01901940781846</v>
      </c>
      <c r="F12" s="50">
        <f>'Trade Receivable-II'!L8</f>
        <v>84.594992611175982</v>
      </c>
      <c r="G12" s="36" t="s">
        <v>74</v>
      </c>
    </row>
    <row r="13" spans="2:7">
      <c r="B13" s="35">
        <v>8</v>
      </c>
      <c r="C13" s="27" t="s">
        <v>631</v>
      </c>
      <c r="D13" s="50">
        <f>'Loans and Other Assets-III'!D12</f>
        <v>635.41533778271639</v>
      </c>
      <c r="E13" s="50">
        <f>'Loans and Other Assets-III'!K12</f>
        <v>470.2370652978916</v>
      </c>
      <c r="F13" s="50">
        <f>'Loans and Other Assets-III'!L12</f>
        <v>347.84566351703859</v>
      </c>
      <c r="G13" s="36" t="s">
        <v>75</v>
      </c>
    </row>
    <row r="14" spans="2:7">
      <c r="B14" s="35">
        <v>9</v>
      </c>
      <c r="C14" s="27" t="s">
        <v>118</v>
      </c>
      <c r="D14" s="50">
        <f>'Interest Accrued-IV'!D7</f>
        <v>285.63818505399996</v>
      </c>
      <c r="E14" s="50">
        <f>'Interest Accrued-IV'!K6</f>
        <v>113.77301613212488</v>
      </c>
      <c r="F14" s="50">
        <f>'Interest Accrued-IV'!L6</f>
        <v>25.9081778796</v>
      </c>
      <c r="G14" s="36" t="s">
        <v>32</v>
      </c>
    </row>
    <row r="15" spans="2:7">
      <c r="B15" s="35">
        <v>10</v>
      </c>
      <c r="C15" s="27" t="s">
        <v>646</v>
      </c>
      <c r="D15" s="50">
        <f>'Claim for PBG-V'!D6</f>
        <v>29.18</v>
      </c>
      <c r="E15" s="50">
        <f>'Claim for PBG-V'!E6</f>
        <v>23.344000000000001</v>
      </c>
      <c r="F15" s="50">
        <f>'Claim for PBG-V'!F6</f>
        <v>11.672000000000001</v>
      </c>
      <c r="G15" s="36" t="s">
        <v>86</v>
      </c>
    </row>
    <row r="16" spans="2:7">
      <c r="B16" s="35">
        <v>11</v>
      </c>
      <c r="C16" s="28" t="s">
        <v>120</v>
      </c>
      <c r="D16" s="50">
        <f>'Other Receivables-VI'!D7</f>
        <v>30.369999999999997</v>
      </c>
      <c r="E16" s="50">
        <f>'Other Receivables-VI'!K7</f>
        <v>16.851640622297648</v>
      </c>
      <c r="F16" s="50">
        <f>'Other Receivables-VI'!L7</f>
        <v>0</v>
      </c>
      <c r="G16" s="46" t="s">
        <v>87</v>
      </c>
    </row>
    <row r="17" spans="2:7">
      <c r="B17" s="35">
        <v>12</v>
      </c>
      <c r="C17" s="27" t="s">
        <v>146</v>
      </c>
      <c r="D17" s="50">
        <f>'Margin Money-VII'!D7</f>
        <v>10.35</v>
      </c>
      <c r="E17" s="50">
        <f>'Margin Money-VII'!E7</f>
        <v>10.35</v>
      </c>
      <c r="F17" s="50">
        <f>'Margin Money-VII'!F7</f>
        <v>10.35</v>
      </c>
      <c r="G17" s="46" t="s">
        <v>90</v>
      </c>
    </row>
    <row r="18" spans="2:7">
      <c r="B18" s="35">
        <v>13</v>
      </c>
      <c r="C18" s="27" t="s">
        <v>647</v>
      </c>
      <c r="D18" s="50">
        <f>'Tax Assets-VIII'!D8</f>
        <v>370.88</v>
      </c>
      <c r="E18" s="50">
        <f>'Tax Assets-VIII'!E8</f>
        <v>370.88</v>
      </c>
      <c r="F18" s="50">
        <f>'Tax Assets-VIII'!F8</f>
        <v>0</v>
      </c>
      <c r="G18" s="50" t="s">
        <v>91</v>
      </c>
    </row>
    <row r="19" spans="2:7">
      <c r="B19" s="35">
        <v>14</v>
      </c>
      <c r="C19" s="27" t="s">
        <v>138</v>
      </c>
      <c r="D19" s="50">
        <f>'Non-Current Inventories-IX'!D7+0.01</f>
        <v>882.09</v>
      </c>
      <c r="E19" s="46">
        <f>'Non-Current Inventories-IX'!K7</f>
        <v>398.35932722178131</v>
      </c>
      <c r="F19" s="46">
        <f>'Non-Current Inventories-IX'!L7</f>
        <v>168.62164770212416</v>
      </c>
      <c r="G19" s="46" t="s">
        <v>92</v>
      </c>
    </row>
    <row r="20" spans="2:7">
      <c r="B20" s="35">
        <v>15</v>
      </c>
      <c r="C20" s="27" t="s">
        <v>184</v>
      </c>
      <c r="D20" s="50">
        <f>'Retention Money-X'!D7+0.01</f>
        <v>485.19</v>
      </c>
      <c r="E20" s="50">
        <f>'Retention Money-X'!K7</f>
        <v>233.40788922954471</v>
      </c>
      <c r="F20" s="50">
        <f>'Retention Money-X'!L7</f>
        <v>111.08067567965</v>
      </c>
      <c r="G20" s="46" t="s">
        <v>93</v>
      </c>
    </row>
    <row r="21" spans="2:7" ht="15" customHeight="1">
      <c r="B21" s="35">
        <v>16</v>
      </c>
      <c r="C21" s="27" t="s">
        <v>89</v>
      </c>
      <c r="D21" s="50">
        <f>'Cash &amp; Cash Equivalents-XI'!D10</f>
        <v>22.660000000000004</v>
      </c>
      <c r="E21" s="50">
        <f>'Cash &amp; Cash Equivalents-XI'!E10</f>
        <v>18.11</v>
      </c>
      <c r="F21" s="50">
        <f>'Cash &amp; Cash Equivalents-XI'!F10</f>
        <v>18.11</v>
      </c>
      <c r="G21" s="46" t="s">
        <v>185</v>
      </c>
    </row>
    <row r="22" spans="2:7" ht="16.2" customHeight="1">
      <c r="B22" s="279" t="s">
        <v>21</v>
      </c>
      <c r="C22" s="279"/>
      <c r="D22" s="237">
        <f>SUM(D6:D21)</f>
        <v>3322.2387331085129</v>
      </c>
      <c r="E22" s="237">
        <f>SUM(E6:E21)</f>
        <v>2102.0293394692035</v>
      </c>
      <c r="F22" s="237">
        <f>SUM(F6:F21)</f>
        <v>986.09353894733363</v>
      </c>
      <c r="G22" s="31"/>
    </row>
    <row r="23" spans="2:7" ht="16.2" customHeight="1">
      <c r="B23" s="286" t="s">
        <v>20</v>
      </c>
      <c r="C23" s="287"/>
      <c r="D23" s="287"/>
      <c r="E23" s="287"/>
      <c r="F23" s="288"/>
      <c r="G23" s="289"/>
    </row>
    <row r="24" spans="2:7" ht="184.2" customHeight="1">
      <c r="B24" s="278" t="s">
        <v>157</v>
      </c>
      <c r="C24" s="278"/>
      <c r="D24" s="278"/>
      <c r="E24" s="278"/>
      <c r="F24" s="278"/>
      <c r="G24" s="278"/>
    </row>
    <row r="25" spans="2:7" ht="48.75" customHeight="1"/>
  </sheetData>
  <mergeCells count="6">
    <mergeCell ref="B24:G24"/>
    <mergeCell ref="B22:C22"/>
    <mergeCell ref="B2:G2"/>
    <mergeCell ref="B3:G3"/>
    <mergeCell ref="B5:G5"/>
    <mergeCell ref="B23:G23"/>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M13"/>
  <sheetViews>
    <sheetView workbookViewId="0">
      <selection activeCell="C7" sqref="C7"/>
    </sheetView>
  </sheetViews>
  <sheetFormatPr defaultRowHeight="14.4"/>
  <cols>
    <col min="2" max="2" width="6.109375" customWidth="1"/>
    <col min="3" max="3" width="16.44140625" customWidth="1"/>
    <col min="4" max="4" width="9.88671875" hidden="1" customWidth="1"/>
    <col min="5" max="5" width="18.109375" customWidth="1"/>
    <col min="6" max="8" width="9.88671875" hidden="1" customWidth="1"/>
    <col min="9" max="9" width="17.5546875" customWidth="1"/>
    <col min="10" max="10" width="16.6640625" customWidth="1"/>
    <col min="11" max="11" width="42.88671875" customWidth="1"/>
  </cols>
  <sheetData>
    <row r="2" spans="2:13">
      <c r="B2" s="290" t="s">
        <v>140</v>
      </c>
      <c r="C2" s="291"/>
      <c r="D2" s="291"/>
      <c r="E2" s="291"/>
      <c r="F2" s="291"/>
      <c r="G2" s="291"/>
      <c r="H2" s="291"/>
      <c r="I2" s="291"/>
      <c r="J2" s="291"/>
      <c r="K2" s="292"/>
    </row>
    <row r="3" spans="2:13">
      <c r="B3" s="293" t="e">
        <f>SUMMARY!#REF!</f>
        <v>#REF!</v>
      </c>
      <c r="C3" s="294"/>
      <c r="D3" s="294"/>
      <c r="E3" s="294"/>
      <c r="F3" s="294"/>
      <c r="G3" s="294"/>
      <c r="H3" s="294"/>
      <c r="I3" s="294"/>
      <c r="J3" s="294"/>
      <c r="K3" s="295"/>
    </row>
    <row r="4" spans="2:13" ht="48">
      <c r="B4" s="24" t="s">
        <v>0</v>
      </c>
      <c r="C4" s="24" t="s">
        <v>26</v>
      </c>
      <c r="D4" s="24" t="s">
        <v>67</v>
      </c>
      <c r="E4" s="33" t="s">
        <v>65</v>
      </c>
      <c r="F4" s="24" t="s">
        <v>30</v>
      </c>
      <c r="G4" s="24" t="s">
        <v>27</v>
      </c>
      <c r="H4" s="24" t="s">
        <v>68</v>
      </c>
      <c r="I4" s="24" t="s">
        <v>29</v>
      </c>
      <c r="J4" s="24" t="s">
        <v>117</v>
      </c>
      <c r="K4" s="24" t="s">
        <v>22</v>
      </c>
    </row>
    <row r="5" spans="2:13">
      <c r="B5" s="293" t="e">
        <f>SUMMARY!#REF!</f>
        <v>#REF!</v>
      </c>
      <c r="C5" s="294"/>
      <c r="D5" s="294"/>
      <c r="E5" s="294"/>
      <c r="F5" s="294"/>
      <c r="G5" s="294"/>
      <c r="H5" s="294"/>
      <c r="I5" s="294"/>
      <c r="J5" s="294"/>
      <c r="K5" s="295"/>
    </row>
    <row r="6" spans="2:13" ht="22.8">
      <c r="B6" s="37">
        <v>1</v>
      </c>
      <c r="C6" s="41" t="s">
        <v>141</v>
      </c>
      <c r="D6" s="42" t="s">
        <v>80</v>
      </c>
      <c r="E6" s="38">
        <v>0.56999999999999995</v>
      </c>
      <c r="F6" s="25"/>
      <c r="G6" s="25"/>
      <c r="H6" s="25"/>
      <c r="I6" s="38">
        <v>0</v>
      </c>
      <c r="J6" s="38">
        <v>0</v>
      </c>
      <c r="K6" s="72"/>
      <c r="L6">
        <v>0</v>
      </c>
      <c r="M6">
        <v>0</v>
      </c>
    </row>
    <row r="7" spans="2:13" ht="17.25" customHeight="1">
      <c r="B7" s="40">
        <v>2</v>
      </c>
      <c r="C7" s="53" t="s">
        <v>142</v>
      </c>
      <c r="D7" s="54"/>
      <c r="E7" s="55">
        <v>0.08</v>
      </c>
      <c r="F7" s="23"/>
      <c r="G7" s="23"/>
      <c r="H7" s="23"/>
      <c r="I7" s="55">
        <f>$E$7*L7</f>
        <v>0</v>
      </c>
      <c r="J7" s="55">
        <f>$E$7*M7</f>
        <v>0</v>
      </c>
      <c r="K7" s="86"/>
      <c r="L7" s="39">
        <v>0</v>
      </c>
      <c r="M7" s="39">
        <v>0</v>
      </c>
    </row>
    <row r="8" spans="2:13">
      <c r="B8" s="34"/>
      <c r="C8" s="32" t="s">
        <v>23</v>
      </c>
      <c r="D8" s="32"/>
      <c r="E8" s="26">
        <f>SUM(E6:E7)</f>
        <v>0.64999999999999991</v>
      </c>
      <c r="F8" s="26">
        <f t="shared" ref="F8:J8" si="0">SUM(F6:F7)</f>
        <v>0</v>
      </c>
      <c r="G8" s="26">
        <f t="shared" si="0"/>
        <v>0</v>
      </c>
      <c r="H8" s="26">
        <f t="shared" si="0"/>
        <v>0</v>
      </c>
      <c r="I8" s="26">
        <f t="shared" si="0"/>
        <v>0</v>
      </c>
      <c r="J8" s="26">
        <f t="shared" si="0"/>
        <v>0</v>
      </c>
      <c r="K8" s="34"/>
    </row>
    <row r="9" spans="2:13">
      <c r="B9" s="296" t="str">
        <f>[1]SUMMARY!B16</f>
        <v>REMARKS &amp; NOTES:-</v>
      </c>
      <c r="C9" s="297"/>
      <c r="D9" s="297"/>
      <c r="E9" s="297"/>
      <c r="F9" s="297"/>
      <c r="G9" s="297"/>
      <c r="H9" s="297"/>
      <c r="I9" s="297"/>
      <c r="J9" s="297"/>
      <c r="K9" s="298"/>
    </row>
    <row r="10" spans="2:13" ht="98.4" customHeight="1">
      <c r="B10" s="299" t="s">
        <v>81</v>
      </c>
      <c r="C10" s="299"/>
      <c r="D10" s="299"/>
      <c r="E10" s="299"/>
      <c r="F10" s="299"/>
      <c r="G10" s="299"/>
      <c r="H10" s="299"/>
      <c r="I10" s="299"/>
      <c r="J10" s="299"/>
      <c r="K10" s="299"/>
    </row>
    <row r="12" spans="2:13">
      <c r="C12" t="s">
        <v>144</v>
      </c>
    </row>
    <row r="13" spans="2:13">
      <c r="C13" t="s">
        <v>143</v>
      </c>
    </row>
  </sheetData>
  <mergeCells count="5">
    <mergeCell ref="B2:K2"/>
    <mergeCell ref="B3:K3"/>
    <mergeCell ref="B5:K5"/>
    <mergeCell ref="B9:K9"/>
    <mergeCell ref="B10:K10"/>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B1:J26"/>
  <sheetViews>
    <sheetView zoomScaleNormal="100" workbookViewId="0">
      <pane ySplit="1" topLeftCell="A9" activePane="bottomLeft" state="frozen"/>
      <selection pane="bottomLeft" activeCell="C9" sqref="C9"/>
    </sheetView>
  </sheetViews>
  <sheetFormatPr defaultColWidth="9.109375" defaultRowHeight="11.4"/>
  <cols>
    <col min="1" max="1" width="9.109375" style="22"/>
    <col min="2" max="2" width="5.44140625" style="22" bestFit="1" customWidth="1"/>
    <col min="3" max="3" width="24.44140625" style="22" customWidth="1"/>
    <col min="4" max="4" width="19.5546875" style="22" customWidth="1"/>
    <col min="5" max="5" width="9.6640625" style="22" hidden="1" customWidth="1"/>
    <col min="6" max="6" width="10.109375" style="22" hidden="1" customWidth="1"/>
    <col min="7" max="7" width="13.44140625" style="22" hidden="1" customWidth="1"/>
    <col min="8" max="8" width="25.109375" style="22" customWidth="1"/>
    <col min="9" max="9" width="19.88671875" style="22" customWidth="1"/>
    <col min="10" max="10" width="83.109375" style="22" customWidth="1"/>
    <col min="11" max="16384" width="9.109375" style="22"/>
  </cols>
  <sheetData>
    <row r="1" spans="2:10" ht="0.75" customHeight="1"/>
    <row r="2" spans="2:10" ht="14.4">
      <c r="B2" s="300" t="s">
        <v>71</v>
      </c>
      <c r="C2" s="300"/>
      <c r="D2" s="300"/>
      <c r="E2" s="300"/>
      <c r="F2" s="300"/>
      <c r="G2" s="300"/>
      <c r="H2" s="300"/>
      <c r="I2" s="300"/>
      <c r="J2" s="300"/>
    </row>
    <row r="3" spans="2:10" ht="15" customHeight="1">
      <c r="B3" s="305" t="s">
        <v>156</v>
      </c>
      <c r="C3" s="306"/>
      <c r="D3" s="306"/>
      <c r="E3" s="306"/>
      <c r="F3" s="306"/>
      <c r="G3" s="306"/>
      <c r="H3" s="306"/>
      <c r="I3" s="306"/>
      <c r="J3" s="307"/>
    </row>
    <row r="4" spans="2:10" ht="43.2">
      <c r="B4" s="97" t="s">
        <v>0</v>
      </c>
      <c r="C4" s="97" t="s">
        <v>72</v>
      </c>
      <c r="D4" s="97" t="s">
        <v>65</v>
      </c>
      <c r="E4" s="97" t="s">
        <v>73</v>
      </c>
      <c r="F4" s="97" t="s">
        <v>79</v>
      </c>
      <c r="G4" s="96" t="s">
        <v>76</v>
      </c>
      <c r="H4" s="24" t="s">
        <v>464</v>
      </c>
      <c r="I4" s="24" t="s">
        <v>654</v>
      </c>
      <c r="J4" s="97" t="s">
        <v>22</v>
      </c>
    </row>
    <row r="5" spans="2:10" ht="14.4">
      <c r="B5" s="308" t="s">
        <v>94</v>
      </c>
      <c r="C5" s="309"/>
      <c r="D5" s="309"/>
      <c r="E5" s="309"/>
      <c r="F5" s="309"/>
      <c r="G5" s="309"/>
      <c r="H5" s="309"/>
      <c r="I5" s="309"/>
      <c r="J5" s="310"/>
    </row>
    <row r="6" spans="2:10" ht="86.4">
      <c r="B6" s="104">
        <v>1</v>
      </c>
      <c r="C6" s="90" t="s">
        <v>95</v>
      </c>
      <c r="D6" s="105">
        <v>37.909999999999997</v>
      </c>
      <c r="E6" s="106">
        <v>100000</v>
      </c>
      <c r="F6" s="107">
        <f t="shared" ref="F6:F9" si="0">(D6*100000)/E6</f>
        <v>37.909999999999997</v>
      </c>
      <c r="G6" s="108" t="s">
        <v>78</v>
      </c>
      <c r="H6" s="105">
        <f>65.2278*50%</f>
        <v>32.613900000000001</v>
      </c>
      <c r="I6" s="105">
        <f>H6</f>
        <v>32.613900000000001</v>
      </c>
      <c r="J6" s="145" t="s">
        <v>669</v>
      </c>
    </row>
    <row r="7" spans="2:10" ht="100.8">
      <c r="B7" s="109">
        <v>2</v>
      </c>
      <c r="C7" s="110" t="s">
        <v>96</v>
      </c>
      <c r="D7" s="105">
        <v>0.35</v>
      </c>
      <c r="E7" s="106">
        <v>10000</v>
      </c>
      <c r="F7" s="107">
        <f t="shared" si="0"/>
        <v>3.5</v>
      </c>
      <c r="G7" s="108" t="s">
        <v>78</v>
      </c>
      <c r="H7" s="105">
        <f>0.6003*39.69%</f>
        <v>0.23825906999999996</v>
      </c>
      <c r="I7" s="105">
        <f>H7</f>
        <v>0.23825906999999996</v>
      </c>
      <c r="J7" s="145" t="s">
        <v>670</v>
      </c>
    </row>
    <row r="8" spans="2:10" ht="200.1" customHeight="1">
      <c r="B8" s="109">
        <v>3</v>
      </c>
      <c r="C8" s="110" t="s">
        <v>132</v>
      </c>
      <c r="D8" s="105">
        <v>9.76</v>
      </c>
      <c r="E8" s="106">
        <v>10000</v>
      </c>
      <c r="F8" s="107">
        <f t="shared" si="0"/>
        <v>97.6</v>
      </c>
      <c r="G8" s="108" t="s">
        <v>78</v>
      </c>
      <c r="H8" s="105">
        <f>'Preferred - 2018'!I40/10^7</f>
        <v>19.389277469531919</v>
      </c>
      <c r="I8" s="105">
        <f>H8</f>
        <v>19.389277469531919</v>
      </c>
      <c r="J8" s="78" t="s">
        <v>178</v>
      </c>
    </row>
    <row r="9" spans="2:10" ht="198" customHeight="1">
      <c r="B9" s="109">
        <v>4</v>
      </c>
      <c r="C9" s="110" t="s">
        <v>131</v>
      </c>
      <c r="D9" s="105">
        <v>8.5299999999999994</v>
      </c>
      <c r="E9" s="106">
        <v>50000</v>
      </c>
      <c r="F9" s="107">
        <f t="shared" si="0"/>
        <v>17.059999999999999</v>
      </c>
      <c r="G9" s="108" t="s">
        <v>78</v>
      </c>
      <c r="H9" s="105">
        <f>'Debenture-2018'!G38/10^7</f>
        <v>8.7559450182129535</v>
      </c>
      <c r="I9" s="105">
        <f>H9</f>
        <v>8.7559450182129535</v>
      </c>
      <c r="J9" s="78" t="s">
        <v>177</v>
      </c>
    </row>
    <row r="10" spans="2:10" ht="17.25" customHeight="1">
      <c r="B10" s="98"/>
      <c r="C10" s="111" t="s">
        <v>23</v>
      </c>
      <c r="D10" s="112">
        <f>SUM(D6:D9)</f>
        <v>56.55</v>
      </c>
      <c r="E10" s="113"/>
      <c r="F10" s="113"/>
      <c r="G10" s="114"/>
      <c r="H10" s="112">
        <f t="shared" ref="H10:I10" si="1">SUM(H6:H9)</f>
        <v>60.997381557744873</v>
      </c>
      <c r="I10" s="112">
        <f t="shared" si="1"/>
        <v>60.997381557744873</v>
      </c>
      <c r="J10" s="115"/>
    </row>
    <row r="11" spans="2:10" ht="14.4">
      <c r="B11" s="301" t="str">
        <f>'Loans-III'!B9:K9</f>
        <v>REMARKS &amp; NOTES:-</v>
      </c>
      <c r="C11" s="302"/>
      <c r="D11" s="302"/>
      <c r="E11" s="302"/>
      <c r="F11" s="303"/>
      <c r="G11" s="302"/>
      <c r="H11" s="302"/>
      <c r="I11" s="302"/>
      <c r="J11" s="302"/>
    </row>
    <row r="12" spans="2:10" ht="136.5" customHeight="1">
      <c r="B12" s="304" t="s">
        <v>671</v>
      </c>
      <c r="C12" s="304"/>
      <c r="D12" s="304"/>
      <c r="E12" s="304"/>
      <c r="F12" s="304"/>
      <c r="G12" s="304"/>
      <c r="H12" s="304"/>
      <c r="I12" s="304"/>
      <c r="J12" s="304"/>
    </row>
    <row r="21" spans="3:9">
      <c r="D21" s="22" t="s">
        <v>150</v>
      </c>
    </row>
    <row r="22" spans="3:9" ht="14.4">
      <c r="C22" s="22" t="s">
        <v>95</v>
      </c>
      <c r="D22" s="92">
        <v>65.227800000000002</v>
      </c>
      <c r="H22" s="95" t="s">
        <v>151</v>
      </c>
      <c r="I22" s="93">
        <v>0.12</v>
      </c>
    </row>
    <row r="23" spans="3:9" ht="14.4">
      <c r="C23" s="22" t="s">
        <v>96</v>
      </c>
      <c r="D23" s="92">
        <v>0.60029999999999994</v>
      </c>
      <c r="H23" s="95" t="s">
        <v>152</v>
      </c>
      <c r="I23" s="94">
        <f>6/12</f>
        <v>0.5</v>
      </c>
    </row>
    <row r="24" spans="3:9" ht="14.4">
      <c r="H24" s="95" t="s">
        <v>153</v>
      </c>
      <c r="I24" s="94">
        <f>1/(1+$I$22)^I23</f>
        <v>0.94491118252306794</v>
      </c>
    </row>
    <row r="25" spans="3:9" ht="14.4">
      <c r="H25" s="95" t="s">
        <v>154</v>
      </c>
      <c r="I25" s="94">
        <f>D22*I24</f>
        <v>61.634477631378175</v>
      </c>
    </row>
    <row r="26" spans="3:9" ht="14.4">
      <c r="H26" s="95" t="s">
        <v>155</v>
      </c>
      <c r="I26" s="94">
        <f>D23*I24</f>
        <v>0.56723018286859761</v>
      </c>
    </row>
  </sheetData>
  <mergeCells count="5">
    <mergeCell ref="B2:J2"/>
    <mergeCell ref="B11:J11"/>
    <mergeCell ref="B12:J12"/>
    <mergeCell ref="B3:J3"/>
    <mergeCell ref="B5:J5"/>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4:J25"/>
  <sheetViews>
    <sheetView zoomScale="115" zoomScaleNormal="115" workbookViewId="0">
      <selection activeCell="I25" sqref="I25"/>
    </sheetView>
  </sheetViews>
  <sheetFormatPr defaultRowHeight="14.4"/>
  <cols>
    <col min="2" max="2" width="35.88671875" customWidth="1"/>
    <col min="5" max="5" width="33.5546875" customWidth="1"/>
  </cols>
  <sheetData>
    <row r="4" spans="2:8">
      <c r="C4" s="311" t="s">
        <v>186</v>
      </c>
      <c r="D4" s="311" t="s">
        <v>187</v>
      </c>
      <c r="E4" s="311" t="s">
        <v>188</v>
      </c>
    </row>
    <row r="5" spans="2:8" ht="22.8">
      <c r="C5" s="312"/>
      <c r="D5" s="312"/>
      <c r="E5" s="313"/>
      <c r="F5" s="161" t="s">
        <v>423</v>
      </c>
      <c r="G5" s="161" t="s">
        <v>424</v>
      </c>
      <c r="H5" s="161" t="s">
        <v>456</v>
      </c>
    </row>
    <row r="6" spans="2:8">
      <c r="B6" t="s">
        <v>455</v>
      </c>
      <c r="C6" t="s">
        <v>193</v>
      </c>
      <c r="D6" t="s">
        <v>209</v>
      </c>
      <c r="E6" t="s">
        <v>210</v>
      </c>
      <c r="F6" s="159">
        <v>24.622286142</v>
      </c>
      <c r="G6" s="159">
        <v>27.237895000000002</v>
      </c>
      <c r="H6" s="159">
        <f>G6*40%</f>
        <v>10.895158000000002</v>
      </c>
    </row>
    <row r="7" spans="2:8">
      <c r="B7" t="s">
        <v>454</v>
      </c>
      <c r="C7" t="s">
        <v>213</v>
      </c>
      <c r="D7" t="s">
        <v>214</v>
      </c>
      <c r="E7" t="s">
        <v>215</v>
      </c>
      <c r="F7" s="159">
        <v>25.404295312000002</v>
      </c>
      <c r="G7" s="159">
        <v>27.318179399999998</v>
      </c>
      <c r="H7" s="159">
        <f>G7</f>
        <v>27.318179399999998</v>
      </c>
    </row>
    <row r="8" spans="2:8">
      <c r="B8" t="s">
        <v>454</v>
      </c>
      <c r="C8" t="s">
        <v>213</v>
      </c>
      <c r="D8" t="s">
        <v>225</v>
      </c>
      <c r="E8" t="s">
        <v>215</v>
      </c>
      <c r="F8" s="159">
        <v>3.9665639100000001</v>
      </c>
      <c r="G8" s="159">
        <v>3.9665639000000001</v>
      </c>
      <c r="H8" s="159">
        <f>G8</f>
        <v>3.9665639000000001</v>
      </c>
    </row>
    <row r="9" spans="2:8">
      <c r="B9" t="s">
        <v>453</v>
      </c>
      <c r="C9" t="s">
        <v>213</v>
      </c>
      <c r="D9" t="s">
        <v>233</v>
      </c>
      <c r="E9" t="s">
        <v>234</v>
      </c>
      <c r="F9" s="159">
        <v>1.42</v>
      </c>
      <c r="G9" s="159">
        <v>1.42</v>
      </c>
      <c r="H9" s="159">
        <f>G9</f>
        <v>1.42</v>
      </c>
    </row>
    <row r="10" spans="2:8">
      <c r="C10" t="s">
        <v>239</v>
      </c>
      <c r="D10" t="s">
        <v>240</v>
      </c>
      <c r="E10" t="s">
        <v>240</v>
      </c>
      <c r="F10" s="159">
        <v>30.238753975999998</v>
      </c>
      <c r="G10" s="159">
        <v>30.238754</v>
      </c>
      <c r="H10" s="159">
        <v>0</v>
      </c>
    </row>
    <row r="11" spans="2:8">
      <c r="B11" t="s">
        <v>452</v>
      </c>
      <c r="C11" t="s">
        <v>239</v>
      </c>
      <c r="D11" t="s">
        <v>241</v>
      </c>
      <c r="E11" t="s">
        <v>451</v>
      </c>
      <c r="F11" s="159">
        <v>4.598553098</v>
      </c>
      <c r="G11" s="159">
        <v>4.5985531039999996</v>
      </c>
      <c r="H11" s="159">
        <f>G11*70%</f>
        <v>3.2189871727999995</v>
      </c>
    </row>
    <row r="12" spans="2:8">
      <c r="B12" t="s">
        <v>179</v>
      </c>
      <c r="C12" t="s">
        <v>239</v>
      </c>
      <c r="D12" t="s">
        <v>243</v>
      </c>
      <c r="E12" t="s">
        <v>244</v>
      </c>
      <c r="F12" s="159">
        <v>4.6379162000000003</v>
      </c>
      <c r="G12" s="159">
        <v>4.6900000000000004</v>
      </c>
      <c r="H12" s="159">
        <f>G12*50%</f>
        <v>2.3450000000000002</v>
      </c>
    </row>
    <row r="13" spans="2:8">
      <c r="B13" t="s">
        <v>450</v>
      </c>
      <c r="C13" t="s">
        <v>271</v>
      </c>
      <c r="D13" t="s">
        <v>272</v>
      </c>
      <c r="E13" t="s">
        <v>273</v>
      </c>
      <c r="F13" s="159">
        <v>1.6074657000000001</v>
      </c>
      <c r="G13" s="159">
        <v>1.6074657000000001</v>
      </c>
      <c r="H13" s="159">
        <v>0</v>
      </c>
    </row>
    <row r="14" spans="2:8">
      <c r="B14" t="s">
        <v>449</v>
      </c>
      <c r="C14" t="s">
        <v>271</v>
      </c>
      <c r="D14" t="s">
        <v>275</v>
      </c>
      <c r="E14" t="s">
        <v>276</v>
      </c>
      <c r="F14" s="159">
        <v>0.71324929800000003</v>
      </c>
      <c r="G14" s="159">
        <v>0.71331160000000005</v>
      </c>
      <c r="H14" s="159">
        <f>G14</f>
        <v>0.71331160000000005</v>
      </c>
    </row>
    <row r="15" spans="2:8" ht="28.8">
      <c r="B15" s="160" t="s">
        <v>448</v>
      </c>
      <c r="C15" t="s">
        <v>342</v>
      </c>
      <c r="D15" t="s">
        <v>342</v>
      </c>
      <c r="E15" t="s">
        <v>343</v>
      </c>
      <c r="F15" s="159">
        <v>11.895599799999999</v>
      </c>
      <c r="G15" s="159">
        <v>11.8353906</v>
      </c>
      <c r="H15" s="159">
        <f>G15*70%</f>
        <v>8.2847734200000005</v>
      </c>
    </row>
    <row r="16" spans="2:8" ht="28.8">
      <c r="B16" s="160" t="s">
        <v>448</v>
      </c>
      <c r="C16" t="s">
        <v>342</v>
      </c>
      <c r="D16" t="s">
        <v>342</v>
      </c>
      <c r="E16" t="s">
        <v>344</v>
      </c>
      <c r="F16" s="159">
        <v>9.0653637000000007</v>
      </c>
      <c r="G16" s="159">
        <v>9.0653637000000007</v>
      </c>
      <c r="H16" s="159">
        <f>G16*70%</f>
        <v>6.3457545900000003</v>
      </c>
    </row>
    <row r="17" spans="2:10">
      <c r="C17" t="s">
        <v>342</v>
      </c>
      <c r="D17" t="s">
        <v>342</v>
      </c>
      <c r="E17" t="s">
        <v>350</v>
      </c>
      <c r="F17" s="159">
        <v>0.65155700000000005</v>
      </c>
      <c r="G17" s="159">
        <v>0.65155700000000005</v>
      </c>
      <c r="H17" s="159">
        <f>G17*50%</f>
        <v>0.32577850000000003</v>
      </c>
    </row>
    <row r="18" spans="2:10">
      <c r="B18" t="s">
        <v>447</v>
      </c>
      <c r="C18" t="s">
        <v>363</v>
      </c>
      <c r="D18" t="s">
        <v>376</v>
      </c>
      <c r="F18" s="159">
        <v>2.8041730460000003</v>
      </c>
      <c r="G18" s="159">
        <v>2.8041730460000003</v>
      </c>
      <c r="H18" s="159">
        <f>G18</f>
        <v>2.8041730460000003</v>
      </c>
    </row>
    <row r="19" spans="2:10">
      <c r="B19" t="s">
        <v>446</v>
      </c>
      <c r="C19" t="s">
        <v>363</v>
      </c>
      <c r="D19" t="s">
        <v>380</v>
      </c>
      <c r="E19" t="s">
        <v>381</v>
      </c>
      <c r="F19" s="159">
        <v>19.770349817</v>
      </c>
      <c r="G19" s="159">
        <v>19.770349817</v>
      </c>
      <c r="H19" s="159">
        <v>0</v>
      </c>
    </row>
    <row r="20" spans="2:10">
      <c r="B20" t="s">
        <v>445</v>
      </c>
      <c r="C20" t="s">
        <v>363</v>
      </c>
      <c r="D20" t="s">
        <v>385</v>
      </c>
      <c r="E20" t="s">
        <v>386</v>
      </c>
      <c r="F20" s="159">
        <v>1.7264861</v>
      </c>
      <c r="G20" s="159">
        <v>1.7264861</v>
      </c>
      <c r="H20" s="159">
        <f>G20*40%</f>
        <v>0.69059444000000003</v>
      </c>
    </row>
    <row r="21" spans="2:10">
      <c r="B21" t="s">
        <v>444</v>
      </c>
      <c r="C21" t="s">
        <v>400</v>
      </c>
      <c r="D21" t="s">
        <v>408</v>
      </c>
      <c r="E21" t="s">
        <v>409</v>
      </c>
      <c r="F21" s="159">
        <v>0.72889458899999993</v>
      </c>
      <c r="G21" s="159">
        <v>0.95719359999999998</v>
      </c>
      <c r="H21" s="159">
        <f>G21</f>
        <v>0.95719359999999998</v>
      </c>
    </row>
    <row r="22" spans="2:10">
      <c r="B22" t="s">
        <v>443</v>
      </c>
      <c r="C22" t="s">
        <v>413</v>
      </c>
      <c r="D22" t="s">
        <v>413</v>
      </c>
      <c r="E22" t="s">
        <v>417</v>
      </c>
      <c r="F22" s="159">
        <v>0.50260000000000005</v>
      </c>
      <c r="G22" s="159">
        <v>0.50260000000000005</v>
      </c>
      <c r="H22" s="159">
        <f>G22*70%</f>
        <v>0.35182000000000002</v>
      </c>
    </row>
    <row r="23" spans="2:10">
      <c r="G23" s="159">
        <f>SUM(G6:G22)</f>
        <v>149.103836567</v>
      </c>
      <c r="H23" s="158">
        <f>SUM(H6:H22)</f>
        <v>69.637287668799999</v>
      </c>
      <c r="I23" s="157">
        <f>H23/G23</f>
        <v>0.46703887218561541</v>
      </c>
    </row>
    <row r="25" spans="2:10">
      <c r="H25" t="s">
        <v>424</v>
      </c>
      <c r="I25">
        <v>151.24997685900007</v>
      </c>
      <c r="J25" s="3">
        <f>I25*I23</f>
        <v>70.639618610327815</v>
      </c>
    </row>
  </sheetData>
  <mergeCells count="3">
    <mergeCell ref="C4:C5"/>
    <mergeCell ref="D4:D5"/>
    <mergeCell ref="E4:E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2:R351"/>
  <sheetViews>
    <sheetView topLeftCell="D10" workbookViewId="0">
      <selection activeCell="M7" sqref="M7"/>
    </sheetView>
  </sheetViews>
  <sheetFormatPr defaultRowHeight="14.4"/>
  <cols>
    <col min="3" max="3" width="21.33203125" customWidth="1"/>
    <col min="4" max="10" width="14.6640625" customWidth="1"/>
    <col min="11" max="11" width="15.33203125" customWidth="1"/>
    <col min="12" max="12" width="13.33203125" customWidth="1"/>
    <col min="13" max="13" width="67.6640625" customWidth="1"/>
    <col min="14" max="14" width="9" customWidth="1"/>
  </cols>
  <sheetData>
    <row r="2" spans="2:18" ht="15" customHeight="1">
      <c r="B2" s="319" t="s">
        <v>100</v>
      </c>
      <c r="C2" s="319"/>
      <c r="D2" s="319"/>
      <c r="E2" s="319"/>
      <c r="F2" s="319"/>
      <c r="G2" s="319"/>
      <c r="H2" s="319"/>
      <c r="I2" s="319"/>
      <c r="J2" s="319"/>
      <c r="K2" s="319"/>
      <c r="L2" s="319"/>
      <c r="M2" s="319"/>
    </row>
    <row r="3" spans="2:18">
      <c r="B3" s="320" t="s">
        <v>156</v>
      </c>
      <c r="C3" s="320"/>
      <c r="D3" s="320"/>
      <c r="E3" s="320"/>
      <c r="F3" s="320"/>
      <c r="G3" s="320"/>
      <c r="H3" s="320"/>
      <c r="I3" s="320"/>
      <c r="J3" s="320"/>
      <c r="K3" s="320"/>
      <c r="L3" s="320"/>
      <c r="M3" s="320"/>
    </row>
    <row r="4" spans="2:18">
      <c r="B4" s="61"/>
      <c r="C4" s="61"/>
      <c r="D4" s="61"/>
      <c r="E4" s="316" t="s">
        <v>457</v>
      </c>
      <c r="F4" s="317"/>
      <c r="G4" s="317"/>
      <c r="H4" s="317"/>
      <c r="I4" s="318"/>
      <c r="J4" s="146"/>
      <c r="K4" s="61"/>
      <c r="L4" s="61"/>
      <c r="M4" s="61"/>
    </row>
    <row r="5" spans="2:18" ht="28.8">
      <c r="B5" s="66" t="s">
        <v>0</v>
      </c>
      <c r="C5" s="66" t="s">
        <v>1</v>
      </c>
      <c r="D5" s="33" t="s">
        <v>65</v>
      </c>
      <c r="E5" s="66" t="s">
        <v>458</v>
      </c>
      <c r="F5" s="66" t="s">
        <v>459</v>
      </c>
      <c r="G5" s="66" t="s">
        <v>460</v>
      </c>
      <c r="H5" s="66" t="s">
        <v>461</v>
      </c>
      <c r="I5" s="66" t="s">
        <v>462</v>
      </c>
      <c r="J5" s="66" t="s">
        <v>463</v>
      </c>
      <c r="K5" s="66" t="s">
        <v>97</v>
      </c>
      <c r="L5" s="66" t="s">
        <v>101</v>
      </c>
      <c r="M5" s="66" t="s">
        <v>22</v>
      </c>
    </row>
    <row r="6" spans="2:18" ht="14.4" customHeight="1">
      <c r="B6" s="322" t="s">
        <v>94</v>
      </c>
      <c r="C6" s="322"/>
      <c r="D6" s="322"/>
      <c r="E6" s="322"/>
      <c r="F6" s="322"/>
      <c r="G6" s="322"/>
      <c r="H6" s="322"/>
      <c r="I6" s="322"/>
      <c r="J6" s="322"/>
      <c r="K6" s="322"/>
      <c r="L6" s="322"/>
      <c r="M6" s="322"/>
    </row>
    <row r="7" spans="2:18" ht="409.6">
      <c r="B7" s="76">
        <v>1</v>
      </c>
      <c r="C7" s="63" t="s">
        <v>133</v>
      </c>
      <c r="D7" s="51">
        <f>F178</f>
        <v>264.43521027179679</v>
      </c>
      <c r="E7" s="51">
        <f>G178</f>
        <v>69.505726637999999</v>
      </c>
      <c r="F7" s="51">
        <f>H178</f>
        <v>44.051334771000001</v>
      </c>
      <c r="G7" s="51">
        <f t="shared" ref="G7:I7" si="0">I178</f>
        <v>21.434374601314996</v>
      </c>
      <c r="H7" s="51">
        <f t="shared" si="0"/>
        <v>10.210000000000001</v>
      </c>
      <c r="I7" s="51">
        <f t="shared" si="0"/>
        <v>0.38</v>
      </c>
      <c r="J7" s="51">
        <f>L178</f>
        <v>118.85487365148185</v>
      </c>
      <c r="K7" s="81">
        <f>G188</f>
        <v>170.01901940781846</v>
      </c>
      <c r="L7" s="82">
        <f>G189</f>
        <v>84.594992611175982</v>
      </c>
      <c r="M7" s="78" t="s">
        <v>658</v>
      </c>
      <c r="N7" s="39"/>
      <c r="O7" s="39"/>
      <c r="P7" s="39"/>
      <c r="Q7" s="39"/>
      <c r="R7" s="39">
        <v>0.3</v>
      </c>
    </row>
    <row r="8" spans="2:18">
      <c r="B8" s="79"/>
      <c r="C8" s="49" t="s">
        <v>21</v>
      </c>
      <c r="D8" s="52">
        <f t="shared" ref="D8:L8" si="1">D7</f>
        <v>264.43521027179679</v>
      </c>
      <c r="E8" s="52">
        <f t="shared" si="1"/>
        <v>69.505726637999999</v>
      </c>
      <c r="F8" s="52">
        <f t="shared" si="1"/>
        <v>44.051334771000001</v>
      </c>
      <c r="G8" s="52">
        <f t="shared" si="1"/>
        <v>21.434374601314996</v>
      </c>
      <c r="H8" s="52">
        <f t="shared" si="1"/>
        <v>10.210000000000001</v>
      </c>
      <c r="I8" s="52">
        <f t="shared" si="1"/>
        <v>0.38</v>
      </c>
      <c r="J8" s="52">
        <f t="shared" si="1"/>
        <v>118.85487365148185</v>
      </c>
      <c r="K8" s="52">
        <f t="shared" si="1"/>
        <v>170.01901940781846</v>
      </c>
      <c r="L8" s="52">
        <f t="shared" si="1"/>
        <v>84.594992611175982</v>
      </c>
      <c r="M8" s="80"/>
    </row>
    <row r="9" spans="2:18">
      <c r="B9" s="78"/>
      <c r="C9" s="78"/>
      <c r="D9" s="180">
        <f>D8-259.69</f>
        <v>4.7452102717967932</v>
      </c>
      <c r="E9" s="78"/>
      <c r="I9" s="78"/>
      <c r="J9" s="78"/>
      <c r="K9" s="78"/>
      <c r="L9" s="78"/>
      <c r="M9" s="78"/>
    </row>
    <row r="10" spans="2:18">
      <c r="B10" s="321" t="s">
        <v>20</v>
      </c>
      <c r="C10" s="321"/>
      <c r="D10" s="321"/>
      <c r="E10" s="321"/>
      <c r="F10" s="321"/>
      <c r="G10" s="321"/>
      <c r="H10" s="321"/>
      <c r="I10" s="321"/>
      <c r="J10" s="321"/>
      <c r="K10" s="321"/>
      <c r="L10" s="321"/>
      <c r="M10" s="321"/>
    </row>
    <row r="11" spans="2:18" ht="75" customHeight="1">
      <c r="B11" s="323" t="s">
        <v>672</v>
      </c>
      <c r="C11" s="324"/>
      <c r="D11" s="324"/>
      <c r="E11" s="324"/>
      <c r="F11" s="324"/>
      <c r="G11" s="324"/>
      <c r="H11" s="324"/>
      <c r="I11" s="324"/>
      <c r="J11" s="324"/>
      <c r="K11" s="324"/>
      <c r="L11" s="324"/>
      <c r="M11" s="325"/>
    </row>
    <row r="12" spans="2:18" ht="14.4" customHeight="1">
      <c r="B12" s="326"/>
      <c r="C12" s="327"/>
      <c r="D12" s="327"/>
      <c r="E12" s="327"/>
      <c r="F12" s="327"/>
      <c r="G12" s="327"/>
      <c r="H12" s="327"/>
      <c r="I12" s="327"/>
      <c r="J12" s="327"/>
      <c r="K12" s="327"/>
      <c r="L12" s="327"/>
      <c r="M12" s="328"/>
    </row>
    <row r="13" spans="2:18" ht="14.4" customHeight="1">
      <c r="B13" s="326"/>
      <c r="C13" s="327"/>
      <c r="D13" s="327"/>
      <c r="E13" s="327"/>
      <c r="F13" s="327"/>
      <c r="G13" s="327"/>
      <c r="H13" s="327"/>
      <c r="I13" s="327"/>
      <c r="J13" s="327"/>
      <c r="K13" s="327"/>
      <c r="L13" s="327"/>
      <c r="M13" s="328"/>
    </row>
    <row r="14" spans="2:18" ht="14.4" customHeight="1">
      <c r="B14" s="326"/>
      <c r="C14" s="327"/>
      <c r="D14" s="327"/>
      <c r="E14" s="327"/>
      <c r="F14" s="327"/>
      <c r="G14" s="327"/>
      <c r="H14" s="327"/>
      <c r="I14" s="327"/>
      <c r="J14" s="327"/>
      <c r="K14" s="327"/>
      <c r="L14" s="327"/>
      <c r="M14" s="328"/>
    </row>
    <row r="15" spans="2:18" ht="14.4" customHeight="1">
      <c r="B15" s="326"/>
      <c r="C15" s="327"/>
      <c r="D15" s="327"/>
      <c r="E15" s="327"/>
      <c r="F15" s="327"/>
      <c r="G15" s="327"/>
      <c r="H15" s="327"/>
      <c r="I15" s="327"/>
      <c r="J15" s="327"/>
      <c r="K15" s="327"/>
      <c r="L15" s="327"/>
      <c r="M15" s="328"/>
    </row>
    <row r="16" spans="2:18" ht="15" customHeight="1">
      <c r="B16" s="333"/>
      <c r="C16" s="333"/>
      <c r="D16" s="333"/>
      <c r="E16" s="333"/>
      <c r="F16" s="333"/>
      <c r="G16" s="333"/>
      <c r="H16" s="333"/>
      <c r="I16" s="333"/>
      <c r="J16" s="333"/>
      <c r="K16" s="333"/>
      <c r="L16" s="333"/>
      <c r="M16" s="333"/>
    </row>
    <row r="19" spans="1:14">
      <c r="A19" s="151" t="s">
        <v>420</v>
      </c>
      <c r="B19" s="151"/>
      <c r="C19" s="151"/>
      <c r="D19" s="151"/>
      <c r="E19" s="151"/>
      <c r="F19" s="151"/>
      <c r="G19" s="151"/>
      <c r="H19" s="151"/>
      <c r="I19" s="171"/>
      <c r="J19" s="171"/>
      <c r="K19" s="171"/>
      <c r="L19" s="171"/>
      <c r="M19" s="171">
        <f t="shared" ref="M19" si="2">SUBTOTAL(9,M22:M177)</f>
        <v>54.21668713348182</v>
      </c>
      <c r="N19" s="171"/>
    </row>
    <row r="20" spans="1:14" ht="43.2" customHeight="1">
      <c r="A20" s="172" t="s">
        <v>186</v>
      </c>
      <c r="B20" s="172" t="s">
        <v>187</v>
      </c>
      <c r="C20" s="172" t="s">
        <v>188</v>
      </c>
      <c r="D20" s="173" t="s">
        <v>6</v>
      </c>
      <c r="E20" s="173"/>
      <c r="F20" s="173"/>
      <c r="G20" s="329" t="s">
        <v>421</v>
      </c>
      <c r="H20" s="330"/>
      <c r="I20" s="330"/>
      <c r="J20" s="330"/>
      <c r="K20" s="331"/>
      <c r="L20" s="332" t="s">
        <v>422</v>
      </c>
      <c r="M20" s="332" t="s">
        <v>422</v>
      </c>
      <c r="N20" s="332" t="s">
        <v>22</v>
      </c>
    </row>
    <row r="21" spans="1:14" ht="14.4" customHeight="1">
      <c r="A21" s="172"/>
      <c r="B21" s="172"/>
      <c r="C21" s="172"/>
      <c r="D21" s="172" t="s">
        <v>423</v>
      </c>
      <c r="E21" s="172" t="s">
        <v>424</v>
      </c>
      <c r="F21" s="172" t="s">
        <v>425</v>
      </c>
      <c r="G21" s="172" t="s">
        <v>426</v>
      </c>
      <c r="H21" s="172" t="s">
        <v>427</v>
      </c>
      <c r="I21" s="172" t="s">
        <v>428</v>
      </c>
      <c r="J21" s="172" t="s">
        <v>429</v>
      </c>
      <c r="K21" s="172" t="s">
        <v>430</v>
      </c>
      <c r="L21" s="332"/>
      <c r="M21" s="332"/>
      <c r="N21" s="332"/>
    </row>
    <row r="22" spans="1:14" ht="28.95" customHeight="1">
      <c r="A22" s="174" t="s">
        <v>193</v>
      </c>
      <c r="B22" s="174" t="s">
        <v>194</v>
      </c>
      <c r="C22" s="175" t="s">
        <v>195</v>
      </c>
      <c r="D22" s="176">
        <v>0.84432949999999996</v>
      </c>
      <c r="E22" s="176">
        <v>0</v>
      </c>
      <c r="F22" s="176">
        <f>D22-E22</f>
        <v>0.84432949999999996</v>
      </c>
      <c r="G22" s="176">
        <v>0</v>
      </c>
      <c r="H22" s="176">
        <v>0</v>
      </c>
      <c r="I22" s="176">
        <v>0</v>
      </c>
      <c r="J22" s="176">
        <v>0</v>
      </c>
      <c r="K22" s="176">
        <v>0</v>
      </c>
      <c r="L22" s="176">
        <f>F22</f>
        <v>0.84432949999999996</v>
      </c>
      <c r="M22" s="176">
        <v>0</v>
      </c>
      <c r="N22" s="176"/>
    </row>
    <row r="23" spans="1:14">
      <c r="A23" s="174" t="s">
        <v>193</v>
      </c>
      <c r="B23" s="174" t="s">
        <v>196</v>
      </c>
      <c r="C23" s="175" t="s">
        <v>197</v>
      </c>
      <c r="D23" s="176">
        <v>3.1875870159999997</v>
      </c>
      <c r="E23" s="176">
        <v>0</v>
      </c>
      <c r="F23" s="176">
        <f t="shared" ref="F23:F86" si="3">D23-E23</f>
        <v>3.1875870159999997</v>
      </c>
      <c r="G23" s="176">
        <v>0</v>
      </c>
      <c r="H23" s="176">
        <v>0</v>
      </c>
      <c r="I23" s="176">
        <v>0</v>
      </c>
      <c r="J23" s="176">
        <v>0</v>
      </c>
      <c r="K23" s="176">
        <v>0</v>
      </c>
      <c r="L23" s="176">
        <f>F23</f>
        <v>3.1875870159999997</v>
      </c>
      <c r="M23" s="176">
        <v>1.4575870159999997</v>
      </c>
      <c r="N23" s="176" t="s">
        <v>431</v>
      </c>
    </row>
    <row r="24" spans="1:14" ht="28.8">
      <c r="A24" s="174" t="s">
        <v>193</v>
      </c>
      <c r="B24" s="174" t="s">
        <v>198</v>
      </c>
      <c r="C24" s="175" t="s">
        <v>199</v>
      </c>
      <c r="D24" s="176">
        <v>0</v>
      </c>
      <c r="E24" s="176">
        <v>0</v>
      </c>
      <c r="F24" s="176">
        <f t="shared" si="3"/>
        <v>0</v>
      </c>
      <c r="G24" s="176">
        <v>0</v>
      </c>
      <c r="H24" s="176">
        <v>0</v>
      </c>
      <c r="I24" s="176">
        <v>0</v>
      </c>
      <c r="J24" s="176">
        <v>0</v>
      </c>
      <c r="K24" s="176">
        <v>0</v>
      </c>
      <c r="L24" s="176"/>
      <c r="M24" s="176">
        <v>0</v>
      </c>
      <c r="N24" s="176"/>
    </row>
    <row r="25" spans="1:14" ht="57.6" hidden="1" customHeight="1">
      <c r="A25" s="174" t="s">
        <v>193</v>
      </c>
      <c r="B25" s="174" t="s">
        <v>200</v>
      </c>
      <c r="C25" s="175" t="s">
        <v>201</v>
      </c>
      <c r="D25" s="176">
        <v>0</v>
      </c>
      <c r="E25" s="176">
        <v>0</v>
      </c>
      <c r="F25" s="176">
        <f t="shared" si="3"/>
        <v>0</v>
      </c>
      <c r="G25" s="176">
        <v>0</v>
      </c>
      <c r="H25" s="176">
        <v>0</v>
      </c>
      <c r="I25" s="176">
        <v>0</v>
      </c>
      <c r="J25" s="176">
        <v>0</v>
      </c>
      <c r="K25" s="176">
        <v>0</v>
      </c>
      <c r="L25" s="176"/>
      <c r="M25" s="176">
        <v>0</v>
      </c>
      <c r="N25" s="176"/>
    </row>
    <row r="26" spans="1:14" ht="72" hidden="1" customHeight="1">
      <c r="A26" s="174" t="s">
        <v>193</v>
      </c>
      <c r="B26" s="174" t="s">
        <v>202</v>
      </c>
      <c r="C26" s="175" t="s">
        <v>203</v>
      </c>
      <c r="D26" s="176">
        <v>3.7750153069999999</v>
      </c>
      <c r="E26" s="176">
        <v>0</v>
      </c>
      <c r="F26" s="176">
        <f t="shared" si="3"/>
        <v>3.7750153069999999</v>
      </c>
      <c r="G26" s="176">
        <v>0</v>
      </c>
      <c r="H26" s="176">
        <v>0.25</v>
      </c>
      <c r="I26" s="176">
        <v>0.75</v>
      </c>
      <c r="J26" s="176">
        <v>0.25</v>
      </c>
      <c r="K26" s="176">
        <v>0</v>
      </c>
      <c r="L26" s="176">
        <f>F26-H26-I26-J26</f>
        <v>2.5250153069999999</v>
      </c>
      <c r="M26" s="176">
        <v>2.1750153069999998</v>
      </c>
      <c r="N26" s="176" t="s">
        <v>432</v>
      </c>
    </row>
    <row r="27" spans="1:14">
      <c r="A27" s="174" t="s">
        <v>193</v>
      </c>
      <c r="B27" s="174" t="s">
        <v>204</v>
      </c>
      <c r="C27" s="175" t="s">
        <v>205</v>
      </c>
      <c r="D27" s="176">
        <v>5.1208980000000005E-3</v>
      </c>
      <c r="E27" s="176">
        <v>0</v>
      </c>
      <c r="F27" s="176">
        <f t="shared" si="3"/>
        <v>5.1208980000000005E-3</v>
      </c>
      <c r="G27" s="176">
        <v>0</v>
      </c>
      <c r="H27" s="176">
        <v>0</v>
      </c>
      <c r="I27" s="176">
        <v>0</v>
      </c>
      <c r="J27" s="176">
        <v>0</v>
      </c>
      <c r="K27" s="176">
        <v>0</v>
      </c>
      <c r="L27" s="176">
        <f>F27</f>
        <v>5.1208980000000005E-3</v>
      </c>
      <c r="M27" s="176">
        <v>5.1208980000000005E-3</v>
      </c>
      <c r="N27" s="176" t="s">
        <v>433</v>
      </c>
    </row>
    <row r="28" spans="1:14" ht="28.8">
      <c r="A28" s="174" t="s">
        <v>193</v>
      </c>
      <c r="B28" s="174" t="s">
        <v>206</v>
      </c>
      <c r="C28" s="175" t="s">
        <v>201</v>
      </c>
      <c r="D28" s="176">
        <v>0.36443310000000001</v>
      </c>
      <c r="E28" s="176">
        <v>0</v>
      </c>
      <c r="F28" s="176">
        <f t="shared" si="3"/>
        <v>0.36443310000000001</v>
      </c>
      <c r="G28" s="176">
        <v>0</v>
      </c>
      <c r="H28" s="176">
        <v>0</v>
      </c>
      <c r="I28" s="176">
        <v>0</v>
      </c>
      <c r="J28" s="176">
        <v>0.36</v>
      </c>
      <c r="K28" s="176">
        <v>0</v>
      </c>
      <c r="L28" s="176">
        <v>0</v>
      </c>
      <c r="M28" s="176">
        <v>4.4331000000000231E-3</v>
      </c>
      <c r="N28" s="176"/>
    </row>
    <row r="29" spans="1:14" ht="28.8">
      <c r="A29" s="174" t="s">
        <v>193</v>
      </c>
      <c r="B29" s="174" t="s">
        <v>207</v>
      </c>
      <c r="C29" s="175" t="s">
        <v>208</v>
      </c>
      <c r="D29" s="176">
        <v>2.491120215</v>
      </c>
      <c r="E29" s="176">
        <v>0</v>
      </c>
      <c r="F29" s="176">
        <f t="shared" si="3"/>
        <v>2.491120215</v>
      </c>
      <c r="G29" s="176">
        <v>0</v>
      </c>
      <c r="H29" s="176">
        <v>0</v>
      </c>
      <c r="I29" s="176">
        <v>0</v>
      </c>
      <c r="J29" s="176">
        <v>0</v>
      </c>
      <c r="K29" s="176">
        <v>0</v>
      </c>
      <c r="L29" s="176">
        <f>F29</f>
        <v>2.491120215</v>
      </c>
      <c r="M29" s="176">
        <v>2.491120215</v>
      </c>
      <c r="N29" s="176" t="s">
        <v>433</v>
      </c>
    </row>
    <row r="30" spans="1:14">
      <c r="A30" s="174" t="s">
        <v>193</v>
      </c>
      <c r="B30" s="174" t="s">
        <v>209</v>
      </c>
      <c r="C30" s="175" t="s">
        <v>210</v>
      </c>
      <c r="D30" s="176">
        <v>24.622286142</v>
      </c>
      <c r="E30" s="176">
        <v>27.237895000000002</v>
      </c>
      <c r="F30" s="176">
        <f t="shared" si="3"/>
        <v>-2.6156088580000016</v>
      </c>
      <c r="G30" s="176">
        <v>0</v>
      </c>
      <c r="H30" s="176">
        <v>0</v>
      </c>
      <c r="I30" s="176">
        <v>-2.6156088580000016</v>
      </c>
      <c r="J30" s="176">
        <v>0</v>
      </c>
      <c r="K30" s="176">
        <v>0</v>
      </c>
      <c r="L30" s="176">
        <v>0</v>
      </c>
      <c r="M30" s="176">
        <v>0</v>
      </c>
      <c r="N30" s="176"/>
    </row>
    <row r="31" spans="1:14" ht="57.6">
      <c r="A31" s="174" t="s">
        <v>193</v>
      </c>
      <c r="B31" s="174" t="s">
        <v>211</v>
      </c>
      <c r="C31" s="175" t="s">
        <v>212</v>
      </c>
      <c r="D31" s="176">
        <v>0.95194102699999994</v>
      </c>
      <c r="E31" s="176">
        <v>0</v>
      </c>
      <c r="F31" s="176">
        <f t="shared" si="3"/>
        <v>0.95194102699999994</v>
      </c>
      <c r="G31" s="176">
        <v>0</v>
      </c>
      <c r="H31" s="176">
        <v>0</v>
      </c>
      <c r="I31" s="176">
        <v>0</v>
      </c>
      <c r="J31" s="176">
        <v>0</v>
      </c>
      <c r="K31" s="176">
        <v>0</v>
      </c>
      <c r="L31" s="176">
        <f>F31</f>
        <v>0.95194102699999994</v>
      </c>
      <c r="M31" s="176">
        <v>0.95194102699999994</v>
      </c>
      <c r="N31" s="176" t="s">
        <v>432</v>
      </c>
    </row>
    <row r="32" spans="1:14" ht="43.2">
      <c r="A32" s="174" t="s">
        <v>213</v>
      </c>
      <c r="B32" s="174" t="s">
        <v>214</v>
      </c>
      <c r="C32" s="175" t="s">
        <v>215</v>
      </c>
      <c r="D32" s="176">
        <v>25.404295312000002</v>
      </c>
      <c r="E32" s="176">
        <v>27.318179399999998</v>
      </c>
      <c r="F32" s="176">
        <f t="shared" si="3"/>
        <v>-1.9138840879999961</v>
      </c>
      <c r="G32" s="176">
        <f>F32</f>
        <v>-1.9138840879999961</v>
      </c>
      <c r="H32" s="176">
        <v>0</v>
      </c>
      <c r="I32" s="176">
        <v>0</v>
      </c>
      <c r="J32" s="176">
        <v>0</v>
      </c>
      <c r="K32" s="176">
        <v>0</v>
      </c>
      <c r="L32" s="176">
        <v>0</v>
      </c>
      <c r="M32" s="176">
        <v>0</v>
      </c>
      <c r="N32" s="176"/>
    </row>
    <row r="33" spans="1:14" ht="28.8">
      <c r="A33" s="174" t="s">
        <v>213</v>
      </c>
      <c r="B33" s="174" t="s">
        <v>216</v>
      </c>
      <c r="C33" s="175" t="s">
        <v>217</v>
      </c>
      <c r="D33" s="176">
        <v>0</v>
      </c>
      <c r="E33" s="176">
        <v>0</v>
      </c>
      <c r="F33" s="176">
        <f t="shared" si="3"/>
        <v>0</v>
      </c>
      <c r="G33" s="176">
        <v>0</v>
      </c>
      <c r="H33" s="176">
        <v>0</v>
      </c>
      <c r="I33" s="176">
        <v>0</v>
      </c>
      <c r="J33" s="176">
        <v>0</v>
      </c>
      <c r="K33" s="176">
        <v>0</v>
      </c>
      <c r="L33" s="176"/>
      <c r="M33" s="176">
        <v>0</v>
      </c>
      <c r="N33" s="176"/>
    </row>
    <row r="34" spans="1:14" ht="72" hidden="1" customHeight="1">
      <c r="A34" s="174" t="s">
        <v>213</v>
      </c>
      <c r="B34" s="174" t="s">
        <v>218</v>
      </c>
      <c r="C34" s="175" t="s">
        <v>219</v>
      </c>
      <c r="D34" s="176">
        <v>34.755665913000001</v>
      </c>
      <c r="E34" s="176">
        <v>0</v>
      </c>
      <c r="F34" s="176">
        <f t="shared" si="3"/>
        <v>34.755665913000001</v>
      </c>
      <c r="G34" s="176">
        <v>0</v>
      </c>
      <c r="H34" s="176">
        <v>0</v>
      </c>
      <c r="I34" s="176">
        <v>0</v>
      </c>
      <c r="J34" s="176">
        <v>0</v>
      </c>
      <c r="K34" s="176">
        <v>0</v>
      </c>
      <c r="L34" s="176">
        <f>F34</f>
        <v>34.755665913000001</v>
      </c>
      <c r="M34" s="176">
        <v>17.525665913000001</v>
      </c>
      <c r="N34" s="176" t="s">
        <v>431</v>
      </c>
    </row>
    <row r="35" spans="1:14" ht="28.8">
      <c r="A35" s="174" t="s">
        <v>213</v>
      </c>
      <c r="B35" s="174" t="s">
        <v>220</v>
      </c>
      <c r="C35" s="175" t="s">
        <v>221</v>
      </c>
      <c r="D35" s="176">
        <v>1.316238</v>
      </c>
      <c r="E35" s="176">
        <v>0</v>
      </c>
      <c r="F35" s="176">
        <f t="shared" si="3"/>
        <v>1.316238</v>
      </c>
      <c r="G35" s="176">
        <v>0</v>
      </c>
      <c r="H35" s="176">
        <v>0</v>
      </c>
      <c r="I35" s="176">
        <v>0</v>
      </c>
      <c r="J35" s="176">
        <v>0</v>
      </c>
      <c r="K35" s="176">
        <v>0</v>
      </c>
      <c r="L35" s="176">
        <f>F35</f>
        <v>1.316238</v>
      </c>
      <c r="M35" s="176">
        <v>0.921238</v>
      </c>
      <c r="N35" s="176" t="s">
        <v>434</v>
      </c>
    </row>
    <row r="36" spans="1:14" ht="43.2">
      <c r="A36" s="174" t="s">
        <v>213</v>
      </c>
      <c r="B36" s="174" t="s">
        <v>222</v>
      </c>
      <c r="C36" s="175" t="s">
        <v>215</v>
      </c>
      <c r="D36" s="176">
        <v>19.374609897999999</v>
      </c>
      <c r="E36" s="176">
        <v>0</v>
      </c>
      <c r="F36" s="176">
        <f t="shared" si="3"/>
        <v>19.374609897999999</v>
      </c>
      <c r="G36" s="176">
        <v>0</v>
      </c>
      <c r="H36" s="176">
        <v>19.37</v>
      </c>
      <c r="I36" s="176">
        <v>0</v>
      </c>
      <c r="J36" s="176">
        <v>0</v>
      </c>
      <c r="K36" s="176">
        <v>0</v>
      </c>
      <c r="L36" s="176">
        <v>0</v>
      </c>
      <c r="M36" s="176">
        <v>4.6098979999982248E-3</v>
      </c>
      <c r="N36" s="176"/>
    </row>
    <row r="37" spans="1:14" ht="28.8">
      <c r="A37" s="174" t="s">
        <v>213</v>
      </c>
      <c r="B37" s="174" t="s">
        <v>223</v>
      </c>
      <c r="C37" s="175" t="s">
        <v>224</v>
      </c>
      <c r="D37" s="176">
        <v>0</v>
      </c>
      <c r="E37" s="176">
        <v>0</v>
      </c>
      <c r="F37" s="176">
        <f t="shared" si="3"/>
        <v>0</v>
      </c>
      <c r="G37" s="176">
        <v>0</v>
      </c>
      <c r="H37" s="176">
        <v>0</v>
      </c>
      <c r="I37" s="176">
        <v>0</v>
      </c>
      <c r="J37" s="176">
        <v>0</v>
      </c>
      <c r="K37" s="176">
        <v>0</v>
      </c>
      <c r="L37" s="176"/>
      <c r="M37" s="176">
        <v>0</v>
      </c>
      <c r="N37" s="176"/>
    </row>
    <row r="38" spans="1:14" ht="43.2">
      <c r="A38" s="174" t="s">
        <v>213</v>
      </c>
      <c r="B38" s="174" t="s">
        <v>225</v>
      </c>
      <c r="C38" s="175" t="s">
        <v>215</v>
      </c>
      <c r="D38" s="176">
        <v>3.9665639100000001</v>
      </c>
      <c r="E38" s="176">
        <v>3.9665639000000001</v>
      </c>
      <c r="F38" s="176">
        <f t="shared" si="3"/>
        <v>9.9999999392252903E-9</v>
      </c>
      <c r="G38" s="176">
        <v>0</v>
      </c>
      <c r="H38" s="176">
        <v>0</v>
      </c>
      <c r="I38" s="176">
        <v>0</v>
      </c>
      <c r="J38" s="176">
        <v>0</v>
      </c>
      <c r="K38" s="176">
        <v>0</v>
      </c>
      <c r="L38" s="176"/>
      <c r="M38" s="176">
        <v>9.9999999392252903E-9</v>
      </c>
      <c r="N38" s="176"/>
    </row>
    <row r="39" spans="1:14" ht="43.2">
      <c r="A39" s="174" t="s">
        <v>213</v>
      </c>
      <c r="B39" s="174" t="s">
        <v>226</v>
      </c>
      <c r="C39" s="175" t="s">
        <v>215</v>
      </c>
      <c r="D39" s="176">
        <v>0.4653062</v>
      </c>
      <c r="E39" s="176">
        <v>0</v>
      </c>
      <c r="F39" s="176">
        <f t="shared" si="3"/>
        <v>0.4653062</v>
      </c>
      <c r="G39" s="176">
        <v>0</v>
      </c>
      <c r="H39" s="176">
        <v>0</v>
      </c>
      <c r="I39" s="176">
        <v>0</v>
      </c>
      <c r="J39" s="176">
        <v>0</v>
      </c>
      <c r="K39" s="176">
        <v>0</v>
      </c>
      <c r="L39" s="176">
        <f>F39</f>
        <v>0.4653062</v>
      </c>
      <c r="M39" s="176">
        <v>-4.6937999999999702E-3</v>
      </c>
      <c r="N39" s="176"/>
    </row>
    <row r="40" spans="1:14">
      <c r="A40" s="174" t="s">
        <v>213</v>
      </c>
      <c r="B40" s="174" t="s">
        <v>226</v>
      </c>
      <c r="C40" s="175" t="s">
        <v>227</v>
      </c>
      <c r="D40" s="176">
        <v>6.8313200000000004E-2</v>
      </c>
      <c r="E40" s="176">
        <v>0</v>
      </c>
      <c r="F40" s="176">
        <f t="shared" si="3"/>
        <v>6.8313200000000004E-2</v>
      </c>
      <c r="G40" s="176">
        <v>0</v>
      </c>
      <c r="H40" s="176">
        <v>0</v>
      </c>
      <c r="I40" s="176">
        <v>0</v>
      </c>
      <c r="J40" s="176">
        <v>0</v>
      </c>
      <c r="K40" s="176">
        <v>0</v>
      </c>
      <c r="L40" s="176">
        <f>F40</f>
        <v>6.8313200000000004E-2</v>
      </c>
      <c r="M40" s="176">
        <v>0</v>
      </c>
      <c r="N40" s="176"/>
    </row>
    <row r="41" spans="1:14">
      <c r="A41" s="174" t="s">
        <v>213</v>
      </c>
      <c r="B41" s="174" t="s">
        <v>228</v>
      </c>
      <c r="C41" s="175" t="s">
        <v>229</v>
      </c>
      <c r="D41" s="176">
        <v>11.0179098</v>
      </c>
      <c r="E41" s="176">
        <v>0</v>
      </c>
      <c r="F41" s="176">
        <f t="shared" si="3"/>
        <v>11.0179098</v>
      </c>
      <c r="G41" s="176">
        <v>5.5</v>
      </c>
      <c r="H41" s="176">
        <f>F41-G41</f>
        <v>5.5179098</v>
      </c>
      <c r="I41" s="176"/>
      <c r="J41" s="176">
        <v>0</v>
      </c>
      <c r="K41" s="176">
        <v>0</v>
      </c>
      <c r="L41" s="176">
        <v>0</v>
      </c>
      <c r="M41" s="176">
        <v>0</v>
      </c>
      <c r="N41" s="176"/>
    </row>
    <row r="42" spans="1:14" ht="28.8">
      <c r="A42" s="174" t="s">
        <v>213</v>
      </c>
      <c r="B42" s="174" t="s">
        <v>230</v>
      </c>
      <c r="C42" s="175" t="s">
        <v>217</v>
      </c>
      <c r="D42" s="176">
        <v>0</v>
      </c>
      <c r="E42" s="176">
        <v>0</v>
      </c>
      <c r="F42" s="176">
        <f t="shared" si="3"/>
        <v>0</v>
      </c>
      <c r="G42" s="176">
        <v>0</v>
      </c>
      <c r="H42" s="176">
        <v>0</v>
      </c>
      <c r="I42" s="176">
        <v>0</v>
      </c>
      <c r="J42" s="176">
        <v>0</v>
      </c>
      <c r="K42" s="176">
        <v>0</v>
      </c>
      <c r="L42" s="176"/>
      <c r="M42" s="176">
        <v>0</v>
      </c>
      <c r="N42" s="176"/>
    </row>
    <row r="43" spans="1:14" ht="72" hidden="1" customHeight="1">
      <c r="A43" s="174" t="s">
        <v>213</v>
      </c>
      <c r="B43" s="174" t="s">
        <v>231</v>
      </c>
      <c r="C43" s="175" t="s">
        <v>217</v>
      </c>
      <c r="D43" s="176">
        <v>31.139983459315001</v>
      </c>
      <c r="E43" s="176">
        <v>0</v>
      </c>
      <c r="F43" s="176">
        <f t="shared" si="3"/>
        <v>31.139983459315001</v>
      </c>
      <c r="G43" s="176">
        <v>0</v>
      </c>
      <c r="H43" s="176">
        <v>0</v>
      </c>
      <c r="I43" s="176">
        <v>21.129983459315</v>
      </c>
      <c r="J43" s="176">
        <v>0</v>
      </c>
      <c r="K43" s="176">
        <v>0</v>
      </c>
      <c r="L43" s="176">
        <f>F43-I43</f>
        <v>10.010000000000002</v>
      </c>
      <c r="M43" s="176">
        <v>0</v>
      </c>
      <c r="N43" s="176"/>
    </row>
    <row r="44" spans="1:14">
      <c r="A44" s="174" t="s">
        <v>213</v>
      </c>
      <c r="B44" s="174" t="s">
        <v>232</v>
      </c>
      <c r="C44" s="175" t="s">
        <v>229</v>
      </c>
      <c r="D44" s="176">
        <v>3.9999999999999998E-7</v>
      </c>
      <c r="E44" s="176">
        <v>0</v>
      </c>
      <c r="F44" s="176">
        <f t="shared" si="3"/>
        <v>3.9999999999999998E-7</v>
      </c>
      <c r="G44" s="176">
        <v>0</v>
      </c>
      <c r="H44" s="176">
        <v>0</v>
      </c>
      <c r="I44" s="176">
        <v>0</v>
      </c>
      <c r="J44" s="176">
        <v>0</v>
      </c>
      <c r="K44" s="176">
        <v>0</v>
      </c>
      <c r="L44" s="176">
        <f>F44</f>
        <v>3.9999999999999998E-7</v>
      </c>
      <c r="M44" s="176">
        <v>3.9999999999999998E-7</v>
      </c>
      <c r="N44" s="176"/>
    </row>
    <row r="45" spans="1:14" ht="28.8">
      <c r="A45" s="174" t="s">
        <v>213</v>
      </c>
      <c r="B45" s="174" t="s">
        <v>233</v>
      </c>
      <c r="C45" s="175" t="s">
        <v>234</v>
      </c>
      <c r="D45" s="176">
        <v>1.42</v>
      </c>
      <c r="E45" s="176">
        <v>1.42</v>
      </c>
      <c r="F45" s="176">
        <f t="shared" si="3"/>
        <v>0</v>
      </c>
      <c r="G45" s="176">
        <v>0</v>
      </c>
      <c r="H45" s="176">
        <v>0</v>
      </c>
      <c r="I45" s="176">
        <v>0</v>
      </c>
      <c r="J45" s="176">
        <v>0</v>
      </c>
      <c r="K45" s="176">
        <v>0</v>
      </c>
      <c r="L45" s="176"/>
      <c r="M45" s="176">
        <v>0</v>
      </c>
      <c r="N45" s="176"/>
    </row>
    <row r="46" spans="1:14" ht="72" hidden="1" customHeight="1">
      <c r="A46" s="174" t="s">
        <v>213</v>
      </c>
      <c r="B46" s="174" t="s">
        <v>235</v>
      </c>
      <c r="C46" s="175" t="s">
        <v>236</v>
      </c>
      <c r="D46" s="176">
        <v>0.35787010000000002</v>
      </c>
      <c r="E46" s="176">
        <v>0.35787010000000002</v>
      </c>
      <c r="F46" s="176">
        <f t="shared" si="3"/>
        <v>0</v>
      </c>
      <c r="G46" s="176">
        <v>0</v>
      </c>
      <c r="H46" s="176">
        <v>0</v>
      </c>
      <c r="I46" s="176">
        <v>0</v>
      </c>
      <c r="J46" s="176">
        <v>0</v>
      </c>
      <c r="K46" s="176">
        <v>0</v>
      </c>
      <c r="L46" s="176"/>
      <c r="M46" s="176">
        <v>0</v>
      </c>
      <c r="N46" s="176"/>
    </row>
    <row r="47" spans="1:14" ht="43.2" hidden="1" customHeight="1">
      <c r="A47" s="174" t="s">
        <v>213</v>
      </c>
      <c r="B47" s="174" t="s">
        <v>237</v>
      </c>
      <c r="C47" s="175" t="s">
        <v>238</v>
      </c>
      <c r="D47" s="176">
        <v>0</v>
      </c>
      <c r="E47" s="176">
        <v>0</v>
      </c>
      <c r="F47" s="176">
        <f t="shared" si="3"/>
        <v>0</v>
      </c>
      <c r="G47" s="176">
        <v>0</v>
      </c>
      <c r="H47" s="176">
        <v>0</v>
      </c>
      <c r="I47" s="176">
        <v>0</v>
      </c>
      <c r="J47" s="176">
        <v>0</v>
      </c>
      <c r="K47" s="176">
        <v>0</v>
      </c>
      <c r="L47" s="176"/>
      <c r="M47" s="176">
        <v>0</v>
      </c>
      <c r="N47" s="176"/>
    </row>
    <row r="48" spans="1:14" ht="86.4" hidden="1" customHeight="1">
      <c r="A48" s="174" t="s">
        <v>239</v>
      </c>
      <c r="B48" s="174" t="s">
        <v>240</v>
      </c>
      <c r="C48" s="175" t="s">
        <v>240</v>
      </c>
      <c r="D48" s="176">
        <v>30.238753975999998</v>
      </c>
      <c r="E48" s="176">
        <v>30.238754</v>
      </c>
      <c r="F48" s="176">
        <f t="shared" si="3"/>
        <v>-2.4000001985768904E-8</v>
      </c>
      <c r="G48" s="176">
        <v>0</v>
      </c>
      <c r="H48" s="176">
        <v>0</v>
      </c>
      <c r="I48" s="176">
        <v>0</v>
      </c>
      <c r="J48" s="176">
        <v>0</v>
      </c>
      <c r="K48" s="176">
        <v>0</v>
      </c>
      <c r="L48" s="176"/>
      <c r="M48" s="176">
        <v>-2.4000001985768904E-8</v>
      </c>
      <c r="N48" s="176"/>
    </row>
    <row r="49" spans="1:14" ht="28.95" hidden="1" customHeight="1">
      <c r="A49" s="174" t="s">
        <v>239</v>
      </c>
      <c r="B49" s="174" t="s">
        <v>241</v>
      </c>
      <c r="C49" s="175" t="s">
        <v>242</v>
      </c>
      <c r="D49" s="176">
        <v>4.598553098</v>
      </c>
      <c r="E49" s="176">
        <v>4.5985531039999996</v>
      </c>
      <c r="F49" s="176">
        <f t="shared" si="3"/>
        <v>-5.9999996082638063E-9</v>
      </c>
      <c r="G49" s="176">
        <v>0</v>
      </c>
      <c r="H49" s="176">
        <v>0</v>
      </c>
      <c r="I49" s="176">
        <v>0</v>
      </c>
      <c r="J49" s="176">
        <v>0</v>
      </c>
      <c r="K49" s="176">
        <v>0</v>
      </c>
      <c r="L49" s="176"/>
      <c r="M49" s="176">
        <v>-5.9999996082638063E-9</v>
      </c>
      <c r="N49" s="176"/>
    </row>
    <row r="50" spans="1:14" ht="28.95" hidden="1" customHeight="1">
      <c r="A50" s="174" t="s">
        <v>239</v>
      </c>
      <c r="B50" s="174" t="s">
        <v>243</v>
      </c>
      <c r="C50" s="175" t="s">
        <v>244</v>
      </c>
      <c r="D50" s="176">
        <v>4.6379162000000003</v>
      </c>
      <c r="E50" s="176">
        <v>4.6900000000000004</v>
      </c>
      <c r="F50" s="176">
        <f t="shared" si="3"/>
        <v>-5.2083800000000124E-2</v>
      </c>
      <c r="G50" s="176">
        <v>0</v>
      </c>
      <c r="H50" s="176">
        <v>0</v>
      </c>
      <c r="I50" s="176">
        <v>0</v>
      </c>
      <c r="J50" s="176">
        <v>0</v>
      </c>
      <c r="K50" s="176">
        <v>0</v>
      </c>
      <c r="L50" s="176"/>
      <c r="M50" s="176">
        <v>-5.2083800000000124E-2</v>
      </c>
      <c r="N50" s="176" t="s">
        <v>432</v>
      </c>
    </row>
    <row r="51" spans="1:14">
      <c r="A51" s="174" t="s">
        <v>239</v>
      </c>
      <c r="B51" s="174" t="s">
        <v>245</v>
      </c>
      <c r="C51" s="175" t="s">
        <v>246</v>
      </c>
      <c r="D51" s="176">
        <v>12.02605638</v>
      </c>
      <c r="E51" s="176">
        <v>0</v>
      </c>
      <c r="F51" s="176">
        <f t="shared" si="3"/>
        <v>12.02605638</v>
      </c>
      <c r="G51" s="176">
        <v>0</v>
      </c>
      <c r="H51" s="176">
        <v>0</v>
      </c>
      <c r="I51" s="177">
        <v>0.93</v>
      </c>
      <c r="J51" s="176">
        <v>7.53</v>
      </c>
      <c r="K51" s="176">
        <v>0</v>
      </c>
      <c r="L51" s="176">
        <f>F51-I51-J51</f>
        <v>3.56605638</v>
      </c>
      <c r="M51" s="176">
        <v>-3.9436199999998145E-3</v>
      </c>
      <c r="N51" s="176" t="s">
        <v>432</v>
      </c>
    </row>
    <row r="52" spans="1:14">
      <c r="A52" s="174" t="s">
        <v>239</v>
      </c>
      <c r="B52" s="174" t="s">
        <v>247</v>
      </c>
      <c r="C52" s="175" t="s">
        <v>248</v>
      </c>
      <c r="D52" s="176">
        <v>0.44745121400000004</v>
      </c>
      <c r="E52" s="176">
        <v>0</v>
      </c>
      <c r="F52" s="176">
        <f t="shared" si="3"/>
        <v>0.44745121400000004</v>
      </c>
      <c r="G52" s="176">
        <v>0.35959361400000006</v>
      </c>
      <c r="H52" s="176"/>
      <c r="I52" s="176">
        <v>0</v>
      </c>
      <c r="J52" s="176">
        <v>0</v>
      </c>
      <c r="K52" s="176">
        <v>0</v>
      </c>
      <c r="L52" s="176">
        <f>F52-G52</f>
        <v>8.785759999999998E-2</v>
      </c>
      <c r="M52" s="176">
        <v>0</v>
      </c>
      <c r="N52" s="176"/>
    </row>
    <row r="53" spans="1:14">
      <c r="A53" s="174" t="s">
        <v>239</v>
      </c>
      <c r="B53" s="174" t="s">
        <v>249</v>
      </c>
      <c r="C53" s="175" t="s">
        <v>250</v>
      </c>
      <c r="D53" s="176">
        <v>10.7246083</v>
      </c>
      <c r="E53" s="176">
        <v>0</v>
      </c>
      <c r="F53" s="176">
        <f t="shared" si="3"/>
        <v>10.7246083</v>
      </c>
      <c r="G53" s="176">
        <v>6.5407856000000004</v>
      </c>
      <c r="H53" s="176">
        <v>0</v>
      </c>
      <c r="I53" s="176">
        <v>0</v>
      </c>
      <c r="J53" s="176">
        <v>0</v>
      </c>
      <c r="K53" s="176">
        <v>0</v>
      </c>
      <c r="L53" s="176">
        <f>F53-G53</f>
        <v>4.1838226999999995</v>
      </c>
      <c r="M53" s="176">
        <v>4.1838226999999995</v>
      </c>
      <c r="N53" s="176" t="s">
        <v>432</v>
      </c>
    </row>
    <row r="54" spans="1:14">
      <c r="A54" s="174" t="s">
        <v>239</v>
      </c>
      <c r="B54" s="174" t="s">
        <v>251</v>
      </c>
      <c r="C54" s="175" t="s">
        <v>248</v>
      </c>
      <c r="D54" s="176">
        <v>0.83837539999999999</v>
      </c>
      <c r="E54" s="176">
        <v>0</v>
      </c>
      <c r="F54" s="176">
        <f t="shared" si="3"/>
        <v>0.83837539999999999</v>
      </c>
      <c r="G54" s="176">
        <v>0</v>
      </c>
      <c r="H54" s="176">
        <v>0</v>
      </c>
      <c r="I54" s="176">
        <v>0</v>
      </c>
      <c r="J54" s="176">
        <v>0</v>
      </c>
      <c r="K54" s="176">
        <v>0</v>
      </c>
      <c r="L54" s="176">
        <f>F54</f>
        <v>0.83837539999999999</v>
      </c>
      <c r="M54" s="176">
        <v>0</v>
      </c>
      <c r="N54" s="176"/>
    </row>
    <row r="55" spans="1:14">
      <c r="A55" s="174" t="s">
        <v>239</v>
      </c>
      <c r="B55" s="174" t="s">
        <v>252</v>
      </c>
      <c r="C55" s="175" t="s">
        <v>250</v>
      </c>
      <c r="D55" s="176">
        <v>23.464363200000001</v>
      </c>
      <c r="E55" s="176">
        <v>0</v>
      </c>
      <c r="F55" s="176">
        <f t="shared" si="3"/>
        <v>23.464363200000001</v>
      </c>
      <c r="G55" s="176">
        <v>16.37436851</v>
      </c>
      <c r="H55" s="176">
        <f>2.95+0.09</f>
        <v>3.04</v>
      </c>
      <c r="I55" s="176">
        <v>0</v>
      </c>
      <c r="J55" s="176">
        <v>0</v>
      </c>
      <c r="K55" s="176">
        <v>0</v>
      </c>
      <c r="L55" s="176">
        <f>F55-G55-H55</f>
        <v>4.049994690000001</v>
      </c>
      <c r="M55" s="176">
        <v>4.049994690000001</v>
      </c>
      <c r="N55" s="176" t="s">
        <v>432</v>
      </c>
    </row>
    <row r="56" spans="1:14">
      <c r="A56" s="174" t="s">
        <v>239</v>
      </c>
      <c r="B56" s="174" t="s">
        <v>253</v>
      </c>
      <c r="C56" s="175" t="s">
        <v>250</v>
      </c>
      <c r="D56" s="176">
        <v>0</v>
      </c>
      <c r="E56" s="176">
        <v>0</v>
      </c>
      <c r="F56" s="176">
        <f t="shared" si="3"/>
        <v>0</v>
      </c>
      <c r="G56" s="176">
        <v>0</v>
      </c>
      <c r="H56" s="176">
        <v>0</v>
      </c>
      <c r="I56" s="176">
        <v>0</v>
      </c>
      <c r="J56" s="176">
        <v>0</v>
      </c>
      <c r="K56" s="176">
        <v>0</v>
      </c>
      <c r="L56" s="176"/>
      <c r="M56" s="176">
        <v>0</v>
      </c>
      <c r="N56" s="176"/>
    </row>
    <row r="57" spans="1:14" ht="14.4" hidden="1" customHeight="1">
      <c r="A57" s="174" t="s">
        <v>239</v>
      </c>
      <c r="B57" s="174" t="s">
        <v>254</v>
      </c>
      <c r="C57" s="175" t="s">
        <v>246</v>
      </c>
      <c r="D57" s="176">
        <v>0.46474949999999998</v>
      </c>
      <c r="E57" s="176">
        <v>0</v>
      </c>
      <c r="F57" s="176">
        <f t="shared" si="3"/>
        <v>0.46474949999999998</v>
      </c>
      <c r="G57" s="176">
        <v>0.46474949999999998</v>
      </c>
      <c r="H57" s="176">
        <v>0</v>
      </c>
      <c r="I57" s="176">
        <v>0</v>
      </c>
      <c r="J57" s="176">
        <v>0</v>
      </c>
      <c r="K57" s="176">
        <v>0</v>
      </c>
      <c r="L57" s="176">
        <v>0</v>
      </c>
      <c r="M57" s="176">
        <v>0</v>
      </c>
      <c r="N57" s="176"/>
    </row>
    <row r="58" spans="1:14" ht="57.6">
      <c r="A58" s="174" t="s">
        <v>239</v>
      </c>
      <c r="B58" s="174" t="s">
        <v>255</v>
      </c>
      <c r="C58" s="175" t="s">
        <v>256</v>
      </c>
      <c r="D58" s="176">
        <v>5.4716396299999994</v>
      </c>
      <c r="E58" s="176">
        <v>0</v>
      </c>
      <c r="F58" s="176">
        <f t="shared" si="3"/>
        <v>5.4716396299999994</v>
      </c>
      <c r="G58" s="176">
        <v>3.7982474589999997</v>
      </c>
      <c r="H58" s="176">
        <v>1.67</v>
      </c>
      <c r="I58" s="176">
        <v>0</v>
      </c>
      <c r="J58" s="176">
        <v>0</v>
      </c>
      <c r="K58" s="176">
        <v>0</v>
      </c>
      <c r="L58" s="176">
        <f>F58-G58-H58</f>
        <v>3.3921709999997773E-3</v>
      </c>
      <c r="M58" s="176">
        <v>3.3921709999997773E-3</v>
      </c>
      <c r="N58" s="176" t="s">
        <v>432</v>
      </c>
    </row>
    <row r="59" spans="1:14" ht="57.6">
      <c r="A59" s="174" t="s">
        <v>239</v>
      </c>
      <c r="B59" s="174" t="s">
        <v>257</v>
      </c>
      <c r="C59" s="175" t="s">
        <v>258</v>
      </c>
      <c r="D59" s="176">
        <v>-0.46443535700000005</v>
      </c>
      <c r="E59" s="176">
        <v>0</v>
      </c>
      <c r="F59" s="176">
        <f t="shared" si="3"/>
        <v>-0.46443535700000005</v>
      </c>
      <c r="G59" s="176">
        <f>F59</f>
        <v>-0.46443535700000005</v>
      </c>
      <c r="H59" s="176">
        <v>0</v>
      </c>
      <c r="I59" s="176">
        <v>0</v>
      </c>
      <c r="J59" s="176">
        <v>0</v>
      </c>
      <c r="K59" s="176">
        <v>0</v>
      </c>
      <c r="L59" s="176">
        <v>0</v>
      </c>
      <c r="M59" s="176">
        <v>0</v>
      </c>
      <c r="N59" s="176"/>
    </row>
    <row r="60" spans="1:14">
      <c r="A60" s="174" t="s">
        <v>239</v>
      </c>
      <c r="B60" s="174" t="s">
        <v>259</v>
      </c>
      <c r="C60" s="175" t="s">
        <v>246</v>
      </c>
      <c r="D60" s="176">
        <v>2.8367390000000001</v>
      </c>
      <c r="E60" s="176">
        <v>0</v>
      </c>
      <c r="F60" s="176">
        <f t="shared" si="3"/>
        <v>2.8367390000000001</v>
      </c>
      <c r="G60" s="176">
        <v>0</v>
      </c>
      <c r="H60" s="176">
        <v>1.31</v>
      </c>
      <c r="I60" s="176">
        <f>1.53-0.29</f>
        <v>1.24</v>
      </c>
      <c r="J60" s="176">
        <v>0</v>
      </c>
      <c r="K60" s="176">
        <v>0</v>
      </c>
      <c r="L60" s="176">
        <f>F60-H60-I60</f>
        <v>0.28673900000000008</v>
      </c>
      <c r="M60" s="176">
        <v>0.28673900000000008</v>
      </c>
      <c r="N60" s="176" t="s">
        <v>432</v>
      </c>
    </row>
    <row r="61" spans="1:14" ht="43.2">
      <c r="A61" s="174" t="s">
        <v>239</v>
      </c>
      <c r="B61" s="174" t="s">
        <v>260</v>
      </c>
      <c r="C61" s="175" t="s">
        <v>261</v>
      </c>
      <c r="D61" s="176">
        <v>-1.905E-3</v>
      </c>
      <c r="E61" s="176">
        <v>0</v>
      </c>
      <c r="F61" s="176">
        <f t="shared" si="3"/>
        <v>-1.905E-3</v>
      </c>
      <c r="G61" s="176">
        <v>0</v>
      </c>
      <c r="H61" s="176">
        <v>0</v>
      </c>
      <c r="I61" s="176">
        <v>0</v>
      </c>
      <c r="J61" s="176">
        <v>0</v>
      </c>
      <c r="K61" s="176">
        <v>0</v>
      </c>
      <c r="L61" s="176">
        <f>F61</f>
        <v>-1.905E-3</v>
      </c>
      <c r="M61" s="176">
        <v>-1.905E-3</v>
      </c>
      <c r="N61" s="176"/>
    </row>
    <row r="62" spans="1:14" ht="43.2">
      <c r="A62" s="174" t="s">
        <v>239</v>
      </c>
      <c r="B62" s="174" t="s">
        <v>262</v>
      </c>
      <c r="C62" s="175" t="s">
        <v>261</v>
      </c>
      <c r="D62" s="176">
        <v>0.14129237099999933</v>
      </c>
      <c r="E62" s="176">
        <v>0</v>
      </c>
      <c r="F62" s="176">
        <f t="shared" si="3"/>
        <v>0.14129237099999933</v>
      </c>
      <c r="G62" s="176">
        <v>0.14000000000000001</v>
      </c>
      <c r="H62" s="176">
        <v>0</v>
      </c>
      <c r="I62" s="176">
        <v>0</v>
      </c>
      <c r="J62" s="176">
        <v>0</v>
      </c>
      <c r="K62" s="176">
        <v>0</v>
      </c>
      <c r="L62" s="176">
        <v>0</v>
      </c>
      <c r="M62" s="176">
        <v>1.2923709999993205E-3</v>
      </c>
      <c r="N62" s="176"/>
    </row>
    <row r="63" spans="1:14" ht="43.2">
      <c r="A63" s="174" t="s">
        <v>239</v>
      </c>
      <c r="B63" s="174" t="s">
        <v>263</v>
      </c>
      <c r="C63" s="175" t="s">
        <v>261</v>
      </c>
      <c r="D63" s="176">
        <v>0.23096114099999965</v>
      </c>
      <c r="E63" s="176">
        <v>0</v>
      </c>
      <c r="F63" s="176">
        <f t="shared" si="3"/>
        <v>0.23096114099999965</v>
      </c>
      <c r="G63" s="176">
        <v>0.23</v>
      </c>
      <c r="H63" s="176">
        <v>0</v>
      </c>
      <c r="I63" s="176">
        <v>0</v>
      </c>
      <c r="J63" s="176">
        <v>0</v>
      </c>
      <c r="K63" s="176">
        <v>0</v>
      </c>
      <c r="L63" s="176">
        <v>0</v>
      </c>
      <c r="M63" s="176">
        <v>9.6114099999963787E-4</v>
      </c>
      <c r="N63" s="176"/>
    </row>
    <row r="64" spans="1:14" ht="43.2">
      <c r="A64" s="174" t="s">
        <v>239</v>
      </c>
      <c r="B64" s="174" t="s">
        <v>264</v>
      </c>
      <c r="C64" s="175" t="s">
        <v>265</v>
      </c>
      <c r="D64" s="176">
        <v>4.9999999999999998E-7</v>
      </c>
      <c r="E64" s="176">
        <v>0</v>
      </c>
      <c r="F64" s="176">
        <f t="shared" si="3"/>
        <v>4.9999999999999998E-7</v>
      </c>
      <c r="G64" s="176">
        <v>0</v>
      </c>
      <c r="H64" s="176">
        <v>0</v>
      </c>
      <c r="I64" s="176">
        <v>0</v>
      </c>
      <c r="J64" s="176">
        <v>0</v>
      </c>
      <c r="K64" s="176">
        <v>0</v>
      </c>
      <c r="L64" s="176"/>
      <c r="M64" s="176">
        <v>4.9999999999999998E-7</v>
      </c>
      <c r="N64" s="176"/>
    </row>
    <row r="65" spans="1:14" ht="72" hidden="1" customHeight="1">
      <c r="A65" s="174" t="s">
        <v>239</v>
      </c>
      <c r="B65" s="174" t="s">
        <v>266</v>
      </c>
      <c r="C65" s="175" t="s">
        <v>265</v>
      </c>
      <c r="D65" s="176">
        <v>1.9999999999999999E-7</v>
      </c>
      <c r="E65" s="176">
        <v>0</v>
      </c>
      <c r="F65" s="176">
        <f t="shared" si="3"/>
        <v>1.9999999999999999E-7</v>
      </c>
      <c r="G65" s="176">
        <v>0</v>
      </c>
      <c r="H65" s="176">
        <v>0</v>
      </c>
      <c r="I65" s="176">
        <v>0</v>
      </c>
      <c r="J65" s="176">
        <v>0</v>
      </c>
      <c r="K65" s="176">
        <v>0</v>
      </c>
      <c r="L65" s="176"/>
      <c r="M65" s="176">
        <v>1.9999999999999999E-7</v>
      </c>
      <c r="N65" s="176"/>
    </row>
    <row r="66" spans="1:14" ht="72" hidden="1" customHeight="1">
      <c r="A66" s="174" t="s">
        <v>239</v>
      </c>
      <c r="B66" s="174" t="s">
        <v>267</v>
      </c>
      <c r="C66" s="175" t="s">
        <v>265</v>
      </c>
      <c r="D66" s="176">
        <v>-4.9999999999999998E-7</v>
      </c>
      <c r="E66" s="176">
        <v>0</v>
      </c>
      <c r="F66" s="176">
        <f t="shared" si="3"/>
        <v>-4.9999999999999998E-7</v>
      </c>
      <c r="G66" s="176">
        <v>0</v>
      </c>
      <c r="H66" s="176">
        <v>0</v>
      </c>
      <c r="I66" s="176">
        <v>0</v>
      </c>
      <c r="J66" s="176">
        <v>0</v>
      </c>
      <c r="K66" s="176">
        <v>0</v>
      </c>
      <c r="L66" s="176"/>
      <c r="M66" s="176">
        <v>-4.9999999999999998E-7</v>
      </c>
      <c r="N66" s="176"/>
    </row>
    <row r="67" spans="1:14" ht="72" hidden="1" customHeight="1">
      <c r="A67" s="174" t="s">
        <v>239</v>
      </c>
      <c r="B67" s="174" t="s">
        <v>268</v>
      </c>
      <c r="C67" s="175" t="s">
        <v>265</v>
      </c>
      <c r="D67" s="176">
        <v>-2.7705799999999999E-2</v>
      </c>
      <c r="E67" s="176">
        <v>0</v>
      </c>
      <c r="F67" s="176">
        <f t="shared" si="3"/>
        <v>-2.7705799999999999E-2</v>
      </c>
      <c r="G67" s="176">
        <v>0</v>
      </c>
      <c r="H67" s="176">
        <v>-2.7705799999999999E-2</v>
      </c>
      <c r="I67" s="176">
        <v>0</v>
      </c>
      <c r="J67" s="176">
        <v>0</v>
      </c>
      <c r="K67" s="176">
        <v>0</v>
      </c>
      <c r="L67" s="176">
        <v>0</v>
      </c>
      <c r="M67" s="176">
        <v>0</v>
      </c>
      <c r="N67" s="176"/>
    </row>
    <row r="68" spans="1:14" ht="43.2">
      <c r="A68" s="174" t="s">
        <v>239</v>
      </c>
      <c r="B68" s="174" t="s">
        <v>269</v>
      </c>
      <c r="C68" s="175" t="s">
        <v>265</v>
      </c>
      <c r="D68" s="176">
        <v>8.5630399999999995E-2</v>
      </c>
      <c r="E68" s="176">
        <v>0</v>
      </c>
      <c r="F68" s="176">
        <f t="shared" si="3"/>
        <v>8.5630399999999995E-2</v>
      </c>
      <c r="G68" s="176">
        <v>0</v>
      </c>
      <c r="H68" s="176">
        <v>8.5630399999999995E-2</v>
      </c>
      <c r="I68" s="176">
        <v>0</v>
      </c>
      <c r="J68" s="176">
        <v>0</v>
      </c>
      <c r="K68" s="176">
        <v>0</v>
      </c>
      <c r="L68" s="176">
        <v>0</v>
      </c>
      <c r="M68" s="176">
        <v>0</v>
      </c>
      <c r="N68" s="176"/>
    </row>
    <row r="69" spans="1:14" ht="43.2">
      <c r="A69" s="174" t="s">
        <v>239</v>
      </c>
      <c r="B69" s="174" t="s">
        <v>270</v>
      </c>
      <c r="C69" s="175" t="s">
        <v>265</v>
      </c>
      <c r="D69" s="176">
        <v>0</v>
      </c>
      <c r="E69" s="176">
        <v>0</v>
      </c>
      <c r="F69" s="176">
        <f t="shared" si="3"/>
        <v>0</v>
      </c>
      <c r="G69" s="176">
        <v>0</v>
      </c>
      <c r="H69" s="176">
        <v>0</v>
      </c>
      <c r="I69" s="176">
        <v>0</v>
      </c>
      <c r="J69" s="176">
        <v>0</v>
      </c>
      <c r="K69" s="176">
        <v>0</v>
      </c>
      <c r="L69" s="176"/>
      <c r="M69" s="176">
        <v>0</v>
      </c>
      <c r="N69" s="176"/>
    </row>
    <row r="70" spans="1:14" ht="72" hidden="1" customHeight="1">
      <c r="A70" s="174" t="s">
        <v>271</v>
      </c>
      <c r="B70" s="174" t="s">
        <v>272</v>
      </c>
      <c r="C70" s="175" t="s">
        <v>273</v>
      </c>
      <c r="D70" s="176">
        <v>1.6074657000000001</v>
      </c>
      <c r="E70" s="176">
        <v>1.6074657000000001</v>
      </c>
      <c r="F70" s="176">
        <f t="shared" si="3"/>
        <v>0</v>
      </c>
      <c r="G70" s="176">
        <v>0</v>
      </c>
      <c r="H70" s="176">
        <v>0</v>
      </c>
      <c r="I70" s="176">
        <v>0</v>
      </c>
      <c r="J70" s="176">
        <v>0</v>
      </c>
      <c r="K70" s="176">
        <v>0</v>
      </c>
      <c r="L70" s="176"/>
      <c r="M70" s="176">
        <v>0</v>
      </c>
      <c r="N70" s="176"/>
    </row>
    <row r="71" spans="1:14" ht="28.95" hidden="1" customHeight="1">
      <c r="A71" s="174" t="s">
        <v>271</v>
      </c>
      <c r="B71" s="174" t="s">
        <v>274</v>
      </c>
      <c r="C71" s="175" t="s">
        <v>274</v>
      </c>
      <c r="D71" s="176">
        <v>0</v>
      </c>
      <c r="E71" s="176">
        <v>0</v>
      </c>
      <c r="F71" s="176">
        <f t="shared" si="3"/>
        <v>0</v>
      </c>
      <c r="G71" s="176">
        <v>0</v>
      </c>
      <c r="H71" s="176">
        <v>0</v>
      </c>
      <c r="I71" s="176">
        <v>0</v>
      </c>
      <c r="J71" s="176">
        <v>0</v>
      </c>
      <c r="K71" s="176">
        <v>0</v>
      </c>
      <c r="L71" s="176"/>
      <c r="M71" s="176">
        <v>0</v>
      </c>
      <c r="N71" s="176"/>
    </row>
    <row r="72" spans="1:14" ht="14.4" hidden="1" customHeight="1">
      <c r="A72" s="174" t="s">
        <v>271</v>
      </c>
      <c r="B72" s="174" t="s">
        <v>275</v>
      </c>
      <c r="C72" s="175" t="s">
        <v>276</v>
      </c>
      <c r="D72" s="176">
        <v>0.71324929800000003</v>
      </c>
      <c r="E72" s="176">
        <v>0.71331160000000005</v>
      </c>
      <c r="F72" s="176">
        <f t="shared" si="3"/>
        <v>-6.2302000000014068E-5</v>
      </c>
      <c r="G72" s="176">
        <v>0</v>
      </c>
      <c r="H72" s="176">
        <v>0</v>
      </c>
      <c r="I72" s="176">
        <v>0</v>
      </c>
      <c r="J72" s="176">
        <v>0</v>
      </c>
      <c r="K72" s="176">
        <v>0</v>
      </c>
      <c r="L72" s="176">
        <v>0</v>
      </c>
      <c r="M72" s="176">
        <v>-6.2302000000014068E-5</v>
      </c>
      <c r="N72" s="176"/>
    </row>
    <row r="73" spans="1:14">
      <c r="A73" s="174" t="s">
        <v>271</v>
      </c>
      <c r="B73" s="174" t="s">
        <v>277</v>
      </c>
      <c r="C73" s="175" t="s">
        <v>278</v>
      </c>
      <c r="D73" s="176">
        <v>0</v>
      </c>
      <c r="E73" s="176">
        <v>0</v>
      </c>
      <c r="F73" s="176">
        <f t="shared" si="3"/>
        <v>0</v>
      </c>
      <c r="G73" s="176">
        <v>0</v>
      </c>
      <c r="H73" s="176">
        <v>0</v>
      </c>
      <c r="I73" s="176">
        <v>0</v>
      </c>
      <c r="J73" s="176">
        <v>0</v>
      </c>
      <c r="K73" s="176">
        <v>0</v>
      </c>
      <c r="L73" s="176"/>
      <c r="M73" s="176">
        <v>0</v>
      </c>
      <c r="N73" s="176"/>
    </row>
    <row r="74" spans="1:14" ht="28.95" hidden="1" customHeight="1">
      <c r="A74" s="174" t="s">
        <v>271</v>
      </c>
      <c r="B74" s="174" t="s">
        <v>279</v>
      </c>
      <c r="C74" s="175" t="s">
        <v>278</v>
      </c>
      <c r="D74" s="176">
        <v>0</v>
      </c>
      <c r="E74" s="176">
        <v>0</v>
      </c>
      <c r="F74" s="176">
        <f t="shared" si="3"/>
        <v>0</v>
      </c>
      <c r="G74" s="176">
        <v>0</v>
      </c>
      <c r="H74" s="176">
        <v>0</v>
      </c>
      <c r="I74" s="176">
        <v>0</v>
      </c>
      <c r="J74" s="176">
        <v>0</v>
      </c>
      <c r="K74" s="176">
        <v>0</v>
      </c>
      <c r="L74" s="176"/>
      <c r="M74" s="176">
        <v>0</v>
      </c>
      <c r="N74" s="176"/>
    </row>
    <row r="75" spans="1:14" ht="28.95" hidden="1" customHeight="1">
      <c r="A75" s="174" t="s">
        <v>271</v>
      </c>
      <c r="B75" s="174" t="s">
        <v>280</v>
      </c>
      <c r="C75" s="175" t="s">
        <v>276</v>
      </c>
      <c r="D75" s="176">
        <v>0.24401829999999999</v>
      </c>
      <c r="E75" s="176">
        <v>0.3246559</v>
      </c>
      <c r="F75" s="176">
        <f t="shared" si="3"/>
        <v>-8.0637600000000004E-2</v>
      </c>
      <c r="G75" s="176">
        <v>0</v>
      </c>
      <c r="H75" s="176">
        <v>0</v>
      </c>
      <c r="I75" s="176">
        <v>0</v>
      </c>
      <c r="J75" s="176">
        <v>0</v>
      </c>
      <c r="K75" s="176">
        <v>0</v>
      </c>
      <c r="L75" s="176">
        <v>0</v>
      </c>
      <c r="M75" s="176">
        <v>-8.0637600000000004E-2</v>
      </c>
      <c r="N75" s="176"/>
    </row>
    <row r="76" spans="1:14">
      <c r="A76" s="174" t="s">
        <v>271</v>
      </c>
      <c r="B76" s="174" t="s">
        <v>281</v>
      </c>
      <c r="C76" s="175" t="s">
        <v>276</v>
      </c>
      <c r="D76" s="176">
        <v>0.58260820000000002</v>
      </c>
      <c r="E76" s="176">
        <v>0</v>
      </c>
      <c r="F76" s="176">
        <f t="shared" si="3"/>
        <v>0.58260820000000002</v>
      </c>
      <c r="G76" s="176">
        <v>0</v>
      </c>
      <c r="H76" s="176">
        <v>0</v>
      </c>
      <c r="I76" s="176">
        <v>0</v>
      </c>
      <c r="J76" s="176">
        <v>0</v>
      </c>
      <c r="K76" s="176">
        <v>0</v>
      </c>
      <c r="L76" s="176">
        <v>0</v>
      </c>
      <c r="M76" s="176">
        <v>0.58260820000000002</v>
      </c>
      <c r="N76" s="176"/>
    </row>
    <row r="77" spans="1:14">
      <c r="A77" s="174" t="s">
        <v>271</v>
      </c>
      <c r="B77" s="174" t="s">
        <v>282</v>
      </c>
      <c r="C77" s="175" t="s">
        <v>283</v>
      </c>
      <c r="D77" s="176">
        <v>0</v>
      </c>
      <c r="E77" s="176">
        <v>0</v>
      </c>
      <c r="F77" s="176">
        <f t="shared" si="3"/>
        <v>0</v>
      </c>
      <c r="G77" s="176">
        <v>0</v>
      </c>
      <c r="H77" s="176">
        <v>0</v>
      </c>
      <c r="I77" s="176">
        <v>0</v>
      </c>
      <c r="J77" s="176">
        <v>0</v>
      </c>
      <c r="K77" s="176">
        <v>0</v>
      </c>
      <c r="L77" s="176"/>
      <c r="M77" s="176">
        <v>0</v>
      </c>
      <c r="N77" s="176"/>
    </row>
    <row r="78" spans="1:14" ht="28.95" hidden="1" customHeight="1">
      <c r="A78" s="174" t="s">
        <v>271</v>
      </c>
      <c r="B78" s="174" t="s">
        <v>284</v>
      </c>
      <c r="C78" s="175" t="s">
        <v>285</v>
      </c>
      <c r="D78" s="176">
        <v>0</v>
      </c>
      <c r="E78" s="176">
        <v>0</v>
      </c>
      <c r="F78" s="176">
        <f t="shared" si="3"/>
        <v>0</v>
      </c>
      <c r="G78" s="176">
        <v>0</v>
      </c>
      <c r="H78" s="176">
        <v>0</v>
      </c>
      <c r="I78" s="176">
        <v>0</v>
      </c>
      <c r="J78" s="176">
        <v>0</v>
      </c>
      <c r="K78" s="176">
        <v>0</v>
      </c>
      <c r="L78" s="176"/>
      <c r="M78" s="176">
        <v>0</v>
      </c>
      <c r="N78" s="176"/>
    </row>
    <row r="79" spans="1:14" ht="57.6" hidden="1" customHeight="1">
      <c r="A79" s="174" t="s">
        <v>271</v>
      </c>
      <c r="B79" s="174" t="s">
        <v>286</v>
      </c>
      <c r="C79" s="175" t="s">
        <v>287</v>
      </c>
      <c r="D79" s="176">
        <v>0.4341275</v>
      </c>
      <c r="E79" s="176">
        <v>0</v>
      </c>
      <c r="F79" s="176">
        <f t="shared" si="3"/>
        <v>0.4341275</v>
      </c>
      <c r="G79" s="176">
        <v>0</v>
      </c>
      <c r="H79" s="176">
        <v>0</v>
      </c>
      <c r="I79" s="176">
        <v>0</v>
      </c>
      <c r="J79" s="176">
        <v>0</v>
      </c>
      <c r="K79" s="176">
        <v>0</v>
      </c>
      <c r="L79" s="176">
        <v>0</v>
      </c>
      <c r="M79" s="176">
        <v>0.4341275</v>
      </c>
      <c r="N79" s="176" t="s">
        <v>435</v>
      </c>
    </row>
    <row r="80" spans="1:14" ht="28.8">
      <c r="A80" s="174" t="s">
        <v>271</v>
      </c>
      <c r="B80" s="174" t="s">
        <v>288</v>
      </c>
      <c r="C80" s="175" t="s">
        <v>289</v>
      </c>
      <c r="D80" s="176">
        <v>0.12815779999999999</v>
      </c>
      <c r="E80" s="176">
        <v>0</v>
      </c>
      <c r="F80" s="176">
        <f t="shared" si="3"/>
        <v>0.12815779999999999</v>
      </c>
      <c r="G80" s="176">
        <v>0</v>
      </c>
      <c r="H80" s="176">
        <v>0</v>
      </c>
      <c r="I80" s="176">
        <v>0</v>
      </c>
      <c r="J80" s="176">
        <v>0</v>
      </c>
      <c r="K80" s="176">
        <v>0</v>
      </c>
      <c r="L80" s="176">
        <v>0</v>
      </c>
      <c r="M80" s="176">
        <v>0.12815779999999999</v>
      </c>
      <c r="N80" s="176" t="s">
        <v>435</v>
      </c>
    </row>
    <row r="81" spans="1:14">
      <c r="A81" s="174" t="s">
        <v>271</v>
      </c>
      <c r="B81" s="174" t="s">
        <v>290</v>
      </c>
      <c r="C81" s="175" t="s">
        <v>291</v>
      </c>
      <c r="D81" s="176">
        <v>9.7881624E-2</v>
      </c>
      <c r="E81" s="176">
        <v>0</v>
      </c>
      <c r="F81" s="176">
        <f t="shared" si="3"/>
        <v>9.7881624E-2</v>
      </c>
      <c r="G81" s="176">
        <v>0</v>
      </c>
      <c r="H81" s="176">
        <v>0</v>
      </c>
      <c r="I81" s="176">
        <v>0</v>
      </c>
      <c r="J81" s="176">
        <v>0</v>
      </c>
      <c r="K81" s="176">
        <v>0</v>
      </c>
      <c r="L81" s="176">
        <v>0</v>
      </c>
      <c r="M81" s="176">
        <v>9.7881624E-2</v>
      </c>
      <c r="N81" s="176" t="s">
        <v>435</v>
      </c>
    </row>
    <row r="82" spans="1:14">
      <c r="A82" s="174" t="s">
        <v>271</v>
      </c>
      <c r="B82" s="174" t="s">
        <v>292</v>
      </c>
      <c r="C82" s="175" t="s">
        <v>293</v>
      </c>
      <c r="D82" s="176">
        <v>7.3882610000000001E-2</v>
      </c>
      <c r="E82" s="176">
        <v>0</v>
      </c>
      <c r="F82" s="176">
        <f t="shared" si="3"/>
        <v>7.3882610000000001E-2</v>
      </c>
      <c r="G82" s="176">
        <v>0</v>
      </c>
      <c r="H82" s="176">
        <v>0</v>
      </c>
      <c r="I82" s="176">
        <v>0</v>
      </c>
      <c r="J82" s="176">
        <v>0</v>
      </c>
      <c r="K82" s="176">
        <v>0</v>
      </c>
      <c r="L82" s="176">
        <v>0</v>
      </c>
      <c r="M82" s="176">
        <v>7.3882610000000001E-2</v>
      </c>
      <c r="N82" s="176" t="s">
        <v>435</v>
      </c>
    </row>
    <row r="83" spans="1:14">
      <c r="A83" s="174" t="s">
        <v>271</v>
      </c>
      <c r="B83" s="174" t="s">
        <v>294</v>
      </c>
      <c r="C83" s="175" t="s">
        <v>278</v>
      </c>
      <c r="D83" s="176">
        <v>0</v>
      </c>
      <c r="E83" s="176">
        <v>0</v>
      </c>
      <c r="F83" s="176">
        <f t="shared" si="3"/>
        <v>0</v>
      </c>
      <c r="G83" s="176">
        <v>0</v>
      </c>
      <c r="H83" s="176">
        <v>0</v>
      </c>
      <c r="I83" s="176">
        <v>0</v>
      </c>
      <c r="J83" s="176">
        <v>0</v>
      </c>
      <c r="K83" s="176">
        <v>0</v>
      </c>
      <c r="L83" s="176"/>
      <c r="M83" s="176">
        <v>0</v>
      </c>
      <c r="N83" s="176"/>
    </row>
    <row r="84" spans="1:14" ht="28.95" hidden="1" customHeight="1">
      <c r="A84" s="174" t="s">
        <v>271</v>
      </c>
      <c r="B84" s="174" t="s">
        <v>295</v>
      </c>
      <c r="C84" s="175" t="s">
        <v>296</v>
      </c>
      <c r="D84" s="176">
        <v>0.67890470000000003</v>
      </c>
      <c r="E84" s="176">
        <v>0</v>
      </c>
      <c r="F84" s="176">
        <f t="shared" si="3"/>
        <v>0.67890470000000003</v>
      </c>
      <c r="G84" s="176">
        <v>0</v>
      </c>
      <c r="H84" s="176">
        <v>0</v>
      </c>
      <c r="I84" s="176">
        <v>0</v>
      </c>
      <c r="J84" s="176">
        <v>0</v>
      </c>
      <c r="K84" s="176">
        <v>0.38</v>
      </c>
      <c r="L84" s="176">
        <f>F84-K84</f>
        <v>0.29890470000000002</v>
      </c>
      <c r="M84" s="176">
        <v>0.29890470000000002</v>
      </c>
      <c r="N84" s="176" t="s">
        <v>435</v>
      </c>
    </row>
    <row r="85" spans="1:14">
      <c r="A85" s="174" t="s">
        <v>271</v>
      </c>
      <c r="B85" s="174" t="s">
        <v>297</v>
      </c>
      <c r="C85" s="175" t="s">
        <v>278</v>
      </c>
      <c r="D85" s="176">
        <v>0</v>
      </c>
      <c r="E85" s="176">
        <v>0</v>
      </c>
      <c r="F85" s="176">
        <f t="shared" si="3"/>
        <v>0</v>
      </c>
      <c r="G85" s="176">
        <v>0</v>
      </c>
      <c r="H85" s="176">
        <v>0</v>
      </c>
      <c r="I85" s="176">
        <v>0</v>
      </c>
      <c r="J85" s="176">
        <v>0</v>
      </c>
      <c r="K85" s="176">
        <v>0</v>
      </c>
      <c r="L85" s="176"/>
      <c r="M85" s="176">
        <v>0</v>
      </c>
      <c r="N85" s="176"/>
    </row>
    <row r="86" spans="1:14" ht="28.95" hidden="1" customHeight="1">
      <c r="A86" s="174" t="s">
        <v>271</v>
      </c>
      <c r="B86" s="174" t="s">
        <v>298</v>
      </c>
      <c r="C86" s="175" t="s">
        <v>299</v>
      </c>
      <c r="D86" s="176">
        <v>0</v>
      </c>
      <c r="E86" s="176">
        <v>0</v>
      </c>
      <c r="F86" s="176">
        <f t="shared" si="3"/>
        <v>0</v>
      </c>
      <c r="G86" s="176">
        <v>0</v>
      </c>
      <c r="H86" s="176">
        <v>0</v>
      </c>
      <c r="I86" s="176">
        <v>0</v>
      </c>
      <c r="J86" s="176">
        <v>0</v>
      </c>
      <c r="K86" s="176">
        <v>0</v>
      </c>
      <c r="L86" s="176"/>
      <c r="M86" s="176">
        <v>0</v>
      </c>
      <c r="N86" s="176"/>
    </row>
    <row r="87" spans="1:14" ht="28.95" hidden="1" customHeight="1">
      <c r="A87" s="174" t="s">
        <v>271</v>
      </c>
      <c r="B87" s="174" t="s">
        <v>300</v>
      </c>
      <c r="C87" s="175" t="s">
        <v>301</v>
      </c>
      <c r="D87" s="176">
        <v>0</v>
      </c>
      <c r="E87" s="176">
        <v>0</v>
      </c>
      <c r="F87" s="176">
        <f t="shared" ref="F87:F150" si="4">D87-E87</f>
        <v>0</v>
      </c>
      <c r="G87" s="176">
        <v>0</v>
      </c>
      <c r="H87" s="176">
        <v>0</v>
      </c>
      <c r="I87" s="176">
        <v>0</v>
      </c>
      <c r="J87" s="176">
        <v>0</v>
      </c>
      <c r="K87" s="176">
        <v>0</v>
      </c>
      <c r="L87" s="176"/>
      <c r="M87" s="176">
        <v>0</v>
      </c>
      <c r="N87" s="176"/>
    </row>
    <row r="88" spans="1:14" ht="43.2" hidden="1" customHeight="1">
      <c r="A88" s="174" t="s">
        <v>271</v>
      </c>
      <c r="B88" s="174" t="s">
        <v>302</v>
      </c>
      <c r="C88" s="175" t="s">
        <v>303</v>
      </c>
      <c r="D88" s="176">
        <v>0</v>
      </c>
      <c r="E88" s="176">
        <v>0</v>
      </c>
      <c r="F88" s="176">
        <f t="shared" si="4"/>
        <v>0</v>
      </c>
      <c r="G88" s="176">
        <v>0</v>
      </c>
      <c r="H88" s="176">
        <v>0</v>
      </c>
      <c r="I88" s="176">
        <v>0</v>
      </c>
      <c r="J88" s="176">
        <v>0</v>
      </c>
      <c r="K88" s="176">
        <v>0</v>
      </c>
      <c r="L88" s="176"/>
      <c r="M88" s="176">
        <v>0</v>
      </c>
      <c r="N88" s="176"/>
    </row>
    <row r="89" spans="1:14" ht="57.6" hidden="1" customHeight="1">
      <c r="A89" s="174" t="s">
        <v>271</v>
      </c>
      <c r="B89" s="174" t="s">
        <v>304</v>
      </c>
      <c r="C89" s="175" t="s">
        <v>285</v>
      </c>
      <c r="D89" s="176">
        <v>0</v>
      </c>
      <c r="E89" s="176">
        <v>0</v>
      </c>
      <c r="F89" s="176">
        <f t="shared" si="4"/>
        <v>0</v>
      </c>
      <c r="G89" s="176">
        <v>0</v>
      </c>
      <c r="H89" s="176">
        <v>0</v>
      </c>
      <c r="I89" s="176">
        <v>0</v>
      </c>
      <c r="J89" s="176">
        <v>0</v>
      </c>
      <c r="K89" s="176">
        <v>0</v>
      </c>
      <c r="L89" s="176"/>
      <c r="M89" s="176">
        <v>0</v>
      </c>
      <c r="N89" s="176"/>
    </row>
    <row r="90" spans="1:14" ht="57.6" hidden="1" customHeight="1">
      <c r="A90" s="174" t="s">
        <v>271</v>
      </c>
      <c r="B90" s="174" t="s">
        <v>305</v>
      </c>
      <c r="C90" s="175" t="s">
        <v>306</v>
      </c>
      <c r="D90" s="176">
        <v>1.9307999999999999E-2</v>
      </c>
      <c r="E90" s="176">
        <v>0</v>
      </c>
      <c r="F90" s="176">
        <f t="shared" si="4"/>
        <v>1.9307999999999999E-2</v>
      </c>
      <c r="G90" s="176">
        <v>0</v>
      </c>
      <c r="H90" s="176">
        <v>0</v>
      </c>
      <c r="I90" s="176">
        <v>0</v>
      </c>
      <c r="J90" s="176">
        <v>0</v>
      </c>
      <c r="K90" s="176">
        <v>0</v>
      </c>
      <c r="L90" s="176">
        <v>0</v>
      </c>
      <c r="M90" s="176">
        <v>1.9307999999999999E-2</v>
      </c>
      <c r="N90" s="176" t="s">
        <v>435</v>
      </c>
    </row>
    <row r="91" spans="1:14" ht="28.8">
      <c r="A91" s="174" t="s">
        <v>271</v>
      </c>
      <c r="B91" s="174" t="s">
        <v>307</v>
      </c>
      <c r="C91" s="175" t="s">
        <v>308</v>
      </c>
      <c r="D91" s="176">
        <v>8.3635978E-2</v>
      </c>
      <c r="E91" s="176">
        <v>0</v>
      </c>
      <c r="F91" s="176">
        <f t="shared" si="4"/>
        <v>8.3635978E-2</v>
      </c>
      <c r="G91" s="176">
        <v>0</v>
      </c>
      <c r="H91" s="176">
        <v>0</v>
      </c>
      <c r="I91" s="176">
        <v>0</v>
      </c>
      <c r="J91" s="176">
        <v>0</v>
      </c>
      <c r="K91" s="176">
        <v>0</v>
      </c>
      <c r="L91" s="176">
        <v>0</v>
      </c>
      <c r="M91" s="176">
        <v>8.3635978E-2</v>
      </c>
      <c r="N91" s="176" t="s">
        <v>435</v>
      </c>
    </row>
    <row r="92" spans="1:14" ht="28.8">
      <c r="A92" s="174" t="s">
        <v>271</v>
      </c>
      <c r="B92" s="174" t="s">
        <v>309</v>
      </c>
      <c r="C92" s="175" t="s">
        <v>289</v>
      </c>
      <c r="D92" s="176">
        <v>0</v>
      </c>
      <c r="E92" s="176">
        <v>0</v>
      </c>
      <c r="F92" s="176">
        <f t="shared" si="4"/>
        <v>0</v>
      </c>
      <c r="G92" s="176">
        <v>0</v>
      </c>
      <c r="H92" s="176">
        <v>0</v>
      </c>
      <c r="I92" s="176">
        <v>0</v>
      </c>
      <c r="J92" s="176">
        <v>0</v>
      </c>
      <c r="K92" s="176">
        <v>0</v>
      </c>
      <c r="L92" s="176"/>
      <c r="M92" s="176">
        <v>0</v>
      </c>
      <c r="N92" s="176"/>
    </row>
    <row r="93" spans="1:14" ht="57.6" hidden="1" customHeight="1">
      <c r="A93" s="174" t="s">
        <v>271</v>
      </c>
      <c r="B93" s="174" t="s">
        <v>310</v>
      </c>
      <c r="C93" s="175" t="s">
        <v>311</v>
      </c>
      <c r="D93" s="176">
        <v>0</v>
      </c>
      <c r="E93" s="176">
        <v>0</v>
      </c>
      <c r="F93" s="176">
        <f t="shared" si="4"/>
        <v>0</v>
      </c>
      <c r="G93" s="176">
        <v>0</v>
      </c>
      <c r="H93" s="176">
        <v>0</v>
      </c>
      <c r="I93" s="176">
        <v>0</v>
      </c>
      <c r="J93" s="176">
        <v>0</v>
      </c>
      <c r="K93" s="176">
        <v>0</v>
      </c>
      <c r="L93" s="176"/>
      <c r="M93" s="176">
        <v>0</v>
      </c>
      <c r="N93" s="176"/>
    </row>
    <row r="94" spans="1:14" ht="72" hidden="1" customHeight="1">
      <c r="A94" s="174" t="s">
        <v>271</v>
      </c>
      <c r="B94" s="174" t="s">
        <v>312</v>
      </c>
      <c r="C94" s="175" t="s">
        <v>313</v>
      </c>
      <c r="D94" s="176">
        <v>0</v>
      </c>
      <c r="E94" s="176">
        <v>0</v>
      </c>
      <c r="F94" s="176">
        <f t="shared" si="4"/>
        <v>0</v>
      </c>
      <c r="G94" s="176">
        <v>0</v>
      </c>
      <c r="H94" s="176">
        <v>0</v>
      </c>
      <c r="I94" s="176">
        <v>0</v>
      </c>
      <c r="J94" s="176">
        <v>0</v>
      </c>
      <c r="K94" s="176">
        <v>0</v>
      </c>
      <c r="L94" s="176"/>
      <c r="M94" s="176">
        <v>0</v>
      </c>
      <c r="N94" s="176"/>
    </row>
    <row r="95" spans="1:14" ht="14.4" hidden="1" customHeight="1">
      <c r="A95" s="174" t="s">
        <v>271</v>
      </c>
      <c r="B95" s="174" t="s">
        <v>314</v>
      </c>
      <c r="C95" s="175" t="s">
        <v>313</v>
      </c>
      <c r="D95" s="176">
        <v>0</v>
      </c>
      <c r="E95" s="176">
        <v>0</v>
      </c>
      <c r="F95" s="176">
        <f t="shared" si="4"/>
        <v>0</v>
      </c>
      <c r="G95" s="176">
        <v>0</v>
      </c>
      <c r="H95" s="176">
        <v>0</v>
      </c>
      <c r="I95" s="176">
        <v>0</v>
      </c>
      <c r="J95" s="176">
        <v>0</v>
      </c>
      <c r="K95" s="176">
        <v>0</v>
      </c>
      <c r="L95" s="176"/>
      <c r="M95" s="176">
        <v>0</v>
      </c>
      <c r="N95" s="176"/>
    </row>
    <row r="96" spans="1:14" ht="14.4" hidden="1" customHeight="1">
      <c r="A96" s="174" t="s">
        <v>271</v>
      </c>
      <c r="B96" s="174" t="s">
        <v>315</v>
      </c>
      <c r="C96" s="175" t="s">
        <v>313</v>
      </c>
      <c r="D96" s="176">
        <v>0</v>
      </c>
      <c r="E96" s="176">
        <v>0</v>
      </c>
      <c r="F96" s="176">
        <f t="shared" si="4"/>
        <v>0</v>
      </c>
      <c r="G96" s="176">
        <v>0</v>
      </c>
      <c r="H96" s="176">
        <v>0</v>
      </c>
      <c r="I96" s="176">
        <v>0</v>
      </c>
      <c r="J96" s="176">
        <v>0</v>
      </c>
      <c r="K96" s="176">
        <v>0</v>
      </c>
      <c r="L96" s="176"/>
      <c r="M96" s="176">
        <v>0</v>
      </c>
      <c r="N96" s="176"/>
    </row>
    <row r="97" spans="1:14" ht="14.4" hidden="1" customHeight="1">
      <c r="A97" s="174" t="s">
        <v>271</v>
      </c>
      <c r="B97" s="174" t="s">
        <v>316</v>
      </c>
      <c r="C97" s="175" t="s">
        <v>313</v>
      </c>
      <c r="D97" s="176">
        <v>0</v>
      </c>
      <c r="E97" s="176">
        <v>0</v>
      </c>
      <c r="F97" s="176">
        <f t="shared" si="4"/>
        <v>0</v>
      </c>
      <c r="G97" s="176">
        <v>0</v>
      </c>
      <c r="H97" s="176">
        <v>0</v>
      </c>
      <c r="I97" s="176">
        <v>0</v>
      </c>
      <c r="J97" s="176">
        <v>0</v>
      </c>
      <c r="K97" s="176">
        <v>0</v>
      </c>
      <c r="L97" s="176"/>
      <c r="M97" s="176">
        <v>0</v>
      </c>
      <c r="N97" s="176"/>
    </row>
    <row r="98" spans="1:14" ht="14.4" hidden="1" customHeight="1">
      <c r="A98" s="174" t="s">
        <v>271</v>
      </c>
      <c r="B98" s="174" t="s">
        <v>317</v>
      </c>
      <c r="C98" s="175" t="s">
        <v>313</v>
      </c>
      <c r="D98" s="176">
        <v>0</v>
      </c>
      <c r="E98" s="176">
        <v>0</v>
      </c>
      <c r="F98" s="176">
        <f t="shared" si="4"/>
        <v>0</v>
      </c>
      <c r="G98" s="176">
        <v>0</v>
      </c>
      <c r="H98" s="176">
        <v>0</v>
      </c>
      <c r="I98" s="176">
        <v>0</v>
      </c>
      <c r="J98" s="176">
        <v>0</v>
      </c>
      <c r="K98" s="176">
        <v>0</v>
      </c>
      <c r="L98" s="176"/>
      <c r="M98" s="176">
        <v>0</v>
      </c>
      <c r="N98" s="176"/>
    </row>
    <row r="99" spans="1:14" ht="14.4" hidden="1" customHeight="1">
      <c r="A99" s="174" t="s">
        <v>271</v>
      </c>
      <c r="B99" s="174" t="s">
        <v>318</v>
      </c>
      <c r="C99" s="175" t="s">
        <v>313</v>
      </c>
      <c r="D99" s="176">
        <v>0</v>
      </c>
      <c r="E99" s="176">
        <v>0</v>
      </c>
      <c r="F99" s="176">
        <f t="shared" si="4"/>
        <v>0</v>
      </c>
      <c r="G99" s="176">
        <v>0</v>
      </c>
      <c r="H99" s="176">
        <v>0</v>
      </c>
      <c r="I99" s="176">
        <v>0</v>
      </c>
      <c r="J99" s="176">
        <v>0</v>
      </c>
      <c r="K99" s="176">
        <v>0</v>
      </c>
      <c r="L99" s="176"/>
      <c r="M99" s="176">
        <v>0</v>
      </c>
      <c r="N99" s="176"/>
    </row>
    <row r="100" spans="1:14" ht="14.4" hidden="1" customHeight="1">
      <c r="A100" s="174" t="s">
        <v>271</v>
      </c>
      <c r="B100" s="174" t="s">
        <v>319</v>
      </c>
      <c r="C100" s="175" t="s">
        <v>313</v>
      </c>
      <c r="D100" s="176">
        <v>0</v>
      </c>
      <c r="E100" s="176">
        <v>0</v>
      </c>
      <c r="F100" s="176">
        <f t="shared" si="4"/>
        <v>0</v>
      </c>
      <c r="G100" s="176">
        <v>0</v>
      </c>
      <c r="H100" s="176">
        <v>0</v>
      </c>
      <c r="I100" s="176">
        <v>0</v>
      </c>
      <c r="J100" s="176">
        <v>0</v>
      </c>
      <c r="K100" s="176">
        <v>0</v>
      </c>
      <c r="L100" s="176"/>
      <c r="M100" s="176">
        <v>0</v>
      </c>
      <c r="N100" s="176"/>
    </row>
    <row r="101" spans="1:14" ht="14.4" hidden="1" customHeight="1">
      <c r="A101" s="174" t="s">
        <v>271</v>
      </c>
      <c r="B101" s="174" t="s">
        <v>320</v>
      </c>
      <c r="C101" s="175" t="s">
        <v>313</v>
      </c>
      <c r="D101" s="176">
        <v>0</v>
      </c>
      <c r="E101" s="176">
        <v>0</v>
      </c>
      <c r="F101" s="176">
        <f t="shared" si="4"/>
        <v>0</v>
      </c>
      <c r="G101" s="176">
        <v>0</v>
      </c>
      <c r="H101" s="176">
        <v>0</v>
      </c>
      <c r="I101" s="176">
        <v>0</v>
      </c>
      <c r="J101" s="176">
        <v>0</v>
      </c>
      <c r="K101" s="176">
        <v>0</v>
      </c>
      <c r="L101" s="176"/>
      <c r="M101" s="176">
        <v>0</v>
      </c>
      <c r="N101" s="176"/>
    </row>
    <row r="102" spans="1:14" ht="14.4" hidden="1" customHeight="1">
      <c r="A102" s="174" t="s">
        <v>271</v>
      </c>
      <c r="B102" s="174" t="s">
        <v>321</v>
      </c>
      <c r="C102" s="175" t="s">
        <v>313</v>
      </c>
      <c r="D102" s="176">
        <v>0</v>
      </c>
      <c r="E102" s="176">
        <v>0</v>
      </c>
      <c r="F102" s="176">
        <f t="shared" si="4"/>
        <v>0</v>
      </c>
      <c r="G102" s="176">
        <v>0</v>
      </c>
      <c r="H102" s="176">
        <v>0</v>
      </c>
      <c r="I102" s="176">
        <v>0</v>
      </c>
      <c r="J102" s="176">
        <v>0</v>
      </c>
      <c r="K102" s="176">
        <v>0</v>
      </c>
      <c r="L102" s="176"/>
      <c r="M102" s="176">
        <v>0</v>
      </c>
      <c r="N102" s="176"/>
    </row>
    <row r="103" spans="1:14" ht="14.4" hidden="1" customHeight="1">
      <c r="A103" s="174" t="s">
        <v>271</v>
      </c>
      <c r="B103" s="174" t="s">
        <v>322</v>
      </c>
      <c r="C103" s="175" t="s">
        <v>313</v>
      </c>
      <c r="D103" s="176">
        <v>0</v>
      </c>
      <c r="E103" s="176">
        <v>0</v>
      </c>
      <c r="F103" s="176">
        <f t="shared" si="4"/>
        <v>0</v>
      </c>
      <c r="G103" s="176">
        <v>0</v>
      </c>
      <c r="H103" s="176">
        <v>0</v>
      </c>
      <c r="I103" s="176">
        <v>0</v>
      </c>
      <c r="J103" s="176">
        <v>0</v>
      </c>
      <c r="K103" s="176">
        <v>0</v>
      </c>
      <c r="L103" s="176"/>
      <c r="M103" s="176">
        <v>0</v>
      </c>
      <c r="N103" s="176"/>
    </row>
    <row r="104" spans="1:14" ht="14.4" hidden="1" customHeight="1">
      <c r="A104" s="174" t="s">
        <v>271</v>
      </c>
      <c r="B104" s="174" t="s">
        <v>323</v>
      </c>
      <c r="C104" s="175" t="s">
        <v>313</v>
      </c>
      <c r="D104" s="176">
        <v>0</v>
      </c>
      <c r="E104" s="176">
        <v>0</v>
      </c>
      <c r="F104" s="176">
        <f t="shared" si="4"/>
        <v>0</v>
      </c>
      <c r="G104" s="176">
        <v>0</v>
      </c>
      <c r="H104" s="176">
        <v>0</v>
      </c>
      <c r="I104" s="176">
        <v>0</v>
      </c>
      <c r="J104" s="176">
        <v>0</v>
      </c>
      <c r="K104" s="176">
        <v>0</v>
      </c>
      <c r="L104" s="176"/>
      <c r="M104" s="176">
        <v>0</v>
      </c>
      <c r="N104" s="176"/>
    </row>
    <row r="105" spans="1:14" ht="14.4" hidden="1" customHeight="1">
      <c r="A105" s="174" t="s">
        <v>271</v>
      </c>
      <c r="B105" s="174" t="s">
        <v>324</v>
      </c>
      <c r="C105" s="175" t="s">
        <v>313</v>
      </c>
      <c r="D105" s="176">
        <v>0</v>
      </c>
      <c r="E105" s="176">
        <v>0</v>
      </c>
      <c r="F105" s="176">
        <f t="shared" si="4"/>
        <v>0</v>
      </c>
      <c r="G105" s="176">
        <v>0</v>
      </c>
      <c r="H105" s="176">
        <v>0</v>
      </c>
      <c r="I105" s="176">
        <v>0</v>
      </c>
      <c r="J105" s="176">
        <v>0</v>
      </c>
      <c r="K105" s="176">
        <v>0</v>
      </c>
      <c r="L105" s="176"/>
      <c r="M105" s="176">
        <v>0</v>
      </c>
      <c r="N105" s="176"/>
    </row>
    <row r="106" spans="1:14" ht="14.4" hidden="1" customHeight="1">
      <c r="A106" s="174" t="s">
        <v>271</v>
      </c>
      <c r="B106" s="174" t="s">
        <v>325</v>
      </c>
      <c r="C106" s="175" t="s">
        <v>313</v>
      </c>
      <c r="D106" s="176">
        <v>0</v>
      </c>
      <c r="E106" s="176">
        <v>0</v>
      </c>
      <c r="F106" s="176">
        <f t="shared" si="4"/>
        <v>0</v>
      </c>
      <c r="G106" s="176">
        <v>0</v>
      </c>
      <c r="H106" s="176">
        <v>0</v>
      </c>
      <c r="I106" s="176">
        <v>0</v>
      </c>
      <c r="J106" s="176">
        <v>0</v>
      </c>
      <c r="K106" s="176">
        <v>0</v>
      </c>
      <c r="L106" s="176"/>
      <c r="M106" s="176">
        <v>0</v>
      </c>
      <c r="N106" s="176"/>
    </row>
    <row r="107" spans="1:14" ht="14.4" hidden="1" customHeight="1">
      <c r="A107" s="174" t="s">
        <v>271</v>
      </c>
      <c r="B107" s="174" t="s">
        <v>326</v>
      </c>
      <c r="C107" s="175" t="s">
        <v>313</v>
      </c>
      <c r="D107" s="176">
        <v>0</v>
      </c>
      <c r="E107" s="176">
        <v>0</v>
      </c>
      <c r="F107" s="176">
        <f t="shared" si="4"/>
        <v>0</v>
      </c>
      <c r="G107" s="176">
        <v>0</v>
      </c>
      <c r="H107" s="176">
        <v>0</v>
      </c>
      <c r="I107" s="176">
        <v>0</v>
      </c>
      <c r="J107" s="176">
        <v>0</v>
      </c>
      <c r="K107" s="176">
        <v>0</v>
      </c>
      <c r="L107" s="176"/>
      <c r="M107" s="176">
        <v>0</v>
      </c>
      <c r="N107" s="176"/>
    </row>
    <row r="108" spans="1:14" ht="14.4" hidden="1" customHeight="1">
      <c r="A108" s="174" t="s">
        <v>271</v>
      </c>
      <c r="B108" s="174" t="s">
        <v>327</v>
      </c>
      <c r="C108" s="175" t="s">
        <v>313</v>
      </c>
      <c r="D108" s="176">
        <v>0</v>
      </c>
      <c r="E108" s="176">
        <v>0</v>
      </c>
      <c r="F108" s="176">
        <f t="shared" si="4"/>
        <v>0</v>
      </c>
      <c r="G108" s="176">
        <v>0</v>
      </c>
      <c r="H108" s="176">
        <v>0</v>
      </c>
      <c r="I108" s="176">
        <v>0</v>
      </c>
      <c r="J108" s="176">
        <v>0</v>
      </c>
      <c r="K108" s="176">
        <v>0</v>
      </c>
      <c r="L108" s="176"/>
      <c r="M108" s="176">
        <v>0</v>
      </c>
      <c r="N108" s="176"/>
    </row>
    <row r="109" spans="1:14" ht="14.4" hidden="1" customHeight="1">
      <c r="A109" s="174" t="s">
        <v>271</v>
      </c>
      <c r="B109" s="174" t="s">
        <v>328</v>
      </c>
      <c r="C109" s="175" t="s">
        <v>313</v>
      </c>
      <c r="D109" s="176">
        <v>0</v>
      </c>
      <c r="E109" s="176">
        <v>0</v>
      </c>
      <c r="F109" s="176">
        <f t="shared" si="4"/>
        <v>0</v>
      </c>
      <c r="G109" s="176">
        <v>0</v>
      </c>
      <c r="H109" s="176">
        <v>0</v>
      </c>
      <c r="I109" s="176">
        <v>0</v>
      </c>
      <c r="J109" s="176">
        <v>0</v>
      </c>
      <c r="K109" s="176">
        <v>0</v>
      </c>
      <c r="L109" s="176"/>
      <c r="M109" s="176">
        <v>0</v>
      </c>
      <c r="N109" s="176"/>
    </row>
    <row r="110" spans="1:14" ht="14.4" hidden="1" customHeight="1">
      <c r="A110" s="174" t="s">
        <v>271</v>
      </c>
      <c r="B110" s="174" t="s">
        <v>329</v>
      </c>
      <c r="C110" s="175" t="s">
        <v>313</v>
      </c>
      <c r="D110" s="176">
        <v>0</v>
      </c>
      <c r="E110" s="176">
        <v>0</v>
      </c>
      <c r="F110" s="176">
        <f t="shared" si="4"/>
        <v>0</v>
      </c>
      <c r="G110" s="176">
        <v>0</v>
      </c>
      <c r="H110" s="176">
        <v>0</v>
      </c>
      <c r="I110" s="176">
        <v>0</v>
      </c>
      <c r="J110" s="176">
        <v>0</v>
      </c>
      <c r="K110" s="176">
        <v>0</v>
      </c>
      <c r="L110" s="176"/>
      <c r="M110" s="176">
        <v>0</v>
      </c>
      <c r="N110" s="176"/>
    </row>
    <row r="111" spans="1:14" ht="14.4" hidden="1" customHeight="1">
      <c r="A111" s="174" t="s">
        <v>271</v>
      </c>
      <c r="B111" s="174" t="s">
        <v>330</v>
      </c>
      <c r="C111" s="175" t="s">
        <v>313</v>
      </c>
      <c r="D111" s="176">
        <v>0</v>
      </c>
      <c r="E111" s="176">
        <v>0</v>
      </c>
      <c r="F111" s="176">
        <f t="shared" si="4"/>
        <v>0</v>
      </c>
      <c r="G111" s="176">
        <v>0</v>
      </c>
      <c r="H111" s="176">
        <v>0</v>
      </c>
      <c r="I111" s="176">
        <v>0</v>
      </c>
      <c r="J111" s="176">
        <v>0</v>
      </c>
      <c r="K111" s="176">
        <v>0</v>
      </c>
      <c r="L111" s="176"/>
      <c r="M111" s="176">
        <v>0</v>
      </c>
      <c r="N111" s="176"/>
    </row>
    <row r="112" spans="1:14" ht="14.4" hidden="1" customHeight="1">
      <c r="A112" s="174" t="s">
        <v>271</v>
      </c>
      <c r="B112" s="174" t="s">
        <v>331</v>
      </c>
      <c r="C112" s="175" t="s">
        <v>313</v>
      </c>
      <c r="D112" s="176">
        <v>0</v>
      </c>
      <c r="E112" s="176">
        <v>0</v>
      </c>
      <c r="F112" s="176">
        <f t="shared" si="4"/>
        <v>0</v>
      </c>
      <c r="G112" s="176">
        <v>0</v>
      </c>
      <c r="H112" s="176">
        <v>0</v>
      </c>
      <c r="I112" s="176">
        <v>0</v>
      </c>
      <c r="J112" s="176">
        <v>0</v>
      </c>
      <c r="K112" s="176">
        <v>0</v>
      </c>
      <c r="L112" s="176"/>
      <c r="M112" s="176">
        <v>0</v>
      </c>
      <c r="N112" s="176"/>
    </row>
    <row r="113" spans="1:14" ht="14.4" hidden="1" customHeight="1">
      <c r="A113" s="174" t="s">
        <v>271</v>
      </c>
      <c r="B113" s="174" t="s">
        <v>332</v>
      </c>
      <c r="C113" s="175" t="s">
        <v>313</v>
      </c>
      <c r="D113" s="176">
        <v>0</v>
      </c>
      <c r="E113" s="176">
        <v>0</v>
      </c>
      <c r="F113" s="176">
        <f t="shared" si="4"/>
        <v>0</v>
      </c>
      <c r="G113" s="176">
        <v>0</v>
      </c>
      <c r="H113" s="176">
        <v>0</v>
      </c>
      <c r="I113" s="176">
        <v>0</v>
      </c>
      <c r="J113" s="176">
        <v>0</v>
      </c>
      <c r="K113" s="176">
        <v>0</v>
      </c>
      <c r="L113" s="176"/>
      <c r="M113" s="176">
        <v>0</v>
      </c>
      <c r="N113" s="176"/>
    </row>
    <row r="114" spans="1:14" ht="14.4" hidden="1" customHeight="1">
      <c r="A114" s="174" t="s">
        <v>271</v>
      </c>
      <c r="B114" s="174" t="s">
        <v>333</v>
      </c>
      <c r="C114" s="175" t="s">
        <v>313</v>
      </c>
      <c r="D114" s="176">
        <v>0</v>
      </c>
      <c r="E114" s="176">
        <v>0</v>
      </c>
      <c r="F114" s="176">
        <f t="shared" si="4"/>
        <v>0</v>
      </c>
      <c r="G114" s="176">
        <v>0</v>
      </c>
      <c r="H114" s="176">
        <v>0</v>
      </c>
      <c r="I114" s="176">
        <v>0</v>
      </c>
      <c r="J114" s="176">
        <v>0</v>
      </c>
      <c r="K114" s="176">
        <v>0</v>
      </c>
      <c r="L114" s="176"/>
      <c r="M114" s="176">
        <v>0</v>
      </c>
      <c r="N114" s="176"/>
    </row>
    <row r="115" spans="1:14" ht="14.4" hidden="1" customHeight="1">
      <c r="A115" s="174" t="s">
        <v>271</v>
      </c>
      <c r="B115" s="174" t="s">
        <v>334</v>
      </c>
      <c r="C115" s="175" t="s">
        <v>313</v>
      </c>
      <c r="D115" s="176">
        <v>0</v>
      </c>
      <c r="E115" s="176">
        <v>0</v>
      </c>
      <c r="F115" s="176">
        <f t="shared" si="4"/>
        <v>0</v>
      </c>
      <c r="G115" s="176">
        <v>0</v>
      </c>
      <c r="H115" s="176">
        <v>0</v>
      </c>
      <c r="I115" s="176">
        <v>0</v>
      </c>
      <c r="J115" s="176">
        <v>0</v>
      </c>
      <c r="K115" s="176">
        <v>0</v>
      </c>
      <c r="L115" s="176"/>
      <c r="M115" s="176">
        <v>0</v>
      </c>
      <c r="N115" s="176"/>
    </row>
    <row r="116" spans="1:14" ht="14.4" hidden="1" customHeight="1">
      <c r="A116" s="174" t="s">
        <v>271</v>
      </c>
      <c r="B116" s="174" t="s">
        <v>335</v>
      </c>
      <c r="C116" s="175" t="s">
        <v>313</v>
      </c>
      <c r="D116" s="176">
        <v>0</v>
      </c>
      <c r="E116" s="176">
        <v>0</v>
      </c>
      <c r="F116" s="176">
        <f t="shared" si="4"/>
        <v>0</v>
      </c>
      <c r="G116" s="176">
        <v>0</v>
      </c>
      <c r="H116" s="176">
        <v>0</v>
      </c>
      <c r="I116" s="176">
        <v>0</v>
      </c>
      <c r="J116" s="176">
        <v>0</v>
      </c>
      <c r="K116" s="176">
        <v>0</v>
      </c>
      <c r="L116" s="176"/>
      <c r="M116" s="176">
        <v>0</v>
      </c>
      <c r="N116" s="176"/>
    </row>
    <row r="117" spans="1:14" ht="14.4" hidden="1" customHeight="1">
      <c r="A117" s="174" t="s">
        <v>271</v>
      </c>
      <c r="B117" s="174" t="s">
        <v>336</v>
      </c>
      <c r="C117" s="175" t="s">
        <v>313</v>
      </c>
      <c r="D117" s="176">
        <v>0</v>
      </c>
      <c r="E117" s="176">
        <v>0</v>
      </c>
      <c r="F117" s="176">
        <f t="shared" si="4"/>
        <v>0</v>
      </c>
      <c r="G117" s="176">
        <v>0</v>
      </c>
      <c r="H117" s="176">
        <v>0</v>
      </c>
      <c r="I117" s="176">
        <v>0</v>
      </c>
      <c r="J117" s="176">
        <v>0</v>
      </c>
      <c r="K117" s="176">
        <v>0</v>
      </c>
      <c r="L117" s="176"/>
      <c r="M117" s="176">
        <v>0</v>
      </c>
      <c r="N117" s="176"/>
    </row>
    <row r="118" spans="1:14" ht="14.4" hidden="1" customHeight="1">
      <c r="A118" s="174" t="s">
        <v>271</v>
      </c>
      <c r="B118" s="174" t="s">
        <v>337</v>
      </c>
      <c r="C118" s="175" t="s">
        <v>313</v>
      </c>
      <c r="D118" s="176">
        <v>0</v>
      </c>
      <c r="E118" s="176">
        <v>0</v>
      </c>
      <c r="F118" s="176">
        <f t="shared" si="4"/>
        <v>0</v>
      </c>
      <c r="G118" s="176">
        <v>0</v>
      </c>
      <c r="H118" s="176">
        <v>0</v>
      </c>
      <c r="I118" s="176">
        <v>0</v>
      </c>
      <c r="J118" s="176">
        <v>0</v>
      </c>
      <c r="K118" s="176">
        <v>0</v>
      </c>
      <c r="L118" s="176"/>
      <c r="M118" s="176">
        <v>0</v>
      </c>
      <c r="N118" s="176"/>
    </row>
    <row r="119" spans="1:14" ht="14.4" hidden="1" customHeight="1">
      <c r="A119" s="174" t="s">
        <v>271</v>
      </c>
      <c r="B119" s="174" t="s">
        <v>338</v>
      </c>
      <c r="C119" s="175" t="s">
        <v>313</v>
      </c>
      <c r="D119" s="176">
        <v>0</v>
      </c>
      <c r="E119" s="176">
        <v>0</v>
      </c>
      <c r="F119" s="176">
        <f t="shared" si="4"/>
        <v>0</v>
      </c>
      <c r="G119" s="176">
        <v>0</v>
      </c>
      <c r="H119" s="176">
        <v>0</v>
      </c>
      <c r="I119" s="176">
        <v>0</v>
      </c>
      <c r="J119" s="176">
        <v>0</v>
      </c>
      <c r="K119" s="176">
        <v>0</v>
      </c>
      <c r="L119" s="176"/>
      <c r="M119" s="176">
        <v>0</v>
      </c>
      <c r="N119" s="176"/>
    </row>
    <row r="120" spans="1:14" ht="14.4" hidden="1" customHeight="1">
      <c r="A120" s="174" t="s">
        <v>271</v>
      </c>
      <c r="B120" s="174" t="s">
        <v>339</v>
      </c>
      <c r="C120" s="175" t="s">
        <v>313</v>
      </c>
      <c r="D120" s="176">
        <v>0</v>
      </c>
      <c r="E120" s="176">
        <v>0</v>
      </c>
      <c r="F120" s="176">
        <f t="shared" si="4"/>
        <v>0</v>
      </c>
      <c r="G120" s="176">
        <v>0</v>
      </c>
      <c r="H120" s="176">
        <v>0</v>
      </c>
      <c r="I120" s="176">
        <v>0</v>
      </c>
      <c r="J120" s="176">
        <v>0</v>
      </c>
      <c r="K120" s="176">
        <v>0</v>
      </c>
      <c r="L120" s="176"/>
      <c r="M120" s="176">
        <v>0</v>
      </c>
      <c r="N120" s="176"/>
    </row>
    <row r="121" spans="1:14" ht="14.4" hidden="1" customHeight="1">
      <c r="A121" s="174" t="s">
        <v>271</v>
      </c>
      <c r="B121" s="174" t="s">
        <v>340</v>
      </c>
      <c r="C121" s="175" t="s">
        <v>341</v>
      </c>
      <c r="D121" s="176">
        <v>2E-3</v>
      </c>
      <c r="E121" s="176">
        <v>0</v>
      </c>
      <c r="F121" s="176">
        <f t="shared" si="4"/>
        <v>2E-3</v>
      </c>
      <c r="G121" s="176">
        <v>0</v>
      </c>
      <c r="H121" s="176">
        <v>0</v>
      </c>
      <c r="I121" s="176">
        <v>0</v>
      </c>
      <c r="J121" s="176">
        <v>0</v>
      </c>
      <c r="K121" s="176">
        <v>0</v>
      </c>
      <c r="L121" s="176">
        <f>F121</f>
        <v>2E-3</v>
      </c>
      <c r="M121" s="176">
        <v>2E-3</v>
      </c>
      <c r="N121" s="176" t="s">
        <v>435</v>
      </c>
    </row>
    <row r="122" spans="1:14">
      <c r="A122" s="174" t="s">
        <v>342</v>
      </c>
      <c r="B122" s="174" t="s">
        <v>342</v>
      </c>
      <c r="C122" s="174" t="s">
        <v>343</v>
      </c>
      <c r="D122" s="176">
        <v>11.895599799999999</v>
      </c>
      <c r="E122" s="176">
        <v>11.8353906</v>
      </c>
      <c r="F122" s="176">
        <f t="shared" si="4"/>
        <v>6.0209199999999186E-2</v>
      </c>
      <c r="G122" s="176">
        <v>0</v>
      </c>
      <c r="H122" s="176">
        <v>0</v>
      </c>
      <c r="I122" s="176">
        <v>0</v>
      </c>
      <c r="J122" s="176">
        <v>0</v>
      </c>
      <c r="K122" s="176">
        <v>0</v>
      </c>
      <c r="L122" s="176">
        <f>F122</f>
        <v>6.0209199999999186E-2</v>
      </c>
      <c r="M122" s="176">
        <v>0</v>
      </c>
      <c r="N122" s="176"/>
    </row>
    <row r="123" spans="1:14">
      <c r="A123" s="174" t="s">
        <v>342</v>
      </c>
      <c r="B123" s="174" t="s">
        <v>342</v>
      </c>
      <c r="C123" s="174" t="s">
        <v>344</v>
      </c>
      <c r="D123" s="176">
        <v>9.0653637000000007</v>
      </c>
      <c r="E123" s="176">
        <v>9.0653637000000007</v>
      </c>
      <c r="F123" s="176">
        <f t="shared" si="4"/>
        <v>0</v>
      </c>
      <c r="G123" s="176">
        <v>0</v>
      </c>
      <c r="H123" s="176">
        <v>0</v>
      </c>
      <c r="I123" s="176">
        <v>0</v>
      </c>
      <c r="J123" s="176">
        <v>0</v>
      </c>
      <c r="K123" s="176">
        <v>0</v>
      </c>
      <c r="L123" s="176"/>
      <c r="M123" s="176">
        <v>0</v>
      </c>
      <c r="N123" s="176"/>
    </row>
    <row r="124" spans="1:14" ht="14.4" hidden="1" customHeight="1">
      <c r="A124" s="174" t="s">
        <v>342</v>
      </c>
      <c r="B124" s="174" t="s">
        <v>342</v>
      </c>
      <c r="C124" s="174" t="s">
        <v>345</v>
      </c>
      <c r="D124" s="176">
        <v>3.4458510000000002</v>
      </c>
      <c r="E124" s="176">
        <v>0</v>
      </c>
      <c r="F124" s="176">
        <f t="shared" si="4"/>
        <v>3.4458510000000002</v>
      </c>
      <c r="G124" s="176">
        <v>0</v>
      </c>
      <c r="H124" s="176">
        <v>0</v>
      </c>
      <c r="I124" s="176">
        <v>0</v>
      </c>
      <c r="J124" s="176">
        <v>0</v>
      </c>
      <c r="K124" s="176">
        <v>0</v>
      </c>
      <c r="L124" s="176">
        <v>0</v>
      </c>
      <c r="M124" s="176">
        <v>3.4458510000000002</v>
      </c>
      <c r="N124" s="176" t="s">
        <v>433</v>
      </c>
    </row>
    <row r="125" spans="1:14">
      <c r="A125" s="174" t="s">
        <v>342</v>
      </c>
      <c r="B125" s="174" t="s">
        <v>342</v>
      </c>
      <c r="C125" s="174" t="s">
        <v>346</v>
      </c>
      <c r="D125" s="176">
        <v>1.27145</v>
      </c>
      <c r="E125" s="176">
        <v>0</v>
      </c>
      <c r="F125" s="176">
        <f t="shared" si="4"/>
        <v>1.27145</v>
      </c>
      <c r="G125" s="176">
        <v>0</v>
      </c>
      <c r="H125" s="176">
        <v>1.27145</v>
      </c>
      <c r="I125" s="176">
        <v>0</v>
      </c>
      <c r="J125" s="176">
        <v>0</v>
      </c>
      <c r="K125" s="176">
        <v>0</v>
      </c>
      <c r="L125" s="176">
        <v>0</v>
      </c>
      <c r="M125" s="176">
        <v>0</v>
      </c>
      <c r="N125" s="176"/>
    </row>
    <row r="126" spans="1:14">
      <c r="A126" s="174" t="s">
        <v>342</v>
      </c>
      <c r="B126" s="174" t="s">
        <v>342</v>
      </c>
      <c r="C126" s="174" t="s">
        <v>199</v>
      </c>
      <c r="D126" s="176">
        <v>9.8860699999999996E-2</v>
      </c>
      <c r="E126" s="176">
        <v>0</v>
      </c>
      <c r="F126" s="176">
        <f t="shared" si="4"/>
        <v>9.8860699999999996E-2</v>
      </c>
      <c r="G126" s="176">
        <v>0</v>
      </c>
      <c r="H126" s="176">
        <v>0</v>
      </c>
      <c r="I126" s="176">
        <v>0</v>
      </c>
      <c r="J126" s="176">
        <v>0</v>
      </c>
      <c r="K126" s="176">
        <v>0</v>
      </c>
      <c r="L126" s="176">
        <f>F126</f>
        <v>9.8860699999999996E-2</v>
      </c>
      <c r="M126" s="176">
        <v>0</v>
      </c>
      <c r="N126" s="176"/>
    </row>
    <row r="127" spans="1:14">
      <c r="A127" s="174" t="s">
        <v>342</v>
      </c>
      <c r="B127" s="174" t="s">
        <v>342</v>
      </c>
      <c r="C127" s="174" t="s">
        <v>347</v>
      </c>
      <c r="D127" s="176">
        <v>0.31169970000000002</v>
      </c>
      <c r="E127" s="176">
        <v>0</v>
      </c>
      <c r="F127" s="176">
        <f t="shared" si="4"/>
        <v>0.31169970000000002</v>
      </c>
      <c r="G127" s="176">
        <v>0</v>
      </c>
      <c r="H127" s="176">
        <v>0</v>
      </c>
      <c r="I127" s="176">
        <v>0</v>
      </c>
      <c r="J127" s="176">
        <v>0</v>
      </c>
      <c r="K127" s="176">
        <v>0</v>
      </c>
      <c r="L127" s="176">
        <f>F127</f>
        <v>0.31169970000000002</v>
      </c>
      <c r="M127" s="176">
        <v>0</v>
      </c>
      <c r="N127" s="176"/>
    </row>
    <row r="128" spans="1:14">
      <c r="A128" s="174" t="s">
        <v>342</v>
      </c>
      <c r="B128" s="174" t="s">
        <v>342</v>
      </c>
      <c r="C128" s="174" t="s">
        <v>348</v>
      </c>
      <c r="D128" s="176">
        <v>6.7202799999999993E-2</v>
      </c>
      <c r="E128" s="176">
        <v>6.7202799999999993E-2</v>
      </c>
      <c r="F128" s="176">
        <f t="shared" si="4"/>
        <v>0</v>
      </c>
      <c r="G128" s="176">
        <v>0</v>
      </c>
      <c r="H128" s="176">
        <v>0</v>
      </c>
      <c r="I128" s="176">
        <v>0</v>
      </c>
      <c r="J128" s="176">
        <v>0</v>
      </c>
      <c r="K128" s="176">
        <v>0</v>
      </c>
      <c r="L128" s="176"/>
      <c r="M128" s="176">
        <v>0</v>
      </c>
      <c r="N128" s="176"/>
    </row>
    <row r="129" spans="1:14" ht="14.4" hidden="1" customHeight="1">
      <c r="A129" s="174" t="s">
        <v>349</v>
      </c>
      <c r="B129" s="174" t="s">
        <v>342</v>
      </c>
      <c r="C129" s="174" t="s">
        <v>350</v>
      </c>
      <c r="D129" s="176">
        <v>0.398729</v>
      </c>
      <c r="E129" s="176">
        <v>0.36372900000000002</v>
      </c>
      <c r="F129" s="176">
        <f t="shared" si="4"/>
        <v>3.4999999999999976E-2</v>
      </c>
      <c r="G129" s="176">
        <v>0</v>
      </c>
      <c r="H129" s="176">
        <v>0</v>
      </c>
      <c r="I129" s="176">
        <v>0</v>
      </c>
      <c r="J129" s="176">
        <v>0</v>
      </c>
      <c r="K129" s="176">
        <v>0</v>
      </c>
      <c r="L129" s="176">
        <f>F129</f>
        <v>3.4999999999999976E-2</v>
      </c>
      <c r="M129" s="176">
        <v>0</v>
      </c>
      <c r="N129" s="176"/>
    </row>
    <row r="130" spans="1:14">
      <c r="A130" s="174" t="s">
        <v>342</v>
      </c>
      <c r="B130" s="174" t="s">
        <v>342</v>
      </c>
      <c r="C130" s="174" t="s">
        <v>351</v>
      </c>
      <c r="D130" s="176">
        <v>3.5723499999999998E-2</v>
      </c>
      <c r="E130" s="176">
        <v>0</v>
      </c>
      <c r="F130" s="176">
        <f t="shared" si="4"/>
        <v>3.5723499999999998E-2</v>
      </c>
      <c r="G130" s="176">
        <v>0</v>
      </c>
      <c r="H130" s="176">
        <v>0</v>
      </c>
      <c r="I130" s="176">
        <v>0</v>
      </c>
      <c r="J130" s="176">
        <v>0</v>
      </c>
      <c r="K130" s="176">
        <v>0</v>
      </c>
      <c r="L130" s="176">
        <f>F130</f>
        <v>3.5723499999999998E-2</v>
      </c>
      <c r="M130" s="176">
        <v>0</v>
      </c>
      <c r="N130" s="176"/>
    </row>
    <row r="131" spans="1:14">
      <c r="A131" s="174" t="s">
        <v>342</v>
      </c>
      <c r="B131" s="174" t="s">
        <v>342</v>
      </c>
      <c r="C131" s="174" t="s">
        <v>352</v>
      </c>
      <c r="D131" s="176">
        <v>1.4745899999999999E-2</v>
      </c>
      <c r="E131" s="176">
        <v>1.4745899999999999E-2</v>
      </c>
      <c r="F131" s="176">
        <f t="shared" si="4"/>
        <v>0</v>
      </c>
      <c r="G131" s="176">
        <v>0</v>
      </c>
      <c r="H131" s="176">
        <v>0</v>
      </c>
      <c r="I131" s="176">
        <v>0</v>
      </c>
      <c r="J131" s="176">
        <v>0</v>
      </c>
      <c r="K131" s="176">
        <v>0</v>
      </c>
      <c r="L131" s="176"/>
      <c r="M131" s="176">
        <v>0</v>
      </c>
      <c r="N131" s="176"/>
    </row>
    <row r="132" spans="1:14" ht="14.4" hidden="1" customHeight="1">
      <c r="A132" s="174" t="s">
        <v>342</v>
      </c>
      <c r="B132" s="174" t="s">
        <v>342</v>
      </c>
      <c r="C132" s="174" t="s">
        <v>353</v>
      </c>
      <c r="D132" s="176">
        <v>1.2774499999999999E-2</v>
      </c>
      <c r="E132" s="176">
        <v>1.2774499999999999E-2</v>
      </c>
      <c r="F132" s="176">
        <f t="shared" si="4"/>
        <v>0</v>
      </c>
      <c r="G132" s="176">
        <v>0</v>
      </c>
      <c r="H132" s="176">
        <v>0</v>
      </c>
      <c r="I132" s="176">
        <v>0</v>
      </c>
      <c r="J132" s="176">
        <v>0</v>
      </c>
      <c r="K132" s="176">
        <v>0</v>
      </c>
      <c r="L132" s="176"/>
      <c r="M132" s="176">
        <v>0</v>
      </c>
      <c r="N132" s="176"/>
    </row>
    <row r="133" spans="1:14" ht="14.4" hidden="1" customHeight="1">
      <c r="A133" s="174" t="s">
        <v>342</v>
      </c>
      <c r="B133" s="174" t="s">
        <v>342</v>
      </c>
      <c r="C133" s="174" t="s">
        <v>354</v>
      </c>
      <c r="D133" s="176">
        <v>1.65281E-2</v>
      </c>
      <c r="E133" s="176">
        <v>1.65281E-2</v>
      </c>
      <c r="F133" s="176">
        <f t="shared" si="4"/>
        <v>0</v>
      </c>
      <c r="G133" s="176">
        <v>0</v>
      </c>
      <c r="H133" s="176">
        <v>0</v>
      </c>
      <c r="I133" s="176">
        <v>0</v>
      </c>
      <c r="J133" s="176">
        <v>0</v>
      </c>
      <c r="K133" s="176">
        <v>0</v>
      </c>
      <c r="L133" s="176"/>
      <c r="M133" s="176">
        <v>0</v>
      </c>
      <c r="N133" s="176"/>
    </row>
    <row r="134" spans="1:14" ht="14.4" hidden="1" customHeight="1">
      <c r="A134" s="174" t="s">
        <v>342</v>
      </c>
      <c r="B134" s="174" t="s">
        <v>342</v>
      </c>
      <c r="C134" s="174" t="s">
        <v>355</v>
      </c>
      <c r="D134" s="176">
        <v>6.3699999999999998E-3</v>
      </c>
      <c r="E134" s="176">
        <v>6.3699999999999998E-3</v>
      </c>
      <c r="F134" s="176">
        <f t="shared" si="4"/>
        <v>0</v>
      </c>
      <c r="G134" s="176">
        <v>0</v>
      </c>
      <c r="H134" s="176">
        <v>0</v>
      </c>
      <c r="I134" s="176">
        <v>0</v>
      </c>
      <c r="J134" s="176">
        <v>0</v>
      </c>
      <c r="K134" s="176">
        <v>0</v>
      </c>
      <c r="L134" s="176"/>
      <c r="M134" s="176">
        <v>0</v>
      </c>
      <c r="N134" s="176"/>
    </row>
    <row r="135" spans="1:14" ht="14.4" hidden="1" customHeight="1">
      <c r="A135" s="174" t="s">
        <v>342</v>
      </c>
      <c r="B135" s="174" t="s">
        <v>342</v>
      </c>
      <c r="C135" s="174" t="s">
        <v>350</v>
      </c>
      <c r="D135" s="176">
        <v>0.65155700000000005</v>
      </c>
      <c r="E135" s="176">
        <v>0.65155700000000005</v>
      </c>
      <c r="F135" s="176">
        <f t="shared" si="4"/>
        <v>0</v>
      </c>
      <c r="G135" s="176">
        <v>0</v>
      </c>
      <c r="H135" s="176">
        <v>0</v>
      </c>
      <c r="I135" s="176">
        <v>0</v>
      </c>
      <c r="J135" s="176">
        <v>0</v>
      </c>
      <c r="K135" s="176">
        <v>0</v>
      </c>
      <c r="L135" s="176"/>
      <c r="M135" s="176">
        <v>0</v>
      </c>
      <c r="N135" s="176"/>
    </row>
    <row r="136" spans="1:14" ht="14.4" hidden="1" customHeight="1">
      <c r="A136" s="174" t="s">
        <v>342</v>
      </c>
      <c r="B136" s="174" t="s">
        <v>342</v>
      </c>
      <c r="C136" s="174" t="s">
        <v>356</v>
      </c>
      <c r="D136" s="176">
        <v>0.25609470000000001</v>
      </c>
      <c r="E136" s="176">
        <v>0.25609470000000001</v>
      </c>
      <c r="F136" s="176">
        <f t="shared" si="4"/>
        <v>0</v>
      </c>
      <c r="G136" s="176">
        <v>0</v>
      </c>
      <c r="H136" s="176">
        <v>0</v>
      </c>
      <c r="I136" s="176">
        <v>0</v>
      </c>
      <c r="J136" s="176">
        <v>0</v>
      </c>
      <c r="K136" s="176">
        <v>0</v>
      </c>
      <c r="L136" s="176"/>
      <c r="M136" s="176">
        <v>0</v>
      </c>
      <c r="N136" s="176"/>
    </row>
    <row r="137" spans="1:14" ht="14.4" hidden="1" customHeight="1">
      <c r="A137" s="174" t="s">
        <v>342</v>
      </c>
      <c r="B137" s="174" t="s">
        <v>342</v>
      </c>
      <c r="C137" s="174" t="s">
        <v>357</v>
      </c>
      <c r="D137" s="176">
        <v>8.9845800000000003E-2</v>
      </c>
      <c r="E137" s="176">
        <v>8.9845800000000003E-2</v>
      </c>
      <c r="F137" s="176">
        <f t="shared" si="4"/>
        <v>0</v>
      </c>
      <c r="G137" s="176">
        <v>0</v>
      </c>
      <c r="H137" s="176">
        <v>0</v>
      </c>
      <c r="I137" s="176">
        <v>0</v>
      </c>
      <c r="J137" s="176">
        <v>0</v>
      </c>
      <c r="K137" s="176">
        <v>0</v>
      </c>
      <c r="L137" s="176"/>
      <c r="M137" s="176">
        <v>0</v>
      </c>
      <c r="N137" s="176"/>
    </row>
    <row r="138" spans="1:14" ht="14.4" hidden="1" customHeight="1">
      <c r="A138" s="174" t="s">
        <v>342</v>
      </c>
      <c r="B138" s="174" t="s">
        <v>342</v>
      </c>
      <c r="C138" s="175" t="s">
        <v>358</v>
      </c>
      <c r="D138" s="176">
        <v>8.9403200000000002E-2</v>
      </c>
      <c r="E138" s="176">
        <v>8.9403200000000002E-2</v>
      </c>
      <c r="F138" s="176">
        <f t="shared" si="4"/>
        <v>0</v>
      </c>
      <c r="G138" s="176">
        <v>0</v>
      </c>
      <c r="H138" s="176">
        <v>0</v>
      </c>
      <c r="I138" s="176">
        <v>0</v>
      </c>
      <c r="J138" s="176">
        <v>0</v>
      </c>
      <c r="K138" s="176">
        <v>0</v>
      </c>
      <c r="L138" s="176"/>
      <c r="M138" s="176">
        <v>0</v>
      </c>
      <c r="N138" s="176"/>
    </row>
    <row r="139" spans="1:14" ht="86.4" hidden="1" customHeight="1">
      <c r="A139" s="174" t="s">
        <v>342</v>
      </c>
      <c r="B139" s="174" t="s">
        <v>342</v>
      </c>
      <c r="C139" s="174" t="s">
        <v>359</v>
      </c>
      <c r="D139" s="176">
        <v>6.8242300000000006E-2</v>
      </c>
      <c r="E139" s="176">
        <v>6.8242300000000006E-2</v>
      </c>
      <c r="F139" s="176">
        <f t="shared" si="4"/>
        <v>0</v>
      </c>
      <c r="G139" s="176">
        <v>0</v>
      </c>
      <c r="H139" s="176">
        <v>0</v>
      </c>
      <c r="I139" s="176">
        <v>0</v>
      </c>
      <c r="J139" s="176">
        <v>0</v>
      </c>
      <c r="K139" s="176">
        <v>0</v>
      </c>
      <c r="L139" s="176"/>
      <c r="M139" s="176">
        <v>0</v>
      </c>
      <c r="N139" s="176"/>
    </row>
    <row r="140" spans="1:14" ht="14.4" hidden="1" customHeight="1">
      <c r="A140" s="174" t="s">
        <v>342</v>
      </c>
      <c r="B140" s="174" t="s">
        <v>342</v>
      </c>
      <c r="C140" s="174" t="s">
        <v>360</v>
      </c>
      <c r="D140" s="176">
        <v>4.2346700000000001E-2</v>
      </c>
      <c r="E140" s="176">
        <v>4.2346700000000001E-2</v>
      </c>
      <c r="F140" s="176">
        <f t="shared" si="4"/>
        <v>0</v>
      </c>
      <c r="G140" s="176">
        <v>0</v>
      </c>
      <c r="H140" s="176">
        <v>0</v>
      </c>
      <c r="I140" s="176">
        <v>0</v>
      </c>
      <c r="J140" s="176">
        <v>0</v>
      </c>
      <c r="K140" s="176">
        <v>0</v>
      </c>
      <c r="L140" s="176"/>
      <c r="M140" s="176">
        <v>0</v>
      </c>
      <c r="N140" s="176"/>
    </row>
    <row r="141" spans="1:14" ht="14.4" hidden="1" customHeight="1">
      <c r="A141" s="174" t="s">
        <v>342</v>
      </c>
      <c r="B141" s="174" t="s">
        <v>342</v>
      </c>
      <c r="C141" s="174" t="s">
        <v>361</v>
      </c>
      <c r="D141" s="176">
        <v>3.07137E-2</v>
      </c>
      <c r="E141" s="176">
        <v>3.07137E-2</v>
      </c>
      <c r="F141" s="176">
        <f t="shared" si="4"/>
        <v>0</v>
      </c>
      <c r="G141" s="176">
        <v>0</v>
      </c>
      <c r="H141" s="176">
        <v>0</v>
      </c>
      <c r="I141" s="176">
        <v>0</v>
      </c>
      <c r="J141" s="176">
        <v>0</v>
      </c>
      <c r="K141" s="176">
        <v>0</v>
      </c>
      <c r="L141" s="176"/>
      <c r="M141" s="176">
        <v>0</v>
      </c>
      <c r="N141" s="176"/>
    </row>
    <row r="142" spans="1:14" ht="14.4" hidden="1" customHeight="1">
      <c r="A142" s="174" t="s">
        <v>342</v>
      </c>
      <c r="B142" s="174" t="s">
        <v>342</v>
      </c>
      <c r="C142" s="174" t="s">
        <v>362</v>
      </c>
      <c r="D142" s="176">
        <v>4.9608199999999998E-2</v>
      </c>
      <c r="E142" s="176">
        <v>0</v>
      </c>
      <c r="F142" s="176">
        <f t="shared" si="4"/>
        <v>4.9608199999999998E-2</v>
      </c>
      <c r="G142" s="176">
        <v>0</v>
      </c>
      <c r="H142" s="176">
        <v>4.9608199999999998E-2</v>
      </c>
      <c r="I142" s="176">
        <v>0</v>
      </c>
      <c r="J142" s="176">
        <v>0</v>
      </c>
      <c r="K142" s="176">
        <v>0</v>
      </c>
      <c r="L142" s="176">
        <v>0</v>
      </c>
      <c r="M142" s="176">
        <v>0</v>
      </c>
      <c r="N142" s="176"/>
    </row>
    <row r="143" spans="1:14" ht="28.8">
      <c r="A143" s="174" t="s">
        <v>363</v>
      </c>
      <c r="B143" s="174" t="s">
        <v>364</v>
      </c>
      <c r="C143" s="175" t="s">
        <v>365</v>
      </c>
      <c r="D143" s="176">
        <v>4.9000022999999997E-2</v>
      </c>
      <c r="E143" s="176">
        <v>0</v>
      </c>
      <c r="F143" s="176">
        <f t="shared" si="4"/>
        <v>4.9000022999999997E-2</v>
      </c>
      <c r="G143" s="176">
        <v>0</v>
      </c>
      <c r="H143" s="176">
        <v>0</v>
      </c>
      <c r="I143" s="176">
        <v>0</v>
      </c>
      <c r="J143" s="176">
        <v>0</v>
      </c>
      <c r="K143" s="176">
        <v>0</v>
      </c>
      <c r="L143" s="176">
        <f>F143</f>
        <v>4.9000022999999997E-2</v>
      </c>
      <c r="M143" s="176">
        <v>0</v>
      </c>
      <c r="N143" s="176"/>
    </row>
    <row r="144" spans="1:14">
      <c r="A144" s="174" t="s">
        <v>363</v>
      </c>
      <c r="B144" s="174" t="s">
        <v>366</v>
      </c>
      <c r="C144" s="175" t="s">
        <v>367</v>
      </c>
      <c r="D144" s="176">
        <v>18.244984424508296</v>
      </c>
      <c r="E144" s="176">
        <v>0</v>
      </c>
      <c r="F144" s="176">
        <f t="shared" si="4"/>
        <v>18.244984424508296</v>
      </c>
      <c r="G144" s="176">
        <v>8.5</v>
      </c>
      <c r="H144" s="176">
        <v>2.85</v>
      </c>
      <c r="I144" s="176">
        <v>0</v>
      </c>
      <c r="J144" s="176">
        <v>0</v>
      </c>
      <c r="K144" s="176">
        <v>0</v>
      </c>
      <c r="L144" s="176">
        <f>F144-G144-H144</f>
        <v>6.8949844245082961</v>
      </c>
      <c r="M144" s="176">
        <v>4.9844245082963923E-3</v>
      </c>
      <c r="N144" s="176"/>
    </row>
    <row r="145" spans="1:14" ht="28.8">
      <c r="A145" s="174" t="s">
        <v>363</v>
      </c>
      <c r="B145" s="174" t="s">
        <v>368</v>
      </c>
      <c r="C145" s="175" t="s">
        <v>369</v>
      </c>
      <c r="D145" s="176">
        <v>1.8299034940000001</v>
      </c>
      <c r="E145" s="176">
        <v>0</v>
      </c>
      <c r="F145" s="176">
        <f t="shared" si="4"/>
        <v>1.8299034940000001</v>
      </c>
      <c r="G145" s="176">
        <v>0</v>
      </c>
      <c r="H145" s="176">
        <v>0</v>
      </c>
      <c r="I145" s="176">
        <v>0</v>
      </c>
      <c r="J145" s="176">
        <v>0</v>
      </c>
      <c r="K145" s="176">
        <v>0</v>
      </c>
      <c r="L145" s="176">
        <f>F145</f>
        <v>1.8299034940000001</v>
      </c>
      <c r="M145" s="176">
        <v>0</v>
      </c>
      <c r="N145" s="176"/>
    </row>
    <row r="146" spans="1:14">
      <c r="A146" s="174" t="s">
        <v>363</v>
      </c>
      <c r="B146" s="174" t="s">
        <v>370</v>
      </c>
      <c r="C146" s="175" t="s">
        <v>371</v>
      </c>
      <c r="D146" s="176">
        <v>12.989502068777702</v>
      </c>
      <c r="E146" s="176">
        <v>0</v>
      </c>
      <c r="F146" s="176">
        <f t="shared" si="4"/>
        <v>12.989502068777702</v>
      </c>
      <c r="G146" s="176">
        <v>6.2</v>
      </c>
      <c r="H146" s="176">
        <v>3.39</v>
      </c>
      <c r="I146" s="176">
        <v>0</v>
      </c>
      <c r="J146" s="176">
        <v>0</v>
      </c>
      <c r="K146" s="176">
        <v>0</v>
      </c>
      <c r="L146" s="176">
        <f>F146-G146-H146</f>
        <v>3.3995020687777013</v>
      </c>
      <c r="M146" s="176">
        <v>3.1545020687777012</v>
      </c>
      <c r="N146" s="176" t="s">
        <v>432</v>
      </c>
    </row>
    <row r="147" spans="1:14">
      <c r="A147" s="174" t="s">
        <v>363</v>
      </c>
      <c r="B147" s="174" t="s">
        <v>372</v>
      </c>
      <c r="C147" s="175" t="s">
        <v>373</v>
      </c>
      <c r="D147" s="176">
        <v>7.6058776421595935</v>
      </c>
      <c r="E147" s="176">
        <v>0</v>
      </c>
      <c r="F147" s="176">
        <f t="shared" si="4"/>
        <v>7.6058776421595935</v>
      </c>
      <c r="G147" s="176">
        <v>3.05</v>
      </c>
      <c r="H147" s="176">
        <v>0</v>
      </c>
      <c r="I147" s="176">
        <v>0</v>
      </c>
      <c r="J147" s="176">
        <v>0</v>
      </c>
      <c r="K147" s="176">
        <v>0</v>
      </c>
      <c r="L147" s="176">
        <f>F147-G147</f>
        <v>4.5558776421595937</v>
      </c>
      <c r="M147" s="176">
        <v>4.4258776421595938</v>
      </c>
      <c r="N147" s="176" t="s">
        <v>432</v>
      </c>
    </row>
    <row r="148" spans="1:14">
      <c r="A148" s="174" t="s">
        <v>363</v>
      </c>
      <c r="B148" s="174" t="s">
        <v>374</v>
      </c>
      <c r="C148" s="175" t="s">
        <v>375</v>
      </c>
      <c r="D148" s="176">
        <v>2.0728347999999999</v>
      </c>
      <c r="E148" s="176">
        <v>0</v>
      </c>
      <c r="F148" s="176">
        <f t="shared" si="4"/>
        <v>2.0728347999999999</v>
      </c>
      <c r="G148" s="176">
        <v>0</v>
      </c>
      <c r="H148" s="176">
        <v>0</v>
      </c>
      <c r="I148" s="176">
        <v>0</v>
      </c>
      <c r="J148" s="176">
        <v>2.0699999999999998</v>
      </c>
      <c r="K148" s="176">
        <v>0</v>
      </c>
      <c r="L148" s="176">
        <v>0</v>
      </c>
      <c r="M148" s="176">
        <v>2.8348000000000262E-3</v>
      </c>
      <c r="N148" s="176"/>
    </row>
    <row r="149" spans="1:14">
      <c r="A149" s="174" t="s">
        <v>363</v>
      </c>
      <c r="B149" s="174" t="s">
        <v>376</v>
      </c>
      <c r="C149" s="175"/>
      <c r="D149" s="176">
        <v>2.8041730460000003</v>
      </c>
      <c r="E149" s="176">
        <v>2.8041730460000003</v>
      </c>
      <c r="F149" s="176">
        <f t="shared" si="4"/>
        <v>0</v>
      </c>
      <c r="G149" s="176">
        <v>0</v>
      </c>
      <c r="H149" s="176">
        <v>0</v>
      </c>
      <c r="I149" s="176">
        <v>0</v>
      </c>
      <c r="J149" s="176">
        <v>0</v>
      </c>
      <c r="K149" s="176">
        <v>0</v>
      </c>
      <c r="L149" s="176"/>
      <c r="M149" s="176">
        <v>0</v>
      </c>
      <c r="N149" s="176"/>
    </row>
    <row r="150" spans="1:14" ht="14.4" hidden="1" customHeight="1">
      <c r="A150" s="174" t="s">
        <v>363</v>
      </c>
      <c r="B150" s="174" t="s">
        <v>377</v>
      </c>
      <c r="C150" s="175" t="s">
        <v>378</v>
      </c>
      <c r="D150" s="176">
        <v>0</v>
      </c>
      <c r="E150" s="176">
        <v>0</v>
      </c>
      <c r="F150" s="176">
        <f t="shared" si="4"/>
        <v>0</v>
      </c>
      <c r="G150" s="176">
        <v>0</v>
      </c>
      <c r="H150" s="176">
        <v>0</v>
      </c>
      <c r="I150" s="176">
        <v>0</v>
      </c>
      <c r="J150" s="176">
        <v>0</v>
      </c>
      <c r="K150" s="176">
        <v>0</v>
      </c>
      <c r="L150" s="176"/>
      <c r="M150" s="176">
        <v>0</v>
      </c>
      <c r="N150" s="176"/>
    </row>
    <row r="151" spans="1:14" ht="129.6" hidden="1" customHeight="1">
      <c r="A151" s="174" t="s">
        <v>363</v>
      </c>
      <c r="B151" s="174" t="s">
        <v>379</v>
      </c>
      <c r="C151" s="175" t="s">
        <v>365</v>
      </c>
      <c r="D151" s="176">
        <v>0</v>
      </c>
      <c r="E151" s="176">
        <v>0</v>
      </c>
      <c r="F151" s="176">
        <f t="shared" ref="F151:F177" si="5">D151-E151</f>
        <v>0</v>
      </c>
      <c r="G151" s="176">
        <v>0</v>
      </c>
      <c r="H151" s="176">
        <v>0</v>
      </c>
      <c r="I151" s="176">
        <v>0</v>
      </c>
      <c r="J151" s="176">
        <v>0</v>
      </c>
      <c r="K151" s="176">
        <v>0</v>
      </c>
      <c r="L151" s="176"/>
      <c r="M151" s="176">
        <v>0</v>
      </c>
      <c r="N151" s="176"/>
    </row>
    <row r="152" spans="1:14" ht="43.2" hidden="1" customHeight="1">
      <c r="A152" s="174" t="s">
        <v>363</v>
      </c>
      <c r="B152" s="174" t="s">
        <v>380</v>
      </c>
      <c r="C152" s="175" t="s">
        <v>381</v>
      </c>
      <c r="D152" s="176">
        <v>19.770349817</v>
      </c>
      <c r="E152" s="176">
        <v>19.770349817</v>
      </c>
      <c r="F152" s="176">
        <f t="shared" si="5"/>
        <v>0</v>
      </c>
      <c r="G152" s="176">
        <v>0</v>
      </c>
      <c r="H152" s="176">
        <v>0</v>
      </c>
      <c r="I152" s="176">
        <v>0</v>
      </c>
      <c r="J152" s="176">
        <v>0</v>
      </c>
      <c r="K152" s="176">
        <v>0</v>
      </c>
      <c r="L152" s="176"/>
      <c r="M152" s="176">
        <v>0</v>
      </c>
      <c r="N152" s="176"/>
    </row>
    <row r="153" spans="1:14" ht="57.6" hidden="1" customHeight="1">
      <c r="A153" s="174" t="s">
        <v>363</v>
      </c>
      <c r="B153" s="174" t="s">
        <v>382</v>
      </c>
      <c r="C153" s="175" t="s">
        <v>373</v>
      </c>
      <c r="D153" s="176">
        <v>1.2882954930362462</v>
      </c>
      <c r="E153" s="176">
        <v>0</v>
      </c>
      <c r="F153" s="176">
        <f t="shared" si="5"/>
        <v>1.2882954930362462</v>
      </c>
      <c r="G153" s="176">
        <v>0</v>
      </c>
      <c r="H153" s="176">
        <v>0</v>
      </c>
      <c r="I153" s="176">
        <v>0</v>
      </c>
      <c r="J153" s="176">
        <v>0</v>
      </c>
      <c r="K153" s="176">
        <v>0</v>
      </c>
      <c r="L153" s="176">
        <f>F153</f>
        <v>1.2882954930362462</v>
      </c>
      <c r="M153" s="176">
        <v>1.1082954930362463</v>
      </c>
      <c r="N153" s="176" t="s">
        <v>432</v>
      </c>
    </row>
    <row r="154" spans="1:14" ht="28.8">
      <c r="A154" s="174" t="s">
        <v>363</v>
      </c>
      <c r="B154" s="174" t="s">
        <v>383</v>
      </c>
      <c r="C154" s="175" t="s">
        <v>384</v>
      </c>
      <c r="D154" s="176">
        <v>2.2054753410000001</v>
      </c>
      <c r="E154" s="176">
        <v>0</v>
      </c>
      <c r="F154" s="176">
        <f t="shared" si="5"/>
        <v>2.2054753410000001</v>
      </c>
      <c r="G154" s="176">
        <v>0</v>
      </c>
      <c r="H154" s="176">
        <v>0</v>
      </c>
      <c r="I154" s="176">
        <v>0</v>
      </c>
      <c r="J154" s="176">
        <v>0</v>
      </c>
      <c r="K154" s="176">
        <v>0</v>
      </c>
      <c r="L154" s="176">
        <f>F154</f>
        <v>2.2054753410000001</v>
      </c>
      <c r="M154" s="176">
        <v>1.625475341</v>
      </c>
      <c r="N154" s="176" t="s">
        <v>433</v>
      </c>
    </row>
    <row r="155" spans="1:14" ht="28.8">
      <c r="A155" s="174" t="s">
        <v>363</v>
      </c>
      <c r="B155" s="174" t="s">
        <v>385</v>
      </c>
      <c r="C155" s="175" t="s">
        <v>386</v>
      </c>
      <c r="D155" s="176">
        <v>1.7264861</v>
      </c>
      <c r="E155" s="176">
        <v>1.7264861</v>
      </c>
      <c r="F155" s="176">
        <f t="shared" si="5"/>
        <v>0</v>
      </c>
      <c r="G155" s="176">
        <v>0</v>
      </c>
      <c r="H155" s="176">
        <v>0</v>
      </c>
      <c r="I155" s="176">
        <v>0</v>
      </c>
      <c r="J155" s="176">
        <v>0</v>
      </c>
      <c r="K155" s="176">
        <v>0</v>
      </c>
      <c r="L155" s="176"/>
      <c r="M155" s="176">
        <v>0</v>
      </c>
      <c r="N155" s="176"/>
    </row>
    <row r="156" spans="1:14" ht="100.95" hidden="1" customHeight="1">
      <c r="A156" s="174" t="s">
        <v>363</v>
      </c>
      <c r="B156" s="174" t="s">
        <v>387</v>
      </c>
      <c r="C156" s="175" t="s">
        <v>388</v>
      </c>
      <c r="D156" s="176">
        <v>5.8063499999999997E-2</v>
      </c>
      <c r="E156" s="176">
        <v>5.8063499999999997E-2</v>
      </c>
      <c r="F156" s="176">
        <f t="shared" si="5"/>
        <v>0</v>
      </c>
      <c r="G156" s="176">
        <v>0</v>
      </c>
      <c r="H156" s="176">
        <v>0</v>
      </c>
      <c r="I156" s="176">
        <v>0</v>
      </c>
      <c r="J156" s="176">
        <v>0</v>
      </c>
      <c r="K156" s="176">
        <v>0</v>
      </c>
      <c r="L156" s="176"/>
      <c r="M156" s="176">
        <v>0</v>
      </c>
      <c r="N156" s="176"/>
    </row>
    <row r="157" spans="1:14" ht="28.95" hidden="1" customHeight="1">
      <c r="A157" s="174" t="s">
        <v>363</v>
      </c>
      <c r="B157" s="174" t="s">
        <v>389</v>
      </c>
      <c r="C157" s="175" t="s">
        <v>390</v>
      </c>
      <c r="D157" s="176">
        <v>0.10636449199999999</v>
      </c>
      <c r="E157" s="176">
        <v>0.10636449199999999</v>
      </c>
      <c r="F157" s="176">
        <f t="shared" si="5"/>
        <v>0</v>
      </c>
      <c r="G157" s="176">
        <v>0</v>
      </c>
      <c r="H157" s="176">
        <v>0</v>
      </c>
      <c r="I157" s="176">
        <v>0</v>
      </c>
      <c r="J157" s="176">
        <v>0</v>
      </c>
      <c r="K157" s="176">
        <v>0</v>
      </c>
      <c r="L157" s="176"/>
      <c r="M157" s="176">
        <v>0</v>
      </c>
      <c r="N157" s="176"/>
    </row>
    <row r="158" spans="1:14" ht="86.4" hidden="1" customHeight="1">
      <c r="A158" s="174" t="s">
        <v>363</v>
      </c>
      <c r="B158" s="174" t="s">
        <v>391</v>
      </c>
      <c r="C158" s="175" t="s">
        <v>392</v>
      </c>
      <c r="D158" s="176">
        <v>1.2234500000000001E-2</v>
      </c>
      <c r="E158" s="176">
        <v>0</v>
      </c>
      <c r="F158" s="176">
        <f t="shared" si="5"/>
        <v>1.2234500000000001E-2</v>
      </c>
      <c r="G158" s="176">
        <v>0</v>
      </c>
      <c r="H158" s="176">
        <v>0</v>
      </c>
      <c r="I158" s="176">
        <v>0</v>
      </c>
      <c r="J158" s="176">
        <v>0</v>
      </c>
      <c r="K158" s="176">
        <v>0</v>
      </c>
      <c r="L158" s="176">
        <f>F158</f>
        <v>1.2234500000000001E-2</v>
      </c>
      <c r="M158" s="176">
        <v>0</v>
      </c>
      <c r="N158" s="176"/>
    </row>
    <row r="159" spans="1:14">
      <c r="A159" s="174" t="s">
        <v>363</v>
      </c>
      <c r="B159" s="174" t="s">
        <v>393</v>
      </c>
      <c r="C159" s="175" t="s">
        <v>388</v>
      </c>
      <c r="D159" s="176">
        <v>0</v>
      </c>
      <c r="E159" s="176">
        <v>0</v>
      </c>
      <c r="F159" s="176">
        <f t="shared" si="5"/>
        <v>0</v>
      </c>
      <c r="G159" s="176">
        <v>0</v>
      </c>
      <c r="H159" s="176">
        <v>0</v>
      </c>
      <c r="I159" s="176">
        <v>0</v>
      </c>
      <c r="J159" s="176">
        <v>0</v>
      </c>
      <c r="K159" s="176">
        <v>0</v>
      </c>
      <c r="L159" s="176"/>
      <c r="M159" s="176">
        <v>0</v>
      </c>
      <c r="N159" s="176"/>
    </row>
    <row r="160" spans="1:14" ht="28.95" hidden="1" customHeight="1">
      <c r="A160" s="174" t="s">
        <v>363</v>
      </c>
      <c r="B160" s="174" t="s">
        <v>394</v>
      </c>
      <c r="C160" s="175" t="s">
        <v>395</v>
      </c>
      <c r="D160" s="176">
        <v>0.1681049</v>
      </c>
      <c r="E160" s="176">
        <v>0.1681049</v>
      </c>
      <c r="F160" s="176">
        <f t="shared" si="5"/>
        <v>0</v>
      </c>
      <c r="G160" s="176">
        <v>0</v>
      </c>
      <c r="H160" s="176">
        <v>0</v>
      </c>
      <c r="I160" s="176">
        <v>0</v>
      </c>
      <c r="J160" s="176">
        <v>0</v>
      </c>
      <c r="K160" s="176">
        <v>0</v>
      </c>
      <c r="L160" s="176"/>
      <c r="M160" s="176">
        <v>0</v>
      </c>
      <c r="N160" s="176"/>
    </row>
    <row r="161" spans="1:14" ht="14.4" hidden="1" customHeight="1">
      <c r="A161" s="174" t="s">
        <v>363</v>
      </c>
      <c r="B161" s="174" t="s">
        <v>396</v>
      </c>
      <c r="C161" s="175" t="s">
        <v>397</v>
      </c>
      <c r="D161" s="176">
        <v>6.08502E-2</v>
      </c>
      <c r="E161" s="176">
        <v>6.08502E-2</v>
      </c>
      <c r="F161" s="176">
        <f t="shared" si="5"/>
        <v>0</v>
      </c>
      <c r="G161" s="176">
        <v>0</v>
      </c>
      <c r="H161" s="176">
        <v>0</v>
      </c>
      <c r="I161" s="176">
        <v>0</v>
      </c>
      <c r="J161" s="176">
        <v>0</v>
      </c>
      <c r="K161" s="176">
        <v>0</v>
      </c>
      <c r="L161" s="176"/>
      <c r="M161" s="176">
        <v>0</v>
      </c>
      <c r="N161" s="176"/>
    </row>
    <row r="162" spans="1:14" ht="86.4" hidden="1" customHeight="1">
      <c r="A162" s="174" t="s">
        <v>363</v>
      </c>
      <c r="B162" s="174" t="s">
        <v>398</v>
      </c>
      <c r="C162" s="175"/>
      <c r="D162" s="176">
        <v>-7.9999999999999996E-7</v>
      </c>
      <c r="E162" s="176">
        <v>0</v>
      </c>
      <c r="F162" s="176">
        <f t="shared" si="5"/>
        <v>-7.9999999999999996E-7</v>
      </c>
      <c r="G162" s="176">
        <v>0</v>
      </c>
      <c r="H162" s="176">
        <v>0</v>
      </c>
      <c r="I162" s="176">
        <v>0</v>
      </c>
      <c r="J162" s="176">
        <v>0</v>
      </c>
      <c r="K162" s="176">
        <v>0</v>
      </c>
      <c r="L162" s="176">
        <f>F162</f>
        <v>-7.9999999999999996E-7</v>
      </c>
      <c r="M162" s="176">
        <v>-7.9999999999999996E-7</v>
      </c>
      <c r="N162" s="176"/>
    </row>
    <row r="163" spans="1:14">
      <c r="A163" s="174" t="s">
        <v>363</v>
      </c>
      <c r="B163" s="174" t="s">
        <v>399</v>
      </c>
      <c r="C163" s="175"/>
      <c r="D163" s="176">
        <v>0</v>
      </c>
      <c r="E163" s="176">
        <v>1.2234500000000001E-2</v>
      </c>
      <c r="F163" s="176">
        <f t="shared" si="5"/>
        <v>-1.2234500000000001E-2</v>
      </c>
      <c r="G163" s="176">
        <v>0</v>
      </c>
      <c r="H163" s="176">
        <v>0</v>
      </c>
      <c r="I163" s="176">
        <v>0</v>
      </c>
      <c r="J163" s="176">
        <v>0</v>
      </c>
      <c r="K163" s="176">
        <v>0</v>
      </c>
      <c r="L163" s="176">
        <f>F163</f>
        <v>-1.2234500000000001E-2</v>
      </c>
      <c r="M163" s="176">
        <v>0</v>
      </c>
      <c r="N163" s="176"/>
    </row>
    <row r="164" spans="1:14">
      <c r="A164" s="174" t="s">
        <v>400</v>
      </c>
      <c r="B164" s="174" t="s">
        <v>401</v>
      </c>
      <c r="C164" s="178" t="s">
        <v>402</v>
      </c>
      <c r="D164" s="176">
        <v>2.8200052000000002</v>
      </c>
      <c r="E164" s="176">
        <v>0</v>
      </c>
      <c r="F164" s="176">
        <f t="shared" si="5"/>
        <v>2.8200052000000002</v>
      </c>
      <c r="G164" s="176">
        <v>1</v>
      </c>
      <c r="H164" s="176">
        <v>0</v>
      </c>
      <c r="I164" s="176">
        <v>0</v>
      </c>
      <c r="J164" s="176">
        <v>0</v>
      </c>
      <c r="K164" s="176">
        <v>0</v>
      </c>
      <c r="L164" s="176">
        <f>F164-G164</f>
        <v>1.8200052000000002</v>
      </c>
      <c r="M164" s="176">
        <v>1.5966606470000002</v>
      </c>
      <c r="N164" s="176" t="s">
        <v>433</v>
      </c>
    </row>
    <row r="165" spans="1:14">
      <c r="A165" s="174" t="s">
        <v>400</v>
      </c>
      <c r="B165" s="174" t="s">
        <v>403</v>
      </c>
      <c r="C165" s="178" t="s">
        <v>402</v>
      </c>
      <c r="D165" s="176">
        <v>6.0492787000000003</v>
      </c>
      <c r="E165" s="176">
        <v>0</v>
      </c>
      <c r="F165" s="176">
        <f t="shared" si="5"/>
        <v>6.0492787000000003</v>
      </c>
      <c r="G165" s="176">
        <v>2.13</v>
      </c>
      <c r="H165" s="176">
        <v>0</v>
      </c>
      <c r="I165" s="176">
        <v>0</v>
      </c>
      <c r="J165" s="176">
        <v>0</v>
      </c>
      <c r="K165" s="176">
        <v>0</v>
      </c>
      <c r="L165" s="176">
        <f>F165-G165</f>
        <v>3.9192787000000004</v>
      </c>
      <c r="M165" s="176">
        <v>2.4892787000000007</v>
      </c>
      <c r="N165" s="176" t="s">
        <v>433</v>
      </c>
    </row>
    <row r="166" spans="1:14">
      <c r="A166" s="174" t="s">
        <v>400</v>
      </c>
      <c r="B166" s="174" t="s">
        <v>404</v>
      </c>
      <c r="C166" s="178" t="s">
        <v>402</v>
      </c>
      <c r="D166" s="176">
        <v>4.0470158319999996</v>
      </c>
      <c r="E166" s="176">
        <v>0</v>
      </c>
      <c r="F166" s="176">
        <f t="shared" si="5"/>
        <v>4.0470158319999996</v>
      </c>
      <c r="G166" s="176">
        <v>0</v>
      </c>
      <c r="H166" s="176">
        <v>1.75</v>
      </c>
      <c r="I166" s="176">
        <v>0</v>
      </c>
      <c r="J166" s="176">
        <v>0</v>
      </c>
      <c r="K166" s="176">
        <v>0</v>
      </c>
      <c r="L166" s="176">
        <f>F166-H166</f>
        <v>2.2970158319999996</v>
      </c>
      <c r="M166" s="176">
        <v>0</v>
      </c>
      <c r="N166" s="176"/>
    </row>
    <row r="167" spans="1:14">
      <c r="A167" s="174" t="s">
        <v>400</v>
      </c>
      <c r="B167" s="174" t="s">
        <v>405</v>
      </c>
      <c r="C167" s="178" t="s">
        <v>402</v>
      </c>
      <c r="D167" s="176">
        <v>4.8177411819999998</v>
      </c>
      <c r="E167" s="176">
        <v>0</v>
      </c>
      <c r="F167" s="176">
        <f t="shared" si="5"/>
        <v>4.8177411819999998</v>
      </c>
      <c r="G167" s="176">
        <v>0</v>
      </c>
      <c r="H167" s="176">
        <v>3.5927411819999997</v>
      </c>
      <c r="I167" s="176">
        <v>0</v>
      </c>
      <c r="J167" s="176">
        <v>0</v>
      </c>
      <c r="K167" s="176">
        <v>0</v>
      </c>
      <c r="L167" s="176">
        <f>F167-H167</f>
        <v>1.2250000000000001</v>
      </c>
      <c r="M167" s="176">
        <v>0</v>
      </c>
      <c r="N167" s="176"/>
    </row>
    <row r="168" spans="1:14">
      <c r="A168" s="174" t="s">
        <v>400</v>
      </c>
      <c r="B168" s="174" t="s">
        <v>406</v>
      </c>
      <c r="C168" s="178" t="s">
        <v>402</v>
      </c>
      <c r="D168" s="176">
        <v>1.4009192260000001</v>
      </c>
      <c r="E168" s="176">
        <v>0</v>
      </c>
      <c r="F168" s="176">
        <f t="shared" si="5"/>
        <v>1.4009192260000001</v>
      </c>
      <c r="G168" s="176">
        <v>0</v>
      </c>
      <c r="H168" s="176">
        <v>0</v>
      </c>
      <c r="I168" s="176">
        <v>0</v>
      </c>
      <c r="J168" s="176">
        <v>0</v>
      </c>
      <c r="K168" s="176">
        <v>0</v>
      </c>
      <c r="L168" s="176">
        <f>F168</f>
        <v>1.4009192260000001</v>
      </c>
      <c r="M168" s="176">
        <v>0</v>
      </c>
      <c r="N168" s="176"/>
    </row>
    <row r="169" spans="1:14">
      <c r="A169" s="174" t="s">
        <v>400</v>
      </c>
      <c r="B169" s="174" t="s">
        <v>407</v>
      </c>
      <c r="C169" s="178" t="s">
        <v>407</v>
      </c>
      <c r="D169" s="176">
        <v>22.0739634</v>
      </c>
      <c r="E169" s="176">
        <v>0</v>
      </c>
      <c r="F169" s="176">
        <f t="shared" si="5"/>
        <v>22.0739634</v>
      </c>
      <c r="G169" s="176">
        <v>17.5739634</v>
      </c>
      <c r="H169" s="176">
        <v>0</v>
      </c>
      <c r="I169" s="176">
        <v>0</v>
      </c>
      <c r="J169" s="176">
        <v>0</v>
      </c>
      <c r="K169" s="176">
        <v>0</v>
      </c>
      <c r="L169" s="176">
        <f>F169-G169</f>
        <v>4.5</v>
      </c>
      <c r="M169" s="176">
        <v>0</v>
      </c>
      <c r="N169" s="176"/>
    </row>
    <row r="170" spans="1:14">
      <c r="A170" s="174" t="s">
        <v>400</v>
      </c>
      <c r="B170" s="174" t="s">
        <v>408</v>
      </c>
      <c r="C170" s="178" t="s">
        <v>409</v>
      </c>
      <c r="D170" s="176">
        <v>0.72889458899999993</v>
      </c>
      <c r="E170" s="176">
        <v>0.95719359999999998</v>
      </c>
      <c r="F170" s="176">
        <f t="shared" si="5"/>
        <v>-0.22829901100000005</v>
      </c>
      <c r="G170" s="176">
        <v>0</v>
      </c>
      <c r="H170" s="176">
        <v>-0.22829901100000005</v>
      </c>
      <c r="I170" s="176">
        <v>0</v>
      </c>
      <c r="J170" s="176">
        <v>0</v>
      </c>
      <c r="K170" s="176">
        <v>0</v>
      </c>
      <c r="L170" s="176">
        <v>0</v>
      </c>
      <c r="M170" s="176">
        <v>0</v>
      </c>
      <c r="N170" s="176"/>
    </row>
    <row r="171" spans="1:14">
      <c r="A171" s="178" t="s">
        <v>410</v>
      </c>
      <c r="B171" s="178" t="s">
        <v>411</v>
      </c>
      <c r="C171" s="178" t="s">
        <v>412</v>
      </c>
      <c r="D171" s="176">
        <v>0.72045250000000005</v>
      </c>
      <c r="E171" s="176">
        <v>0</v>
      </c>
      <c r="F171" s="176">
        <f t="shared" si="5"/>
        <v>0.72045250000000005</v>
      </c>
      <c r="G171" s="176">
        <v>0</v>
      </c>
      <c r="H171" s="176">
        <v>0</v>
      </c>
      <c r="I171" s="176">
        <v>0</v>
      </c>
      <c r="J171" s="176">
        <v>0</v>
      </c>
      <c r="K171" s="176">
        <v>0</v>
      </c>
      <c r="L171" s="176">
        <f>F171</f>
        <v>0.72045250000000005</v>
      </c>
      <c r="M171" s="176">
        <v>0.72045250000000005</v>
      </c>
      <c r="N171" s="176" t="s">
        <v>433</v>
      </c>
    </row>
    <row r="172" spans="1:14">
      <c r="A172" s="178" t="s">
        <v>413</v>
      </c>
      <c r="B172" s="178" t="s">
        <v>413</v>
      </c>
      <c r="C172" s="178" t="s">
        <v>414</v>
      </c>
      <c r="D172" s="176">
        <v>1.7952608899999998</v>
      </c>
      <c r="E172" s="176">
        <v>0</v>
      </c>
      <c r="F172" s="176">
        <f t="shared" si="5"/>
        <v>1.7952608899999998</v>
      </c>
      <c r="G172" s="176">
        <v>0</v>
      </c>
      <c r="H172" s="176">
        <v>0.16</v>
      </c>
      <c r="I172" s="176">
        <v>0</v>
      </c>
      <c r="J172" s="176">
        <v>0</v>
      </c>
      <c r="K172" s="176">
        <v>0</v>
      </c>
      <c r="L172" s="176">
        <f>F172-H172</f>
        <v>1.6352608899999999</v>
      </c>
      <c r="M172" s="176">
        <v>2.6088999999984708E-4</v>
      </c>
      <c r="N172" s="176"/>
    </row>
    <row r="173" spans="1:14">
      <c r="A173" s="178" t="s">
        <v>413</v>
      </c>
      <c r="B173" s="178" t="s">
        <v>413</v>
      </c>
      <c r="C173" s="178" t="s">
        <v>415</v>
      </c>
      <c r="D173" s="176">
        <v>2.2100109999999999E-2</v>
      </c>
      <c r="E173" s="176">
        <v>0</v>
      </c>
      <c r="F173" s="176">
        <f t="shared" si="5"/>
        <v>2.2100109999999999E-2</v>
      </c>
      <c r="G173" s="176">
        <v>0.02</v>
      </c>
      <c r="H173" s="176">
        <v>0</v>
      </c>
      <c r="I173" s="176">
        <v>0</v>
      </c>
      <c r="J173" s="176">
        <v>0</v>
      </c>
      <c r="K173" s="176">
        <v>0</v>
      </c>
      <c r="L173" s="176">
        <v>0</v>
      </c>
      <c r="M173" s="176">
        <v>2.1001099999999988E-3</v>
      </c>
      <c r="N173" s="176"/>
    </row>
    <row r="174" spans="1:14">
      <c r="A174" s="178" t="s">
        <v>413</v>
      </c>
      <c r="B174" s="178" t="s">
        <v>413</v>
      </c>
      <c r="C174" s="178" t="s">
        <v>416</v>
      </c>
      <c r="D174" s="176">
        <v>2.3379999999999998E-3</v>
      </c>
      <c r="E174" s="176">
        <v>0</v>
      </c>
      <c r="F174" s="176">
        <f t="shared" si="5"/>
        <v>2.3379999999999998E-3</v>
      </c>
      <c r="G174" s="176">
        <v>2.3379999999999998E-3</v>
      </c>
      <c r="H174" s="176">
        <v>0</v>
      </c>
      <c r="I174" s="176">
        <v>0</v>
      </c>
      <c r="J174" s="176">
        <v>0</v>
      </c>
      <c r="K174" s="176">
        <v>0</v>
      </c>
      <c r="L174" s="176">
        <v>0</v>
      </c>
      <c r="M174" s="176">
        <v>0</v>
      </c>
      <c r="N174" s="176"/>
    </row>
    <row r="175" spans="1:14">
      <c r="A175" s="178" t="s">
        <v>413</v>
      </c>
      <c r="B175" s="178" t="s">
        <v>413</v>
      </c>
      <c r="C175" s="178" t="s">
        <v>417</v>
      </c>
      <c r="D175" s="176">
        <v>0.50260000000000005</v>
      </c>
      <c r="E175" s="176">
        <v>0.50260000000000005</v>
      </c>
      <c r="F175" s="176">
        <f t="shared" si="5"/>
        <v>0</v>
      </c>
      <c r="G175" s="176">
        <v>0</v>
      </c>
      <c r="H175" s="176">
        <v>0</v>
      </c>
      <c r="I175" s="176">
        <v>0</v>
      </c>
      <c r="J175" s="176">
        <v>0</v>
      </c>
      <c r="K175" s="176">
        <v>0</v>
      </c>
      <c r="L175" s="176"/>
      <c r="M175" s="176">
        <v>0</v>
      </c>
      <c r="N175" s="176"/>
    </row>
    <row r="176" spans="1:14" ht="14.4" hidden="1" customHeight="1">
      <c r="A176" s="178" t="s">
        <v>413</v>
      </c>
      <c r="B176" s="178" t="s">
        <v>413</v>
      </c>
      <c r="C176" s="178" t="s">
        <v>418</v>
      </c>
      <c r="D176" s="176">
        <v>5.9</v>
      </c>
      <c r="E176" s="176">
        <v>0</v>
      </c>
      <c r="F176" s="176">
        <f t="shared" si="5"/>
        <v>5.9</v>
      </c>
      <c r="G176" s="176">
        <v>0</v>
      </c>
      <c r="H176" s="176">
        <v>0</v>
      </c>
      <c r="I176" s="176">
        <v>0</v>
      </c>
      <c r="J176" s="176">
        <v>0</v>
      </c>
      <c r="K176" s="176">
        <v>0</v>
      </c>
      <c r="L176" s="176">
        <f>F176</f>
        <v>5.9</v>
      </c>
      <c r="M176" s="176">
        <v>0</v>
      </c>
      <c r="N176" s="176"/>
    </row>
    <row r="177" spans="1:14">
      <c r="A177" s="178" t="s">
        <v>419</v>
      </c>
      <c r="B177" s="178" t="s">
        <v>419</v>
      </c>
      <c r="C177" s="178"/>
      <c r="D177" s="176">
        <v>-1.3464800000000001E-2</v>
      </c>
      <c r="E177" s="176">
        <v>0</v>
      </c>
      <c r="F177" s="176">
        <f t="shared" si="5"/>
        <v>-1.3464800000000001E-2</v>
      </c>
      <c r="G177" s="176">
        <v>0</v>
      </c>
      <c r="H177" s="176">
        <v>0</v>
      </c>
      <c r="I177" s="176">
        <v>0</v>
      </c>
      <c r="J177" s="176">
        <v>0</v>
      </c>
      <c r="K177" s="176">
        <v>0</v>
      </c>
      <c r="L177" s="176">
        <f>F177</f>
        <v>-1.3464800000000001E-2</v>
      </c>
      <c r="M177" s="176">
        <v>0</v>
      </c>
      <c r="N177" s="176"/>
    </row>
    <row r="178" spans="1:14">
      <c r="A178" s="116"/>
      <c r="B178" s="116"/>
      <c r="C178" s="116"/>
      <c r="D178" s="116"/>
      <c r="E178" s="116"/>
      <c r="F178" s="179">
        <f t="shared" ref="F178:K178" si="6">SUM(F22:F177)</f>
        <v>264.43521027179679</v>
      </c>
      <c r="G178" s="179">
        <f t="shared" si="6"/>
        <v>69.505726637999999</v>
      </c>
      <c r="H178" s="179">
        <f t="shared" si="6"/>
        <v>44.051334771000001</v>
      </c>
      <c r="I178" s="179">
        <f t="shared" si="6"/>
        <v>21.434374601314996</v>
      </c>
      <c r="J178" s="179">
        <f t="shared" si="6"/>
        <v>10.210000000000001</v>
      </c>
      <c r="K178" s="179">
        <f t="shared" si="6"/>
        <v>0.38</v>
      </c>
      <c r="L178" s="179">
        <f>SUM(L22:L177)+4.75</f>
        <v>118.85487365148185</v>
      </c>
      <c r="M178" s="163"/>
      <c r="N178" s="116"/>
    </row>
    <row r="181" spans="1:14">
      <c r="F181" s="162" t="s">
        <v>436</v>
      </c>
      <c r="G181" s="119">
        <v>1</v>
      </c>
      <c r="H181" s="119">
        <f>G181+1</f>
        <v>2</v>
      </c>
      <c r="I181" s="119">
        <f t="shared" ref="I181:L181" si="7">H181+1</f>
        <v>3</v>
      </c>
      <c r="J181" s="119">
        <f t="shared" si="7"/>
        <v>4</v>
      </c>
      <c r="K181" s="119">
        <f t="shared" si="7"/>
        <v>5</v>
      </c>
      <c r="L181" s="119">
        <f t="shared" si="7"/>
        <v>6</v>
      </c>
    </row>
    <row r="182" spans="1:14">
      <c r="F182" s="163" t="s">
        <v>437</v>
      </c>
      <c r="G182" s="164">
        <f>F178</f>
        <v>264.43521027179679</v>
      </c>
      <c r="H182" s="165"/>
      <c r="I182" s="165"/>
      <c r="J182" s="165"/>
      <c r="K182" s="165"/>
      <c r="L182" s="116"/>
    </row>
    <row r="183" spans="1:14">
      <c r="F183" s="163" t="s">
        <v>438</v>
      </c>
      <c r="G183" s="164">
        <f t="shared" ref="G183:L183" si="8">G178</f>
        <v>69.505726637999999</v>
      </c>
      <c r="H183" s="164">
        <f t="shared" si="8"/>
        <v>44.051334771000001</v>
      </c>
      <c r="I183" s="164">
        <f t="shared" si="8"/>
        <v>21.434374601314996</v>
      </c>
      <c r="J183" s="164">
        <f t="shared" si="8"/>
        <v>10.210000000000001</v>
      </c>
      <c r="K183" s="164">
        <f t="shared" si="8"/>
        <v>0.38</v>
      </c>
      <c r="L183" s="164">
        <f t="shared" si="8"/>
        <v>118.85487365148185</v>
      </c>
    </row>
    <row r="184" spans="1:14">
      <c r="F184" s="163" t="s">
        <v>439</v>
      </c>
      <c r="G184" s="165">
        <v>1</v>
      </c>
      <c r="H184" s="165">
        <f>G184+1</f>
        <v>2</v>
      </c>
      <c r="I184" s="165">
        <f t="shared" ref="I184:L184" si="9">H184+1</f>
        <v>3</v>
      </c>
      <c r="J184" s="165">
        <f t="shared" si="9"/>
        <v>4</v>
      </c>
      <c r="K184" s="165">
        <f t="shared" si="9"/>
        <v>5</v>
      </c>
      <c r="L184" s="165">
        <f t="shared" si="9"/>
        <v>6</v>
      </c>
    </row>
    <row r="185" spans="1:14">
      <c r="F185" s="163" t="s">
        <v>153</v>
      </c>
      <c r="G185" s="166">
        <f t="shared" ref="G185:K185" si="10">1/(1+$G$186)^G184</f>
        <v>0.85470085470085477</v>
      </c>
      <c r="H185" s="166">
        <f t="shared" si="10"/>
        <v>0.73051355102637161</v>
      </c>
      <c r="I185" s="166">
        <f t="shared" si="10"/>
        <v>0.62437055643279626</v>
      </c>
      <c r="J185" s="166">
        <f t="shared" si="10"/>
        <v>0.53365004823315931</v>
      </c>
      <c r="K185" s="166">
        <f t="shared" si="10"/>
        <v>0.45611115233603361</v>
      </c>
      <c r="L185" s="275">
        <v>0.5</v>
      </c>
    </row>
    <row r="186" spans="1:14">
      <c r="F186" s="163" t="s">
        <v>440</v>
      </c>
      <c r="G186" s="167">
        <v>0.17</v>
      </c>
      <c r="H186" s="165"/>
      <c r="I186" s="165"/>
      <c r="J186" s="165"/>
      <c r="K186" s="165"/>
      <c r="L186" s="116"/>
    </row>
    <row r="187" spans="1:14">
      <c r="F187" s="163" t="s">
        <v>441</v>
      </c>
      <c r="G187" s="164">
        <f>G183*G185</f>
        <v>59.406603964102565</v>
      </c>
      <c r="H187" s="164">
        <f t="shared" ref="H187:K187" si="11">H183*H185</f>
        <v>32.180096991014686</v>
      </c>
      <c r="I187" s="164">
        <f t="shared" si="11"/>
        <v>13.382992396612039</v>
      </c>
      <c r="J187" s="164">
        <f t="shared" si="11"/>
        <v>5.4485669924605569</v>
      </c>
      <c r="K187" s="164">
        <f t="shared" si="11"/>
        <v>0.17332223788769277</v>
      </c>
      <c r="L187" s="164">
        <f>L183*L185</f>
        <v>59.427436825740926</v>
      </c>
    </row>
    <row r="188" spans="1:14" ht="28.8">
      <c r="F188" s="168" t="s">
        <v>442</v>
      </c>
      <c r="G188" s="169">
        <f>SUM(G187:M187)</f>
        <v>170.01901940781846</v>
      </c>
      <c r="H188" s="162"/>
      <c r="I188" s="162"/>
      <c r="J188" s="162"/>
      <c r="K188" s="170"/>
      <c r="L188" s="170"/>
    </row>
    <row r="189" spans="1:14">
      <c r="F189" s="276" t="s">
        <v>465</v>
      </c>
      <c r="G189" s="159">
        <f>(G183*70%)+(H183*55%)+(I183*40%)+(J183*30%)+(K183*20%)</f>
        <v>84.594992611175982</v>
      </c>
    </row>
    <row r="192" spans="1:14">
      <c r="B192" s="314" t="s">
        <v>420</v>
      </c>
      <c r="C192" s="314"/>
      <c r="D192" s="314"/>
      <c r="E192" s="314"/>
      <c r="F192" s="314"/>
      <c r="G192" s="314"/>
      <c r="H192" s="314"/>
      <c r="I192" s="314"/>
    </row>
    <row r="193" spans="2:9">
      <c r="B193" s="315" t="s">
        <v>186</v>
      </c>
      <c r="C193" s="315" t="s">
        <v>187</v>
      </c>
      <c r="D193" s="315" t="s">
        <v>188</v>
      </c>
      <c r="E193" s="315" t="s">
        <v>189</v>
      </c>
      <c r="F193" s="315"/>
      <c r="G193" s="315"/>
      <c r="H193" s="315"/>
      <c r="I193" s="315"/>
    </row>
    <row r="194" spans="2:9" ht="28.8">
      <c r="B194" s="315"/>
      <c r="C194" s="315"/>
      <c r="D194" s="315"/>
      <c r="E194" s="148" t="s">
        <v>190</v>
      </c>
      <c r="F194" s="148" t="s">
        <v>191</v>
      </c>
      <c r="G194" s="148" t="s">
        <v>192</v>
      </c>
      <c r="H194" s="148" t="s">
        <v>99</v>
      </c>
      <c r="I194" s="148" t="s">
        <v>98</v>
      </c>
    </row>
    <row r="195" spans="2:9">
      <c r="B195" s="152" t="s">
        <v>193</v>
      </c>
      <c r="C195" s="152" t="s">
        <v>194</v>
      </c>
      <c r="D195" s="153" t="s">
        <v>195</v>
      </c>
      <c r="E195" s="149">
        <v>0</v>
      </c>
      <c r="F195" s="150">
        <v>0.84432949999999996</v>
      </c>
      <c r="G195" s="150">
        <v>0</v>
      </c>
      <c r="H195" s="150">
        <v>0</v>
      </c>
      <c r="I195" s="150">
        <v>0</v>
      </c>
    </row>
    <row r="196" spans="2:9">
      <c r="B196" s="152" t="s">
        <v>193</v>
      </c>
      <c r="C196" s="152" t="s">
        <v>196</v>
      </c>
      <c r="D196" s="153" t="s">
        <v>197</v>
      </c>
      <c r="E196" s="150">
        <v>2.8125281000000002</v>
      </c>
      <c r="F196" s="150">
        <v>0.37505893704647403</v>
      </c>
      <c r="G196" s="150">
        <v>0</v>
      </c>
      <c r="H196" s="150">
        <v>0</v>
      </c>
      <c r="I196" s="150">
        <v>0</v>
      </c>
    </row>
    <row r="197" spans="2:9" ht="28.8">
      <c r="B197" s="152" t="s">
        <v>193</v>
      </c>
      <c r="C197" s="152" t="s">
        <v>198</v>
      </c>
      <c r="D197" s="153" t="s">
        <v>199</v>
      </c>
      <c r="E197" s="150">
        <v>0</v>
      </c>
      <c r="F197" s="150">
        <v>0</v>
      </c>
      <c r="G197" s="150">
        <v>0</v>
      </c>
      <c r="H197" s="150">
        <v>0</v>
      </c>
      <c r="I197" s="150">
        <v>0</v>
      </c>
    </row>
    <row r="198" spans="2:9" ht="43.2">
      <c r="B198" s="152" t="s">
        <v>193</v>
      </c>
      <c r="C198" s="152" t="s">
        <v>200</v>
      </c>
      <c r="D198" s="153" t="s">
        <v>201</v>
      </c>
      <c r="E198" s="150">
        <v>0</v>
      </c>
      <c r="F198" s="150">
        <v>0</v>
      </c>
      <c r="G198" s="150">
        <v>0</v>
      </c>
      <c r="H198" s="150">
        <v>0</v>
      </c>
      <c r="I198" s="150">
        <v>0</v>
      </c>
    </row>
    <row r="199" spans="2:9" ht="28.8">
      <c r="B199" s="152" t="s">
        <v>193</v>
      </c>
      <c r="C199" s="152" t="s">
        <v>202</v>
      </c>
      <c r="D199" s="153" t="s">
        <v>203</v>
      </c>
      <c r="E199" s="150">
        <v>1.2863794</v>
      </c>
      <c r="F199" s="150">
        <v>2.4886358999999998</v>
      </c>
      <c r="G199" s="150">
        <v>0</v>
      </c>
      <c r="H199" s="150">
        <v>0</v>
      </c>
      <c r="I199" s="150">
        <v>0</v>
      </c>
    </row>
    <row r="200" spans="2:9" ht="28.8">
      <c r="B200" s="152" t="s">
        <v>193</v>
      </c>
      <c r="C200" s="152" t="s">
        <v>204</v>
      </c>
      <c r="D200" s="153" t="s">
        <v>205</v>
      </c>
      <c r="E200" s="150">
        <v>5.1208980000000008E-10</v>
      </c>
      <c r="F200" s="150">
        <v>0</v>
      </c>
      <c r="G200" s="150">
        <v>0</v>
      </c>
      <c r="H200" s="150">
        <v>0</v>
      </c>
      <c r="I200" s="150">
        <v>0</v>
      </c>
    </row>
    <row r="201" spans="2:9" ht="43.2">
      <c r="B201" s="152" t="s">
        <v>193</v>
      </c>
      <c r="C201" s="152" t="s">
        <v>206</v>
      </c>
      <c r="D201" s="153" t="s">
        <v>201</v>
      </c>
      <c r="E201" s="150">
        <v>0.36443310000000001</v>
      </c>
      <c r="F201" s="150">
        <v>0</v>
      </c>
      <c r="G201" s="150">
        <v>0</v>
      </c>
      <c r="H201" s="150">
        <v>0</v>
      </c>
      <c r="I201" s="150">
        <v>0</v>
      </c>
    </row>
    <row r="202" spans="2:9" ht="28.8">
      <c r="B202" s="152" t="s">
        <v>193</v>
      </c>
      <c r="C202" s="152" t="s">
        <v>207</v>
      </c>
      <c r="D202" s="153" t="s">
        <v>208</v>
      </c>
      <c r="E202" s="150">
        <v>2.2971225999999998</v>
      </c>
      <c r="F202" s="150">
        <v>0.19399761499999985</v>
      </c>
      <c r="G202" s="150">
        <v>0</v>
      </c>
      <c r="H202" s="150">
        <v>0</v>
      </c>
      <c r="I202" s="150">
        <v>0</v>
      </c>
    </row>
    <row r="203" spans="2:9">
      <c r="B203" s="152" t="s">
        <v>193</v>
      </c>
      <c r="C203" s="152" t="s">
        <v>209</v>
      </c>
      <c r="D203" s="153" t="s">
        <v>210</v>
      </c>
      <c r="E203" s="150">
        <v>0</v>
      </c>
      <c r="F203" s="150">
        <v>0</v>
      </c>
      <c r="G203" s="150">
        <v>0</v>
      </c>
      <c r="H203" s="150">
        <v>-2.6156088580000012</v>
      </c>
      <c r="I203" s="150">
        <v>0</v>
      </c>
    </row>
    <row r="204" spans="2:9" ht="100.8">
      <c r="B204" s="152" t="s">
        <v>193</v>
      </c>
      <c r="C204" s="152" t="s">
        <v>211</v>
      </c>
      <c r="D204" s="153" t="s">
        <v>212</v>
      </c>
      <c r="E204" s="150">
        <v>0</v>
      </c>
      <c r="F204" s="150">
        <v>0.95194102699999994</v>
      </c>
      <c r="G204" s="150">
        <v>0</v>
      </c>
      <c r="H204" s="150">
        <v>0</v>
      </c>
      <c r="I204" s="150">
        <v>0</v>
      </c>
    </row>
    <row r="205" spans="2:9" ht="57.6">
      <c r="B205" s="152" t="s">
        <v>213</v>
      </c>
      <c r="C205" s="152" t="s">
        <v>214</v>
      </c>
      <c r="D205" s="153" t="s">
        <v>215</v>
      </c>
      <c r="E205" s="150">
        <v>0</v>
      </c>
      <c r="F205" s="150">
        <v>0</v>
      </c>
      <c r="G205" s="150">
        <v>-1.9138840879999994</v>
      </c>
      <c r="H205" s="150">
        <v>0</v>
      </c>
      <c r="I205" s="150">
        <v>0</v>
      </c>
    </row>
    <row r="206" spans="2:9" ht="57.6">
      <c r="B206" s="152" t="s">
        <v>213</v>
      </c>
      <c r="C206" s="152" t="s">
        <v>216</v>
      </c>
      <c r="D206" s="153" t="s">
        <v>217</v>
      </c>
      <c r="E206" s="150">
        <v>0</v>
      </c>
      <c r="F206" s="150">
        <v>0</v>
      </c>
      <c r="G206" s="150">
        <v>0</v>
      </c>
      <c r="H206" s="150">
        <v>0</v>
      </c>
      <c r="I206" s="150">
        <v>0</v>
      </c>
    </row>
    <row r="207" spans="2:9">
      <c r="B207" s="152" t="s">
        <v>213</v>
      </c>
      <c r="C207" s="152" t="s">
        <v>218</v>
      </c>
      <c r="D207" s="153" t="s">
        <v>219</v>
      </c>
      <c r="E207" s="150">
        <v>0</v>
      </c>
      <c r="F207" s="150">
        <v>34.755665913000001</v>
      </c>
      <c r="G207" s="150">
        <v>0</v>
      </c>
      <c r="H207" s="150">
        <v>0</v>
      </c>
      <c r="I207" s="150">
        <v>0</v>
      </c>
    </row>
    <row r="208" spans="2:9" ht="43.2">
      <c r="B208" s="152" t="s">
        <v>213</v>
      </c>
      <c r="C208" s="152" t="s">
        <v>220</v>
      </c>
      <c r="D208" s="153" t="s">
        <v>221</v>
      </c>
      <c r="E208" s="150">
        <v>0</v>
      </c>
      <c r="F208" s="150">
        <v>0</v>
      </c>
      <c r="G208" s="150">
        <v>0</v>
      </c>
      <c r="H208" s="150">
        <v>0</v>
      </c>
      <c r="I208" s="150">
        <v>1.316238</v>
      </c>
    </row>
    <row r="209" spans="2:9" ht="57.6">
      <c r="B209" s="152" t="s">
        <v>213</v>
      </c>
      <c r="C209" s="152" t="s">
        <v>222</v>
      </c>
      <c r="D209" s="153" t="s">
        <v>215</v>
      </c>
      <c r="E209" s="150">
        <v>2.3514749999999998</v>
      </c>
      <c r="F209" s="150">
        <v>7.2818325979999976</v>
      </c>
      <c r="G209" s="150">
        <v>0.6763593</v>
      </c>
      <c r="H209" s="150">
        <v>9.0649429999999995</v>
      </c>
      <c r="I209" s="150">
        <v>0</v>
      </c>
    </row>
    <row r="210" spans="2:9" ht="43.2">
      <c r="B210" s="152" t="s">
        <v>213</v>
      </c>
      <c r="C210" s="152" t="s">
        <v>223</v>
      </c>
      <c r="D210" s="153" t="s">
        <v>224</v>
      </c>
      <c r="E210" s="150">
        <v>0</v>
      </c>
      <c r="F210" s="150">
        <v>0</v>
      </c>
      <c r="G210" s="150">
        <v>0</v>
      </c>
      <c r="H210" s="150">
        <v>0</v>
      </c>
      <c r="I210" s="150">
        <v>0</v>
      </c>
    </row>
    <row r="211" spans="2:9" ht="57.6">
      <c r="B211" s="152" t="s">
        <v>213</v>
      </c>
      <c r="C211" s="152" t="s">
        <v>225</v>
      </c>
      <c r="D211" s="153" t="s">
        <v>215</v>
      </c>
      <c r="E211" s="150">
        <v>0</v>
      </c>
      <c r="F211" s="150">
        <v>0</v>
      </c>
      <c r="G211" s="150">
        <v>0</v>
      </c>
      <c r="H211" s="150">
        <v>0</v>
      </c>
      <c r="I211" s="150">
        <v>0</v>
      </c>
    </row>
    <row r="212" spans="2:9" ht="57.6">
      <c r="B212" s="152" t="s">
        <v>213</v>
      </c>
      <c r="C212" s="152" t="s">
        <v>226</v>
      </c>
      <c r="D212" s="153" t="s">
        <v>215</v>
      </c>
      <c r="E212" s="150">
        <v>0.4420808</v>
      </c>
      <c r="F212" s="150">
        <v>0</v>
      </c>
      <c r="G212" s="150">
        <v>2.32254E-2</v>
      </c>
      <c r="H212" s="150">
        <v>0</v>
      </c>
      <c r="I212" s="150">
        <v>0</v>
      </c>
    </row>
    <row r="213" spans="2:9">
      <c r="B213" s="152" t="s">
        <v>213</v>
      </c>
      <c r="C213" s="152" t="s">
        <v>226</v>
      </c>
      <c r="D213" s="153" t="s">
        <v>227</v>
      </c>
      <c r="E213" s="150">
        <v>0</v>
      </c>
      <c r="F213" s="150">
        <v>1.4999999999999999E-2</v>
      </c>
      <c r="G213" s="150">
        <v>5.3313199999999998E-2</v>
      </c>
      <c r="H213" s="150">
        <v>0</v>
      </c>
      <c r="I213" s="150">
        <v>0</v>
      </c>
    </row>
    <row r="214" spans="2:9">
      <c r="B214" s="152" t="s">
        <v>213</v>
      </c>
      <c r="C214" s="152" t="s">
        <v>228</v>
      </c>
      <c r="D214" s="153" t="s">
        <v>229</v>
      </c>
      <c r="E214" s="150">
        <v>4.5302755000000001</v>
      </c>
      <c r="F214" s="150">
        <v>6.4876342860000005</v>
      </c>
      <c r="G214" s="150">
        <v>0</v>
      </c>
      <c r="H214" s="150">
        <v>0</v>
      </c>
      <c r="I214" s="150">
        <v>0</v>
      </c>
    </row>
    <row r="215" spans="2:9" ht="57.6">
      <c r="B215" s="152" t="s">
        <v>213</v>
      </c>
      <c r="C215" s="152" t="s">
        <v>230</v>
      </c>
      <c r="D215" s="153" t="s">
        <v>217</v>
      </c>
      <c r="E215" s="150">
        <v>0</v>
      </c>
      <c r="F215" s="150">
        <v>0</v>
      </c>
      <c r="G215" s="150">
        <v>0</v>
      </c>
      <c r="H215" s="150">
        <v>0</v>
      </c>
      <c r="I215" s="150">
        <v>0</v>
      </c>
    </row>
    <row r="216" spans="2:9" ht="57.6">
      <c r="B216" s="152" t="s">
        <v>213</v>
      </c>
      <c r="C216" s="152" t="s">
        <v>231</v>
      </c>
      <c r="D216" s="153" t="s">
        <v>217</v>
      </c>
      <c r="E216" s="150">
        <v>24.684281599999998</v>
      </c>
      <c r="F216" s="150">
        <v>6.4557019000000002</v>
      </c>
      <c r="G216" s="150">
        <v>0</v>
      </c>
      <c r="H216" s="150">
        <v>0</v>
      </c>
      <c r="I216" s="150">
        <v>0</v>
      </c>
    </row>
    <row r="217" spans="2:9">
      <c r="B217" s="152" t="s">
        <v>213</v>
      </c>
      <c r="C217" s="152" t="s">
        <v>232</v>
      </c>
      <c r="D217" s="153" t="s">
        <v>229</v>
      </c>
      <c r="E217" s="150">
        <v>4.9999999999999998E-7</v>
      </c>
      <c r="F217" s="150">
        <v>0</v>
      </c>
      <c r="G217" s="150">
        <v>0</v>
      </c>
      <c r="H217" s="150">
        <v>0</v>
      </c>
      <c r="I217" s="150">
        <v>0</v>
      </c>
    </row>
    <row r="218" spans="2:9" ht="43.2">
      <c r="B218" s="152" t="s">
        <v>213</v>
      </c>
      <c r="C218" s="152" t="s">
        <v>233</v>
      </c>
      <c r="D218" s="153" t="s">
        <v>234</v>
      </c>
      <c r="E218" s="150">
        <v>0</v>
      </c>
      <c r="F218" s="150">
        <v>0</v>
      </c>
      <c r="G218" s="150">
        <v>0</v>
      </c>
      <c r="H218" s="150">
        <v>0</v>
      </c>
      <c r="I218" s="150">
        <v>0</v>
      </c>
    </row>
    <row r="219" spans="2:9" ht="28.8">
      <c r="B219" s="152" t="s">
        <v>213</v>
      </c>
      <c r="C219" s="152" t="s">
        <v>235</v>
      </c>
      <c r="D219" s="153" t="s">
        <v>236</v>
      </c>
      <c r="E219" s="150">
        <v>0</v>
      </c>
      <c r="F219" s="150">
        <v>0</v>
      </c>
      <c r="G219" s="150">
        <v>0</v>
      </c>
      <c r="H219" s="150">
        <v>0</v>
      </c>
      <c r="I219" s="150">
        <v>0</v>
      </c>
    </row>
    <row r="220" spans="2:9" ht="43.2">
      <c r="B220" s="152" t="s">
        <v>213</v>
      </c>
      <c r="C220" s="152" t="s">
        <v>237</v>
      </c>
      <c r="D220" s="153" t="s">
        <v>238</v>
      </c>
      <c r="E220" s="150">
        <v>0</v>
      </c>
      <c r="F220" s="150">
        <v>0</v>
      </c>
      <c r="G220" s="150">
        <v>0</v>
      </c>
      <c r="H220" s="150">
        <v>0</v>
      </c>
      <c r="I220" s="150">
        <v>0</v>
      </c>
    </row>
    <row r="221" spans="2:9">
      <c r="B221" s="152" t="s">
        <v>239</v>
      </c>
      <c r="C221" s="152" t="s">
        <v>240</v>
      </c>
      <c r="D221" s="153" t="s">
        <v>240</v>
      </c>
      <c r="E221" s="150">
        <v>0</v>
      </c>
      <c r="F221" s="150">
        <v>0</v>
      </c>
      <c r="G221" s="150">
        <v>0</v>
      </c>
      <c r="H221" s="150">
        <v>0</v>
      </c>
      <c r="I221" s="150">
        <v>0</v>
      </c>
    </row>
    <row r="222" spans="2:9">
      <c r="B222" s="152" t="s">
        <v>239</v>
      </c>
      <c r="C222" s="152" t="s">
        <v>241</v>
      </c>
      <c r="D222" s="153" t="s">
        <v>242</v>
      </c>
      <c r="E222" s="150">
        <v>0</v>
      </c>
      <c r="F222" s="150">
        <v>0</v>
      </c>
      <c r="G222" s="150">
        <v>0</v>
      </c>
      <c r="H222" s="150">
        <v>0</v>
      </c>
      <c r="I222" s="150">
        <v>0</v>
      </c>
    </row>
    <row r="223" spans="2:9" ht="57.6">
      <c r="B223" s="152" t="s">
        <v>239</v>
      </c>
      <c r="C223" s="152" t="s">
        <v>243</v>
      </c>
      <c r="D223" s="153" t="s">
        <v>244</v>
      </c>
      <c r="E223" s="150">
        <v>0</v>
      </c>
      <c r="F223" s="150">
        <v>-5.20838E-2</v>
      </c>
      <c r="G223" s="150">
        <v>0</v>
      </c>
      <c r="H223" s="150">
        <v>0</v>
      </c>
      <c r="I223" s="150">
        <v>0</v>
      </c>
    </row>
    <row r="224" spans="2:9">
      <c r="B224" s="152" t="s">
        <v>239</v>
      </c>
      <c r="C224" s="152" t="s">
        <v>245</v>
      </c>
      <c r="D224" s="153" t="s">
        <v>246</v>
      </c>
      <c r="E224" s="150">
        <v>0</v>
      </c>
      <c r="F224" s="150">
        <v>0</v>
      </c>
      <c r="G224" s="150">
        <v>12.02605638</v>
      </c>
      <c r="H224" s="150">
        <v>0</v>
      </c>
      <c r="I224" s="150">
        <v>0</v>
      </c>
    </row>
    <row r="225" spans="2:9">
      <c r="B225" s="152" t="s">
        <v>239</v>
      </c>
      <c r="C225" s="152" t="s">
        <v>247</v>
      </c>
      <c r="D225" s="153" t="s">
        <v>248</v>
      </c>
      <c r="E225" s="150">
        <v>0.44745121400000004</v>
      </c>
      <c r="F225" s="150">
        <v>0</v>
      </c>
      <c r="G225" s="150">
        <v>0</v>
      </c>
      <c r="H225" s="150">
        <v>0</v>
      </c>
      <c r="I225" s="150">
        <v>0</v>
      </c>
    </row>
    <row r="226" spans="2:9">
      <c r="B226" s="152" t="s">
        <v>239</v>
      </c>
      <c r="C226" s="152" t="s">
        <v>249</v>
      </c>
      <c r="D226" s="153" t="s">
        <v>250</v>
      </c>
      <c r="E226" s="150">
        <v>8.9371735833333297</v>
      </c>
      <c r="F226" s="150">
        <v>1.7874346833333299</v>
      </c>
      <c r="G226" s="150">
        <v>0</v>
      </c>
      <c r="H226" s="150">
        <v>0</v>
      </c>
      <c r="I226" s="150">
        <v>0</v>
      </c>
    </row>
    <row r="227" spans="2:9">
      <c r="B227" s="152" t="s">
        <v>239</v>
      </c>
      <c r="C227" s="152" t="s">
        <v>251</v>
      </c>
      <c r="D227" s="153" t="s">
        <v>248</v>
      </c>
      <c r="E227" s="150">
        <v>0.83837539999999999</v>
      </c>
      <c r="F227" s="150">
        <v>0</v>
      </c>
      <c r="G227" s="150">
        <v>0</v>
      </c>
      <c r="H227" s="150">
        <v>0</v>
      </c>
      <c r="I227" s="150">
        <v>0</v>
      </c>
    </row>
    <row r="228" spans="2:9">
      <c r="B228" s="152" t="s">
        <v>239</v>
      </c>
      <c r="C228" s="152" t="s">
        <v>252</v>
      </c>
      <c r="D228" s="153" t="s">
        <v>250</v>
      </c>
      <c r="E228" s="150">
        <v>0</v>
      </c>
      <c r="F228" s="150">
        <v>0</v>
      </c>
      <c r="G228" s="150">
        <v>0</v>
      </c>
      <c r="H228" s="150">
        <v>23.464363200000001</v>
      </c>
      <c r="I228" s="150">
        <v>0</v>
      </c>
    </row>
    <row r="229" spans="2:9">
      <c r="B229" s="152" t="s">
        <v>239</v>
      </c>
      <c r="C229" s="152" t="s">
        <v>253</v>
      </c>
      <c r="D229" s="153" t="s">
        <v>250</v>
      </c>
      <c r="E229" s="150">
        <v>0</v>
      </c>
      <c r="F229" s="150">
        <v>0</v>
      </c>
      <c r="G229" s="150">
        <v>0</v>
      </c>
      <c r="H229" s="150">
        <v>0</v>
      </c>
      <c r="I229" s="150">
        <v>0</v>
      </c>
    </row>
    <row r="230" spans="2:9">
      <c r="B230" s="152" t="s">
        <v>239</v>
      </c>
      <c r="C230" s="152" t="s">
        <v>254</v>
      </c>
      <c r="D230" s="153" t="s">
        <v>246</v>
      </c>
      <c r="E230" s="150">
        <v>0</v>
      </c>
      <c r="F230" s="150">
        <v>0</v>
      </c>
      <c r="G230" s="150">
        <v>0.46474947500000002</v>
      </c>
      <c r="H230" s="150">
        <v>0</v>
      </c>
      <c r="I230" s="150">
        <v>0</v>
      </c>
    </row>
    <row r="231" spans="2:9" ht="57.6">
      <c r="B231" s="152" t="s">
        <v>239</v>
      </c>
      <c r="C231" s="152" t="s">
        <v>255</v>
      </c>
      <c r="D231" s="153" t="s">
        <v>256</v>
      </c>
      <c r="E231" s="150">
        <v>5.4716396299999994</v>
      </c>
      <c r="F231" s="150">
        <v>0</v>
      </c>
      <c r="G231" s="150">
        <v>0</v>
      </c>
      <c r="H231" s="150">
        <v>0</v>
      </c>
      <c r="I231" s="150">
        <v>0</v>
      </c>
    </row>
    <row r="232" spans="2:9" ht="57.6">
      <c r="B232" s="152" t="s">
        <v>239</v>
      </c>
      <c r="C232" s="152" t="s">
        <v>257</v>
      </c>
      <c r="D232" s="153" t="s">
        <v>258</v>
      </c>
      <c r="E232" s="150">
        <v>0</v>
      </c>
      <c r="F232" s="150">
        <v>0</v>
      </c>
      <c r="G232" s="150">
        <v>-0.46443535700000005</v>
      </c>
      <c r="H232" s="150">
        <v>0</v>
      </c>
      <c r="I232" s="150">
        <v>0</v>
      </c>
    </row>
    <row r="233" spans="2:9">
      <c r="B233" s="152" t="s">
        <v>239</v>
      </c>
      <c r="C233" s="152" t="s">
        <v>259</v>
      </c>
      <c r="D233" s="153" t="s">
        <v>246</v>
      </c>
      <c r="E233" s="150">
        <v>0</v>
      </c>
      <c r="F233" s="150">
        <v>2.8367390000000001</v>
      </c>
      <c r="G233" s="150">
        <v>0</v>
      </c>
      <c r="H233" s="150">
        <v>0</v>
      </c>
      <c r="I233" s="150">
        <v>0</v>
      </c>
    </row>
    <row r="234" spans="2:9" ht="57.6">
      <c r="B234" s="152" t="s">
        <v>239</v>
      </c>
      <c r="C234" s="152" t="s">
        <v>260</v>
      </c>
      <c r="D234" s="153" t="s">
        <v>261</v>
      </c>
      <c r="E234" s="150">
        <v>0</v>
      </c>
      <c r="F234" s="150">
        <v>-1.905E-3</v>
      </c>
      <c r="G234" s="150">
        <v>0</v>
      </c>
      <c r="H234" s="150">
        <v>0</v>
      </c>
      <c r="I234" s="150">
        <v>0</v>
      </c>
    </row>
    <row r="235" spans="2:9" ht="57.6">
      <c r="B235" s="152" t="s">
        <v>239</v>
      </c>
      <c r="C235" s="152" t="s">
        <v>262</v>
      </c>
      <c r="D235" s="153" t="s">
        <v>261</v>
      </c>
      <c r="E235" s="150">
        <v>0</v>
      </c>
      <c r="F235" s="150">
        <v>0</v>
      </c>
      <c r="G235" s="150">
        <v>0.141292375</v>
      </c>
      <c r="H235" s="150">
        <v>0</v>
      </c>
      <c r="I235" s="150">
        <v>0</v>
      </c>
    </row>
    <row r="236" spans="2:9" ht="57.6">
      <c r="B236" s="152" t="s">
        <v>239</v>
      </c>
      <c r="C236" s="152" t="s">
        <v>263</v>
      </c>
      <c r="D236" s="153" t="s">
        <v>261</v>
      </c>
      <c r="E236" s="150">
        <v>0</v>
      </c>
      <c r="F236" s="150">
        <v>0.23096114100000001</v>
      </c>
      <c r="G236" s="150">
        <v>0</v>
      </c>
      <c r="H236" s="150">
        <v>0</v>
      </c>
      <c r="I236" s="150">
        <v>0</v>
      </c>
    </row>
    <row r="237" spans="2:9" ht="43.2">
      <c r="B237" s="152" t="s">
        <v>239</v>
      </c>
      <c r="C237" s="152" t="s">
        <v>264</v>
      </c>
      <c r="D237" s="153" t="s">
        <v>265</v>
      </c>
      <c r="E237" s="150">
        <v>0</v>
      </c>
      <c r="F237" s="150">
        <v>0</v>
      </c>
      <c r="G237" s="150">
        <v>0</v>
      </c>
      <c r="H237" s="150">
        <v>0</v>
      </c>
      <c r="I237" s="150">
        <v>0</v>
      </c>
    </row>
    <row r="238" spans="2:9" ht="43.2">
      <c r="B238" s="152" t="s">
        <v>239</v>
      </c>
      <c r="C238" s="152" t="s">
        <v>266</v>
      </c>
      <c r="D238" s="153" t="s">
        <v>265</v>
      </c>
      <c r="E238" s="150">
        <v>0</v>
      </c>
      <c r="F238" s="150">
        <v>0</v>
      </c>
      <c r="G238" s="150">
        <v>0</v>
      </c>
      <c r="H238" s="150">
        <v>0</v>
      </c>
      <c r="I238" s="150">
        <v>0</v>
      </c>
    </row>
    <row r="239" spans="2:9" ht="43.2">
      <c r="B239" s="152" t="s">
        <v>239</v>
      </c>
      <c r="C239" s="152" t="s">
        <v>267</v>
      </c>
      <c r="D239" s="153" t="s">
        <v>265</v>
      </c>
      <c r="E239" s="150">
        <v>0</v>
      </c>
      <c r="F239" s="150">
        <v>0</v>
      </c>
      <c r="G239" s="150">
        <v>0</v>
      </c>
      <c r="H239" s="150">
        <v>0</v>
      </c>
      <c r="I239" s="150">
        <v>0</v>
      </c>
    </row>
    <row r="240" spans="2:9" ht="43.2">
      <c r="B240" s="152" t="s">
        <v>239</v>
      </c>
      <c r="C240" s="152" t="s">
        <v>268</v>
      </c>
      <c r="D240" s="153" t="s">
        <v>265</v>
      </c>
      <c r="E240" s="150">
        <v>0</v>
      </c>
      <c r="F240" s="150">
        <v>0</v>
      </c>
      <c r="G240" s="150">
        <v>-2.7705799999999999E-2</v>
      </c>
      <c r="H240" s="150">
        <v>0</v>
      </c>
      <c r="I240" s="150">
        <v>0</v>
      </c>
    </row>
    <row r="241" spans="2:9" ht="43.2">
      <c r="B241" s="152" t="s">
        <v>239</v>
      </c>
      <c r="C241" s="152" t="s">
        <v>269</v>
      </c>
      <c r="D241" s="153" t="s">
        <v>265</v>
      </c>
      <c r="E241" s="150">
        <v>0</v>
      </c>
      <c r="F241" s="150">
        <v>0</v>
      </c>
      <c r="G241" s="150">
        <v>8.5630399999999995E-2</v>
      </c>
      <c r="H241" s="150">
        <v>0</v>
      </c>
      <c r="I241" s="150">
        <v>0</v>
      </c>
    </row>
    <row r="242" spans="2:9" ht="43.2">
      <c r="B242" s="152" t="s">
        <v>239</v>
      </c>
      <c r="C242" s="152" t="s">
        <v>270</v>
      </c>
      <c r="D242" s="153" t="s">
        <v>265</v>
      </c>
      <c r="E242" s="150">
        <v>0</v>
      </c>
      <c r="F242" s="150">
        <v>0</v>
      </c>
      <c r="G242" s="150">
        <v>0</v>
      </c>
      <c r="H242" s="150">
        <v>0</v>
      </c>
      <c r="I242" s="150">
        <v>0</v>
      </c>
    </row>
    <row r="243" spans="2:9">
      <c r="B243" s="152" t="s">
        <v>271</v>
      </c>
      <c r="C243" s="152" t="s">
        <v>272</v>
      </c>
      <c r="D243" s="153" t="s">
        <v>273</v>
      </c>
      <c r="E243" s="150">
        <v>0</v>
      </c>
      <c r="F243" s="150">
        <v>0</v>
      </c>
      <c r="G243" s="150">
        <v>0</v>
      </c>
      <c r="H243" s="150">
        <v>0</v>
      </c>
      <c r="I243" s="150">
        <v>0</v>
      </c>
    </row>
    <row r="244" spans="2:9">
      <c r="B244" s="152" t="s">
        <v>271</v>
      </c>
      <c r="C244" s="152" t="s">
        <v>274</v>
      </c>
      <c r="D244" s="153" t="s">
        <v>274</v>
      </c>
      <c r="E244" s="150">
        <v>0</v>
      </c>
      <c r="F244" s="150">
        <v>0</v>
      </c>
      <c r="G244" s="150">
        <v>0</v>
      </c>
      <c r="H244" s="150">
        <v>0</v>
      </c>
      <c r="I244" s="150">
        <v>0</v>
      </c>
    </row>
    <row r="245" spans="2:9" ht="28.8">
      <c r="B245" s="152" t="s">
        <v>271</v>
      </c>
      <c r="C245" s="152" t="s">
        <v>275</v>
      </c>
      <c r="D245" s="153" t="s">
        <v>276</v>
      </c>
      <c r="E245" s="150">
        <v>0</v>
      </c>
      <c r="F245" s="150">
        <v>0</v>
      </c>
      <c r="G245" s="150">
        <v>-6.2299999999999996E-5</v>
      </c>
      <c r="H245" s="150">
        <v>0</v>
      </c>
      <c r="I245" s="150">
        <v>0</v>
      </c>
    </row>
    <row r="246" spans="2:9">
      <c r="B246" s="152" t="s">
        <v>271</v>
      </c>
      <c r="C246" s="152" t="s">
        <v>277</v>
      </c>
      <c r="D246" s="153" t="s">
        <v>278</v>
      </c>
      <c r="E246" s="150">
        <v>0</v>
      </c>
      <c r="F246" s="150">
        <v>0</v>
      </c>
      <c r="G246" s="150">
        <v>0</v>
      </c>
      <c r="H246" s="150">
        <v>0</v>
      </c>
      <c r="I246" s="150">
        <v>0</v>
      </c>
    </row>
    <row r="247" spans="2:9">
      <c r="B247" s="152" t="s">
        <v>271</v>
      </c>
      <c r="C247" s="152" t="s">
        <v>279</v>
      </c>
      <c r="D247" s="153" t="s">
        <v>278</v>
      </c>
      <c r="E247" s="150">
        <v>0</v>
      </c>
      <c r="F247" s="150">
        <v>0</v>
      </c>
      <c r="G247" s="150">
        <v>0</v>
      </c>
      <c r="H247" s="150">
        <v>0</v>
      </c>
      <c r="I247" s="150">
        <v>0</v>
      </c>
    </row>
    <row r="248" spans="2:9" ht="28.8">
      <c r="B248" s="152" t="s">
        <v>271</v>
      </c>
      <c r="C248" s="152" t="s">
        <v>280</v>
      </c>
      <c r="D248" s="153" t="s">
        <v>276</v>
      </c>
      <c r="E248" s="150">
        <v>-8.0637600000000004E-2</v>
      </c>
      <c r="F248" s="150">
        <v>0</v>
      </c>
      <c r="G248" s="150">
        <v>0</v>
      </c>
      <c r="H248" s="150">
        <v>0</v>
      </c>
      <c r="I248" s="150">
        <v>0</v>
      </c>
    </row>
    <row r="249" spans="2:9" ht="28.8">
      <c r="B249" s="152" t="s">
        <v>271</v>
      </c>
      <c r="C249" s="152" t="s">
        <v>281</v>
      </c>
      <c r="D249" s="153" t="s">
        <v>276</v>
      </c>
      <c r="E249" s="150">
        <v>0.58260820000000002</v>
      </c>
      <c r="F249" s="150">
        <v>0</v>
      </c>
      <c r="G249" s="150">
        <v>0</v>
      </c>
      <c r="H249" s="150">
        <v>0</v>
      </c>
      <c r="I249" s="150">
        <v>0</v>
      </c>
    </row>
    <row r="250" spans="2:9">
      <c r="B250" s="152" t="s">
        <v>271</v>
      </c>
      <c r="C250" s="152" t="s">
        <v>282</v>
      </c>
      <c r="D250" s="153" t="s">
        <v>283</v>
      </c>
      <c r="E250" s="150">
        <v>0</v>
      </c>
      <c r="F250" s="150">
        <v>0</v>
      </c>
      <c r="G250" s="150">
        <v>0</v>
      </c>
      <c r="H250" s="150">
        <v>0</v>
      </c>
      <c r="I250" s="150">
        <v>0</v>
      </c>
    </row>
    <row r="251" spans="2:9" ht="28.8">
      <c r="B251" s="152" t="s">
        <v>271</v>
      </c>
      <c r="C251" s="152" t="s">
        <v>284</v>
      </c>
      <c r="D251" s="153" t="s">
        <v>285</v>
      </c>
      <c r="E251" s="150">
        <v>0</v>
      </c>
      <c r="F251" s="150">
        <v>0</v>
      </c>
      <c r="G251" s="150">
        <v>0</v>
      </c>
      <c r="H251" s="150">
        <v>0</v>
      </c>
      <c r="I251" s="150">
        <v>0</v>
      </c>
    </row>
    <row r="252" spans="2:9" ht="43.2">
      <c r="B252" s="152" t="s">
        <v>271</v>
      </c>
      <c r="C252" s="152" t="s">
        <v>286</v>
      </c>
      <c r="D252" s="153" t="s">
        <v>287</v>
      </c>
      <c r="E252" s="150">
        <v>0.23412749999999999</v>
      </c>
      <c r="F252" s="150">
        <v>0</v>
      </c>
      <c r="G252" s="150">
        <v>0.2</v>
      </c>
      <c r="H252" s="150">
        <v>0</v>
      </c>
      <c r="I252" s="150">
        <v>0</v>
      </c>
    </row>
    <row r="253" spans="2:9" ht="28.8">
      <c r="B253" s="152" t="s">
        <v>271</v>
      </c>
      <c r="C253" s="152" t="s">
        <v>288</v>
      </c>
      <c r="D253" s="153" t="s">
        <v>289</v>
      </c>
      <c r="E253" s="150">
        <v>0</v>
      </c>
      <c r="F253" s="150">
        <v>0</v>
      </c>
      <c r="G253" s="150">
        <v>0.12815779999999999</v>
      </c>
      <c r="H253" s="150">
        <v>0</v>
      </c>
      <c r="I253" s="150">
        <v>0</v>
      </c>
    </row>
    <row r="254" spans="2:9" ht="28.8">
      <c r="B254" s="152" t="s">
        <v>271</v>
      </c>
      <c r="C254" s="152" t="s">
        <v>290</v>
      </c>
      <c r="D254" s="153" t="s">
        <v>291</v>
      </c>
      <c r="E254" s="150">
        <v>0</v>
      </c>
      <c r="F254" s="150">
        <v>9.7881624E-2</v>
      </c>
      <c r="G254" s="150">
        <v>0</v>
      </c>
      <c r="H254" s="150">
        <v>0</v>
      </c>
      <c r="I254" s="150">
        <v>0</v>
      </c>
    </row>
    <row r="255" spans="2:9" ht="28.8">
      <c r="B255" s="152" t="s">
        <v>271</v>
      </c>
      <c r="C255" s="152" t="s">
        <v>292</v>
      </c>
      <c r="D255" s="153" t="s">
        <v>293</v>
      </c>
      <c r="E255" s="150">
        <v>0</v>
      </c>
      <c r="F255" s="150">
        <v>7.3882610000000001E-2</v>
      </c>
      <c r="G255" s="150">
        <v>0</v>
      </c>
      <c r="H255" s="150">
        <v>0</v>
      </c>
      <c r="I255" s="150">
        <v>0</v>
      </c>
    </row>
    <row r="256" spans="2:9">
      <c r="B256" s="152" t="s">
        <v>271</v>
      </c>
      <c r="C256" s="152" t="s">
        <v>294</v>
      </c>
      <c r="D256" s="153" t="s">
        <v>278</v>
      </c>
      <c r="E256" s="150">
        <v>0</v>
      </c>
      <c r="F256" s="150">
        <v>0</v>
      </c>
      <c r="G256" s="150">
        <v>0</v>
      </c>
      <c r="H256" s="150">
        <v>0</v>
      </c>
      <c r="I256" s="150">
        <v>0</v>
      </c>
    </row>
    <row r="257" spans="2:9" ht="28.8">
      <c r="B257" s="152" t="s">
        <v>271</v>
      </c>
      <c r="C257" s="152" t="s">
        <v>295</v>
      </c>
      <c r="D257" s="153" t="s">
        <v>296</v>
      </c>
      <c r="E257" s="150">
        <v>0</v>
      </c>
      <c r="F257" s="150">
        <v>0</v>
      </c>
      <c r="G257" s="150">
        <v>0.67890470000000003</v>
      </c>
      <c r="H257" s="150">
        <v>0</v>
      </c>
      <c r="I257" s="150">
        <v>0</v>
      </c>
    </row>
    <row r="258" spans="2:9">
      <c r="B258" s="152" t="s">
        <v>271</v>
      </c>
      <c r="C258" s="152" t="s">
        <v>297</v>
      </c>
      <c r="D258" s="153" t="s">
        <v>278</v>
      </c>
      <c r="E258" s="150">
        <v>0</v>
      </c>
      <c r="F258" s="150">
        <v>0</v>
      </c>
      <c r="G258" s="150">
        <v>0</v>
      </c>
      <c r="H258" s="150">
        <v>0</v>
      </c>
      <c r="I258" s="150">
        <v>0</v>
      </c>
    </row>
    <row r="259" spans="2:9">
      <c r="B259" s="152" t="s">
        <v>271</v>
      </c>
      <c r="C259" s="152" t="s">
        <v>298</v>
      </c>
      <c r="D259" s="153" t="s">
        <v>299</v>
      </c>
      <c r="E259" s="150">
        <v>0</v>
      </c>
      <c r="F259" s="150">
        <v>0</v>
      </c>
      <c r="G259" s="150">
        <v>0</v>
      </c>
      <c r="H259" s="150">
        <v>0</v>
      </c>
      <c r="I259" s="150">
        <v>0</v>
      </c>
    </row>
    <row r="260" spans="2:9" ht="28.8">
      <c r="B260" s="152" t="s">
        <v>271</v>
      </c>
      <c r="C260" s="152" t="s">
        <v>300</v>
      </c>
      <c r="D260" s="153" t="s">
        <v>301</v>
      </c>
      <c r="E260" s="150">
        <v>0</v>
      </c>
      <c r="F260" s="150">
        <v>0</v>
      </c>
      <c r="G260" s="150">
        <v>0</v>
      </c>
      <c r="H260" s="150">
        <v>0</v>
      </c>
      <c r="I260" s="150">
        <v>0</v>
      </c>
    </row>
    <row r="261" spans="2:9" ht="28.8">
      <c r="B261" s="152" t="s">
        <v>271</v>
      </c>
      <c r="C261" s="152" t="s">
        <v>302</v>
      </c>
      <c r="D261" s="153" t="s">
        <v>303</v>
      </c>
      <c r="E261" s="150">
        <v>0</v>
      </c>
      <c r="F261" s="150">
        <v>0</v>
      </c>
      <c r="G261" s="150">
        <v>0</v>
      </c>
      <c r="H261" s="150">
        <v>0</v>
      </c>
      <c r="I261" s="150">
        <v>0</v>
      </c>
    </row>
    <row r="262" spans="2:9" ht="28.8">
      <c r="B262" s="152" t="s">
        <v>271</v>
      </c>
      <c r="C262" s="152" t="s">
        <v>304</v>
      </c>
      <c r="D262" s="153" t="s">
        <v>285</v>
      </c>
      <c r="E262" s="150">
        <v>0</v>
      </c>
      <c r="F262" s="150">
        <v>0</v>
      </c>
      <c r="G262" s="150">
        <v>0</v>
      </c>
      <c r="H262" s="150">
        <v>0</v>
      </c>
      <c r="I262" s="150">
        <v>0</v>
      </c>
    </row>
    <row r="263" spans="2:9" ht="28.8">
      <c r="B263" s="152" t="s">
        <v>271</v>
      </c>
      <c r="C263" s="152" t="s">
        <v>305</v>
      </c>
      <c r="D263" s="153" t="s">
        <v>306</v>
      </c>
      <c r="E263" s="150">
        <v>0</v>
      </c>
      <c r="F263" s="150">
        <v>1.9307999999999999E-2</v>
      </c>
      <c r="G263" s="150">
        <v>0</v>
      </c>
      <c r="H263" s="150">
        <v>0</v>
      </c>
      <c r="I263" s="150">
        <v>0</v>
      </c>
    </row>
    <row r="264" spans="2:9" ht="28.8">
      <c r="B264" s="152" t="s">
        <v>271</v>
      </c>
      <c r="C264" s="152" t="s">
        <v>307</v>
      </c>
      <c r="D264" s="153" t="s">
        <v>308</v>
      </c>
      <c r="E264" s="150">
        <v>0</v>
      </c>
      <c r="F264" s="150">
        <v>0</v>
      </c>
      <c r="G264" s="150">
        <v>8.3636013999999995E-2</v>
      </c>
      <c r="H264" s="150">
        <v>0</v>
      </c>
      <c r="I264" s="150">
        <v>0</v>
      </c>
    </row>
    <row r="265" spans="2:9" ht="28.8">
      <c r="B265" s="152" t="s">
        <v>271</v>
      </c>
      <c r="C265" s="152" t="s">
        <v>309</v>
      </c>
      <c r="D265" s="153" t="s">
        <v>289</v>
      </c>
      <c r="E265" s="150">
        <v>0</v>
      </c>
      <c r="F265" s="150">
        <v>0</v>
      </c>
      <c r="G265" s="150">
        <v>0</v>
      </c>
      <c r="H265" s="150">
        <v>0</v>
      </c>
      <c r="I265" s="150">
        <v>0</v>
      </c>
    </row>
    <row r="266" spans="2:9" ht="57.6">
      <c r="B266" s="152" t="s">
        <v>271</v>
      </c>
      <c r="C266" s="152" t="s">
        <v>310</v>
      </c>
      <c r="D266" s="153" t="s">
        <v>311</v>
      </c>
      <c r="E266" s="150">
        <v>0</v>
      </c>
      <c r="F266" s="150">
        <v>0</v>
      </c>
      <c r="G266" s="150">
        <v>0</v>
      </c>
      <c r="H266" s="150">
        <v>0</v>
      </c>
      <c r="I266" s="150">
        <v>0</v>
      </c>
    </row>
    <row r="267" spans="2:9">
      <c r="B267" s="152" t="s">
        <v>271</v>
      </c>
      <c r="C267" s="152" t="s">
        <v>312</v>
      </c>
      <c r="D267" s="153" t="s">
        <v>313</v>
      </c>
      <c r="E267" s="150">
        <v>0</v>
      </c>
      <c r="F267" s="150">
        <v>0</v>
      </c>
      <c r="G267" s="150">
        <v>0</v>
      </c>
      <c r="H267" s="150">
        <v>0</v>
      </c>
      <c r="I267" s="150">
        <v>0</v>
      </c>
    </row>
    <row r="268" spans="2:9">
      <c r="B268" s="152" t="s">
        <v>271</v>
      </c>
      <c r="C268" s="152" t="s">
        <v>314</v>
      </c>
      <c r="D268" s="153" t="s">
        <v>313</v>
      </c>
      <c r="E268" s="150">
        <v>0</v>
      </c>
      <c r="F268" s="150">
        <v>0</v>
      </c>
      <c r="G268" s="150">
        <v>0</v>
      </c>
      <c r="H268" s="150">
        <v>0</v>
      </c>
      <c r="I268" s="150">
        <v>0</v>
      </c>
    </row>
    <row r="269" spans="2:9">
      <c r="B269" s="152" t="s">
        <v>271</v>
      </c>
      <c r="C269" s="152" t="s">
        <v>315</v>
      </c>
      <c r="D269" s="153" t="s">
        <v>313</v>
      </c>
      <c r="E269" s="150">
        <v>0</v>
      </c>
      <c r="F269" s="150">
        <v>0</v>
      </c>
      <c r="G269" s="150">
        <v>0</v>
      </c>
      <c r="H269" s="150">
        <v>0</v>
      </c>
      <c r="I269" s="150">
        <v>0</v>
      </c>
    </row>
    <row r="270" spans="2:9">
      <c r="B270" s="152" t="s">
        <v>271</v>
      </c>
      <c r="C270" s="152" t="s">
        <v>316</v>
      </c>
      <c r="D270" s="153" t="s">
        <v>313</v>
      </c>
      <c r="E270" s="150">
        <v>0</v>
      </c>
      <c r="F270" s="150">
        <v>0</v>
      </c>
      <c r="G270" s="150">
        <v>0</v>
      </c>
      <c r="H270" s="150">
        <v>0</v>
      </c>
      <c r="I270" s="150">
        <v>0</v>
      </c>
    </row>
    <row r="271" spans="2:9">
      <c r="B271" s="152" t="s">
        <v>271</v>
      </c>
      <c r="C271" s="152" t="s">
        <v>317</v>
      </c>
      <c r="D271" s="153" t="s">
        <v>313</v>
      </c>
      <c r="E271" s="150">
        <v>0</v>
      </c>
      <c r="F271" s="150">
        <v>0</v>
      </c>
      <c r="G271" s="150">
        <v>0</v>
      </c>
      <c r="H271" s="150">
        <v>0</v>
      </c>
      <c r="I271" s="150">
        <v>0</v>
      </c>
    </row>
    <row r="272" spans="2:9">
      <c r="B272" s="152" t="s">
        <v>271</v>
      </c>
      <c r="C272" s="152" t="s">
        <v>318</v>
      </c>
      <c r="D272" s="153" t="s">
        <v>313</v>
      </c>
      <c r="E272" s="150">
        <v>0</v>
      </c>
      <c r="F272" s="150">
        <v>0</v>
      </c>
      <c r="G272" s="150">
        <v>0</v>
      </c>
      <c r="H272" s="150">
        <v>0</v>
      </c>
      <c r="I272" s="150">
        <v>0</v>
      </c>
    </row>
    <row r="273" spans="2:9">
      <c r="B273" s="152" t="s">
        <v>271</v>
      </c>
      <c r="C273" s="152" t="s">
        <v>319</v>
      </c>
      <c r="D273" s="153" t="s">
        <v>313</v>
      </c>
      <c r="E273" s="150">
        <v>0</v>
      </c>
      <c r="F273" s="150">
        <v>0</v>
      </c>
      <c r="G273" s="150">
        <v>0</v>
      </c>
      <c r="H273" s="150">
        <v>0</v>
      </c>
      <c r="I273" s="150">
        <v>0</v>
      </c>
    </row>
    <row r="274" spans="2:9">
      <c r="B274" s="152" t="s">
        <v>271</v>
      </c>
      <c r="C274" s="152" t="s">
        <v>320</v>
      </c>
      <c r="D274" s="153" t="s">
        <v>313</v>
      </c>
      <c r="E274" s="150">
        <v>0</v>
      </c>
      <c r="F274" s="150">
        <v>0</v>
      </c>
      <c r="G274" s="150">
        <v>0</v>
      </c>
      <c r="H274" s="150">
        <v>0</v>
      </c>
      <c r="I274" s="150">
        <v>0</v>
      </c>
    </row>
    <row r="275" spans="2:9">
      <c r="B275" s="152" t="s">
        <v>271</v>
      </c>
      <c r="C275" s="152" t="s">
        <v>321</v>
      </c>
      <c r="D275" s="153" t="s">
        <v>313</v>
      </c>
      <c r="E275" s="150">
        <v>0</v>
      </c>
      <c r="F275" s="150">
        <v>0</v>
      </c>
      <c r="G275" s="150">
        <v>0</v>
      </c>
      <c r="H275" s="150">
        <v>0</v>
      </c>
      <c r="I275" s="150">
        <v>0</v>
      </c>
    </row>
    <row r="276" spans="2:9">
      <c r="B276" s="152" t="s">
        <v>271</v>
      </c>
      <c r="C276" s="152" t="s">
        <v>322</v>
      </c>
      <c r="D276" s="153" t="s">
        <v>313</v>
      </c>
      <c r="E276" s="150">
        <v>0</v>
      </c>
      <c r="F276" s="150">
        <v>0</v>
      </c>
      <c r="G276" s="150">
        <v>0</v>
      </c>
      <c r="H276" s="150">
        <v>0</v>
      </c>
      <c r="I276" s="150">
        <v>0</v>
      </c>
    </row>
    <row r="277" spans="2:9">
      <c r="B277" s="152" t="s">
        <v>271</v>
      </c>
      <c r="C277" s="152" t="s">
        <v>323</v>
      </c>
      <c r="D277" s="153" t="s">
        <v>313</v>
      </c>
      <c r="E277" s="150">
        <v>0</v>
      </c>
      <c r="F277" s="150">
        <v>0</v>
      </c>
      <c r="G277" s="150">
        <v>0</v>
      </c>
      <c r="H277" s="150">
        <v>0</v>
      </c>
      <c r="I277" s="150">
        <v>0</v>
      </c>
    </row>
    <row r="278" spans="2:9">
      <c r="B278" s="152" t="s">
        <v>271</v>
      </c>
      <c r="C278" s="152" t="s">
        <v>324</v>
      </c>
      <c r="D278" s="153" t="s">
        <v>313</v>
      </c>
      <c r="E278" s="150">
        <v>0</v>
      </c>
      <c r="F278" s="150">
        <v>0</v>
      </c>
      <c r="G278" s="150">
        <v>0</v>
      </c>
      <c r="H278" s="150">
        <v>0</v>
      </c>
      <c r="I278" s="150">
        <v>0</v>
      </c>
    </row>
    <row r="279" spans="2:9">
      <c r="B279" s="152" t="s">
        <v>271</v>
      </c>
      <c r="C279" s="152" t="s">
        <v>325</v>
      </c>
      <c r="D279" s="153" t="s">
        <v>313</v>
      </c>
      <c r="E279" s="150">
        <v>0</v>
      </c>
      <c r="F279" s="150">
        <v>0</v>
      </c>
      <c r="G279" s="150">
        <v>0</v>
      </c>
      <c r="H279" s="150">
        <v>0</v>
      </c>
      <c r="I279" s="150">
        <v>0</v>
      </c>
    </row>
    <row r="280" spans="2:9">
      <c r="B280" s="152" t="s">
        <v>271</v>
      </c>
      <c r="C280" s="152" t="s">
        <v>326</v>
      </c>
      <c r="D280" s="153" t="s">
        <v>313</v>
      </c>
      <c r="E280" s="150">
        <v>0</v>
      </c>
      <c r="F280" s="150">
        <v>0</v>
      </c>
      <c r="G280" s="150">
        <v>0</v>
      </c>
      <c r="H280" s="150">
        <v>0</v>
      </c>
      <c r="I280" s="150">
        <v>0</v>
      </c>
    </row>
    <row r="281" spans="2:9">
      <c r="B281" s="152" t="s">
        <v>271</v>
      </c>
      <c r="C281" s="152" t="s">
        <v>327</v>
      </c>
      <c r="D281" s="153" t="s">
        <v>313</v>
      </c>
      <c r="E281" s="150">
        <v>0</v>
      </c>
      <c r="F281" s="150">
        <v>0</v>
      </c>
      <c r="G281" s="150">
        <v>0</v>
      </c>
      <c r="H281" s="150">
        <v>0</v>
      </c>
      <c r="I281" s="150">
        <v>0</v>
      </c>
    </row>
    <row r="282" spans="2:9">
      <c r="B282" s="152" t="s">
        <v>271</v>
      </c>
      <c r="C282" s="152" t="s">
        <v>328</v>
      </c>
      <c r="D282" s="153" t="s">
        <v>313</v>
      </c>
      <c r="E282" s="150">
        <v>0</v>
      </c>
      <c r="F282" s="150">
        <v>0</v>
      </c>
      <c r="G282" s="150">
        <v>0</v>
      </c>
      <c r="H282" s="150">
        <v>0</v>
      </c>
      <c r="I282" s="150">
        <v>0</v>
      </c>
    </row>
    <row r="283" spans="2:9">
      <c r="B283" s="152" t="s">
        <v>271</v>
      </c>
      <c r="C283" s="152" t="s">
        <v>329</v>
      </c>
      <c r="D283" s="153" t="s">
        <v>313</v>
      </c>
      <c r="E283" s="150">
        <v>0</v>
      </c>
      <c r="F283" s="150">
        <v>0</v>
      </c>
      <c r="G283" s="150">
        <v>0</v>
      </c>
      <c r="H283" s="150">
        <v>0</v>
      </c>
      <c r="I283" s="150">
        <v>0</v>
      </c>
    </row>
    <row r="284" spans="2:9">
      <c r="B284" s="152" t="s">
        <v>271</v>
      </c>
      <c r="C284" s="152" t="s">
        <v>330</v>
      </c>
      <c r="D284" s="153" t="s">
        <v>313</v>
      </c>
      <c r="E284" s="150">
        <v>0</v>
      </c>
      <c r="F284" s="150">
        <v>0</v>
      </c>
      <c r="G284" s="150">
        <v>0</v>
      </c>
      <c r="H284" s="150">
        <v>0</v>
      </c>
      <c r="I284" s="150">
        <v>0</v>
      </c>
    </row>
    <row r="285" spans="2:9">
      <c r="B285" s="152" t="s">
        <v>271</v>
      </c>
      <c r="C285" s="152" t="s">
        <v>331</v>
      </c>
      <c r="D285" s="153" t="s">
        <v>313</v>
      </c>
      <c r="E285" s="150">
        <v>0</v>
      </c>
      <c r="F285" s="150">
        <v>0</v>
      </c>
      <c r="G285" s="150">
        <v>0</v>
      </c>
      <c r="H285" s="150">
        <v>0</v>
      </c>
      <c r="I285" s="150">
        <v>0</v>
      </c>
    </row>
    <row r="286" spans="2:9">
      <c r="B286" s="152" t="s">
        <v>271</v>
      </c>
      <c r="C286" s="152" t="s">
        <v>332</v>
      </c>
      <c r="D286" s="153" t="s">
        <v>313</v>
      </c>
      <c r="E286" s="150">
        <v>0</v>
      </c>
      <c r="F286" s="150">
        <v>0</v>
      </c>
      <c r="G286" s="150">
        <v>0</v>
      </c>
      <c r="H286" s="150">
        <v>0</v>
      </c>
      <c r="I286" s="150">
        <v>0</v>
      </c>
    </row>
    <row r="287" spans="2:9">
      <c r="B287" s="152" t="s">
        <v>271</v>
      </c>
      <c r="C287" s="152" t="s">
        <v>333</v>
      </c>
      <c r="D287" s="153" t="s">
        <v>313</v>
      </c>
      <c r="E287" s="150">
        <v>0</v>
      </c>
      <c r="F287" s="150">
        <v>0</v>
      </c>
      <c r="G287" s="150">
        <v>0</v>
      </c>
      <c r="H287" s="150">
        <v>0</v>
      </c>
      <c r="I287" s="150">
        <v>0</v>
      </c>
    </row>
    <row r="288" spans="2:9">
      <c r="B288" s="152" t="s">
        <v>271</v>
      </c>
      <c r="C288" s="152" t="s">
        <v>334</v>
      </c>
      <c r="D288" s="153" t="s">
        <v>313</v>
      </c>
      <c r="E288" s="150">
        <v>0</v>
      </c>
      <c r="F288" s="150">
        <v>0</v>
      </c>
      <c r="G288" s="150">
        <v>0</v>
      </c>
      <c r="H288" s="150">
        <v>0</v>
      </c>
      <c r="I288" s="150">
        <v>0</v>
      </c>
    </row>
    <row r="289" spans="2:9">
      <c r="B289" s="152" t="s">
        <v>271</v>
      </c>
      <c r="C289" s="152" t="s">
        <v>335</v>
      </c>
      <c r="D289" s="153" t="s">
        <v>313</v>
      </c>
      <c r="E289" s="150">
        <v>0</v>
      </c>
      <c r="F289" s="150">
        <v>0</v>
      </c>
      <c r="G289" s="150">
        <v>0</v>
      </c>
      <c r="H289" s="150">
        <v>0</v>
      </c>
      <c r="I289" s="150">
        <v>0</v>
      </c>
    </row>
    <row r="290" spans="2:9">
      <c r="B290" s="152" t="s">
        <v>271</v>
      </c>
      <c r="C290" s="152" t="s">
        <v>336</v>
      </c>
      <c r="D290" s="153" t="s">
        <v>313</v>
      </c>
      <c r="E290" s="150">
        <v>0</v>
      </c>
      <c r="F290" s="150">
        <v>0</v>
      </c>
      <c r="G290" s="150">
        <v>0</v>
      </c>
      <c r="H290" s="150">
        <v>0</v>
      </c>
      <c r="I290" s="150">
        <v>0</v>
      </c>
    </row>
    <row r="291" spans="2:9">
      <c r="B291" s="152" t="s">
        <v>271</v>
      </c>
      <c r="C291" s="152" t="s">
        <v>337</v>
      </c>
      <c r="D291" s="153" t="s">
        <v>313</v>
      </c>
      <c r="E291" s="150">
        <v>0</v>
      </c>
      <c r="F291" s="150">
        <v>0</v>
      </c>
      <c r="G291" s="150">
        <v>0</v>
      </c>
      <c r="H291" s="150">
        <v>0</v>
      </c>
      <c r="I291" s="150">
        <v>0</v>
      </c>
    </row>
    <row r="292" spans="2:9">
      <c r="B292" s="152" t="s">
        <v>271</v>
      </c>
      <c r="C292" s="152" t="s">
        <v>338</v>
      </c>
      <c r="D292" s="153" t="s">
        <v>313</v>
      </c>
      <c r="E292" s="150">
        <v>0</v>
      </c>
      <c r="F292" s="150">
        <v>0</v>
      </c>
      <c r="G292" s="150">
        <v>0</v>
      </c>
      <c r="H292" s="150">
        <v>0</v>
      </c>
      <c r="I292" s="150">
        <v>0</v>
      </c>
    </row>
    <row r="293" spans="2:9">
      <c r="B293" s="152" t="s">
        <v>271</v>
      </c>
      <c r="C293" s="152" t="s">
        <v>339</v>
      </c>
      <c r="D293" s="153" t="s">
        <v>313</v>
      </c>
      <c r="E293" s="150">
        <v>0</v>
      </c>
      <c r="F293" s="150">
        <v>0</v>
      </c>
      <c r="G293" s="150">
        <v>0</v>
      </c>
      <c r="H293" s="150">
        <v>0</v>
      </c>
      <c r="I293" s="150">
        <v>0</v>
      </c>
    </row>
    <row r="294" spans="2:9">
      <c r="B294" s="152" t="s">
        <v>271</v>
      </c>
      <c r="C294" s="152" t="s">
        <v>340</v>
      </c>
      <c r="D294" s="153" t="s">
        <v>341</v>
      </c>
      <c r="E294" s="150">
        <v>0</v>
      </c>
      <c r="F294" s="150">
        <v>0</v>
      </c>
      <c r="G294" s="150">
        <v>2E-3</v>
      </c>
      <c r="H294" s="150">
        <v>0</v>
      </c>
      <c r="I294" s="150">
        <v>0</v>
      </c>
    </row>
    <row r="295" spans="2:9">
      <c r="B295" s="152" t="s">
        <v>342</v>
      </c>
      <c r="C295" s="152" t="s">
        <v>342</v>
      </c>
      <c r="D295" s="152" t="s">
        <v>343</v>
      </c>
      <c r="E295" s="150">
        <v>0</v>
      </c>
      <c r="F295" s="150">
        <v>0</v>
      </c>
      <c r="G295" s="150">
        <v>0</v>
      </c>
      <c r="H295" s="150">
        <v>0</v>
      </c>
      <c r="I295" s="150">
        <v>6.0209199999999997E-2</v>
      </c>
    </row>
    <row r="296" spans="2:9">
      <c r="B296" s="152" t="s">
        <v>342</v>
      </c>
      <c r="C296" s="152" t="s">
        <v>342</v>
      </c>
      <c r="D296" s="152" t="s">
        <v>344</v>
      </c>
      <c r="E296" s="150">
        <v>0</v>
      </c>
      <c r="F296" s="150">
        <v>0</v>
      </c>
      <c r="G296" s="150">
        <v>0</v>
      </c>
      <c r="H296" s="150">
        <v>0</v>
      </c>
      <c r="I296" s="150">
        <v>0</v>
      </c>
    </row>
    <row r="297" spans="2:9">
      <c r="B297" s="152" t="s">
        <v>342</v>
      </c>
      <c r="C297" s="152" t="s">
        <v>342</v>
      </c>
      <c r="D297" s="152" t="s">
        <v>345</v>
      </c>
      <c r="E297" s="150">
        <v>0</v>
      </c>
      <c r="F297" s="150">
        <v>0</v>
      </c>
      <c r="G297" s="150">
        <v>0</v>
      </c>
      <c r="H297" s="150">
        <v>0</v>
      </c>
      <c r="I297" s="150">
        <v>3.4458510000000002</v>
      </c>
    </row>
    <row r="298" spans="2:9">
      <c r="B298" s="152" t="s">
        <v>342</v>
      </c>
      <c r="C298" s="152" t="s">
        <v>342</v>
      </c>
      <c r="D298" s="152" t="s">
        <v>346</v>
      </c>
      <c r="E298" s="150">
        <v>0</v>
      </c>
      <c r="F298" s="150">
        <v>0.53099999999999992</v>
      </c>
      <c r="G298" s="150">
        <v>0.53100000000000003</v>
      </c>
      <c r="H298" s="150">
        <v>0.20945</v>
      </c>
      <c r="I298" s="150">
        <v>0</v>
      </c>
    </row>
    <row r="299" spans="2:9">
      <c r="B299" s="152" t="s">
        <v>342</v>
      </c>
      <c r="C299" s="152" t="s">
        <v>342</v>
      </c>
      <c r="D299" s="152" t="s">
        <v>199</v>
      </c>
      <c r="E299" s="150">
        <v>0</v>
      </c>
      <c r="F299" s="150">
        <v>0</v>
      </c>
      <c r="G299" s="150">
        <v>9.8860699999999996E-2</v>
      </c>
      <c r="H299" s="150">
        <v>0</v>
      </c>
      <c r="I299" s="150">
        <v>0</v>
      </c>
    </row>
    <row r="300" spans="2:9">
      <c r="B300" s="152" t="s">
        <v>342</v>
      </c>
      <c r="C300" s="152" t="s">
        <v>342</v>
      </c>
      <c r="D300" s="152" t="s">
        <v>347</v>
      </c>
      <c r="E300" s="150">
        <v>0</v>
      </c>
      <c r="F300" s="150">
        <v>0.31169970000000002</v>
      </c>
      <c r="G300" s="150">
        <v>0</v>
      </c>
      <c r="H300" s="150">
        <v>0</v>
      </c>
      <c r="I300" s="150">
        <v>0</v>
      </c>
    </row>
    <row r="301" spans="2:9">
      <c r="B301" s="152" t="s">
        <v>342</v>
      </c>
      <c r="C301" s="152" t="s">
        <v>342</v>
      </c>
      <c r="D301" s="152" t="s">
        <v>348</v>
      </c>
      <c r="E301" s="150">
        <v>0</v>
      </c>
      <c r="F301" s="150">
        <v>0</v>
      </c>
      <c r="G301" s="150">
        <v>0</v>
      </c>
      <c r="H301" s="150">
        <v>0</v>
      </c>
      <c r="I301" s="150">
        <v>0</v>
      </c>
    </row>
    <row r="302" spans="2:9">
      <c r="B302" s="152" t="s">
        <v>349</v>
      </c>
      <c r="C302" s="152" t="s">
        <v>342</v>
      </c>
      <c r="D302" s="152" t="s">
        <v>350</v>
      </c>
      <c r="E302" s="150">
        <v>0</v>
      </c>
      <c r="F302" s="150">
        <v>0</v>
      </c>
      <c r="G302" s="150">
        <v>0</v>
      </c>
      <c r="H302" s="150">
        <v>0</v>
      </c>
      <c r="I302" s="150">
        <v>3.5000000000000003E-2</v>
      </c>
    </row>
    <row r="303" spans="2:9">
      <c r="B303" s="152" t="s">
        <v>342</v>
      </c>
      <c r="C303" s="152" t="s">
        <v>342</v>
      </c>
      <c r="D303" s="152" t="s">
        <v>351</v>
      </c>
      <c r="E303" s="150">
        <v>0</v>
      </c>
      <c r="F303" s="150">
        <v>0</v>
      </c>
      <c r="G303" s="150">
        <v>0</v>
      </c>
      <c r="H303" s="150">
        <v>0</v>
      </c>
      <c r="I303" s="150">
        <v>3.5723499999999998E-2</v>
      </c>
    </row>
    <row r="304" spans="2:9">
      <c r="B304" s="152" t="s">
        <v>342</v>
      </c>
      <c r="C304" s="152" t="s">
        <v>342</v>
      </c>
      <c r="D304" s="152" t="s">
        <v>352</v>
      </c>
      <c r="E304" s="150">
        <v>0</v>
      </c>
      <c r="F304" s="150">
        <v>0</v>
      </c>
      <c r="G304" s="150">
        <v>0</v>
      </c>
      <c r="H304" s="150">
        <v>0</v>
      </c>
      <c r="I304" s="150">
        <v>0</v>
      </c>
    </row>
    <row r="305" spans="2:9">
      <c r="B305" s="152" t="s">
        <v>342</v>
      </c>
      <c r="C305" s="152" t="s">
        <v>342</v>
      </c>
      <c r="D305" s="152" t="s">
        <v>353</v>
      </c>
      <c r="E305" s="150">
        <v>0</v>
      </c>
      <c r="F305" s="150">
        <v>0</v>
      </c>
      <c r="G305" s="150">
        <v>0</v>
      </c>
      <c r="H305" s="150">
        <v>0</v>
      </c>
      <c r="I305" s="150">
        <v>0</v>
      </c>
    </row>
    <row r="306" spans="2:9">
      <c r="B306" s="152" t="s">
        <v>342</v>
      </c>
      <c r="C306" s="152" t="s">
        <v>342</v>
      </c>
      <c r="D306" s="152" t="s">
        <v>354</v>
      </c>
      <c r="E306" s="150">
        <v>0</v>
      </c>
      <c r="F306" s="150">
        <v>0</v>
      </c>
      <c r="G306" s="150">
        <v>0</v>
      </c>
      <c r="H306" s="150">
        <v>0</v>
      </c>
      <c r="I306" s="150">
        <v>0</v>
      </c>
    </row>
    <row r="307" spans="2:9">
      <c r="B307" s="152" t="s">
        <v>342</v>
      </c>
      <c r="C307" s="152" t="s">
        <v>342</v>
      </c>
      <c r="D307" s="152" t="s">
        <v>355</v>
      </c>
      <c r="E307" s="150">
        <v>0</v>
      </c>
      <c r="F307" s="150">
        <v>0</v>
      </c>
      <c r="G307" s="150">
        <v>0</v>
      </c>
      <c r="H307" s="150">
        <v>0</v>
      </c>
      <c r="I307" s="150">
        <v>0</v>
      </c>
    </row>
    <row r="308" spans="2:9">
      <c r="B308" s="152" t="s">
        <v>342</v>
      </c>
      <c r="C308" s="152" t="s">
        <v>342</v>
      </c>
      <c r="D308" s="152" t="s">
        <v>350</v>
      </c>
      <c r="E308" s="150">
        <v>0</v>
      </c>
      <c r="F308" s="150">
        <v>0</v>
      </c>
      <c r="G308" s="150">
        <v>0</v>
      </c>
      <c r="H308" s="150">
        <v>0</v>
      </c>
      <c r="I308" s="150">
        <v>0</v>
      </c>
    </row>
    <row r="309" spans="2:9">
      <c r="B309" s="152" t="s">
        <v>342</v>
      </c>
      <c r="C309" s="152" t="s">
        <v>342</v>
      </c>
      <c r="D309" s="152" t="s">
        <v>356</v>
      </c>
      <c r="E309" s="150">
        <v>0</v>
      </c>
      <c r="F309" s="150">
        <v>0</v>
      </c>
      <c r="G309" s="150">
        <v>0</v>
      </c>
      <c r="H309" s="150">
        <v>0</v>
      </c>
      <c r="I309" s="150">
        <v>0</v>
      </c>
    </row>
    <row r="310" spans="2:9">
      <c r="B310" s="152" t="s">
        <v>342</v>
      </c>
      <c r="C310" s="152" t="s">
        <v>342</v>
      </c>
      <c r="D310" s="152" t="s">
        <v>357</v>
      </c>
      <c r="E310" s="150">
        <v>0</v>
      </c>
      <c r="F310" s="150">
        <v>0</v>
      </c>
      <c r="G310" s="150">
        <v>0</v>
      </c>
      <c r="H310" s="150">
        <v>0</v>
      </c>
      <c r="I310" s="150">
        <v>0</v>
      </c>
    </row>
    <row r="311" spans="2:9" ht="57.6">
      <c r="B311" s="152" t="s">
        <v>342</v>
      </c>
      <c r="C311" s="152" t="s">
        <v>342</v>
      </c>
      <c r="D311" s="153" t="s">
        <v>358</v>
      </c>
      <c r="E311" s="150">
        <v>0</v>
      </c>
      <c r="F311" s="150">
        <v>0</v>
      </c>
      <c r="G311" s="150">
        <v>0</v>
      </c>
      <c r="H311" s="150">
        <v>0</v>
      </c>
      <c r="I311" s="150">
        <v>0</v>
      </c>
    </row>
    <row r="312" spans="2:9">
      <c r="B312" s="152" t="s">
        <v>342</v>
      </c>
      <c r="C312" s="152" t="s">
        <v>342</v>
      </c>
      <c r="D312" s="152" t="s">
        <v>359</v>
      </c>
      <c r="E312" s="150">
        <v>0</v>
      </c>
      <c r="F312" s="150">
        <v>0</v>
      </c>
      <c r="G312" s="150">
        <v>0</v>
      </c>
      <c r="H312" s="150">
        <v>0</v>
      </c>
      <c r="I312" s="150">
        <v>0</v>
      </c>
    </row>
    <row r="313" spans="2:9">
      <c r="B313" s="152" t="s">
        <v>342</v>
      </c>
      <c r="C313" s="152" t="s">
        <v>342</v>
      </c>
      <c r="D313" s="152" t="s">
        <v>360</v>
      </c>
      <c r="E313" s="150">
        <v>0</v>
      </c>
      <c r="F313" s="150">
        <v>0</v>
      </c>
      <c r="G313" s="150">
        <v>0</v>
      </c>
      <c r="H313" s="150">
        <v>0</v>
      </c>
      <c r="I313" s="150">
        <v>0</v>
      </c>
    </row>
    <row r="314" spans="2:9">
      <c r="B314" s="152" t="s">
        <v>342</v>
      </c>
      <c r="C314" s="152" t="s">
        <v>342</v>
      </c>
      <c r="D314" s="152" t="s">
        <v>361</v>
      </c>
      <c r="E314" s="150">
        <v>0</v>
      </c>
      <c r="F314" s="150">
        <v>0</v>
      </c>
      <c r="G314" s="150">
        <v>0</v>
      </c>
      <c r="H314" s="150">
        <v>0</v>
      </c>
      <c r="I314" s="150">
        <v>0</v>
      </c>
    </row>
    <row r="315" spans="2:9">
      <c r="B315" s="152" t="s">
        <v>342</v>
      </c>
      <c r="C315" s="152" t="s">
        <v>342</v>
      </c>
      <c r="D315" s="152" t="s">
        <v>362</v>
      </c>
      <c r="E315" s="150">
        <v>0</v>
      </c>
      <c r="F315" s="150">
        <v>0</v>
      </c>
      <c r="G315" s="150">
        <v>0</v>
      </c>
      <c r="H315" s="150">
        <v>0</v>
      </c>
      <c r="I315" s="150">
        <v>4.9608199999999998E-2</v>
      </c>
    </row>
    <row r="316" spans="2:9" ht="43.2">
      <c r="B316" s="152" t="s">
        <v>363</v>
      </c>
      <c r="C316" s="152" t="s">
        <v>364</v>
      </c>
      <c r="D316" s="153" t="s">
        <v>365</v>
      </c>
      <c r="E316" s="150">
        <v>0</v>
      </c>
      <c r="F316" s="150">
        <v>0</v>
      </c>
      <c r="G316" s="150">
        <v>4.9000000000000002E-2</v>
      </c>
      <c r="H316" s="150">
        <v>0</v>
      </c>
      <c r="I316" s="150">
        <v>0</v>
      </c>
    </row>
    <row r="317" spans="2:9">
      <c r="B317" s="152" t="s">
        <v>363</v>
      </c>
      <c r="C317" s="152" t="s">
        <v>366</v>
      </c>
      <c r="D317" s="153" t="s">
        <v>367</v>
      </c>
      <c r="E317" s="150">
        <v>9.4524239995238002</v>
      </c>
      <c r="F317" s="150">
        <v>5.7549866000000005</v>
      </c>
      <c r="G317" s="150">
        <v>0</v>
      </c>
      <c r="H317" s="150">
        <v>1.6397377</v>
      </c>
      <c r="I317" s="150">
        <v>1.3978360999999999</v>
      </c>
    </row>
    <row r="318" spans="2:9" ht="57.6">
      <c r="B318" s="152" t="s">
        <v>363</v>
      </c>
      <c r="C318" s="152" t="s">
        <v>368</v>
      </c>
      <c r="D318" s="153" t="s">
        <v>369</v>
      </c>
      <c r="E318" s="150">
        <v>1.1660891999999998</v>
      </c>
      <c r="F318" s="150">
        <v>0.66381429400000014</v>
      </c>
      <c r="G318" s="150">
        <v>0</v>
      </c>
      <c r="H318" s="150">
        <v>0</v>
      </c>
      <c r="I318" s="150">
        <v>0</v>
      </c>
    </row>
    <row r="319" spans="2:9">
      <c r="B319" s="152" t="s">
        <v>363</v>
      </c>
      <c r="C319" s="152" t="s">
        <v>370</v>
      </c>
      <c r="D319" s="153" t="s">
        <v>371</v>
      </c>
      <c r="E319" s="150">
        <v>9.1854514902728326</v>
      </c>
      <c r="F319" s="150">
        <v>2.5405255202868768</v>
      </c>
      <c r="G319" s="150">
        <v>1.2635250376398981</v>
      </c>
      <c r="H319" s="150">
        <v>0</v>
      </c>
      <c r="I319" s="150">
        <v>0</v>
      </c>
    </row>
    <row r="320" spans="2:9">
      <c r="B320" s="152" t="s">
        <v>363</v>
      </c>
      <c r="C320" s="152" t="s">
        <v>372</v>
      </c>
      <c r="D320" s="153" t="s">
        <v>373</v>
      </c>
      <c r="E320" s="150">
        <v>4.3654875000000004</v>
      </c>
      <c r="F320" s="150">
        <v>3.240390169159594</v>
      </c>
      <c r="G320" s="150">
        <v>0</v>
      </c>
      <c r="H320" s="150">
        <v>0</v>
      </c>
      <c r="I320" s="150">
        <v>0</v>
      </c>
    </row>
    <row r="321" spans="2:9" ht="28.8">
      <c r="B321" s="152" t="s">
        <v>363</v>
      </c>
      <c r="C321" s="152" t="s">
        <v>374</v>
      </c>
      <c r="D321" s="153" t="s">
        <v>375</v>
      </c>
      <c r="E321" s="150">
        <v>2.0728347999999999</v>
      </c>
      <c r="F321" s="150">
        <v>0</v>
      </c>
      <c r="G321" s="150">
        <v>0</v>
      </c>
      <c r="H321" s="150">
        <v>0</v>
      </c>
      <c r="I321" s="150">
        <v>0</v>
      </c>
    </row>
    <row r="322" spans="2:9">
      <c r="B322" s="152" t="s">
        <v>363</v>
      </c>
      <c r="C322" s="152" t="s">
        <v>376</v>
      </c>
      <c r="D322" s="153"/>
      <c r="E322" s="150">
        <v>0</v>
      </c>
      <c r="F322" s="150">
        <v>0</v>
      </c>
      <c r="G322" s="150">
        <v>0</v>
      </c>
      <c r="H322" s="150">
        <v>0</v>
      </c>
      <c r="I322" s="150">
        <v>0</v>
      </c>
    </row>
    <row r="323" spans="2:9" ht="86.4">
      <c r="B323" s="152" t="s">
        <v>363</v>
      </c>
      <c r="C323" s="152" t="s">
        <v>377</v>
      </c>
      <c r="D323" s="153" t="s">
        <v>378</v>
      </c>
      <c r="E323" s="150">
        <v>0</v>
      </c>
      <c r="F323" s="150">
        <v>0</v>
      </c>
      <c r="G323" s="150">
        <v>0</v>
      </c>
      <c r="H323" s="150">
        <v>0</v>
      </c>
      <c r="I323" s="150">
        <v>0</v>
      </c>
    </row>
    <row r="324" spans="2:9" ht="43.2">
      <c r="B324" s="152" t="s">
        <v>363</v>
      </c>
      <c r="C324" s="152" t="s">
        <v>379</v>
      </c>
      <c r="D324" s="153" t="s">
        <v>365</v>
      </c>
      <c r="E324" s="150">
        <v>0</v>
      </c>
      <c r="F324" s="150">
        <v>0</v>
      </c>
      <c r="G324" s="150">
        <v>0</v>
      </c>
      <c r="H324" s="150">
        <v>0</v>
      </c>
      <c r="I324" s="150">
        <v>0</v>
      </c>
    </row>
    <row r="325" spans="2:9" ht="28.8">
      <c r="B325" s="152" t="s">
        <v>363</v>
      </c>
      <c r="C325" s="152" t="s">
        <v>380</v>
      </c>
      <c r="D325" s="153" t="s">
        <v>381</v>
      </c>
      <c r="E325" s="150">
        <v>0</v>
      </c>
      <c r="F325" s="150">
        <v>0</v>
      </c>
      <c r="G325" s="150">
        <v>0</v>
      </c>
      <c r="H325" s="150">
        <v>0</v>
      </c>
      <c r="I325" s="150">
        <v>0</v>
      </c>
    </row>
    <row r="326" spans="2:9">
      <c r="B326" s="152" t="s">
        <v>363</v>
      </c>
      <c r="C326" s="152" t="s">
        <v>382</v>
      </c>
      <c r="D326" s="153" t="s">
        <v>373</v>
      </c>
      <c r="E326" s="150">
        <v>1.28829552003625</v>
      </c>
      <c r="F326" s="150">
        <v>0</v>
      </c>
      <c r="G326" s="150">
        <v>0</v>
      </c>
      <c r="H326" s="150">
        <v>0</v>
      </c>
      <c r="I326" s="150">
        <v>0</v>
      </c>
    </row>
    <row r="327" spans="2:9" ht="43.2">
      <c r="B327" s="152" t="s">
        <v>363</v>
      </c>
      <c r="C327" s="152" t="s">
        <v>383</v>
      </c>
      <c r="D327" s="153" t="s">
        <v>384</v>
      </c>
      <c r="E327" s="150">
        <v>0</v>
      </c>
      <c r="F327" s="150">
        <v>0</v>
      </c>
      <c r="G327" s="150">
        <v>0</v>
      </c>
      <c r="H327" s="150">
        <v>0.24424789999999999</v>
      </c>
      <c r="I327" s="150">
        <v>1.9612274000000001</v>
      </c>
    </row>
    <row r="328" spans="2:9" ht="57.6">
      <c r="B328" s="152" t="s">
        <v>363</v>
      </c>
      <c r="C328" s="152" t="s">
        <v>385</v>
      </c>
      <c r="D328" s="153" t="s">
        <v>386</v>
      </c>
      <c r="E328" s="150">
        <v>0</v>
      </c>
      <c r="F328" s="150">
        <v>0</v>
      </c>
      <c r="G328" s="150">
        <v>0</v>
      </c>
      <c r="H328" s="150">
        <v>0</v>
      </c>
      <c r="I328" s="150">
        <v>0</v>
      </c>
    </row>
    <row r="329" spans="2:9">
      <c r="B329" s="152" t="s">
        <v>363</v>
      </c>
      <c r="C329" s="152" t="s">
        <v>387</v>
      </c>
      <c r="D329" s="153" t="s">
        <v>388</v>
      </c>
      <c r="E329" s="150">
        <v>0</v>
      </c>
      <c r="F329" s="150">
        <v>0</v>
      </c>
      <c r="G329" s="150">
        <v>0</v>
      </c>
      <c r="H329" s="150">
        <v>0</v>
      </c>
      <c r="I329" s="150">
        <v>0</v>
      </c>
    </row>
    <row r="330" spans="2:9" ht="57.6">
      <c r="B330" s="152" t="s">
        <v>363</v>
      </c>
      <c r="C330" s="152" t="s">
        <v>389</v>
      </c>
      <c r="D330" s="153" t="s">
        <v>390</v>
      </c>
      <c r="E330" s="150">
        <v>0</v>
      </c>
      <c r="F330" s="150">
        <v>0</v>
      </c>
      <c r="G330" s="150">
        <v>0</v>
      </c>
      <c r="H330" s="150">
        <v>0</v>
      </c>
      <c r="I330" s="150">
        <v>0</v>
      </c>
    </row>
    <row r="331" spans="2:9" ht="28.8">
      <c r="B331" s="152" t="s">
        <v>363</v>
      </c>
      <c r="C331" s="152" t="s">
        <v>391</v>
      </c>
      <c r="D331" s="153" t="s">
        <v>392</v>
      </c>
      <c r="E331" s="150">
        <v>0</v>
      </c>
      <c r="F331" s="150">
        <v>0</v>
      </c>
      <c r="G331" s="150">
        <v>0</v>
      </c>
      <c r="H331" s="150">
        <v>0</v>
      </c>
      <c r="I331" s="150">
        <v>1.2234500000000001E-2</v>
      </c>
    </row>
    <row r="332" spans="2:9">
      <c r="B332" s="152" t="s">
        <v>363</v>
      </c>
      <c r="C332" s="152" t="s">
        <v>393</v>
      </c>
      <c r="D332" s="153" t="s">
        <v>388</v>
      </c>
      <c r="E332" s="150">
        <v>0</v>
      </c>
      <c r="F332" s="150">
        <v>0</v>
      </c>
      <c r="G332" s="150">
        <v>0</v>
      </c>
      <c r="H332" s="150">
        <v>0</v>
      </c>
      <c r="I332" s="150">
        <v>0</v>
      </c>
    </row>
    <row r="333" spans="2:9">
      <c r="B333" s="152" t="s">
        <v>363</v>
      </c>
      <c r="C333" s="152" t="s">
        <v>394</v>
      </c>
      <c r="D333" s="153" t="s">
        <v>395</v>
      </c>
      <c r="E333" s="150">
        <v>0</v>
      </c>
      <c r="F333" s="150">
        <v>0</v>
      </c>
      <c r="G333" s="150">
        <v>0</v>
      </c>
      <c r="H333" s="150">
        <v>0</v>
      </c>
      <c r="I333" s="150">
        <v>0</v>
      </c>
    </row>
    <row r="334" spans="2:9" ht="57.6">
      <c r="B334" s="152" t="s">
        <v>363</v>
      </c>
      <c r="C334" s="152" t="s">
        <v>396</v>
      </c>
      <c r="D334" s="153" t="s">
        <v>397</v>
      </c>
      <c r="E334" s="150">
        <v>0</v>
      </c>
      <c r="F334" s="150">
        <v>0</v>
      </c>
      <c r="G334" s="150">
        <v>0</v>
      </c>
      <c r="H334" s="150">
        <v>0</v>
      </c>
      <c r="I334" s="150">
        <v>0</v>
      </c>
    </row>
    <row r="335" spans="2:9">
      <c r="B335" s="152" t="s">
        <v>363</v>
      </c>
      <c r="C335" s="152" t="s">
        <v>398</v>
      </c>
      <c r="D335" s="153"/>
      <c r="E335" s="150">
        <v>0</v>
      </c>
      <c r="F335" s="150">
        <v>0</v>
      </c>
      <c r="G335" s="150">
        <v>0</v>
      </c>
      <c r="H335" s="150">
        <v>-7.9999999999999996E-7</v>
      </c>
      <c r="I335" s="150">
        <v>0</v>
      </c>
    </row>
    <row r="336" spans="2:9">
      <c r="B336" s="152" t="s">
        <v>363</v>
      </c>
      <c r="C336" s="152" t="s">
        <v>399</v>
      </c>
      <c r="D336" s="153"/>
      <c r="E336" s="150">
        <v>0</v>
      </c>
      <c r="F336" s="150">
        <v>0</v>
      </c>
      <c r="G336" s="150">
        <v>0</v>
      </c>
      <c r="H336" s="150">
        <v>0</v>
      </c>
      <c r="I336" s="150">
        <v>-1.2234500000000001E-2</v>
      </c>
    </row>
    <row r="337" spans="2:9">
      <c r="B337" s="152" t="s">
        <v>400</v>
      </c>
      <c r="C337" s="152" t="s">
        <v>401</v>
      </c>
      <c r="D337" s="154" t="s">
        <v>402</v>
      </c>
      <c r="E337" s="150">
        <v>2.8200052000000002</v>
      </c>
      <c r="F337" s="150">
        <v>0</v>
      </c>
      <c r="G337" s="150">
        <v>0</v>
      </c>
      <c r="H337" s="150">
        <v>0</v>
      </c>
      <c r="I337" s="150">
        <v>0</v>
      </c>
    </row>
    <row r="338" spans="2:9">
      <c r="B338" s="152" t="s">
        <v>400</v>
      </c>
      <c r="C338" s="152" t="s">
        <v>403</v>
      </c>
      <c r="D338" s="154" t="s">
        <v>402</v>
      </c>
      <c r="E338" s="150">
        <v>6.0492787000000003</v>
      </c>
      <c r="F338" s="150">
        <v>0</v>
      </c>
      <c r="G338" s="150">
        <v>0</v>
      </c>
      <c r="H338" s="150">
        <v>0</v>
      </c>
      <c r="I338" s="150">
        <v>0</v>
      </c>
    </row>
    <row r="339" spans="2:9">
      <c r="B339" s="152" t="s">
        <v>400</v>
      </c>
      <c r="C339" s="152" t="s">
        <v>404</v>
      </c>
      <c r="D339" s="154" t="s">
        <v>402</v>
      </c>
      <c r="E339" s="150">
        <v>4.0470158319999996</v>
      </c>
      <c r="F339" s="150">
        <v>0</v>
      </c>
      <c r="G339" s="150">
        <v>0</v>
      </c>
      <c r="H339" s="150">
        <v>0</v>
      </c>
      <c r="I339" s="150">
        <v>0</v>
      </c>
    </row>
    <row r="340" spans="2:9">
      <c r="B340" s="152" t="s">
        <v>400</v>
      </c>
      <c r="C340" s="152" t="s">
        <v>405</v>
      </c>
      <c r="D340" s="154" t="s">
        <v>402</v>
      </c>
      <c r="E340" s="150">
        <v>4.8177411819999998</v>
      </c>
      <c r="F340" s="150">
        <v>0</v>
      </c>
      <c r="G340" s="150">
        <v>0</v>
      </c>
      <c r="H340" s="150">
        <v>0</v>
      </c>
      <c r="I340" s="150">
        <v>0</v>
      </c>
    </row>
    <row r="341" spans="2:9">
      <c r="B341" s="152" t="s">
        <v>400</v>
      </c>
      <c r="C341" s="152" t="s">
        <v>406</v>
      </c>
      <c r="D341" s="154" t="s">
        <v>402</v>
      </c>
      <c r="E341" s="150">
        <v>1.4009192260000001</v>
      </c>
      <c r="F341" s="150">
        <v>0</v>
      </c>
      <c r="G341" s="150">
        <v>0</v>
      </c>
      <c r="H341" s="150">
        <v>0</v>
      </c>
      <c r="I341" s="150">
        <v>0</v>
      </c>
    </row>
    <row r="342" spans="2:9">
      <c r="B342" s="152" t="s">
        <v>400</v>
      </c>
      <c r="C342" s="152" t="s">
        <v>407</v>
      </c>
      <c r="D342" s="154" t="s">
        <v>407</v>
      </c>
      <c r="E342" s="150">
        <v>22.0739634</v>
      </c>
      <c r="F342" s="150">
        <v>0</v>
      </c>
      <c r="G342" s="150">
        <v>0</v>
      </c>
      <c r="H342" s="150">
        <v>0</v>
      </c>
      <c r="I342" s="150">
        <v>0</v>
      </c>
    </row>
    <row r="343" spans="2:9">
      <c r="B343" s="152" t="s">
        <v>400</v>
      </c>
      <c r="C343" s="152" t="s">
        <v>408</v>
      </c>
      <c r="D343" s="154" t="s">
        <v>409</v>
      </c>
      <c r="E343" s="150">
        <v>0</v>
      </c>
      <c r="F343" s="150">
        <v>0</v>
      </c>
      <c r="G343" s="150">
        <v>0</v>
      </c>
      <c r="H343" s="150">
        <v>0</v>
      </c>
      <c r="I343" s="150">
        <v>-0.228299</v>
      </c>
    </row>
    <row r="344" spans="2:9">
      <c r="B344" s="154" t="s">
        <v>410</v>
      </c>
      <c r="C344" s="154" t="s">
        <v>411</v>
      </c>
      <c r="D344" s="154" t="s">
        <v>412</v>
      </c>
      <c r="E344" s="150">
        <v>0</v>
      </c>
      <c r="F344" s="150">
        <v>0</v>
      </c>
      <c r="G344" s="150">
        <v>0</v>
      </c>
      <c r="H344" s="150">
        <v>0</v>
      </c>
      <c r="I344" s="150">
        <v>0.72045250000000005</v>
      </c>
    </row>
    <row r="345" spans="2:9">
      <c r="B345" s="154" t="s">
        <v>413</v>
      </c>
      <c r="C345" s="154" t="s">
        <v>413</v>
      </c>
      <c r="D345" s="154" t="s">
        <v>414</v>
      </c>
      <c r="E345" s="150">
        <v>0</v>
      </c>
      <c r="F345" s="150">
        <v>0</v>
      </c>
      <c r="G345" s="150">
        <v>1.7952608899999998</v>
      </c>
      <c r="H345" s="150">
        <v>0</v>
      </c>
      <c r="I345" s="150">
        <v>0</v>
      </c>
    </row>
    <row r="346" spans="2:9">
      <c r="B346" s="154" t="s">
        <v>413</v>
      </c>
      <c r="C346" s="154" t="s">
        <v>413</v>
      </c>
      <c r="D346" s="154" t="s">
        <v>415</v>
      </c>
      <c r="E346" s="150">
        <v>0</v>
      </c>
      <c r="F346" s="150">
        <v>0</v>
      </c>
      <c r="G346" s="150">
        <v>2.2100100000000001E-2</v>
      </c>
      <c r="H346" s="150">
        <v>0</v>
      </c>
      <c r="I346" s="150">
        <v>0</v>
      </c>
    </row>
    <row r="347" spans="2:9">
      <c r="B347" s="154" t="s">
        <v>413</v>
      </c>
      <c r="C347" s="154" t="s">
        <v>413</v>
      </c>
      <c r="D347" s="154" t="s">
        <v>416</v>
      </c>
      <c r="E347" s="150">
        <v>0</v>
      </c>
      <c r="F347" s="150">
        <v>0</v>
      </c>
      <c r="G347" s="150">
        <v>2.3379999999999996E-10</v>
      </c>
      <c r="H347" s="150">
        <v>0</v>
      </c>
      <c r="I347" s="150">
        <v>0</v>
      </c>
    </row>
    <row r="348" spans="2:9">
      <c r="B348" s="154" t="s">
        <v>413</v>
      </c>
      <c r="C348" s="154" t="s">
        <v>413</v>
      </c>
      <c r="D348" s="154" t="s">
        <v>417</v>
      </c>
      <c r="E348" s="150">
        <v>0</v>
      </c>
      <c r="F348" s="150">
        <v>0</v>
      </c>
      <c r="G348" s="150">
        <v>0</v>
      </c>
      <c r="H348" s="150">
        <v>0</v>
      </c>
      <c r="I348" s="150">
        <v>0</v>
      </c>
    </row>
    <row r="349" spans="2:9">
      <c r="B349" s="154" t="s">
        <v>413</v>
      </c>
      <c r="C349" s="154" t="s">
        <v>413</v>
      </c>
      <c r="D349" s="154" t="s">
        <v>418</v>
      </c>
      <c r="E349" s="150">
        <v>0</v>
      </c>
      <c r="F349" s="150">
        <v>0</v>
      </c>
      <c r="G349" s="150">
        <v>0</v>
      </c>
      <c r="H349" s="150">
        <v>0</v>
      </c>
      <c r="I349" s="150">
        <v>5.9</v>
      </c>
    </row>
    <row r="350" spans="2:9">
      <c r="B350" s="154" t="s">
        <v>419</v>
      </c>
      <c r="C350" s="154" t="s">
        <v>419</v>
      </c>
      <c r="D350" s="154"/>
      <c r="E350" s="150">
        <v>0</v>
      </c>
      <c r="F350" s="150">
        <v>0</v>
      </c>
      <c r="G350" s="150">
        <v>0</v>
      </c>
      <c r="H350" s="150">
        <v>0</v>
      </c>
      <c r="I350" s="150">
        <v>-1.3464800000000001E-2</v>
      </c>
    </row>
    <row r="351" spans="2:9">
      <c r="B351" s="155" t="s">
        <v>21</v>
      </c>
      <c r="C351" s="155"/>
      <c r="D351" s="155"/>
      <c r="E351" s="156">
        <f>SUM(E195:E350)</f>
        <v>123.93882057767829</v>
      </c>
      <c r="F351" s="156">
        <f t="shared" ref="F351:I351" si="12">SUM(F195:F350)</f>
        <v>77.884432217826273</v>
      </c>
      <c r="G351" s="156">
        <f t="shared" si="12"/>
        <v>15.9169842268737</v>
      </c>
      <c r="H351" s="156">
        <f t="shared" si="12"/>
        <v>32.007132141999996</v>
      </c>
      <c r="I351" s="156">
        <f t="shared" si="12"/>
        <v>14.680382100000001</v>
      </c>
    </row>
  </sheetData>
  <mergeCells count="20">
    <mergeCell ref="G20:K20"/>
    <mergeCell ref="M20:M21"/>
    <mergeCell ref="N20:N21"/>
    <mergeCell ref="L20:L21"/>
    <mergeCell ref="B16:M16"/>
    <mergeCell ref="B11:M11"/>
    <mergeCell ref="B12:M12"/>
    <mergeCell ref="B13:M13"/>
    <mergeCell ref="B14:M14"/>
    <mergeCell ref="B15:M15"/>
    <mergeCell ref="E4:I4"/>
    <mergeCell ref="B2:M2"/>
    <mergeCell ref="B3:M3"/>
    <mergeCell ref="B10:M10"/>
    <mergeCell ref="B6:M6"/>
    <mergeCell ref="B192:I192"/>
    <mergeCell ref="B193:B194"/>
    <mergeCell ref="C193:C194"/>
    <mergeCell ref="D193:D194"/>
    <mergeCell ref="E193:I193"/>
  </mergeCells>
  <phoneticPr fontId="73"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G12"/>
  <sheetViews>
    <sheetView topLeftCell="A4" workbookViewId="0">
      <selection activeCell="B11" sqref="B11:G11"/>
    </sheetView>
  </sheetViews>
  <sheetFormatPr defaultRowHeight="14.4"/>
  <cols>
    <col min="3" max="3" width="12.33203125" customWidth="1"/>
    <col min="5" max="5" width="13.44140625" customWidth="1"/>
    <col min="6" max="6" width="13.33203125" customWidth="1"/>
    <col min="7" max="7" width="35.6640625" customWidth="1"/>
  </cols>
  <sheetData>
    <row r="2" spans="2:7">
      <c r="B2" s="334" t="s">
        <v>470</v>
      </c>
      <c r="C2" s="334"/>
      <c r="D2" s="334"/>
      <c r="E2" s="334"/>
      <c r="F2" s="334"/>
      <c r="G2" s="334"/>
    </row>
    <row r="3" spans="2:7">
      <c r="B3" s="335" t="s">
        <v>156</v>
      </c>
      <c r="C3" s="336"/>
      <c r="D3" s="336"/>
      <c r="E3" s="336"/>
      <c r="F3" s="336"/>
      <c r="G3" s="337"/>
    </row>
    <row r="4" spans="2:7" ht="48">
      <c r="B4" s="33" t="s">
        <v>0</v>
      </c>
      <c r="C4" s="33" t="s">
        <v>72</v>
      </c>
      <c r="D4" s="33" t="s">
        <v>65</v>
      </c>
      <c r="E4" s="33" t="s">
        <v>464</v>
      </c>
      <c r="F4" s="33" t="s">
        <v>465</v>
      </c>
      <c r="G4" s="33" t="s">
        <v>22</v>
      </c>
    </row>
    <row r="5" spans="2:7">
      <c r="B5" s="338" t="str">
        <f>[2]SUMMARY!B5</f>
        <v>Figures in INR Crores</v>
      </c>
      <c r="C5" s="339"/>
      <c r="D5" s="339"/>
      <c r="E5" s="339"/>
      <c r="F5" s="339"/>
      <c r="G5" s="340"/>
    </row>
    <row r="6" spans="2:7" ht="51" customHeight="1">
      <c r="B6" s="181">
        <v>1</v>
      </c>
      <c r="C6" s="147" t="s">
        <v>466</v>
      </c>
      <c r="D6" s="182">
        <f>'[3]Provisions TR 2018'!$I$25</f>
        <v>151.24997685900007</v>
      </c>
      <c r="E6" s="183">
        <f>'[3]Provisions TR 2018'!$J$25</f>
        <v>70.639618610327815</v>
      </c>
      <c r="F6" s="183">
        <f>'[3]Provisions TR 2018'!$J$27</f>
        <v>52.161769555999996</v>
      </c>
      <c r="G6" s="184" t="s">
        <v>467</v>
      </c>
    </row>
    <row r="7" spans="2:7" ht="52.2" customHeight="1">
      <c r="B7" s="181">
        <v>2</v>
      </c>
      <c r="C7" s="147" t="s">
        <v>472</v>
      </c>
      <c r="D7" s="182">
        <f>0.23+192.95+323.78</f>
        <v>516.95999999999992</v>
      </c>
      <c r="E7" s="183">
        <f>0.3388*39.69%</f>
        <v>0.13446971999999999</v>
      </c>
      <c r="F7" s="183">
        <f>0.3388*39.69%</f>
        <v>0.13446971999999999</v>
      </c>
      <c r="G7" s="189" t="s">
        <v>473</v>
      </c>
    </row>
    <row r="8" spans="2:7" ht="43.95" customHeight="1">
      <c r="B8" s="181">
        <v>3</v>
      </c>
      <c r="C8" s="147" t="s">
        <v>468</v>
      </c>
      <c r="D8" s="182">
        <v>18.86</v>
      </c>
      <c r="E8" s="183">
        <v>0</v>
      </c>
      <c r="F8" s="183">
        <v>0</v>
      </c>
      <c r="G8" s="188"/>
    </row>
    <row r="9" spans="2:7" ht="46.2" customHeight="1">
      <c r="B9" s="181">
        <v>4</v>
      </c>
      <c r="C9" s="147" t="s">
        <v>469</v>
      </c>
      <c r="D9" s="182">
        <v>16.53</v>
      </c>
      <c r="E9" s="183">
        <v>0</v>
      </c>
      <c r="F9" s="183">
        <v>0</v>
      </c>
      <c r="G9" s="184"/>
    </row>
    <row r="10" spans="2:7">
      <c r="B10" s="34"/>
      <c r="C10" s="185" t="s">
        <v>23</v>
      </c>
      <c r="D10" s="186">
        <f>SUM(D6:D9)</f>
        <v>703.59997685899998</v>
      </c>
      <c r="E10" s="186">
        <f t="shared" ref="E10:F10" si="0">SUM(E6:E9)</f>
        <v>70.774088330327814</v>
      </c>
      <c r="F10" s="186">
        <f t="shared" si="0"/>
        <v>52.296239275999994</v>
      </c>
      <c r="G10" s="187"/>
    </row>
    <row r="11" spans="2:7">
      <c r="B11" s="341" t="s">
        <v>20</v>
      </c>
      <c r="C11" s="342"/>
      <c r="D11" s="342"/>
      <c r="E11" s="342"/>
      <c r="F11" s="342"/>
      <c r="G11" s="342"/>
    </row>
    <row r="12" spans="2:7" ht="154.94999999999999" customHeight="1">
      <c r="B12" s="299" t="s">
        <v>81</v>
      </c>
      <c r="C12" s="299"/>
      <c r="D12" s="299"/>
      <c r="E12" s="299"/>
      <c r="F12" s="299"/>
      <c r="G12" s="299"/>
    </row>
  </sheetData>
  <mergeCells count="5">
    <mergeCell ref="B2:G2"/>
    <mergeCell ref="B3:G3"/>
    <mergeCell ref="B5:G5"/>
    <mergeCell ref="B11:G11"/>
    <mergeCell ref="B12:G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M10"/>
  <sheetViews>
    <sheetView topLeftCell="A4" workbookViewId="0">
      <selection activeCell="K7" sqref="K7"/>
    </sheetView>
  </sheetViews>
  <sheetFormatPr defaultRowHeight="14.4"/>
  <cols>
    <col min="2" max="2" width="4.6640625" bestFit="1" customWidth="1"/>
    <col min="3" max="3" width="16.44140625" customWidth="1"/>
    <col min="4" max="4" width="9.88671875" hidden="1" customWidth="1"/>
    <col min="5" max="5" width="9.88671875" customWidth="1"/>
    <col min="6" max="8" width="9.88671875" hidden="1" customWidth="1"/>
    <col min="9" max="10" width="12.109375" customWidth="1"/>
    <col min="11" max="11" width="38.6640625" customWidth="1"/>
  </cols>
  <sheetData>
    <row r="2" spans="2:13">
      <c r="B2" s="290" t="s">
        <v>116</v>
      </c>
      <c r="C2" s="291"/>
      <c r="D2" s="291"/>
      <c r="E2" s="291"/>
      <c r="F2" s="291"/>
      <c r="G2" s="291"/>
      <c r="H2" s="291"/>
      <c r="I2" s="291"/>
      <c r="J2" s="291"/>
      <c r="K2" s="292"/>
    </row>
    <row r="3" spans="2:13">
      <c r="B3" s="293" t="e">
        <f>SUMMARY!#REF!</f>
        <v>#REF!</v>
      </c>
      <c r="C3" s="294"/>
      <c r="D3" s="294"/>
      <c r="E3" s="294"/>
      <c r="F3" s="294"/>
      <c r="G3" s="294"/>
      <c r="H3" s="294"/>
      <c r="I3" s="294"/>
      <c r="J3" s="294"/>
      <c r="K3" s="295"/>
    </row>
    <row r="4" spans="2:13" ht="86.4">
      <c r="B4" s="96" t="s">
        <v>0</v>
      </c>
      <c r="C4" s="96" t="s">
        <v>26</v>
      </c>
      <c r="D4" s="96" t="s">
        <v>67</v>
      </c>
      <c r="E4" s="97" t="s">
        <v>65</v>
      </c>
      <c r="F4" s="96" t="s">
        <v>30</v>
      </c>
      <c r="G4" s="96" t="s">
        <v>27</v>
      </c>
      <c r="H4" s="96" t="s">
        <v>68</v>
      </c>
      <c r="I4" s="96" t="s">
        <v>29</v>
      </c>
      <c r="J4" s="96" t="s">
        <v>117</v>
      </c>
      <c r="K4" s="96" t="s">
        <v>22</v>
      </c>
    </row>
    <row r="5" spans="2:13">
      <c r="B5" s="343" t="e">
        <f>SUMMARY!#REF!</f>
        <v>#REF!</v>
      </c>
      <c r="C5" s="343"/>
      <c r="D5" s="343"/>
      <c r="E5" s="343"/>
      <c r="F5" s="343"/>
      <c r="G5" s="343"/>
      <c r="H5" s="343"/>
      <c r="I5" s="343"/>
      <c r="J5" s="343"/>
      <c r="K5" s="343"/>
    </row>
    <row r="6" spans="2:13" ht="100.2" customHeight="1">
      <c r="B6" s="100">
        <v>1</v>
      </c>
      <c r="C6" s="101" t="s">
        <v>134</v>
      </c>
      <c r="D6" s="100" t="s">
        <v>80</v>
      </c>
      <c r="E6" s="102">
        <v>486.2</v>
      </c>
      <c r="F6" s="100"/>
      <c r="G6" s="100"/>
      <c r="H6" s="100"/>
      <c r="I6" s="102">
        <f>3.33+10.69+23.65*70%+323.78+60.17</f>
        <v>414.52499999999998</v>
      </c>
      <c r="J6" s="102">
        <f>3.33*90%+10.69*80%+(23.65*70%)*40%+323.78+60.17*90%</f>
        <v>396.10399999999998</v>
      </c>
      <c r="K6" s="145" t="s">
        <v>474</v>
      </c>
      <c r="L6" s="39"/>
      <c r="M6" s="39"/>
    </row>
    <row r="7" spans="2:13" ht="100.2" customHeight="1">
      <c r="B7" s="100">
        <v>2</v>
      </c>
      <c r="C7" s="101" t="s">
        <v>135</v>
      </c>
      <c r="D7" s="100"/>
      <c r="E7" s="102">
        <v>57.96</v>
      </c>
      <c r="F7" s="100"/>
      <c r="G7" s="100"/>
      <c r="H7" s="100"/>
      <c r="I7" s="102">
        <f>20.73+0+37.23*80%</f>
        <v>50.513999999999996</v>
      </c>
      <c r="J7" s="102">
        <f>20.73*75%+0+(37.23*80%)*50%</f>
        <v>30.439499999999999</v>
      </c>
      <c r="K7" s="145" t="s">
        <v>471</v>
      </c>
      <c r="L7" s="39"/>
      <c r="M7" s="39"/>
    </row>
    <row r="8" spans="2:13">
      <c r="B8" s="98"/>
      <c r="C8" s="103" t="s">
        <v>23</v>
      </c>
      <c r="D8" s="103"/>
      <c r="E8" s="99">
        <f>SUM(E6:E7)</f>
        <v>544.16</v>
      </c>
      <c r="F8" s="99">
        <f t="shared" ref="F8:J8" si="0">SUM(F6:F7)</f>
        <v>0</v>
      </c>
      <c r="G8" s="99">
        <f t="shared" si="0"/>
        <v>0</v>
      </c>
      <c r="H8" s="99">
        <f t="shared" si="0"/>
        <v>0</v>
      </c>
      <c r="I8" s="99">
        <f t="shared" si="0"/>
        <v>465.03899999999999</v>
      </c>
      <c r="J8" s="99">
        <f t="shared" si="0"/>
        <v>426.54349999999999</v>
      </c>
      <c r="K8" s="98"/>
    </row>
    <row r="9" spans="2:13">
      <c r="B9" s="301" t="s">
        <v>20</v>
      </c>
      <c r="C9" s="302"/>
      <c r="D9" s="302"/>
      <c r="E9" s="302"/>
      <c r="F9" s="302"/>
      <c r="G9" s="302"/>
      <c r="H9" s="302"/>
      <c r="I9" s="302"/>
      <c r="J9" s="302"/>
      <c r="K9" s="344"/>
    </row>
    <row r="10" spans="2:13" ht="98.4" customHeight="1">
      <c r="B10" s="304" t="s">
        <v>81</v>
      </c>
      <c r="C10" s="304"/>
      <c r="D10" s="304"/>
      <c r="E10" s="304"/>
      <c r="F10" s="304"/>
      <c r="G10" s="304"/>
      <c r="H10" s="304"/>
      <c r="I10" s="304"/>
      <c r="J10" s="304"/>
      <c r="K10" s="304"/>
    </row>
  </sheetData>
  <mergeCells count="5">
    <mergeCell ref="B2:K2"/>
    <mergeCell ref="B3:K3"/>
    <mergeCell ref="B5:K5"/>
    <mergeCell ref="B9:K9"/>
    <mergeCell ref="B10:K10"/>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90"/>
  <sheetViews>
    <sheetView topLeftCell="D10" workbookViewId="0">
      <selection activeCell="E15" sqref="E15"/>
    </sheetView>
  </sheetViews>
  <sheetFormatPr defaultRowHeight="14.4"/>
  <cols>
    <col min="3" max="3" width="15.33203125" customWidth="1"/>
    <col min="11" max="11" width="12" customWidth="1"/>
    <col min="13" max="13" width="24.88671875" customWidth="1"/>
    <col min="14" max="14" width="12.5546875" customWidth="1"/>
  </cols>
  <sheetData>
    <row r="2" spans="2:20">
      <c r="B2" s="348" t="s">
        <v>69</v>
      </c>
      <c r="C2" s="349"/>
      <c r="D2" s="349"/>
      <c r="E2" s="349"/>
      <c r="F2" s="349"/>
      <c r="G2" s="349"/>
      <c r="H2" s="349"/>
      <c r="I2" s="349"/>
      <c r="J2" s="349"/>
      <c r="K2" s="349"/>
      <c r="L2" s="349"/>
      <c r="M2" s="350"/>
    </row>
    <row r="3" spans="2:20">
      <c r="B3" s="351" t="str">
        <f>[2]SUMMARY!B3</f>
        <v>Details as on 31st March 2023</v>
      </c>
      <c r="C3" s="352"/>
      <c r="D3" s="352"/>
      <c r="E3" s="352"/>
      <c r="F3" s="352"/>
      <c r="G3" s="352"/>
      <c r="H3" s="352"/>
      <c r="I3" s="352"/>
      <c r="J3" s="352"/>
      <c r="K3" s="352"/>
      <c r="L3" s="352"/>
      <c r="M3" s="353"/>
    </row>
    <row r="4" spans="2:20" ht="72">
      <c r="B4" s="24" t="s">
        <v>0</v>
      </c>
      <c r="C4" s="24" t="s">
        <v>70</v>
      </c>
      <c r="D4" s="33" t="s">
        <v>65</v>
      </c>
      <c r="E4" s="33" t="s">
        <v>458</v>
      </c>
      <c r="F4" s="33" t="s">
        <v>459</v>
      </c>
      <c r="G4" s="33" t="s">
        <v>460</v>
      </c>
      <c r="H4" s="33" t="s">
        <v>461</v>
      </c>
      <c r="I4" s="33" t="s">
        <v>462</v>
      </c>
      <c r="J4" s="33" t="s">
        <v>501</v>
      </c>
      <c r="K4" s="24" t="s">
        <v>464</v>
      </c>
      <c r="L4" s="24" t="s">
        <v>465</v>
      </c>
      <c r="M4" s="24" t="s">
        <v>22</v>
      </c>
    </row>
    <row r="5" spans="2:20">
      <c r="B5" s="351" t="str">
        <f>[2]SUMMARY!B5</f>
        <v>Figures in INR Crores</v>
      </c>
      <c r="C5" s="352"/>
      <c r="D5" s="352"/>
      <c r="E5" s="352"/>
      <c r="F5" s="352"/>
      <c r="G5" s="352"/>
      <c r="H5" s="352"/>
      <c r="I5" s="352"/>
      <c r="J5" s="352"/>
      <c r="K5" s="352"/>
      <c r="L5" s="352"/>
      <c r="M5" s="353"/>
    </row>
    <row r="6" spans="2:20" ht="99" customHeight="1">
      <c r="B6" s="194">
        <v>1</v>
      </c>
      <c r="C6" s="60" t="s">
        <v>521</v>
      </c>
      <c r="D6" s="56">
        <f>D15</f>
        <v>24.054358534000006</v>
      </c>
      <c r="E6" s="56">
        <f>E15</f>
        <v>0.33119220199999994</v>
      </c>
      <c r="F6" s="56">
        <f t="shared" ref="F6:I6" si="0">F15</f>
        <v>0.38083716199999995</v>
      </c>
      <c r="G6" s="56">
        <f t="shared" si="0"/>
        <v>0.16616657900000001</v>
      </c>
      <c r="H6" s="56">
        <f t="shared" si="0"/>
        <v>9.2791200000000004E-2</v>
      </c>
      <c r="I6" s="56">
        <f t="shared" si="0"/>
        <v>0.161132</v>
      </c>
      <c r="J6" s="56">
        <f>K15</f>
        <v>22.922239391000005</v>
      </c>
      <c r="K6" s="56">
        <f>O20</f>
        <v>13.843103173854141</v>
      </c>
      <c r="L6" s="56">
        <f t="shared" ref="L6" si="1">K6*O6</f>
        <v>12.458792856468728</v>
      </c>
      <c r="M6" s="208" t="s">
        <v>522</v>
      </c>
      <c r="O6" s="39">
        <v>0.9</v>
      </c>
    </row>
    <row r="7" spans="2:20">
      <c r="B7" s="34"/>
      <c r="C7" s="195" t="s">
        <v>23</v>
      </c>
      <c r="D7" s="45">
        <f>SUM(D3:D6)</f>
        <v>24.054358534000006</v>
      </c>
      <c r="E7" s="45">
        <f t="shared" ref="E7:L7" si="2">SUM(E3:E6)</f>
        <v>0.33119220199999994</v>
      </c>
      <c r="F7" s="45">
        <f t="shared" si="2"/>
        <v>0.38083716199999995</v>
      </c>
      <c r="G7" s="45">
        <f t="shared" si="2"/>
        <v>0.16616657900000001</v>
      </c>
      <c r="H7" s="45">
        <f t="shared" si="2"/>
        <v>9.2791200000000004E-2</v>
      </c>
      <c r="I7" s="45">
        <f t="shared" si="2"/>
        <v>0.161132</v>
      </c>
      <c r="J7" s="45">
        <f t="shared" si="2"/>
        <v>22.922239391000005</v>
      </c>
      <c r="K7" s="45">
        <f t="shared" si="2"/>
        <v>13.843103173854141</v>
      </c>
      <c r="L7" s="45">
        <f t="shared" si="2"/>
        <v>12.458792856468728</v>
      </c>
      <c r="M7" s="34"/>
    </row>
    <row r="8" spans="2:20">
      <c r="B8" s="354" t="s">
        <v>20</v>
      </c>
      <c r="C8" s="355"/>
      <c r="D8" s="355"/>
      <c r="E8" s="355"/>
      <c r="F8" s="355"/>
      <c r="G8" s="355"/>
      <c r="H8" s="355"/>
      <c r="I8" s="355"/>
      <c r="J8" s="355"/>
      <c r="K8" s="355"/>
      <c r="L8" s="355"/>
      <c r="M8" s="356"/>
    </row>
    <row r="9" spans="2:20" ht="82.2" customHeight="1">
      <c r="B9" s="299" t="s">
        <v>82</v>
      </c>
      <c r="C9" s="299"/>
      <c r="D9" s="299"/>
      <c r="E9" s="299"/>
      <c r="F9" s="299"/>
      <c r="G9" s="299"/>
      <c r="H9" s="299"/>
      <c r="I9" s="299"/>
      <c r="J9" s="299"/>
      <c r="K9" s="299"/>
      <c r="L9" s="299"/>
      <c r="M9" s="299"/>
    </row>
    <row r="11" spans="2:20">
      <c r="D11" s="228">
        <v>3.33</v>
      </c>
      <c r="E11" s="228">
        <v>20.72</v>
      </c>
      <c r="F11" s="144">
        <f>E11+D11</f>
        <v>24.049999999999997</v>
      </c>
    </row>
    <row r="13" spans="2:20">
      <c r="N13" s="162" t="s">
        <v>436</v>
      </c>
      <c r="O13" s="119">
        <v>1</v>
      </c>
      <c r="P13" s="119">
        <f>O13+1</f>
        <v>2</v>
      </c>
      <c r="Q13" s="119">
        <f t="shared" ref="Q13:T13" si="3">P13+1</f>
        <v>3</v>
      </c>
      <c r="R13" s="119">
        <f t="shared" si="3"/>
        <v>4</v>
      </c>
      <c r="S13" s="119">
        <f t="shared" si="3"/>
        <v>5</v>
      </c>
      <c r="T13" s="119">
        <f t="shared" si="3"/>
        <v>6</v>
      </c>
    </row>
    <row r="14" spans="2:20">
      <c r="E14" s="345" t="s">
        <v>421</v>
      </c>
      <c r="F14" s="346"/>
      <c r="G14" s="346"/>
      <c r="H14" s="346"/>
      <c r="I14" s="347"/>
      <c r="J14" s="213"/>
      <c r="K14" s="213"/>
      <c r="N14" s="163" t="s">
        <v>437</v>
      </c>
      <c r="O14" s="164">
        <f>D7</f>
        <v>24.054358534000006</v>
      </c>
      <c r="P14" s="165"/>
      <c r="Q14" s="165"/>
      <c r="R14" s="165"/>
      <c r="S14" s="165"/>
      <c r="T14" s="116"/>
    </row>
    <row r="15" spans="2:20" ht="14.4" customHeight="1">
      <c r="B15" s="213"/>
      <c r="C15" s="213" t="s">
        <v>547</v>
      </c>
      <c r="D15" s="214">
        <f t="shared" ref="D15:J15" si="4">SUBTOTAL(9,D17:D195)</f>
        <v>24.054358534000006</v>
      </c>
      <c r="E15" s="214">
        <f t="shared" si="4"/>
        <v>0.33119220199999994</v>
      </c>
      <c r="F15" s="214">
        <f t="shared" si="4"/>
        <v>0.38083716199999995</v>
      </c>
      <c r="G15" s="214">
        <f t="shared" si="4"/>
        <v>0.16616657900000001</v>
      </c>
      <c r="H15" s="214">
        <f t="shared" si="4"/>
        <v>9.2791200000000004E-2</v>
      </c>
      <c r="I15" s="214">
        <f t="shared" si="4"/>
        <v>0.161132</v>
      </c>
      <c r="J15" s="214">
        <f t="shared" si="4"/>
        <v>3.5592268210000011</v>
      </c>
      <c r="K15" s="224">
        <f>SUM(K17:K90)</f>
        <v>22.922239391000005</v>
      </c>
      <c r="N15" s="163" t="s">
        <v>438</v>
      </c>
      <c r="O15" s="164">
        <f>E15</f>
        <v>0.33119220199999994</v>
      </c>
      <c r="P15" s="164">
        <f t="shared" ref="P15:S15" si="5">F15</f>
        <v>0.38083716199999995</v>
      </c>
      <c r="Q15" s="164">
        <f t="shared" si="5"/>
        <v>0.16616657900000001</v>
      </c>
      <c r="R15" s="164">
        <f t="shared" si="5"/>
        <v>9.2791200000000004E-2</v>
      </c>
      <c r="S15" s="164">
        <f t="shared" si="5"/>
        <v>0.161132</v>
      </c>
      <c r="T15" s="164">
        <f>K15</f>
        <v>22.922239391000005</v>
      </c>
    </row>
    <row r="16" spans="2:20" ht="55.2" customHeight="1">
      <c r="B16" s="215" t="s">
        <v>186</v>
      </c>
      <c r="C16" s="215" t="s">
        <v>187</v>
      </c>
      <c r="D16" s="216" t="s">
        <v>548</v>
      </c>
      <c r="E16" s="221" t="s">
        <v>426</v>
      </c>
      <c r="F16" s="221" t="s">
        <v>427</v>
      </c>
      <c r="G16" s="221" t="s">
        <v>428</v>
      </c>
      <c r="H16" s="221" t="s">
        <v>429</v>
      </c>
      <c r="I16" s="221" t="s">
        <v>430</v>
      </c>
      <c r="J16" s="222" t="s">
        <v>422</v>
      </c>
      <c r="K16" s="222" t="s">
        <v>501</v>
      </c>
      <c r="N16" s="163" t="s">
        <v>439</v>
      </c>
      <c r="O16" s="165">
        <v>1</v>
      </c>
      <c r="P16" s="165">
        <f>O16+1</f>
        <v>2</v>
      </c>
      <c r="Q16" s="165">
        <f t="shared" ref="Q16:T16" si="6">P16+1</f>
        <v>3</v>
      </c>
      <c r="R16" s="165">
        <f t="shared" si="6"/>
        <v>4</v>
      </c>
      <c r="S16" s="165">
        <f t="shared" si="6"/>
        <v>5</v>
      </c>
      <c r="T16" s="165">
        <f t="shared" si="6"/>
        <v>6</v>
      </c>
    </row>
    <row r="17" spans="2:20">
      <c r="B17" s="217" t="s">
        <v>400</v>
      </c>
      <c r="C17" s="217" t="s">
        <v>549</v>
      </c>
      <c r="D17" s="218">
        <v>4.6906000000000003E-2</v>
      </c>
      <c r="E17" s="218">
        <v>4.6906000000000003E-2</v>
      </c>
      <c r="F17" s="218">
        <v>0</v>
      </c>
      <c r="G17" s="218">
        <v>0</v>
      </c>
      <c r="H17" s="218">
        <v>0</v>
      </c>
      <c r="I17" s="218">
        <v>0</v>
      </c>
      <c r="J17" s="218">
        <v>0</v>
      </c>
      <c r="K17" s="223">
        <f>D17-E17-F17-G17-H17-I17</f>
        <v>0</v>
      </c>
      <c r="N17" s="163" t="s">
        <v>153</v>
      </c>
      <c r="O17" s="166">
        <f>1/(1+$O$18)^O16</f>
        <v>0.90909090909090906</v>
      </c>
      <c r="P17" s="166">
        <f t="shared" ref="P17:T17" si="7">1/(1+$O$18)^P16</f>
        <v>0.82644628099173545</v>
      </c>
      <c r="Q17" s="166">
        <f t="shared" si="7"/>
        <v>0.75131480090157754</v>
      </c>
      <c r="R17" s="166">
        <f t="shared" si="7"/>
        <v>0.68301345536507052</v>
      </c>
      <c r="S17" s="166">
        <f t="shared" si="7"/>
        <v>0.62092132305915493</v>
      </c>
      <c r="T17" s="166">
        <f t="shared" si="7"/>
        <v>0.56447393005377722</v>
      </c>
    </row>
    <row r="18" spans="2:20" ht="22.2" customHeight="1">
      <c r="B18" s="217" t="s">
        <v>400</v>
      </c>
      <c r="C18" s="217" t="s">
        <v>539</v>
      </c>
      <c r="D18" s="218">
        <v>0.19560606999999999</v>
      </c>
      <c r="E18" s="218">
        <v>0</v>
      </c>
      <c r="F18" s="218">
        <v>0</v>
      </c>
      <c r="G18" s="218">
        <v>8.1562499999999996E-2</v>
      </c>
      <c r="H18" s="218">
        <v>0</v>
      </c>
      <c r="I18" s="218">
        <v>0</v>
      </c>
      <c r="J18" s="218">
        <v>0</v>
      </c>
      <c r="K18" s="223">
        <f t="shared" ref="K18:K81" si="8">D18-E18-F18-G18-H18-I18</f>
        <v>0.11404357</v>
      </c>
      <c r="N18" s="163" t="s">
        <v>440</v>
      </c>
      <c r="O18" s="167">
        <v>0.1</v>
      </c>
      <c r="P18" s="165"/>
      <c r="Q18" s="165"/>
      <c r="R18" s="165"/>
      <c r="S18" s="165"/>
      <c r="T18" s="116"/>
    </row>
    <row r="19" spans="2:20">
      <c r="B19" s="217" t="s">
        <v>400</v>
      </c>
      <c r="C19" s="217" t="s">
        <v>550</v>
      </c>
      <c r="D19" s="218">
        <v>6.7000000000000002E-3</v>
      </c>
      <c r="E19" s="218">
        <v>1.6000000000000001E-3</v>
      </c>
      <c r="F19" s="218">
        <v>0</v>
      </c>
      <c r="G19" s="218">
        <v>5.1000000000000004E-3</v>
      </c>
      <c r="H19" s="218">
        <v>0</v>
      </c>
      <c r="I19" s="218">
        <v>0</v>
      </c>
      <c r="J19" s="218">
        <v>0</v>
      </c>
      <c r="K19" s="223">
        <f t="shared" si="8"/>
        <v>0</v>
      </c>
      <c r="N19" s="163" t="s">
        <v>441</v>
      </c>
      <c r="O19" s="164">
        <f>O15*O17</f>
        <v>0.30108381999999995</v>
      </c>
      <c r="P19" s="164">
        <f t="shared" ref="P19:S19" si="9">P15*P17</f>
        <v>0.31474145619834704</v>
      </c>
      <c r="Q19" s="164">
        <f t="shared" si="9"/>
        <v>0.12484341021788126</v>
      </c>
      <c r="R19" s="164">
        <f t="shared" si="9"/>
        <v>6.3377638139471337E-2</v>
      </c>
      <c r="S19" s="164">
        <f t="shared" si="9"/>
        <v>0.10005029462716775</v>
      </c>
      <c r="T19" s="164">
        <f>T15*T17</f>
        <v>12.939006554671273</v>
      </c>
    </row>
    <row r="20" spans="2:20" ht="28.8">
      <c r="B20" s="219" t="s">
        <v>400</v>
      </c>
      <c r="C20" s="219" t="s">
        <v>538</v>
      </c>
      <c r="D20" s="220">
        <v>0.14722115800000002</v>
      </c>
      <c r="E20" s="220">
        <v>1.4380199999999999E-2</v>
      </c>
      <c r="F20" s="220">
        <v>3.0435679000000004E-2</v>
      </c>
      <c r="G20" s="220">
        <v>7.2005279000000005E-2</v>
      </c>
      <c r="H20" s="220">
        <v>9.2999999999999992E-3</v>
      </c>
      <c r="I20" s="220">
        <v>0</v>
      </c>
      <c r="J20" s="220">
        <v>0.01</v>
      </c>
      <c r="K20" s="223">
        <f t="shared" si="8"/>
        <v>2.1099999999999997E-2</v>
      </c>
      <c r="N20" s="168" t="s">
        <v>442</v>
      </c>
      <c r="O20" s="169">
        <f>SUM(O19:T19)</f>
        <v>13.843103173854141</v>
      </c>
      <c r="P20" s="162"/>
      <c r="Q20" s="162"/>
      <c r="R20" s="162"/>
      <c r="S20" s="170"/>
      <c r="T20" s="170"/>
    </row>
    <row r="21" spans="2:20">
      <c r="B21" s="217" t="s">
        <v>400</v>
      </c>
      <c r="C21" s="217" t="s">
        <v>542</v>
      </c>
      <c r="D21" s="218">
        <v>3.7200000000000002E-3</v>
      </c>
      <c r="E21" s="218">
        <v>0</v>
      </c>
      <c r="F21" s="218">
        <v>1.0200000000000001E-3</v>
      </c>
      <c r="G21" s="218">
        <v>0</v>
      </c>
      <c r="H21" s="218">
        <v>0</v>
      </c>
      <c r="I21" s="218">
        <v>0</v>
      </c>
      <c r="J21" s="218">
        <v>0</v>
      </c>
      <c r="K21" s="223">
        <f t="shared" si="8"/>
        <v>2.7000000000000001E-3</v>
      </c>
    </row>
    <row r="22" spans="2:20">
      <c r="B22" s="217" t="s">
        <v>400</v>
      </c>
      <c r="C22" s="217" t="s">
        <v>536</v>
      </c>
      <c r="D22" s="218">
        <v>6.0000000000000001E-3</v>
      </c>
      <c r="E22" s="218">
        <v>0</v>
      </c>
      <c r="F22" s="218">
        <v>0</v>
      </c>
      <c r="G22" s="218">
        <v>0</v>
      </c>
      <c r="H22" s="218">
        <v>0</v>
      </c>
      <c r="I22" s="218">
        <v>0</v>
      </c>
      <c r="J22" s="218">
        <v>0</v>
      </c>
      <c r="K22" s="223">
        <f t="shared" si="8"/>
        <v>6.0000000000000001E-3</v>
      </c>
    </row>
    <row r="23" spans="2:20">
      <c r="B23" s="217" t="s">
        <v>400</v>
      </c>
      <c r="C23" s="217" t="s">
        <v>537</v>
      </c>
      <c r="D23" s="218">
        <v>2.7000000000000001E-3</v>
      </c>
      <c r="E23" s="218">
        <v>0</v>
      </c>
      <c r="F23" s="218">
        <v>0</v>
      </c>
      <c r="G23" s="218">
        <v>0</v>
      </c>
      <c r="H23" s="218">
        <v>0</v>
      </c>
      <c r="I23" s="218">
        <v>0</v>
      </c>
      <c r="J23" s="218">
        <v>0</v>
      </c>
      <c r="K23" s="223">
        <f t="shared" si="8"/>
        <v>2.7000000000000001E-3</v>
      </c>
    </row>
    <row r="24" spans="2:20">
      <c r="B24" s="217" t="s">
        <v>400</v>
      </c>
      <c r="C24" s="217" t="s">
        <v>551</v>
      </c>
      <c r="D24" s="218">
        <v>2.1778499999999999E-2</v>
      </c>
      <c r="E24" s="218">
        <v>8.8214999999999995E-3</v>
      </c>
      <c r="F24" s="218">
        <v>2.9475E-3</v>
      </c>
      <c r="G24" s="218">
        <v>8.095E-4</v>
      </c>
      <c r="H24" s="218">
        <v>0</v>
      </c>
      <c r="I24" s="218">
        <v>0</v>
      </c>
      <c r="J24" s="218">
        <v>0</v>
      </c>
      <c r="K24" s="223">
        <f t="shared" si="8"/>
        <v>9.1999999999999998E-3</v>
      </c>
    </row>
    <row r="25" spans="2:20">
      <c r="B25" s="217" t="s">
        <v>400</v>
      </c>
      <c r="C25" s="217" t="s">
        <v>552</v>
      </c>
      <c r="D25" s="218">
        <v>2.3939499999999996E-2</v>
      </c>
      <c r="E25" s="218">
        <v>5.8365019999999986E-3</v>
      </c>
      <c r="F25" s="218">
        <v>1.5002998000000002E-2</v>
      </c>
      <c r="G25" s="218">
        <v>1.2999999999999999E-3</v>
      </c>
      <c r="H25" s="218">
        <v>0</v>
      </c>
      <c r="I25" s="218">
        <v>0</v>
      </c>
      <c r="J25" s="218">
        <v>0</v>
      </c>
      <c r="K25" s="223">
        <f t="shared" si="8"/>
        <v>1.7999999999999934E-3</v>
      </c>
    </row>
    <row r="26" spans="2:20">
      <c r="B26" s="217" t="s">
        <v>213</v>
      </c>
      <c r="C26" s="217" t="s">
        <v>553</v>
      </c>
      <c r="D26" s="218">
        <v>3.2209100000000004E-2</v>
      </c>
      <c r="E26" s="218">
        <v>0</v>
      </c>
      <c r="F26" s="218">
        <v>0</v>
      </c>
      <c r="G26" s="218">
        <v>0</v>
      </c>
      <c r="H26" s="218">
        <v>0</v>
      </c>
      <c r="I26" s="218">
        <v>0</v>
      </c>
      <c r="J26" s="218">
        <v>0</v>
      </c>
      <c r="K26" s="223">
        <f t="shared" si="8"/>
        <v>3.2209100000000004E-2</v>
      </c>
    </row>
    <row r="27" spans="2:20">
      <c r="B27" s="217" t="s">
        <v>213</v>
      </c>
      <c r="C27" s="217" t="s">
        <v>554</v>
      </c>
      <c r="D27" s="218">
        <v>8.3250000000000008E-3</v>
      </c>
      <c r="E27" s="218">
        <v>2.8E-3</v>
      </c>
      <c r="F27" s="218">
        <v>0</v>
      </c>
      <c r="G27" s="218"/>
      <c r="H27" s="218">
        <v>0</v>
      </c>
      <c r="I27" s="218">
        <v>0</v>
      </c>
      <c r="J27" s="218">
        <v>0</v>
      </c>
      <c r="K27" s="223">
        <f t="shared" si="8"/>
        <v>5.5250000000000004E-3</v>
      </c>
    </row>
    <row r="28" spans="2:20">
      <c r="B28" s="219" t="s">
        <v>213</v>
      </c>
      <c r="C28" s="219" t="s">
        <v>228</v>
      </c>
      <c r="D28" s="220">
        <v>4.9433300000000006E-2</v>
      </c>
      <c r="E28" s="220">
        <v>0</v>
      </c>
      <c r="F28" s="220">
        <v>0</v>
      </c>
      <c r="G28" s="220">
        <v>0</v>
      </c>
      <c r="H28" s="220">
        <v>0</v>
      </c>
      <c r="I28" s="220">
        <v>0</v>
      </c>
      <c r="J28" s="220">
        <v>4.9433300000000006E-2</v>
      </c>
      <c r="K28" s="223">
        <f t="shared" si="8"/>
        <v>4.9433300000000006E-2</v>
      </c>
    </row>
    <row r="29" spans="2:20">
      <c r="B29" s="217" t="s">
        <v>213</v>
      </c>
      <c r="C29" s="217" t="s">
        <v>218</v>
      </c>
      <c r="D29" s="218">
        <v>0.13551190000000002</v>
      </c>
      <c r="E29" s="218">
        <v>6.5100000000000002E-3</v>
      </c>
      <c r="F29" s="218">
        <v>0</v>
      </c>
      <c r="G29" s="218">
        <v>0</v>
      </c>
      <c r="H29" s="218">
        <v>0</v>
      </c>
      <c r="I29" s="218">
        <v>0</v>
      </c>
      <c r="J29" s="218">
        <v>0</v>
      </c>
      <c r="K29" s="223">
        <f t="shared" si="8"/>
        <v>0.12900190000000003</v>
      </c>
    </row>
    <row r="30" spans="2:20">
      <c r="B30" s="217" t="s">
        <v>213</v>
      </c>
      <c r="C30" s="217" t="s">
        <v>555</v>
      </c>
      <c r="D30" s="218">
        <v>0.30045179999999999</v>
      </c>
      <c r="E30" s="218">
        <v>0</v>
      </c>
      <c r="F30" s="218">
        <v>0</v>
      </c>
      <c r="G30" s="218">
        <v>0</v>
      </c>
      <c r="H30" s="218">
        <v>0</v>
      </c>
      <c r="I30" s="218">
        <v>0</v>
      </c>
      <c r="J30" s="218">
        <v>0</v>
      </c>
      <c r="K30" s="223">
        <f t="shared" si="8"/>
        <v>0.30045179999999999</v>
      </c>
    </row>
    <row r="31" spans="2:20">
      <c r="B31" s="217" t="s">
        <v>213</v>
      </c>
      <c r="C31" s="217" t="s">
        <v>556</v>
      </c>
      <c r="D31" s="218">
        <v>3.8922270999999999</v>
      </c>
      <c r="E31" s="218">
        <v>0</v>
      </c>
      <c r="F31" s="218">
        <v>0</v>
      </c>
      <c r="G31" s="218">
        <v>0</v>
      </c>
      <c r="H31" s="218">
        <v>0</v>
      </c>
      <c r="I31" s="218">
        <v>0</v>
      </c>
      <c r="J31" s="218">
        <v>0</v>
      </c>
      <c r="K31" s="223">
        <f t="shared" si="8"/>
        <v>3.8922270999999999</v>
      </c>
    </row>
    <row r="32" spans="2:20">
      <c r="B32" s="217" t="s">
        <v>363</v>
      </c>
      <c r="C32" s="217" t="s">
        <v>475</v>
      </c>
      <c r="D32" s="218">
        <v>2.5416000000000001E-2</v>
      </c>
      <c r="E32" s="218">
        <v>0</v>
      </c>
      <c r="F32" s="218">
        <v>0</v>
      </c>
      <c r="G32" s="218">
        <v>0</v>
      </c>
      <c r="H32" s="218">
        <v>0</v>
      </c>
      <c r="I32" s="218">
        <v>8.6999999999999994E-3</v>
      </c>
      <c r="J32" s="218">
        <v>0</v>
      </c>
      <c r="K32" s="223">
        <f t="shared" si="8"/>
        <v>1.6716000000000002E-2</v>
      </c>
    </row>
    <row r="33" spans="2:11">
      <c r="B33" s="217" t="s">
        <v>363</v>
      </c>
      <c r="C33" s="217" t="s">
        <v>557</v>
      </c>
      <c r="D33" s="218">
        <v>1.5724999999999999E-2</v>
      </c>
      <c r="E33" s="218">
        <v>0</v>
      </c>
      <c r="F33" s="218">
        <v>0</v>
      </c>
      <c r="G33" s="218">
        <v>0</v>
      </c>
      <c r="H33" s="218">
        <v>0</v>
      </c>
      <c r="I33" s="218">
        <v>0</v>
      </c>
      <c r="J33" s="218">
        <v>0</v>
      </c>
      <c r="K33" s="223">
        <f t="shared" si="8"/>
        <v>1.5724999999999999E-2</v>
      </c>
    </row>
    <row r="34" spans="2:11">
      <c r="B34" s="219" t="s">
        <v>363</v>
      </c>
      <c r="C34" s="219" t="s">
        <v>476</v>
      </c>
      <c r="D34" s="220">
        <v>1.3357546999999999</v>
      </c>
      <c r="E34" s="220">
        <v>0.16999999999999993</v>
      </c>
      <c r="F34" s="220">
        <v>0</v>
      </c>
      <c r="G34" s="220">
        <v>0</v>
      </c>
      <c r="H34" s="220">
        <v>0</v>
      </c>
      <c r="I34" s="220">
        <v>0</v>
      </c>
      <c r="J34" s="220">
        <v>0</v>
      </c>
      <c r="K34" s="223">
        <f t="shared" si="8"/>
        <v>1.1657546999999999</v>
      </c>
    </row>
    <row r="35" spans="2:11">
      <c r="B35" s="217" t="s">
        <v>363</v>
      </c>
      <c r="C35" s="217" t="s">
        <v>558</v>
      </c>
      <c r="D35" s="218">
        <v>1.3599999999999999E-2</v>
      </c>
      <c r="E35" s="218">
        <v>0</v>
      </c>
      <c r="F35" s="218">
        <v>0</v>
      </c>
      <c r="G35" s="218">
        <v>0</v>
      </c>
      <c r="H35" s="218">
        <v>0</v>
      </c>
      <c r="I35" s="218">
        <v>0</v>
      </c>
      <c r="J35" s="218">
        <v>0</v>
      </c>
      <c r="K35" s="223">
        <f t="shared" si="8"/>
        <v>1.3599999999999999E-2</v>
      </c>
    </row>
    <row r="36" spans="2:11">
      <c r="B36" s="219" t="s">
        <v>363</v>
      </c>
      <c r="C36" s="219" t="s">
        <v>372</v>
      </c>
      <c r="D36" s="220">
        <v>0.1492513</v>
      </c>
      <c r="E36" s="220">
        <v>0</v>
      </c>
      <c r="F36" s="220">
        <v>0</v>
      </c>
      <c r="G36" s="220">
        <v>0</v>
      </c>
      <c r="H36" s="220">
        <v>5.1000000000000004E-2</v>
      </c>
      <c r="I36" s="220">
        <v>1.7000000000000071E-3</v>
      </c>
      <c r="J36" s="220">
        <v>0</v>
      </c>
      <c r="K36" s="223">
        <f t="shared" si="8"/>
        <v>9.6551299999999993E-2</v>
      </c>
    </row>
    <row r="37" spans="2:11">
      <c r="B37" s="217" t="s">
        <v>363</v>
      </c>
      <c r="C37" s="217" t="s">
        <v>559</v>
      </c>
      <c r="D37" s="218">
        <v>2.0287400000000001E-2</v>
      </c>
      <c r="E37" s="218">
        <v>0</v>
      </c>
      <c r="F37" s="218">
        <v>0</v>
      </c>
      <c r="G37" s="218">
        <v>0</v>
      </c>
      <c r="H37" s="218">
        <v>0</v>
      </c>
      <c r="I37" s="218">
        <v>0</v>
      </c>
      <c r="J37" s="218">
        <v>0</v>
      </c>
      <c r="K37" s="223">
        <f t="shared" si="8"/>
        <v>2.0287400000000001E-2</v>
      </c>
    </row>
    <row r="38" spans="2:11">
      <c r="B38" s="217" t="s">
        <v>363</v>
      </c>
      <c r="C38" s="217" t="s">
        <v>477</v>
      </c>
      <c r="D38" s="218">
        <v>0.2014003</v>
      </c>
      <c r="E38" s="218">
        <v>0</v>
      </c>
      <c r="F38" s="218">
        <v>0</v>
      </c>
      <c r="G38" s="218">
        <v>0</v>
      </c>
      <c r="H38" s="218">
        <v>0</v>
      </c>
      <c r="I38" s="218">
        <v>4.4319999999999915E-3</v>
      </c>
      <c r="J38" s="218">
        <v>0</v>
      </c>
      <c r="K38" s="223">
        <f t="shared" si="8"/>
        <v>0.19696830000000001</v>
      </c>
    </row>
    <row r="39" spans="2:11">
      <c r="B39" s="217" t="s">
        <v>363</v>
      </c>
      <c r="C39" s="217" t="s">
        <v>560</v>
      </c>
      <c r="D39" s="218">
        <v>4.3999999999999997E-2</v>
      </c>
      <c r="E39" s="218">
        <v>0</v>
      </c>
      <c r="F39" s="218">
        <v>0</v>
      </c>
      <c r="G39" s="218">
        <v>0</v>
      </c>
      <c r="H39" s="218">
        <v>0</v>
      </c>
      <c r="I39" s="218">
        <v>0</v>
      </c>
      <c r="J39" s="218">
        <v>0</v>
      </c>
      <c r="K39" s="223">
        <f t="shared" si="8"/>
        <v>4.3999999999999997E-2</v>
      </c>
    </row>
    <row r="40" spans="2:11">
      <c r="B40" s="219" t="s">
        <v>363</v>
      </c>
      <c r="C40" s="219" t="s">
        <v>561</v>
      </c>
      <c r="D40" s="220">
        <v>4.2788000000000001E-3</v>
      </c>
      <c r="E40" s="220">
        <v>0</v>
      </c>
      <c r="F40" s="220">
        <v>0</v>
      </c>
      <c r="G40" s="220">
        <v>0</v>
      </c>
      <c r="H40" s="220">
        <v>0</v>
      </c>
      <c r="I40" s="220">
        <v>0</v>
      </c>
      <c r="J40" s="220">
        <v>0</v>
      </c>
      <c r="K40" s="223">
        <f t="shared" si="8"/>
        <v>4.2788000000000001E-3</v>
      </c>
    </row>
    <row r="41" spans="2:11">
      <c r="B41" s="217" t="s">
        <v>363</v>
      </c>
      <c r="C41" s="217" t="s">
        <v>562</v>
      </c>
      <c r="D41" s="218">
        <v>3.6949999999999999E-3</v>
      </c>
      <c r="E41" s="218">
        <v>0</v>
      </c>
      <c r="F41" s="218">
        <v>0</v>
      </c>
      <c r="G41" s="218">
        <v>0</v>
      </c>
      <c r="H41" s="218">
        <v>0</v>
      </c>
      <c r="I41" s="218">
        <v>0</v>
      </c>
      <c r="J41" s="218">
        <v>0</v>
      </c>
      <c r="K41" s="223">
        <f t="shared" si="8"/>
        <v>3.6949999999999999E-3</v>
      </c>
    </row>
    <row r="42" spans="2:11">
      <c r="B42" s="217" t="s">
        <v>363</v>
      </c>
      <c r="C42" s="217" t="s">
        <v>563</v>
      </c>
      <c r="D42" s="218">
        <v>4.1017699999999997E-2</v>
      </c>
      <c r="E42" s="218">
        <v>0</v>
      </c>
      <c r="F42" s="218">
        <v>0</v>
      </c>
      <c r="G42" s="218">
        <v>0</v>
      </c>
      <c r="H42" s="218">
        <v>0</v>
      </c>
      <c r="I42" s="218">
        <v>0</v>
      </c>
      <c r="J42" s="218">
        <v>0</v>
      </c>
      <c r="K42" s="223">
        <f t="shared" si="8"/>
        <v>4.1017699999999997E-2</v>
      </c>
    </row>
    <row r="43" spans="2:11">
      <c r="B43" s="217" t="s">
        <v>363</v>
      </c>
      <c r="C43" s="217" t="s">
        <v>564</v>
      </c>
      <c r="D43" s="218">
        <v>0.173569</v>
      </c>
      <c r="E43" s="218">
        <v>0</v>
      </c>
      <c r="F43" s="218">
        <v>0</v>
      </c>
      <c r="G43" s="218">
        <v>0</v>
      </c>
      <c r="H43" s="218">
        <v>0</v>
      </c>
      <c r="I43" s="218">
        <v>0</v>
      </c>
      <c r="J43" s="218">
        <v>0</v>
      </c>
      <c r="K43" s="223">
        <f t="shared" si="8"/>
        <v>0.173569</v>
      </c>
    </row>
    <row r="44" spans="2:11">
      <c r="B44" s="217" t="s">
        <v>363</v>
      </c>
      <c r="C44" s="217" t="s">
        <v>565</v>
      </c>
      <c r="D44" s="218">
        <v>9.1350000000000003E-4</v>
      </c>
      <c r="E44" s="218">
        <v>0</v>
      </c>
      <c r="F44" s="218">
        <v>0</v>
      </c>
      <c r="G44" s="218">
        <v>0</v>
      </c>
      <c r="H44" s="218">
        <v>0</v>
      </c>
      <c r="I44" s="218">
        <v>0</v>
      </c>
      <c r="J44" s="218">
        <v>0</v>
      </c>
      <c r="K44" s="223">
        <f t="shared" si="8"/>
        <v>9.1350000000000003E-4</v>
      </c>
    </row>
    <row r="45" spans="2:11">
      <c r="B45" s="217" t="s">
        <v>363</v>
      </c>
      <c r="C45" s="217" t="s">
        <v>566</v>
      </c>
      <c r="D45" s="218">
        <v>6.3943299999999995E-2</v>
      </c>
      <c r="E45" s="218">
        <v>0</v>
      </c>
      <c r="F45" s="218">
        <v>0</v>
      </c>
      <c r="G45" s="218">
        <v>0</v>
      </c>
      <c r="H45" s="218">
        <v>0</v>
      </c>
      <c r="I45" s="218">
        <v>0</v>
      </c>
      <c r="J45" s="218">
        <v>0</v>
      </c>
      <c r="K45" s="223">
        <f t="shared" si="8"/>
        <v>6.3943299999999995E-2</v>
      </c>
    </row>
    <row r="46" spans="2:11">
      <c r="B46" s="219" t="s">
        <v>363</v>
      </c>
      <c r="C46" s="219" t="s">
        <v>567</v>
      </c>
      <c r="D46" s="220">
        <v>5.1709999999999999E-2</v>
      </c>
      <c r="E46" s="220">
        <v>0</v>
      </c>
      <c r="F46" s="220">
        <v>0</v>
      </c>
      <c r="G46" s="220">
        <v>0</v>
      </c>
      <c r="H46" s="220">
        <v>0</v>
      </c>
      <c r="I46" s="220">
        <v>0</v>
      </c>
      <c r="J46" s="220">
        <v>0</v>
      </c>
      <c r="K46" s="223">
        <f t="shared" si="8"/>
        <v>5.1709999999999999E-2</v>
      </c>
    </row>
    <row r="47" spans="2:11">
      <c r="B47" s="217" t="s">
        <v>363</v>
      </c>
      <c r="C47" s="217" t="s">
        <v>382</v>
      </c>
      <c r="D47" s="218">
        <v>8.0831799999999995E-2</v>
      </c>
      <c r="E47" s="218">
        <v>0</v>
      </c>
      <c r="F47" s="218">
        <v>6.2124599999999995E-2</v>
      </c>
      <c r="G47" s="218">
        <v>0</v>
      </c>
      <c r="H47" s="218">
        <v>0</v>
      </c>
      <c r="I47" s="218">
        <v>9.9999999999999395E-5</v>
      </c>
      <c r="J47" s="218">
        <v>0</v>
      </c>
      <c r="K47" s="223">
        <f t="shared" si="8"/>
        <v>1.8607200000000001E-2</v>
      </c>
    </row>
    <row r="48" spans="2:11">
      <c r="B48" s="217" t="s">
        <v>363</v>
      </c>
      <c r="C48" s="217" t="s">
        <v>479</v>
      </c>
      <c r="D48" s="218">
        <v>0.13985819999999999</v>
      </c>
      <c r="E48" s="218">
        <v>3.103699999999987E-3</v>
      </c>
      <c r="F48" s="218">
        <v>1.9606300000000007E-2</v>
      </c>
      <c r="G48" s="218">
        <v>0</v>
      </c>
      <c r="H48" s="218">
        <v>0</v>
      </c>
      <c r="I48" s="218">
        <v>8.9999999999999941E-3</v>
      </c>
      <c r="J48" s="218">
        <v>0</v>
      </c>
      <c r="K48" s="223">
        <f t="shared" si="8"/>
        <v>0.1081482</v>
      </c>
    </row>
    <row r="49" spans="2:11">
      <c r="B49" s="219" t="s">
        <v>193</v>
      </c>
      <c r="C49" s="219" t="s">
        <v>527</v>
      </c>
      <c r="D49" s="220">
        <v>4.5747000000000003E-2</v>
      </c>
      <c r="E49" s="220">
        <v>0</v>
      </c>
      <c r="F49" s="220">
        <v>0</v>
      </c>
      <c r="G49" s="220">
        <v>0</v>
      </c>
      <c r="H49" s="220">
        <v>0.02</v>
      </c>
      <c r="I49" s="220"/>
      <c r="J49" s="220">
        <v>2.5747000000000003E-2</v>
      </c>
      <c r="K49" s="223">
        <f t="shared" si="8"/>
        <v>2.5747000000000003E-2</v>
      </c>
    </row>
    <row r="50" spans="2:11">
      <c r="B50" s="217" t="s">
        <v>193</v>
      </c>
      <c r="C50" s="217" t="s">
        <v>528</v>
      </c>
      <c r="D50" s="218">
        <v>1.4118063680000001</v>
      </c>
      <c r="E50" s="218">
        <v>0</v>
      </c>
      <c r="F50" s="218">
        <v>0.11</v>
      </c>
      <c r="G50" s="218"/>
      <c r="H50" s="218">
        <v>0</v>
      </c>
      <c r="I50" s="218"/>
      <c r="J50" s="218">
        <v>1.301806368</v>
      </c>
      <c r="K50" s="223">
        <f t="shared" si="8"/>
        <v>1.301806368</v>
      </c>
    </row>
    <row r="51" spans="2:11">
      <c r="B51" s="217" t="s">
        <v>193</v>
      </c>
      <c r="C51" s="217" t="s">
        <v>209</v>
      </c>
      <c r="D51" s="218">
        <v>0.73138910000000001</v>
      </c>
      <c r="E51" s="218">
        <v>3.3486800000000039E-2</v>
      </c>
      <c r="F51" s="218">
        <v>0</v>
      </c>
      <c r="G51" s="218">
        <v>0</v>
      </c>
      <c r="H51" s="218">
        <v>0</v>
      </c>
      <c r="I51" s="218"/>
      <c r="J51" s="218">
        <v>0</v>
      </c>
      <c r="K51" s="223">
        <f t="shared" si="8"/>
        <v>0.69790229999999998</v>
      </c>
    </row>
    <row r="52" spans="2:11">
      <c r="B52" s="217" t="s">
        <v>193</v>
      </c>
      <c r="C52" s="217" t="s">
        <v>568</v>
      </c>
      <c r="D52" s="218">
        <v>1.76732E-2</v>
      </c>
      <c r="E52" s="218">
        <v>0</v>
      </c>
      <c r="F52" s="218">
        <v>0</v>
      </c>
      <c r="G52" s="218">
        <v>0</v>
      </c>
      <c r="H52" s="218">
        <v>0</v>
      </c>
      <c r="I52" s="218"/>
      <c r="J52" s="218">
        <v>0</v>
      </c>
      <c r="K52" s="223">
        <f t="shared" si="8"/>
        <v>1.76732E-2</v>
      </c>
    </row>
    <row r="53" spans="2:11">
      <c r="B53" s="217" t="s">
        <v>193</v>
      </c>
      <c r="C53" s="217" t="s">
        <v>204</v>
      </c>
      <c r="D53" s="218">
        <v>0.105119568</v>
      </c>
      <c r="E53" s="218">
        <v>0</v>
      </c>
      <c r="F53" s="218">
        <v>0.02</v>
      </c>
      <c r="G53" s="218">
        <v>0</v>
      </c>
      <c r="H53" s="218">
        <v>0</v>
      </c>
      <c r="I53" s="218"/>
      <c r="J53" s="218">
        <v>3.7893679999999874E-3</v>
      </c>
      <c r="K53" s="223">
        <f t="shared" si="8"/>
        <v>8.5119567999999993E-2</v>
      </c>
    </row>
    <row r="54" spans="2:11">
      <c r="B54" s="217" t="s">
        <v>193</v>
      </c>
      <c r="C54" s="217" t="s">
        <v>211</v>
      </c>
      <c r="D54" s="218">
        <v>0.33002186</v>
      </c>
      <c r="E54" s="218"/>
      <c r="F54" s="218"/>
      <c r="G54" s="218"/>
      <c r="H54" s="218"/>
      <c r="I54" s="218"/>
      <c r="J54" s="218">
        <v>0.32002185999999999</v>
      </c>
      <c r="K54" s="223">
        <f t="shared" si="8"/>
        <v>0.33002186</v>
      </c>
    </row>
    <row r="55" spans="2:11">
      <c r="B55" s="219" t="s">
        <v>193</v>
      </c>
      <c r="C55" s="219" t="s">
        <v>207</v>
      </c>
      <c r="D55" s="220">
        <v>0.27482229999999996</v>
      </c>
      <c r="E55" s="220">
        <v>0</v>
      </c>
      <c r="F55" s="220">
        <v>0</v>
      </c>
      <c r="G55" s="220">
        <v>0</v>
      </c>
      <c r="H55" s="220">
        <v>0</v>
      </c>
      <c r="I55" s="220"/>
      <c r="J55" s="220">
        <v>0.12446959999999996</v>
      </c>
      <c r="K55" s="223">
        <f t="shared" si="8"/>
        <v>0.27482229999999996</v>
      </c>
    </row>
    <row r="56" spans="2:11">
      <c r="B56" s="217" t="s">
        <v>193</v>
      </c>
      <c r="C56" s="217" t="s">
        <v>569</v>
      </c>
      <c r="D56" s="218">
        <v>1.6192600000000001E-2</v>
      </c>
      <c r="E56" s="218">
        <v>1.6192600000000001E-2</v>
      </c>
      <c r="F56" s="218">
        <v>0</v>
      </c>
      <c r="G56" s="218">
        <v>0</v>
      </c>
      <c r="H56" s="218">
        <v>0</v>
      </c>
      <c r="I56" s="218"/>
      <c r="J56" s="218">
        <v>0</v>
      </c>
      <c r="K56" s="223">
        <f t="shared" si="8"/>
        <v>0</v>
      </c>
    </row>
    <row r="57" spans="2:11">
      <c r="B57" s="217" t="s">
        <v>193</v>
      </c>
      <c r="C57" s="217" t="s">
        <v>570</v>
      </c>
      <c r="D57" s="218">
        <v>5.4000000000000003E-3</v>
      </c>
      <c r="E57" s="218">
        <v>5.4000000000000003E-3</v>
      </c>
      <c r="F57" s="218">
        <v>0</v>
      </c>
      <c r="G57" s="218">
        <v>0</v>
      </c>
      <c r="H57" s="218">
        <v>0</v>
      </c>
      <c r="I57" s="218"/>
      <c r="J57" s="218">
        <v>0</v>
      </c>
      <c r="K57" s="223">
        <f t="shared" si="8"/>
        <v>0</v>
      </c>
    </row>
    <row r="58" spans="2:11">
      <c r="B58" s="217" t="s">
        <v>193</v>
      </c>
      <c r="C58" s="217" t="s">
        <v>545</v>
      </c>
      <c r="D58" s="218">
        <v>0</v>
      </c>
      <c r="E58" s="218">
        <v>0</v>
      </c>
      <c r="F58" s="218">
        <v>0</v>
      </c>
      <c r="G58" s="218">
        <v>0</v>
      </c>
      <c r="H58" s="218">
        <v>0</v>
      </c>
      <c r="I58" s="218">
        <v>0</v>
      </c>
      <c r="J58" s="218">
        <v>0</v>
      </c>
      <c r="K58" s="223">
        <f t="shared" si="8"/>
        <v>0</v>
      </c>
    </row>
    <row r="59" spans="2:11">
      <c r="B59" s="217" t="s">
        <v>493</v>
      </c>
      <c r="C59" s="217" t="s">
        <v>525</v>
      </c>
      <c r="D59" s="218">
        <v>1.235E-2</v>
      </c>
      <c r="E59" s="218">
        <v>0</v>
      </c>
      <c r="F59" s="218">
        <v>1.1050000000000001E-2</v>
      </c>
      <c r="G59" s="218">
        <v>0</v>
      </c>
      <c r="H59" s="218">
        <v>0</v>
      </c>
      <c r="I59" s="218">
        <v>0</v>
      </c>
      <c r="J59" s="218">
        <v>1.2999999999999991E-3</v>
      </c>
      <c r="K59" s="223">
        <f t="shared" si="8"/>
        <v>1.2999999999999991E-3</v>
      </c>
    </row>
    <row r="60" spans="2:11">
      <c r="B60" s="217" t="s">
        <v>493</v>
      </c>
      <c r="C60" s="217" t="s">
        <v>280</v>
      </c>
      <c r="D60" s="218">
        <v>1.22749E-2</v>
      </c>
      <c r="E60" s="218">
        <v>1.22749E-2</v>
      </c>
      <c r="F60" s="218">
        <v>0</v>
      </c>
      <c r="G60" s="218">
        <v>0</v>
      </c>
      <c r="H60" s="218">
        <v>0</v>
      </c>
      <c r="I60" s="218">
        <v>0</v>
      </c>
      <c r="J60" s="218">
        <v>0</v>
      </c>
      <c r="K60" s="223">
        <f t="shared" si="8"/>
        <v>0</v>
      </c>
    </row>
    <row r="61" spans="2:11">
      <c r="B61" s="217" t="s">
        <v>493</v>
      </c>
      <c r="C61" s="217" t="s">
        <v>274</v>
      </c>
      <c r="D61" s="218">
        <v>2.1222499999999998E-2</v>
      </c>
      <c r="E61" s="218">
        <v>0</v>
      </c>
      <c r="F61" s="218">
        <v>2.1222499999999998E-2</v>
      </c>
      <c r="G61" s="218">
        <v>0</v>
      </c>
      <c r="H61" s="218">
        <v>0</v>
      </c>
      <c r="I61" s="218">
        <v>0</v>
      </c>
      <c r="J61" s="218">
        <v>0</v>
      </c>
      <c r="K61" s="223">
        <f t="shared" si="8"/>
        <v>0</v>
      </c>
    </row>
    <row r="62" spans="2:11">
      <c r="B62" s="219" t="s">
        <v>493</v>
      </c>
      <c r="C62" s="219" t="s">
        <v>281</v>
      </c>
      <c r="D62" s="220">
        <v>1.8749999999999999E-2</v>
      </c>
      <c r="E62" s="220">
        <v>0</v>
      </c>
      <c r="F62" s="220">
        <v>0</v>
      </c>
      <c r="G62" s="220">
        <v>0</v>
      </c>
      <c r="H62" s="220">
        <v>0</v>
      </c>
      <c r="I62" s="220">
        <v>0</v>
      </c>
      <c r="J62" s="220">
        <v>1.346E-2</v>
      </c>
      <c r="K62" s="223">
        <f t="shared" si="8"/>
        <v>1.8749999999999999E-2</v>
      </c>
    </row>
    <row r="63" spans="2:11">
      <c r="B63" s="217" t="s">
        <v>493</v>
      </c>
      <c r="C63" s="217" t="s">
        <v>540</v>
      </c>
      <c r="D63" s="218">
        <v>0.13</v>
      </c>
      <c r="E63" s="218">
        <v>0</v>
      </c>
      <c r="F63" s="218">
        <v>0</v>
      </c>
      <c r="G63" s="218">
        <v>0</v>
      </c>
      <c r="H63" s="218">
        <v>0</v>
      </c>
      <c r="I63" s="218">
        <v>0.13</v>
      </c>
      <c r="J63" s="218">
        <v>0</v>
      </c>
      <c r="K63" s="223">
        <f t="shared" si="8"/>
        <v>0</v>
      </c>
    </row>
    <row r="64" spans="2:11">
      <c r="B64" s="219" t="s">
        <v>493</v>
      </c>
      <c r="C64" s="219" t="s">
        <v>275</v>
      </c>
      <c r="D64" s="220">
        <v>3.3433000000000004E-2</v>
      </c>
      <c r="E64" s="220">
        <v>0</v>
      </c>
      <c r="F64" s="220">
        <v>0</v>
      </c>
      <c r="G64" s="220">
        <v>0</v>
      </c>
      <c r="H64" s="220">
        <v>0</v>
      </c>
      <c r="I64" s="220">
        <v>0</v>
      </c>
      <c r="J64" s="220">
        <v>2.6770000000000006E-2</v>
      </c>
      <c r="K64" s="223">
        <f t="shared" si="8"/>
        <v>3.3433000000000004E-2</v>
      </c>
    </row>
    <row r="65" spans="2:11">
      <c r="B65" s="217" t="s">
        <v>493</v>
      </c>
      <c r="C65" s="217" t="s">
        <v>571</v>
      </c>
      <c r="D65" s="218">
        <v>3.5E-4</v>
      </c>
      <c r="E65" s="218">
        <v>0</v>
      </c>
      <c r="F65" s="218">
        <v>3.5E-4</v>
      </c>
      <c r="G65" s="218">
        <v>0</v>
      </c>
      <c r="H65" s="218">
        <v>0</v>
      </c>
      <c r="I65" s="218">
        <v>0</v>
      </c>
      <c r="J65" s="218">
        <v>0</v>
      </c>
      <c r="K65" s="223">
        <f t="shared" si="8"/>
        <v>0</v>
      </c>
    </row>
    <row r="66" spans="2:11">
      <c r="B66" s="217" t="s">
        <v>493</v>
      </c>
      <c r="C66" s="217" t="s">
        <v>572</v>
      </c>
      <c r="D66" s="218">
        <v>1.7845000000000003E-2</v>
      </c>
      <c r="E66" s="218">
        <v>0</v>
      </c>
      <c r="F66" s="218">
        <v>7.9450000000000007E-3</v>
      </c>
      <c r="G66" s="218">
        <v>0</v>
      </c>
      <c r="H66" s="218">
        <v>0</v>
      </c>
      <c r="I66" s="218">
        <v>0</v>
      </c>
      <c r="J66" s="218">
        <v>0</v>
      </c>
      <c r="K66" s="223">
        <f t="shared" si="8"/>
        <v>9.9000000000000025E-3</v>
      </c>
    </row>
    <row r="67" spans="2:11">
      <c r="B67" s="219" t="s">
        <v>493</v>
      </c>
      <c r="C67" s="219" t="s">
        <v>279</v>
      </c>
      <c r="D67" s="220">
        <v>8.095999999999999E-3</v>
      </c>
      <c r="E67" s="220">
        <v>0</v>
      </c>
      <c r="F67" s="220">
        <v>0</v>
      </c>
      <c r="G67" s="220">
        <v>0</v>
      </c>
      <c r="H67" s="220">
        <v>0</v>
      </c>
      <c r="I67" s="220">
        <v>0</v>
      </c>
      <c r="J67" s="220">
        <v>2.8669999999999989E-3</v>
      </c>
      <c r="K67" s="223">
        <f t="shared" si="8"/>
        <v>8.095999999999999E-3</v>
      </c>
    </row>
    <row r="68" spans="2:11">
      <c r="B68" s="217" t="s">
        <v>493</v>
      </c>
      <c r="C68" s="217" t="s">
        <v>295</v>
      </c>
      <c r="D68" s="218">
        <v>1.0610000000000001E-2</v>
      </c>
      <c r="E68" s="218">
        <v>0</v>
      </c>
      <c r="F68" s="218">
        <v>0</v>
      </c>
      <c r="G68" s="218">
        <v>0</v>
      </c>
      <c r="H68" s="218">
        <v>9.4249999999999998E-4</v>
      </c>
      <c r="I68" s="218">
        <v>0</v>
      </c>
      <c r="J68" s="218">
        <v>4.2000000000000023E-4</v>
      </c>
      <c r="K68" s="223">
        <f t="shared" si="8"/>
        <v>9.6675000000000007E-3</v>
      </c>
    </row>
    <row r="69" spans="2:11">
      <c r="B69" s="217" t="s">
        <v>239</v>
      </c>
      <c r="C69" s="217" t="s">
        <v>240</v>
      </c>
      <c r="D69" s="218">
        <v>5.7236300000000004E-2</v>
      </c>
      <c r="E69" s="218"/>
      <c r="F69" s="218">
        <v>5.7236300000000004E-2</v>
      </c>
      <c r="G69" s="218">
        <v>0</v>
      </c>
      <c r="H69" s="218"/>
      <c r="I69" s="218">
        <v>0</v>
      </c>
      <c r="J69" s="218">
        <v>0</v>
      </c>
      <c r="K69" s="223">
        <f t="shared" si="8"/>
        <v>0</v>
      </c>
    </row>
    <row r="70" spans="2:11">
      <c r="B70" s="217" t="s">
        <v>239</v>
      </c>
      <c r="C70" s="217" t="s">
        <v>529</v>
      </c>
      <c r="D70" s="218">
        <v>0</v>
      </c>
      <c r="E70" s="218"/>
      <c r="F70" s="218">
        <v>0</v>
      </c>
      <c r="G70" s="218">
        <v>0</v>
      </c>
      <c r="H70" s="218"/>
      <c r="I70" s="218"/>
      <c r="J70" s="218">
        <v>0</v>
      </c>
      <c r="K70" s="223">
        <f t="shared" si="8"/>
        <v>0</v>
      </c>
    </row>
    <row r="71" spans="2:11">
      <c r="B71" s="217" t="s">
        <v>239</v>
      </c>
      <c r="C71" s="217" t="s">
        <v>523</v>
      </c>
      <c r="D71" s="218">
        <v>4.5000000000000005E-3</v>
      </c>
      <c r="E71" s="218">
        <v>0</v>
      </c>
      <c r="F71" s="218">
        <v>0</v>
      </c>
      <c r="G71" s="218">
        <v>0</v>
      </c>
      <c r="H71" s="218">
        <v>0</v>
      </c>
      <c r="I71" s="218">
        <v>0</v>
      </c>
      <c r="J71" s="218">
        <v>4.000000000000001E-3</v>
      </c>
      <c r="K71" s="223">
        <f t="shared" si="8"/>
        <v>4.5000000000000005E-3</v>
      </c>
    </row>
    <row r="72" spans="2:11">
      <c r="B72" s="217" t="s">
        <v>239</v>
      </c>
      <c r="C72" s="217" t="s">
        <v>573</v>
      </c>
      <c r="D72" s="218">
        <v>3.8800000000000002E-3</v>
      </c>
      <c r="E72" s="218">
        <v>3.8800000000000002E-3</v>
      </c>
      <c r="F72" s="218">
        <v>0</v>
      </c>
      <c r="G72" s="218">
        <v>0</v>
      </c>
      <c r="H72" s="218">
        <v>0</v>
      </c>
      <c r="I72" s="218">
        <v>0</v>
      </c>
      <c r="J72" s="218">
        <v>0</v>
      </c>
      <c r="K72" s="223">
        <f t="shared" si="8"/>
        <v>0</v>
      </c>
    </row>
    <row r="73" spans="2:11">
      <c r="B73" s="217" t="s">
        <v>239</v>
      </c>
      <c r="C73" s="217" t="s">
        <v>546</v>
      </c>
      <c r="D73" s="218">
        <v>1.9E-2</v>
      </c>
      <c r="E73" s="218">
        <v>0</v>
      </c>
      <c r="F73" s="218">
        <v>0</v>
      </c>
      <c r="G73" s="218">
        <v>0</v>
      </c>
      <c r="H73" s="218">
        <v>0</v>
      </c>
      <c r="I73" s="218">
        <v>0</v>
      </c>
      <c r="J73" s="218">
        <v>7.45E-3</v>
      </c>
      <c r="K73" s="223">
        <f t="shared" si="8"/>
        <v>1.9E-2</v>
      </c>
    </row>
    <row r="74" spans="2:11">
      <c r="B74" s="217" t="s">
        <v>239</v>
      </c>
      <c r="C74" s="217" t="s">
        <v>574</v>
      </c>
      <c r="D74" s="218">
        <v>2.0139799999999999E-2</v>
      </c>
      <c r="E74" s="218">
        <v>0</v>
      </c>
      <c r="F74" s="218">
        <v>0</v>
      </c>
      <c r="G74" s="218">
        <v>0</v>
      </c>
      <c r="H74" s="218">
        <v>0</v>
      </c>
      <c r="I74" s="218">
        <v>0</v>
      </c>
      <c r="J74" s="218">
        <v>2.0139799999999999E-2</v>
      </c>
      <c r="K74" s="223">
        <f t="shared" si="8"/>
        <v>2.0139799999999999E-2</v>
      </c>
    </row>
    <row r="75" spans="2:11">
      <c r="B75" s="217" t="s">
        <v>239</v>
      </c>
      <c r="C75" s="217" t="s">
        <v>524</v>
      </c>
      <c r="D75" s="218">
        <v>1.7500000000000002E-2</v>
      </c>
      <c r="E75" s="218">
        <v>0</v>
      </c>
      <c r="F75" s="218">
        <v>6.7999999999999996E-3</v>
      </c>
      <c r="G75" s="218">
        <v>0</v>
      </c>
      <c r="H75" s="218">
        <v>0</v>
      </c>
      <c r="I75" s="218">
        <v>3.0000000000000001E-3</v>
      </c>
      <c r="J75" s="218">
        <v>7.700000000000002E-3</v>
      </c>
      <c r="K75" s="223">
        <f t="shared" si="8"/>
        <v>7.7000000000000011E-3</v>
      </c>
    </row>
    <row r="76" spans="2:11">
      <c r="B76" s="217" t="s">
        <v>239</v>
      </c>
      <c r="C76" s="217" t="s">
        <v>544</v>
      </c>
      <c r="D76" s="218">
        <v>6.3600000000000002E-3</v>
      </c>
      <c r="E76" s="218">
        <v>0</v>
      </c>
      <c r="F76" s="218">
        <v>0</v>
      </c>
      <c r="G76" s="218">
        <v>0</v>
      </c>
      <c r="H76" s="218">
        <v>0</v>
      </c>
      <c r="I76" s="218">
        <v>0</v>
      </c>
      <c r="J76" s="218">
        <v>2.5500000000000002E-3</v>
      </c>
      <c r="K76" s="223">
        <f t="shared" si="8"/>
        <v>6.3600000000000002E-3</v>
      </c>
    </row>
    <row r="77" spans="2:11">
      <c r="B77" s="217" t="s">
        <v>239</v>
      </c>
      <c r="C77" s="217" t="s">
        <v>526</v>
      </c>
      <c r="D77" s="218">
        <v>7.4130999999999997E-3</v>
      </c>
      <c r="E77" s="218">
        <v>0</v>
      </c>
      <c r="F77" s="218">
        <v>0</v>
      </c>
      <c r="G77" s="218">
        <v>0</v>
      </c>
      <c r="H77" s="218">
        <v>0</v>
      </c>
      <c r="I77" s="218">
        <v>0</v>
      </c>
      <c r="J77" s="218">
        <v>6.5799999999999999E-3</v>
      </c>
      <c r="K77" s="223">
        <f t="shared" si="8"/>
        <v>7.4130999999999997E-3</v>
      </c>
    </row>
    <row r="78" spans="2:11">
      <c r="B78" s="217" t="s">
        <v>239</v>
      </c>
      <c r="C78" s="217" t="s">
        <v>575</v>
      </c>
      <c r="D78" s="218">
        <v>7.8230999999999995E-3</v>
      </c>
      <c r="E78" s="218"/>
      <c r="F78" s="218">
        <v>3.489285E-3</v>
      </c>
      <c r="G78" s="218">
        <v>0</v>
      </c>
      <c r="H78" s="218">
        <v>0</v>
      </c>
      <c r="I78" s="218">
        <v>0</v>
      </c>
      <c r="J78" s="218">
        <v>4.3338149999999995E-3</v>
      </c>
      <c r="K78" s="223">
        <f t="shared" si="8"/>
        <v>4.3338149999999995E-3</v>
      </c>
    </row>
    <row r="79" spans="2:11">
      <c r="B79" s="217" t="s">
        <v>239</v>
      </c>
      <c r="C79" s="217" t="s">
        <v>533</v>
      </c>
      <c r="D79" s="218">
        <v>7.4999999999999997E-3</v>
      </c>
      <c r="E79" s="218">
        <v>0</v>
      </c>
      <c r="F79" s="218">
        <v>0</v>
      </c>
      <c r="G79" s="218"/>
      <c r="H79" s="218">
        <v>7.4999999999999997E-3</v>
      </c>
      <c r="I79" s="218">
        <v>0</v>
      </c>
      <c r="J79" s="218">
        <v>0</v>
      </c>
      <c r="K79" s="223">
        <f t="shared" si="8"/>
        <v>0</v>
      </c>
    </row>
    <row r="80" spans="2:11">
      <c r="B80" s="217" t="s">
        <v>239</v>
      </c>
      <c r="C80" s="217" t="s">
        <v>535</v>
      </c>
      <c r="D80" s="218">
        <v>2.2000000000000002E-2</v>
      </c>
      <c r="E80" s="218"/>
      <c r="F80" s="218">
        <v>7.0032999999999996E-3</v>
      </c>
      <c r="G80" s="218">
        <v>4.8929999999999998E-3</v>
      </c>
      <c r="H80" s="218"/>
      <c r="I80" s="218">
        <v>4.1999999999999997E-3</v>
      </c>
      <c r="J80" s="218">
        <v>0</v>
      </c>
      <c r="K80" s="223">
        <f t="shared" si="8"/>
        <v>5.9037000000000022E-3</v>
      </c>
    </row>
    <row r="81" spans="2:11">
      <c r="B81" s="219" t="s">
        <v>239</v>
      </c>
      <c r="C81" s="219" t="s">
        <v>531</v>
      </c>
      <c r="D81" s="220">
        <v>1.5503699999999999E-2</v>
      </c>
      <c r="E81" s="220">
        <v>0</v>
      </c>
      <c r="F81" s="220">
        <v>4.6036999999999996E-3</v>
      </c>
      <c r="G81" s="220">
        <v>4.9629999999999997E-4</v>
      </c>
      <c r="H81" s="220">
        <v>4.0486999999999997E-3</v>
      </c>
      <c r="I81" s="220"/>
      <c r="J81" s="220">
        <v>6.3550000000000004E-3</v>
      </c>
      <c r="K81" s="223">
        <f t="shared" si="8"/>
        <v>6.3550000000000004E-3</v>
      </c>
    </row>
    <row r="82" spans="2:11">
      <c r="B82" s="219" t="s">
        <v>239</v>
      </c>
      <c r="C82" s="219" t="s">
        <v>541</v>
      </c>
      <c r="D82" s="220">
        <v>1.09E-2</v>
      </c>
      <c r="E82" s="220">
        <v>0</v>
      </c>
      <c r="F82" s="220">
        <v>0</v>
      </c>
      <c r="G82" s="220">
        <v>0</v>
      </c>
      <c r="H82" s="220">
        <v>0</v>
      </c>
      <c r="I82" s="220">
        <v>0</v>
      </c>
      <c r="J82" s="220">
        <v>1.09E-2</v>
      </c>
      <c r="K82" s="223">
        <f t="shared" ref="K82:K90" si="10">D82-E82-F82-G82-H82-I82</f>
        <v>1.09E-2</v>
      </c>
    </row>
    <row r="83" spans="2:11">
      <c r="B83" s="217" t="s">
        <v>239</v>
      </c>
      <c r="C83" s="217" t="s">
        <v>543</v>
      </c>
      <c r="D83" s="218">
        <v>4.1355000000000003E-3</v>
      </c>
      <c r="E83" s="218">
        <v>0</v>
      </c>
      <c r="F83" s="218">
        <v>0</v>
      </c>
      <c r="G83" s="218">
        <v>0</v>
      </c>
      <c r="H83" s="218">
        <v>0</v>
      </c>
      <c r="I83" s="218">
        <v>0</v>
      </c>
      <c r="J83" s="218">
        <v>4.1355000000000003E-3</v>
      </c>
      <c r="K83" s="223">
        <f t="shared" si="10"/>
        <v>4.1355000000000003E-3</v>
      </c>
    </row>
    <row r="84" spans="2:11">
      <c r="B84" s="217" t="s">
        <v>239</v>
      </c>
      <c r="C84" s="217" t="s">
        <v>498</v>
      </c>
      <c r="D84" s="218">
        <v>5.0000000000000001E-4</v>
      </c>
      <c r="E84" s="218">
        <v>0</v>
      </c>
      <c r="F84" s="218">
        <v>0</v>
      </c>
      <c r="G84" s="218">
        <v>0</v>
      </c>
      <c r="H84" s="218">
        <v>0</v>
      </c>
      <c r="I84" s="218">
        <v>0</v>
      </c>
      <c r="J84" s="218">
        <v>5.0000000000000001E-4</v>
      </c>
      <c r="K84" s="223">
        <f t="shared" si="10"/>
        <v>5.0000000000000001E-4</v>
      </c>
    </row>
    <row r="85" spans="2:11">
      <c r="B85" s="217" t="s">
        <v>239</v>
      </c>
      <c r="C85" s="217" t="s">
        <v>532</v>
      </c>
      <c r="D85" s="218">
        <v>3.0489999999999996E-3</v>
      </c>
      <c r="E85" s="218">
        <v>0</v>
      </c>
      <c r="F85" s="218">
        <v>0</v>
      </c>
      <c r="G85" s="218">
        <v>0</v>
      </c>
      <c r="H85" s="218">
        <v>0</v>
      </c>
      <c r="I85" s="218">
        <v>0</v>
      </c>
      <c r="J85" s="218">
        <v>6.6499999999999979E-4</v>
      </c>
      <c r="K85" s="223">
        <f t="shared" si="10"/>
        <v>3.0489999999999996E-3</v>
      </c>
    </row>
    <row r="86" spans="2:11">
      <c r="B86" s="217" t="s">
        <v>239</v>
      </c>
      <c r="C86" s="217" t="s">
        <v>576</v>
      </c>
      <c r="D86" s="218">
        <v>5.9599999999999996E-4</v>
      </c>
      <c r="E86" s="218">
        <v>0</v>
      </c>
      <c r="F86" s="218">
        <v>0</v>
      </c>
      <c r="G86" s="218">
        <v>0</v>
      </c>
      <c r="H86" s="218">
        <v>0</v>
      </c>
      <c r="I86" s="218">
        <v>0</v>
      </c>
      <c r="J86" s="218">
        <v>5.9599999999999996E-4</v>
      </c>
      <c r="K86" s="223">
        <f t="shared" si="10"/>
        <v>5.9599999999999996E-4</v>
      </c>
    </row>
    <row r="87" spans="2:11">
      <c r="B87" s="217" t="s">
        <v>239</v>
      </c>
      <c r="C87" s="217" t="s">
        <v>577</v>
      </c>
      <c r="D87" s="218">
        <v>1.7492E-3</v>
      </c>
      <c r="E87" s="218">
        <v>0</v>
      </c>
      <c r="F87" s="218">
        <v>0</v>
      </c>
      <c r="G87" s="218">
        <v>0</v>
      </c>
      <c r="H87" s="218">
        <v>0</v>
      </c>
      <c r="I87" s="218">
        <v>0</v>
      </c>
      <c r="J87" s="218">
        <v>1.7492E-3</v>
      </c>
      <c r="K87" s="223">
        <f t="shared" si="10"/>
        <v>1.7492E-3</v>
      </c>
    </row>
    <row r="88" spans="2:11">
      <c r="B88" s="219" t="s">
        <v>530</v>
      </c>
      <c r="C88" s="219" t="s">
        <v>530</v>
      </c>
      <c r="D88" s="220">
        <v>13.135819810000001</v>
      </c>
      <c r="E88" s="220">
        <v>0</v>
      </c>
      <c r="F88" s="220">
        <v>0</v>
      </c>
      <c r="G88" s="220">
        <v>0</v>
      </c>
      <c r="H88" s="220">
        <v>0</v>
      </c>
      <c r="I88" s="220">
        <v>0</v>
      </c>
      <c r="J88" s="220">
        <v>1.4988198100000005</v>
      </c>
      <c r="K88" s="223">
        <f t="shared" si="10"/>
        <v>13.135819810000001</v>
      </c>
    </row>
    <row r="89" spans="2:11">
      <c r="B89" s="219" t="s">
        <v>342</v>
      </c>
      <c r="C89" s="219" t="s">
        <v>578</v>
      </c>
      <c r="D89" s="220">
        <v>0.1016682</v>
      </c>
      <c r="E89" s="220">
        <v>0</v>
      </c>
      <c r="F89" s="220">
        <v>0</v>
      </c>
      <c r="G89" s="220">
        <v>0</v>
      </c>
      <c r="H89" s="220">
        <v>0</v>
      </c>
      <c r="I89" s="220">
        <v>0</v>
      </c>
      <c r="J89" s="220">
        <v>0.1016682</v>
      </c>
      <c r="K89" s="223">
        <f t="shared" si="10"/>
        <v>0.1016682</v>
      </c>
    </row>
    <row r="90" spans="2:11">
      <c r="B90" s="217" t="s">
        <v>534</v>
      </c>
      <c r="C90" s="217" t="s">
        <v>534</v>
      </c>
      <c r="D90" s="218">
        <v>0.16600000000000001</v>
      </c>
      <c r="E90" s="218">
        <v>0</v>
      </c>
      <c r="F90" s="218">
        <v>0</v>
      </c>
      <c r="G90" s="218">
        <v>0</v>
      </c>
      <c r="H90" s="218">
        <v>0</v>
      </c>
      <c r="I90" s="218">
        <v>0</v>
      </c>
      <c r="J90" s="218">
        <v>1.0000000000000009E-3</v>
      </c>
      <c r="K90" s="223">
        <f t="shared" si="10"/>
        <v>0.16600000000000001</v>
      </c>
    </row>
  </sheetData>
  <mergeCells count="6">
    <mergeCell ref="E14:I14"/>
    <mergeCell ref="B2:M2"/>
    <mergeCell ref="B3:M3"/>
    <mergeCell ref="B5:M5"/>
    <mergeCell ref="B8:M8"/>
    <mergeCell ref="B9:M9"/>
  </mergeCells>
  <conditionalFormatting sqref="C16">
    <cfRule type="duplicateValues" dxfId="5" priority="2"/>
  </conditionalFormatting>
  <conditionalFormatting sqref="C17">
    <cfRule type="duplicateValues" dxfId="4" priority="1"/>
  </conditionalFormatting>
  <conditionalFormatting sqref="C18:C87">
    <cfRule type="duplicateValues" dxfId="3" priority="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2:X197"/>
  <sheetViews>
    <sheetView tabSelected="1" topLeftCell="B7" workbookViewId="0">
      <selection activeCell="B14" sqref="B14:M14"/>
    </sheetView>
  </sheetViews>
  <sheetFormatPr defaultRowHeight="14.4"/>
  <cols>
    <col min="2" max="2" width="12.5546875" customWidth="1"/>
    <col min="3" max="3" width="33.33203125" customWidth="1"/>
    <col min="4" max="10" width="12.6640625" customWidth="1"/>
    <col min="11" max="11" width="12.109375" customWidth="1"/>
    <col min="12" max="12" width="12" customWidth="1"/>
    <col min="13" max="13" width="66.88671875" customWidth="1"/>
  </cols>
  <sheetData>
    <row r="2" spans="2:24">
      <c r="B2" s="348" t="s">
        <v>649</v>
      </c>
      <c r="C2" s="349"/>
      <c r="D2" s="349"/>
      <c r="E2" s="349"/>
      <c r="F2" s="349"/>
      <c r="G2" s="349"/>
      <c r="H2" s="349"/>
      <c r="I2" s="349"/>
      <c r="J2" s="349"/>
      <c r="K2" s="349"/>
      <c r="L2" s="349"/>
      <c r="M2" s="350"/>
    </row>
    <row r="3" spans="2:24">
      <c r="B3" s="293" t="s">
        <v>156</v>
      </c>
      <c r="C3" s="294"/>
      <c r="D3" s="294"/>
      <c r="E3" s="352"/>
      <c r="F3" s="352"/>
      <c r="G3" s="352"/>
      <c r="H3" s="352"/>
      <c r="I3" s="352"/>
      <c r="J3" s="352"/>
      <c r="K3" s="294"/>
      <c r="L3" s="294"/>
      <c r="M3" s="295"/>
      <c r="W3" t="s">
        <v>580</v>
      </c>
      <c r="X3">
        <f>3.33+20.73</f>
        <v>24.060000000000002</v>
      </c>
    </row>
    <row r="4" spans="2:24" ht="40.950000000000003" customHeight="1">
      <c r="B4" s="24" t="s">
        <v>0</v>
      </c>
      <c r="C4" s="24" t="s">
        <v>70</v>
      </c>
      <c r="D4" s="33" t="s">
        <v>65</v>
      </c>
      <c r="E4" s="33" t="s">
        <v>458</v>
      </c>
      <c r="F4" s="33" t="s">
        <v>459</v>
      </c>
      <c r="G4" s="33" t="s">
        <v>460</v>
      </c>
      <c r="H4" s="33" t="s">
        <v>461</v>
      </c>
      <c r="I4" s="33" t="s">
        <v>462</v>
      </c>
      <c r="J4" s="33" t="s">
        <v>501</v>
      </c>
      <c r="K4" s="24" t="s">
        <v>464</v>
      </c>
      <c r="L4" s="24" t="s">
        <v>465</v>
      </c>
      <c r="M4" s="24" t="s">
        <v>22</v>
      </c>
      <c r="W4" t="s">
        <v>581</v>
      </c>
      <c r="X4">
        <f>10.69+0.01</f>
        <v>10.7</v>
      </c>
    </row>
    <row r="5" spans="2:24" ht="18.600000000000001" customHeight="1">
      <c r="B5" s="351" t="str">
        <f>[4]SUMMARY!B5</f>
        <v>Figures in INR Crores</v>
      </c>
      <c r="C5" s="352"/>
      <c r="D5" s="352"/>
      <c r="E5" s="352"/>
      <c r="F5" s="352"/>
      <c r="G5" s="352"/>
      <c r="H5" s="352"/>
      <c r="I5" s="352"/>
      <c r="J5" s="352"/>
      <c r="K5" s="352"/>
      <c r="L5" s="352"/>
      <c r="M5" s="353"/>
      <c r="W5" t="s">
        <v>582</v>
      </c>
      <c r="X5">
        <f>52.18+72.57</f>
        <v>124.75</v>
      </c>
    </row>
    <row r="6" spans="2:24" ht="42.6" customHeight="1">
      <c r="B6" s="194">
        <v>1</v>
      </c>
      <c r="C6" s="78" t="s">
        <v>580</v>
      </c>
      <c r="D6" s="56">
        <f t="shared" ref="D6:I6" si="0">C22</f>
        <v>24.054358534000006</v>
      </c>
      <c r="E6" s="56">
        <f t="shared" si="0"/>
        <v>0.33</v>
      </c>
      <c r="F6" s="56">
        <f t="shared" si="0"/>
        <v>0.38083716199999995</v>
      </c>
      <c r="G6" s="56">
        <f t="shared" si="0"/>
        <v>0.16616657900000001</v>
      </c>
      <c r="H6" s="56">
        <f t="shared" si="0"/>
        <v>9.2791200000000004E-2</v>
      </c>
      <c r="I6" s="56">
        <f t="shared" si="0"/>
        <v>0.161132</v>
      </c>
      <c r="J6" s="56">
        <f>J22</f>
        <v>22.922239391000005</v>
      </c>
      <c r="K6" s="56">
        <f>N27</f>
        <v>7.6636914568712955</v>
      </c>
      <c r="L6" s="56">
        <f>N28</f>
        <v>0.4018562785</v>
      </c>
      <c r="M6" s="208" t="s">
        <v>659</v>
      </c>
      <c r="O6" s="39">
        <v>0.3</v>
      </c>
    </row>
    <row r="7" spans="2:24" ht="33.6" customHeight="1">
      <c r="B7" s="194">
        <v>2</v>
      </c>
      <c r="C7" s="78" t="s">
        <v>581</v>
      </c>
      <c r="D7" s="56">
        <f>10.69+0.01</f>
        <v>10.7</v>
      </c>
      <c r="E7" s="56" t="s">
        <v>179</v>
      </c>
      <c r="F7" s="56" t="s">
        <v>179</v>
      </c>
      <c r="G7" s="56" t="s">
        <v>179</v>
      </c>
      <c r="H7" s="56" t="s">
        <v>179</v>
      </c>
      <c r="I7" s="56" t="s">
        <v>179</v>
      </c>
      <c r="J7" s="56" t="s">
        <v>179</v>
      </c>
      <c r="K7" s="56">
        <f>10.69+0.01*0%</f>
        <v>10.69</v>
      </c>
      <c r="L7" s="56">
        <f>10.69*90%</f>
        <v>9.6210000000000004</v>
      </c>
      <c r="M7" s="91" t="s">
        <v>648</v>
      </c>
    </row>
    <row r="8" spans="2:24" ht="45" customHeight="1">
      <c r="B8" s="194">
        <v>3</v>
      </c>
      <c r="C8" s="78" t="s">
        <v>582</v>
      </c>
      <c r="D8" s="56">
        <f>52.18+72.57</f>
        <v>124.75</v>
      </c>
      <c r="E8" s="56">
        <f>N103</f>
        <v>60.174922085999988</v>
      </c>
      <c r="F8" s="56">
        <f t="shared" ref="F8:J8" si="1">O103</f>
        <v>0</v>
      </c>
      <c r="G8" s="56">
        <f t="shared" si="1"/>
        <v>0</v>
      </c>
      <c r="H8" s="56">
        <f t="shared" si="1"/>
        <v>0</v>
      </c>
      <c r="I8" s="56">
        <f t="shared" si="1"/>
        <v>0</v>
      </c>
      <c r="J8" s="56">
        <f t="shared" si="1"/>
        <v>10.029999999999999</v>
      </c>
      <c r="K8" s="56">
        <f>N108</f>
        <v>54.440557338461531</v>
      </c>
      <c r="L8" s="56">
        <f>N109</f>
        <v>30.087461042999994</v>
      </c>
      <c r="M8" s="91" t="s">
        <v>660</v>
      </c>
      <c r="O8" s="39">
        <v>0.3</v>
      </c>
    </row>
    <row r="9" spans="2:24" ht="31.95" customHeight="1">
      <c r="B9" s="194">
        <v>4</v>
      </c>
      <c r="C9" s="78" t="s">
        <v>584</v>
      </c>
      <c r="D9" s="56">
        <v>323.77999999999997</v>
      </c>
      <c r="E9" s="56" t="s">
        <v>179</v>
      </c>
      <c r="F9" s="56" t="s">
        <v>179</v>
      </c>
      <c r="G9" s="56" t="s">
        <v>179</v>
      </c>
      <c r="H9" s="56" t="s">
        <v>179</v>
      </c>
      <c r="I9" s="56" t="s">
        <v>179</v>
      </c>
      <c r="J9" s="56" t="s">
        <v>179</v>
      </c>
      <c r="K9" s="56">
        <v>323.77999999999997</v>
      </c>
      <c r="L9" s="56">
        <f>K9*O9</f>
        <v>291.40199999999999</v>
      </c>
      <c r="M9" s="91" t="s">
        <v>666</v>
      </c>
      <c r="O9" s="39">
        <v>0.9</v>
      </c>
    </row>
    <row r="10" spans="2:24" ht="43.95" customHeight="1">
      <c r="B10" s="194">
        <v>5</v>
      </c>
      <c r="C10" s="78" t="s">
        <v>583</v>
      </c>
      <c r="D10" s="56">
        <f>D111</f>
        <v>177.10097924871647</v>
      </c>
      <c r="E10" s="56">
        <f t="shared" ref="E10:I10" si="2">E111</f>
        <v>45.144714654663979</v>
      </c>
      <c r="F10" s="56">
        <f t="shared" si="2"/>
        <v>17.387515564000008</v>
      </c>
      <c r="G10" s="56">
        <f t="shared" si="2"/>
        <v>33.667447898000006</v>
      </c>
      <c r="H10" s="56">
        <f t="shared" si="2"/>
        <v>7.1476742372246322</v>
      </c>
      <c r="I10" s="56">
        <f t="shared" si="2"/>
        <v>2.4621342576175644</v>
      </c>
      <c r="J10" s="56">
        <f>K111</f>
        <v>71.291492637210339</v>
      </c>
      <c r="K10" s="44">
        <f>N121</f>
        <v>98.632816502558811</v>
      </c>
      <c r="L10" s="44">
        <f>N122</f>
        <v>41.30334619553868</v>
      </c>
      <c r="M10" s="91" t="s">
        <v>661</v>
      </c>
      <c r="O10" s="39">
        <v>0.3</v>
      </c>
    </row>
    <row r="11" spans="2:24" ht="45" customHeight="1">
      <c r="B11" s="194">
        <v>6</v>
      </c>
      <c r="C11" s="78" t="s">
        <v>585</v>
      </c>
      <c r="D11" s="56">
        <v>-24.97</v>
      </c>
      <c r="E11" s="56" t="s">
        <v>179</v>
      </c>
      <c r="F11" s="56" t="s">
        <v>179</v>
      </c>
      <c r="G11" s="56" t="s">
        <v>179</v>
      </c>
      <c r="H11" s="56" t="s">
        <v>179</v>
      </c>
      <c r="I11" s="56" t="s">
        <v>179</v>
      </c>
      <c r="J11" s="56" t="s">
        <v>179</v>
      </c>
      <c r="K11" s="44">
        <f>D11</f>
        <v>-24.97</v>
      </c>
      <c r="L11" s="44">
        <f>K11</f>
        <v>-24.97</v>
      </c>
      <c r="M11" s="91" t="s">
        <v>149</v>
      </c>
      <c r="W11" t="s">
        <v>584</v>
      </c>
      <c r="X11">
        <v>323.77999999999997</v>
      </c>
    </row>
    <row r="12" spans="2:24" ht="18.600000000000001" customHeight="1">
      <c r="B12" s="34"/>
      <c r="C12" s="195" t="s">
        <v>23</v>
      </c>
      <c r="D12" s="45">
        <f>SUM(D6:D11)</f>
        <v>635.41533778271639</v>
      </c>
      <c r="E12" s="45">
        <f t="shared" ref="E12:J12" si="3">SUM(E6:E11)</f>
        <v>105.64963674066396</v>
      </c>
      <c r="F12" s="45">
        <f t="shared" si="3"/>
        <v>17.768352726000007</v>
      </c>
      <c r="G12" s="45">
        <f t="shared" si="3"/>
        <v>33.833614477000005</v>
      </c>
      <c r="H12" s="45">
        <f t="shared" si="3"/>
        <v>7.240465437224632</v>
      </c>
      <c r="I12" s="45">
        <f t="shared" si="3"/>
        <v>2.6232662576175643</v>
      </c>
      <c r="J12" s="45">
        <f t="shared" si="3"/>
        <v>104.24373202821035</v>
      </c>
      <c r="K12" s="45">
        <f>SUM(K6:K11)</f>
        <v>470.2370652978916</v>
      </c>
      <c r="L12" s="45">
        <f>SUM(L6:L11)</f>
        <v>347.84566351703859</v>
      </c>
      <c r="M12" s="34"/>
      <c r="W12" t="s">
        <v>583</v>
      </c>
      <c r="X12">
        <f>23.65+37.23+10.14+106.08</f>
        <v>177.1</v>
      </c>
    </row>
    <row r="13" spans="2:24">
      <c r="B13" s="354" t="s">
        <v>20</v>
      </c>
      <c r="C13" s="355"/>
      <c r="D13" s="355"/>
      <c r="E13" s="355"/>
      <c r="F13" s="355"/>
      <c r="G13" s="355"/>
      <c r="H13" s="355"/>
      <c r="I13" s="355"/>
      <c r="J13" s="355"/>
      <c r="K13" s="355"/>
      <c r="L13" s="355"/>
      <c r="M13" s="356"/>
      <c r="W13" t="s">
        <v>585</v>
      </c>
      <c r="X13" s="229">
        <v>-24.97</v>
      </c>
    </row>
    <row r="14" spans="2:24" ht="75.599999999999994" customHeight="1">
      <c r="B14" s="299" t="s">
        <v>673</v>
      </c>
      <c r="C14" s="299"/>
      <c r="D14" s="299"/>
      <c r="E14" s="299"/>
      <c r="F14" s="299"/>
      <c r="G14" s="299"/>
      <c r="H14" s="299"/>
      <c r="I14" s="299"/>
      <c r="J14" s="299"/>
      <c r="K14" s="299"/>
      <c r="L14" s="299"/>
      <c r="M14" s="299"/>
      <c r="W14" t="s">
        <v>586</v>
      </c>
      <c r="X14" s="229">
        <f>224.56+260.62</f>
        <v>485.18</v>
      </c>
    </row>
    <row r="15" spans="2:24">
      <c r="W15" t="s">
        <v>587</v>
      </c>
      <c r="X15" s="229">
        <f>4.69+877.39</f>
        <v>882.08</v>
      </c>
    </row>
    <row r="20" spans="1:19">
      <c r="M20" s="162" t="s">
        <v>436</v>
      </c>
      <c r="N20" s="119">
        <v>1</v>
      </c>
      <c r="O20" s="119">
        <f>N20+1</f>
        <v>2</v>
      </c>
      <c r="P20" s="119">
        <f t="shared" ref="P20:S20" si="4">O20+1</f>
        <v>3</v>
      </c>
      <c r="Q20" s="119">
        <f t="shared" si="4"/>
        <v>4</v>
      </c>
      <c r="R20" s="119">
        <f t="shared" si="4"/>
        <v>5</v>
      </c>
      <c r="S20" s="119">
        <f t="shared" si="4"/>
        <v>6</v>
      </c>
    </row>
    <row r="21" spans="1:19">
      <c r="A21" s="116"/>
      <c r="B21" s="116"/>
      <c r="C21" s="116"/>
      <c r="D21" s="358" t="s">
        <v>421</v>
      </c>
      <c r="E21" s="358"/>
      <c r="F21" s="358"/>
      <c r="G21" s="358"/>
      <c r="H21" s="358"/>
      <c r="I21" s="239"/>
      <c r="J21" s="239"/>
      <c r="M21" s="163" t="s">
        <v>437</v>
      </c>
      <c r="N21" s="164">
        <f>D6</f>
        <v>24.054358534000006</v>
      </c>
      <c r="O21" s="165"/>
      <c r="P21" s="165"/>
      <c r="Q21" s="165"/>
      <c r="R21" s="165"/>
      <c r="S21" s="116"/>
    </row>
    <row r="22" spans="1:19">
      <c r="A22" s="239"/>
      <c r="B22" s="239" t="s">
        <v>547</v>
      </c>
      <c r="C22" s="248">
        <f>SUBTOTAL(9,C24:C97)</f>
        <v>24.054358534000006</v>
      </c>
      <c r="D22" s="248">
        <v>0.33</v>
      </c>
      <c r="E22" s="248">
        <f>SUBTOTAL(9,E24:E97)</f>
        <v>0.38083716199999995</v>
      </c>
      <c r="F22" s="248">
        <f>SUBTOTAL(9,F24:F97)</f>
        <v>0.16616657900000001</v>
      </c>
      <c r="G22" s="248">
        <f>SUBTOTAL(9,G24:G97)</f>
        <v>9.2791200000000004E-2</v>
      </c>
      <c r="H22" s="248">
        <f>SUBTOTAL(9,H24:H97)</f>
        <v>0.161132</v>
      </c>
      <c r="I22" s="248">
        <f>SUBTOTAL(9,I24:I97)</f>
        <v>3.5592268210000011</v>
      </c>
      <c r="J22" s="249">
        <f>SUM(J24:J97)</f>
        <v>22.922239391000005</v>
      </c>
      <c r="M22" s="163" t="s">
        <v>438</v>
      </c>
      <c r="N22" s="164">
        <f>D22</f>
        <v>0.33</v>
      </c>
      <c r="O22" s="164">
        <f t="shared" ref="O22:R22" si="5">E22</f>
        <v>0.38083716199999995</v>
      </c>
      <c r="P22" s="164">
        <f t="shared" si="5"/>
        <v>0.16616657900000001</v>
      </c>
      <c r="Q22" s="164">
        <f t="shared" si="5"/>
        <v>9.2791200000000004E-2</v>
      </c>
      <c r="R22" s="164">
        <f t="shared" si="5"/>
        <v>0.161132</v>
      </c>
      <c r="S22" s="164">
        <f>J22</f>
        <v>22.922239391000005</v>
      </c>
    </row>
    <row r="23" spans="1:19" ht="43.2">
      <c r="A23" s="250" t="s">
        <v>186</v>
      </c>
      <c r="B23" s="250" t="s">
        <v>187</v>
      </c>
      <c r="C23" s="251" t="s">
        <v>548</v>
      </c>
      <c r="D23" s="252" t="s">
        <v>426</v>
      </c>
      <c r="E23" s="252" t="s">
        <v>427</v>
      </c>
      <c r="F23" s="252" t="s">
        <v>428</v>
      </c>
      <c r="G23" s="252" t="s">
        <v>429</v>
      </c>
      <c r="H23" s="252" t="s">
        <v>430</v>
      </c>
      <c r="I23" s="243" t="s">
        <v>422</v>
      </c>
      <c r="J23" s="243" t="s">
        <v>501</v>
      </c>
      <c r="M23" s="163" t="s">
        <v>439</v>
      </c>
      <c r="N23" s="165">
        <v>1</v>
      </c>
      <c r="O23" s="165">
        <f>N23+1</f>
        <v>2</v>
      </c>
      <c r="P23" s="165">
        <f t="shared" ref="P23:S23" si="6">O23+1</f>
        <v>3</v>
      </c>
      <c r="Q23" s="165">
        <f t="shared" si="6"/>
        <v>4</v>
      </c>
      <c r="R23" s="165">
        <f t="shared" si="6"/>
        <v>5</v>
      </c>
      <c r="S23" s="165">
        <f t="shared" si="6"/>
        <v>6</v>
      </c>
    </row>
    <row r="24" spans="1:19">
      <c r="A24" s="253" t="s">
        <v>400</v>
      </c>
      <c r="B24" s="253" t="s">
        <v>549</v>
      </c>
      <c r="C24" s="232">
        <v>4.6906000000000003E-2</v>
      </c>
      <c r="D24" s="232">
        <v>4.6906000000000003E-2</v>
      </c>
      <c r="E24" s="232">
        <v>0</v>
      </c>
      <c r="F24" s="232">
        <v>0</v>
      </c>
      <c r="G24" s="232">
        <v>0</v>
      </c>
      <c r="H24" s="232">
        <v>0</v>
      </c>
      <c r="I24" s="232">
        <v>0</v>
      </c>
      <c r="J24" s="254">
        <f>C24-D24-E24-F24-G24-H24</f>
        <v>0</v>
      </c>
      <c r="M24" s="163" t="s">
        <v>153</v>
      </c>
      <c r="N24" s="166">
        <f>1/(1+$N$25)^N23</f>
        <v>0.85470085470085477</v>
      </c>
      <c r="O24" s="166">
        <f t="shared" ref="O24:R24" si="7">1/(1+$N$25)^O23</f>
        <v>0.73051355102637161</v>
      </c>
      <c r="P24" s="166">
        <f t="shared" si="7"/>
        <v>0.62437055643279626</v>
      </c>
      <c r="Q24" s="166">
        <f t="shared" si="7"/>
        <v>0.53365004823315931</v>
      </c>
      <c r="R24" s="166">
        <f t="shared" si="7"/>
        <v>0.45611115233603361</v>
      </c>
      <c r="S24" s="275">
        <v>0.3</v>
      </c>
    </row>
    <row r="25" spans="1:19">
      <c r="A25" s="253" t="s">
        <v>400</v>
      </c>
      <c r="B25" s="253" t="s">
        <v>539</v>
      </c>
      <c r="C25" s="232">
        <v>0.19560606999999999</v>
      </c>
      <c r="D25" s="232">
        <v>0</v>
      </c>
      <c r="E25" s="232">
        <v>0</v>
      </c>
      <c r="F25" s="232">
        <v>8.1562499999999996E-2</v>
      </c>
      <c r="G25" s="232">
        <v>0</v>
      </c>
      <c r="H25" s="232">
        <v>0</v>
      </c>
      <c r="I25" s="232">
        <v>0</v>
      </c>
      <c r="J25" s="254">
        <f t="shared" ref="J25:J88" si="8">C25-D25-E25-F25-G25-H25</f>
        <v>0.11404357</v>
      </c>
      <c r="M25" s="163" t="s">
        <v>440</v>
      </c>
      <c r="N25" s="167">
        <v>0.17</v>
      </c>
      <c r="O25" s="165"/>
      <c r="P25" s="165"/>
      <c r="Q25" s="165"/>
      <c r="R25" s="165"/>
      <c r="S25" s="116"/>
    </row>
    <row r="26" spans="1:19">
      <c r="A26" s="253" t="s">
        <v>400</v>
      </c>
      <c r="B26" s="253" t="s">
        <v>550</v>
      </c>
      <c r="C26" s="232">
        <v>6.7000000000000002E-3</v>
      </c>
      <c r="D26" s="232">
        <v>1.6000000000000001E-3</v>
      </c>
      <c r="E26" s="232">
        <v>0</v>
      </c>
      <c r="F26" s="232">
        <v>5.1000000000000004E-3</v>
      </c>
      <c r="G26" s="232">
        <v>0</v>
      </c>
      <c r="H26" s="232">
        <v>0</v>
      </c>
      <c r="I26" s="232">
        <v>0</v>
      </c>
      <c r="J26" s="254">
        <f t="shared" si="8"/>
        <v>0</v>
      </c>
      <c r="M26" s="163" t="s">
        <v>441</v>
      </c>
      <c r="N26" s="164">
        <f>N22*N24</f>
        <v>0.2820512820512821</v>
      </c>
      <c r="O26" s="164">
        <f t="shared" ref="O26:R26" si="9">O22*O24</f>
        <v>0.27820670757542554</v>
      </c>
      <c r="P26" s="164">
        <f t="shared" si="9"/>
        <v>0.1037495193907642</v>
      </c>
      <c r="Q26" s="164">
        <f t="shared" si="9"/>
        <v>4.9518028355612732E-2</v>
      </c>
      <c r="R26" s="164">
        <f t="shared" si="9"/>
        <v>7.349410219820976E-2</v>
      </c>
      <c r="S26" s="164">
        <f>S22*S24</f>
        <v>6.876671817300001</v>
      </c>
    </row>
    <row r="27" spans="1:19">
      <c r="A27" s="253" t="s">
        <v>400</v>
      </c>
      <c r="B27" s="253" t="s">
        <v>538</v>
      </c>
      <c r="C27" s="232">
        <v>0.14722115800000002</v>
      </c>
      <c r="D27" s="232">
        <v>1.4380199999999999E-2</v>
      </c>
      <c r="E27" s="232">
        <v>3.0435679000000004E-2</v>
      </c>
      <c r="F27" s="232">
        <v>7.2005279000000005E-2</v>
      </c>
      <c r="G27" s="232">
        <v>9.2999999999999992E-3</v>
      </c>
      <c r="H27" s="232">
        <v>0</v>
      </c>
      <c r="I27" s="232">
        <v>0.01</v>
      </c>
      <c r="J27" s="254">
        <f t="shared" si="8"/>
        <v>2.1099999999999997E-2</v>
      </c>
      <c r="M27" s="168" t="s">
        <v>442</v>
      </c>
      <c r="N27" s="169">
        <f>SUM(N26:S26)</f>
        <v>7.6636914568712955</v>
      </c>
      <c r="O27" s="162"/>
      <c r="P27" s="162"/>
      <c r="Q27" s="162"/>
      <c r="R27" s="170"/>
      <c r="S27" s="170"/>
    </row>
    <row r="28" spans="1:19">
      <c r="A28" s="253" t="s">
        <v>400</v>
      </c>
      <c r="B28" s="253" t="s">
        <v>542</v>
      </c>
      <c r="C28" s="232">
        <v>3.7200000000000002E-3</v>
      </c>
      <c r="D28" s="232">
        <v>0</v>
      </c>
      <c r="E28" s="232">
        <v>1.0200000000000001E-3</v>
      </c>
      <c r="F28" s="232">
        <v>0</v>
      </c>
      <c r="G28" s="232">
        <v>0</v>
      </c>
      <c r="H28" s="232">
        <v>0</v>
      </c>
      <c r="I28" s="232">
        <v>0</v>
      </c>
      <c r="J28" s="254">
        <f t="shared" si="8"/>
        <v>2.7000000000000001E-3</v>
      </c>
      <c r="M28" s="276" t="s">
        <v>465</v>
      </c>
      <c r="N28" s="159">
        <f>(N22*50%)+(O22*40%)+(P22*30%)+(Q22*20%)+(R22*10%)</f>
        <v>0.4018562785</v>
      </c>
    </row>
    <row r="29" spans="1:19">
      <c r="A29" s="253" t="s">
        <v>400</v>
      </c>
      <c r="B29" s="253" t="s">
        <v>536</v>
      </c>
      <c r="C29" s="232">
        <v>6.0000000000000001E-3</v>
      </c>
      <c r="D29" s="232">
        <v>0</v>
      </c>
      <c r="E29" s="232">
        <v>0</v>
      </c>
      <c r="F29" s="232">
        <v>0</v>
      </c>
      <c r="G29" s="232">
        <v>0</v>
      </c>
      <c r="H29" s="232">
        <v>0</v>
      </c>
      <c r="I29" s="232">
        <v>0</v>
      </c>
      <c r="J29" s="254">
        <f t="shared" si="8"/>
        <v>6.0000000000000001E-3</v>
      </c>
    </row>
    <row r="30" spans="1:19">
      <c r="A30" s="253" t="s">
        <v>400</v>
      </c>
      <c r="B30" s="253" t="s">
        <v>537</v>
      </c>
      <c r="C30" s="232">
        <v>2.7000000000000001E-3</v>
      </c>
      <c r="D30" s="232">
        <v>0</v>
      </c>
      <c r="E30" s="232">
        <v>0</v>
      </c>
      <c r="F30" s="232">
        <v>0</v>
      </c>
      <c r="G30" s="232">
        <v>0</v>
      </c>
      <c r="H30" s="232">
        <v>0</v>
      </c>
      <c r="I30" s="232">
        <v>0</v>
      </c>
      <c r="J30" s="254">
        <f t="shared" si="8"/>
        <v>2.7000000000000001E-3</v>
      </c>
    </row>
    <row r="31" spans="1:19">
      <c r="A31" s="253" t="s">
        <v>400</v>
      </c>
      <c r="B31" s="253" t="s">
        <v>551</v>
      </c>
      <c r="C31" s="232">
        <v>2.1778499999999999E-2</v>
      </c>
      <c r="D31" s="232">
        <v>8.8214999999999995E-3</v>
      </c>
      <c r="E31" s="232">
        <v>2.9475E-3</v>
      </c>
      <c r="F31" s="232">
        <v>8.095E-4</v>
      </c>
      <c r="G31" s="232">
        <v>0</v>
      </c>
      <c r="H31" s="232">
        <v>0</v>
      </c>
      <c r="I31" s="232">
        <v>0</v>
      </c>
      <c r="J31" s="254">
        <f t="shared" si="8"/>
        <v>9.1999999999999998E-3</v>
      </c>
    </row>
    <row r="32" spans="1:19">
      <c r="A32" s="253" t="s">
        <v>400</v>
      </c>
      <c r="B32" s="253" t="s">
        <v>552</v>
      </c>
      <c r="C32" s="232">
        <v>2.3939499999999996E-2</v>
      </c>
      <c r="D32" s="232">
        <v>5.8365019999999986E-3</v>
      </c>
      <c r="E32" s="232">
        <v>1.5002998000000002E-2</v>
      </c>
      <c r="F32" s="232">
        <v>1.2999999999999999E-3</v>
      </c>
      <c r="G32" s="232">
        <v>0</v>
      </c>
      <c r="H32" s="232">
        <v>0</v>
      </c>
      <c r="I32" s="232">
        <v>0</v>
      </c>
      <c r="J32" s="254">
        <f t="shared" si="8"/>
        <v>1.7999999999999934E-3</v>
      </c>
    </row>
    <row r="33" spans="1:10">
      <c r="A33" s="253" t="s">
        <v>213</v>
      </c>
      <c r="B33" s="253" t="s">
        <v>553</v>
      </c>
      <c r="C33" s="232">
        <v>3.2209100000000004E-2</v>
      </c>
      <c r="D33" s="232">
        <v>0</v>
      </c>
      <c r="E33" s="232">
        <v>0</v>
      </c>
      <c r="F33" s="232">
        <v>0</v>
      </c>
      <c r="G33" s="232">
        <v>0</v>
      </c>
      <c r="H33" s="232">
        <v>0</v>
      </c>
      <c r="I33" s="232">
        <v>0</v>
      </c>
      <c r="J33" s="254">
        <f t="shared" si="8"/>
        <v>3.2209100000000004E-2</v>
      </c>
    </row>
    <row r="34" spans="1:10">
      <c r="A34" s="253" t="s">
        <v>213</v>
      </c>
      <c r="B34" s="253" t="s">
        <v>554</v>
      </c>
      <c r="C34" s="232">
        <v>8.3250000000000008E-3</v>
      </c>
      <c r="D34" s="232">
        <v>2.8E-3</v>
      </c>
      <c r="E34" s="232">
        <v>0</v>
      </c>
      <c r="F34" s="232"/>
      <c r="G34" s="232">
        <v>0</v>
      </c>
      <c r="H34" s="232">
        <v>0</v>
      </c>
      <c r="I34" s="232">
        <v>0</v>
      </c>
      <c r="J34" s="254">
        <f t="shared" si="8"/>
        <v>5.5250000000000004E-3</v>
      </c>
    </row>
    <row r="35" spans="1:10">
      <c r="A35" s="253" t="s">
        <v>213</v>
      </c>
      <c r="B35" s="253" t="s">
        <v>228</v>
      </c>
      <c r="C35" s="232">
        <v>4.9433300000000006E-2</v>
      </c>
      <c r="D35" s="232">
        <v>0</v>
      </c>
      <c r="E35" s="232">
        <v>0</v>
      </c>
      <c r="F35" s="232">
        <v>0</v>
      </c>
      <c r="G35" s="232">
        <v>0</v>
      </c>
      <c r="H35" s="232">
        <v>0</v>
      </c>
      <c r="I35" s="232">
        <v>4.9433300000000006E-2</v>
      </c>
      <c r="J35" s="254">
        <f t="shared" si="8"/>
        <v>4.9433300000000006E-2</v>
      </c>
    </row>
    <row r="36" spans="1:10">
      <c r="A36" s="253" t="s">
        <v>213</v>
      </c>
      <c r="B36" s="253" t="s">
        <v>218</v>
      </c>
      <c r="C36" s="232">
        <v>0.13551190000000002</v>
      </c>
      <c r="D36" s="232">
        <v>6.5100000000000002E-3</v>
      </c>
      <c r="E36" s="232">
        <v>0</v>
      </c>
      <c r="F36" s="232">
        <v>0</v>
      </c>
      <c r="G36" s="232">
        <v>0</v>
      </c>
      <c r="H36" s="232">
        <v>0</v>
      </c>
      <c r="I36" s="232">
        <v>0</v>
      </c>
      <c r="J36" s="254">
        <f t="shared" si="8"/>
        <v>0.12900190000000003</v>
      </c>
    </row>
    <row r="37" spans="1:10">
      <c r="A37" s="253" t="s">
        <v>213</v>
      </c>
      <c r="B37" s="253" t="s">
        <v>555</v>
      </c>
      <c r="C37" s="232">
        <v>0.30045179999999999</v>
      </c>
      <c r="D37" s="232">
        <v>0</v>
      </c>
      <c r="E37" s="232">
        <v>0</v>
      </c>
      <c r="F37" s="232">
        <v>0</v>
      </c>
      <c r="G37" s="232">
        <v>0</v>
      </c>
      <c r="H37" s="232">
        <v>0</v>
      </c>
      <c r="I37" s="232">
        <v>0</v>
      </c>
      <c r="J37" s="254">
        <f t="shared" si="8"/>
        <v>0.30045179999999999</v>
      </c>
    </row>
    <row r="38" spans="1:10">
      <c r="A38" s="253" t="s">
        <v>213</v>
      </c>
      <c r="B38" s="253" t="s">
        <v>556</v>
      </c>
      <c r="C38" s="232">
        <v>3.8922270999999999</v>
      </c>
      <c r="D38" s="232">
        <v>0</v>
      </c>
      <c r="E38" s="232">
        <v>0</v>
      </c>
      <c r="F38" s="232">
        <v>0</v>
      </c>
      <c r="G38" s="232">
        <v>0</v>
      </c>
      <c r="H38" s="232">
        <v>0</v>
      </c>
      <c r="I38" s="232">
        <v>0</v>
      </c>
      <c r="J38" s="254">
        <f t="shared" si="8"/>
        <v>3.8922270999999999</v>
      </c>
    </row>
    <row r="39" spans="1:10">
      <c r="A39" s="253" t="s">
        <v>363</v>
      </c>
      <c r="B39" s="253" t="s">
        <v>475</v>
      </c>
      <c r="C39" s="232">
        <v>2.5416000000000001E-2</v>
      </c>
      <c r="D39" s="232">
        <v>0</v>
      </c>
      <c r="E39" s="232">
        <v>0</v>
      </c>
      <c r="F39" s="232">
        <v>0</v>
      </c>
      <c r="G39" s="232">
        <v>0</v>
      </c>
      <c r="H39" s="232">
        <v>8.6999999999999994E-3</v>
      </c>
      <c r="I39" s="232">
        <v>0</v>
      </c>
      <c r="J39" s="254">
        <f t="shared" si="8"/>
        <v>1.6716000000000002E-2</v>
      </c>
    </row>
    <row r="40" spans="1:10">
      <c r="A40" s="253" t="s">
        <v>363</v>
      </c>
      <c r="B40" s="253" t="s">
        <v>557</v>
      </c>
      <c r="C40" s="232">
        <v>1.5724999999999999E-2</v>
      </c>
      <c r="D40" s="232">
        <v>0</v>
      </c>
      <c r="E40" s="232">
        <v>0</v>
      </c>
      <c r="F40" s="232">
        <v>0</v>
      </c>
      <c r="G40" s="232">
        <v>0</v>
      </c>
      <c r="H40" s="232">
        <v>0</v>
      </c>
      <c r="I40" s="232">
        <v>0</v>
      </c>
      <c r="J40" s="254">
        <f t="shared" si="8"/>
        <v>1.5724999999999999E-2</v>
      </c>
    </row>
    <row r="41" spans="1:10">
      <c r="A41" s="253" t="s">
        <v>363</v>
      </c>
      <c r="B41" s="253" t="s">
        <v>476</v>
      </c>
      <c r="C41" s="232">
        <v>1.3357546999999999</v>
      </c>
      <c r="D41" s="232">
        <v>0.16999999999999993</v>
      </c>
      <c r="E41" s="232">
        <v>0</v>
      </c>
      <c r="F41" s="232">
        <v>0</v>
      </c>
      <c r="G41" s="232">
        <v>0</v>
      </c>
      <c r="H41" s="232">
        <v>0</v>
      </c>
      <c r="I41" s="232">
        <v>0</v>
      </c>
      <c r="J41" s="254">
        <f t="shared" si="8"/>
        <v>1.1657546999999999</v>
      </c>
    </row>
    <row r="42" spans="1:10">
      <c r="A42" s="253" t="s">
        <v>363</v>
      </c>
      <c r="B42" s="253" t="s">
        <v>558</v>
      </c>
      <c r="C42" s="232">
        <v>1.3599999999999999E-2</v>
      </c>
      <c r="D42" s="232">
        <v>0</v>
      </c>
      <c r="E42" s="232">
        <v>0</v>
      </c>
      <c r="F42" s="232">
        <v>0</v>
      </c>
      <c r="G42" s="232">
        <v>0</v>
      </c>
      <c r="H42" s="232">
        <v>0</v>
      </c>
      <c r="I42" s="232">
        <v>0</v>
      </c>
      <c r="J42" s="254">
        <f t="shared" si="8"/>
        <v>1.3599999999999999E-2</v>
      </c>
    </row>
    <row r="43" spans="1:10">
      <c r="A43" s="253" t="s">
        <v>363</v>
      </c>
      <c r="B43" s="253" t="s">
        <v>372</v>
      </c>
      <c r="C43" s="232">
        <v>0.1492513</v>
      </c>
      <c r="D43" s="232">
        <v>0</v>
      </c>
      <c r="E43" s="232">
        <v>0</v>
      </c>
      <c r="F43" s="232">
        <v>0</v>
      </c>
      <c r="G43" s="232">
        <v>5.1000000000000004E-2</v>
      </c>
      <c r="H43" s="232">
        <v>1.7000000000000071E-3</v>
      </c>
      <c r="I43" s="232">
        <v>0</v>
      </c>
      <c r="J43" s="254">
        <f t="shared" si="8"/>
        <v>9.6551299999999993E-2</v>
      </c>
    </row>
    <row r="44" spans="1:10">
      <c r="A44" s="253" t="s">
        <v>363</v>
      </c>
      <c r="B44" s="253" t="s">
        <v>559</v>
      </c>
      <c r="C44" s="232">
        <v>2.0287400000000001E-2</v>
      </c>
      <c r="D44" s="232">
        <v>0</v>
      </c>
      <c r="E44" s="232">
        <v>0</v>
      </c>
      <c r="F44" s="232">
        <v>0</v>
      </c>
      <c r="G44" s="232">
        <v>0</v>
      </c>
      <c r="H44" s="232">
        <v>0</v>
      </c>
      <c r="I44" s="232">
        <v>0</v>
      </c>
      <c r="J44" s="254">
        <f t="shared" si="8"/>
        <v>2.0287400000000001E-2</v>
      </c>
    </row>
    <row r="45" spans="1:10">
      <c r="A45" s="253" t="s">
        <v>363</v>
      </c>
      <c r="B45" s="253" t="s">
        <v>477</v>
      </c>
      <c r="C45" s="232">
        <v>0.2014003</v>
      </c>
      <c r="D45" s="232">
        <v>0</v>
      </c>
      <c r="E45" s="232">
        <v>0</v>
      </c>
      <c r="F45" s="232">
        <v>0</v>
      </c>
      <c r="G45" s="232">
        <v>0</v>
      </c>
      <c r="H45" s="232">
        <v>4.4319999999999915E-3</v>
      </c>
      <c r="I45" s="232">
        <v>0</v>
      </c>
      <c r="J45" s="254">
        <f t="shared" si="8"/>
        <v>0.19696830000000001</v>
      </c>
    </row>
    <row r="46" spans="1:10">
      <c r="A46" s="253" t="s">
        <v>363</v>
      </c>
      <c r="B46" s="253" t="s">
        <v>560</v>
      </c>
      <c r="C46" s="232">
        <v>4.3999999999999997E-2</v>
      </c>
      <c r="D46" s="232">
        <v>0</v>
      </c>
      <c r="E46" s="232">
        <v>0</v>
      </c>
      <c r="F46" s="232">
        <v>0</v>
      </c>
      <c r="G46" s="232">
        <v>0</v>
      </c>
      <c r="H46" s="232">
        <v>0</v>
      </c>
      <c r="I46" s="232">
        <v>0</v>
      </c>
      <c r="J46" s="254">
        <f t="shared" si="8"/>
        <v>4.3999999999999997E-2</v>
      </c>
    </row>
    <row r="47" spans="1:10">
      <c r="A47" s="253" t="s">
        <v>363</v>
      </c>
      <c r="B47" s="253" t="s">
        <v>561</v>
      </c>
      <c r="C47" s="232">
        <v>4.2788000000000001E-3</v>
      </c>
      <c r="D47" s="232">
        <v>0</v>
      </c>
      <c r="E47" s="232">
        <v>0</v>
      </c>
      <c r="F47" s="232">
        <v>0</v>
      </c>
      <c r="G47" s="232">
        <v>0</v>
      </c>
      <c r="H47" s="232">
        <v>0</v>
      </c>
      <c r="I47" s="232">
        <v>0</v>
      </c>
      <c r="J47" s="254">
        <f t="shared" si="8"/>
        <v>4.2788000000000001E-3</v>
      </c>
    </row>
    <row r="48" spans="1:10">
      <c r="A48" s="253" t="s">
        <v>363</v>
      </c>
      <c r="B48" s="253" t="s">
        <v>562</v>
      </c>
      <c r="C48" s="232">
        <v>3.6949999999999999E-3</v>
      </c>
      <c r="D48" s="232">
        <v>0</v>
      </c>
      <c r="E48" s="232">
        <v>0</v>
      </c>
      <c r="F48" s="232">
        <v>0</v>
      </c>
      <c r="G48" s="232">
        <v>0</v>
      </c>
      <c r="H48" s="232">
        <v>0</v>
      </c>
      <c r="I48" s="232">
        <v>0</v>
      </c>
      <c r="J48" s="254">
        <f t="shared" si="8"/>
        <v>3.6949999999999999E-3</v>
      </c>
    </row>
    <row r="49" spans="1:10">
      <c r="A49" s="253" t="s">
        <v>363</v>
      </c>
      <c r="B49" s="253" t="s">
        <v>563</v>
      </c>
      <c r="C49" s="232">
        <v>4.1017699999999997E-2</v>
      </c>
      <c r="D49" s="232">
        <v>0</v>
      </c>
      <c r="E49" s="232">
        <v>0</v>
      </c>
      <c r="F49" s="232">
        <v>0</v>
      </c>
      <c r="G49" s="232">
        <v>0</v>
      </c>
      <c r="H49" s="232">
        <v>0</v>
      </c>
      <c r="I49" s="232">
        <v>0</v>
      </c>
      <c r="J49" s="254">
        <f t="shared" si="8"/>
        <v>4.1017699999999997E-2</v>
      </c>
    </row>
    <row r="50" spans="1:10">
      <c r="A50" s="253" t="s">
        <v>363</v>
      </c>
      <c r="B50" s="253" t="s">
        <v>564</v>
      </c>
      <c r="C50" s="232">
        <v>0.173569</v>
      </c>
      <c r="D50" s="232">
        <v>0</v>
      </c>
      <c r="E50" s="232">
        <v>0</v>
      </c>
      <c r="F50" s="232">
        <v>0</v>
      </c>
      <c r="G50" s="232">
        <v>0</v>
      </c>
      <c r="H50" s="232">
        <v>0</v>
      </c>
      <c r="I50" s="232">
        <v>0</v>
      </c>
      <c r="J50" s="254">
        <f t="shared" si="8"/>
        <v>0.173569</v>
      </c>
    </row>
    <row r="51" spans="1:10">
      <c r="A51" s="253" t="s">
        <v>363</v>
      </c>
      <c r="B51" s="253" t="s">
        <v>565</v>
      </c>
      <c r="C51" s="232">
        <v>9.1350000000000003E-4</v>
      </c>
      <c r="D51" s="232">
        <v>0</v>
      </c>
      <c r="E51" s="232">
        <v>0</v>
      </c>
      <c r="F51" s="232">
        <v>0</v>
      </c>
      <c r="G51" s="232">
        <v>0</v>
      </c>
      <c r="H51" s="232">
        <v>0</v>
      </c>
      <c r="I51" s="232">
        <v>0</v>
      </c>
      <c r="J51" s="254">
        <f t="shared" si="8"/>
        <v>9.1350000000000003E-4</v>
      </c>
    </row>
    <row r="52" spans="1:10">
      <c r="A52" s="253" t="s">
        <v>363</v>
      </c>
      <c r="B52" s="253" t="s">
        <v>566</v>
      </c>
      <c r="C52" s="232">
        <v>6.3943299999999995E-2</v>
      </c>
      <c r="D52" s="232">
        <v>0</v>
      </c>
      <c r="E52" s="232">
        <v>0</v>
      </c>
      <c r="F52" s="232">
        <v>0</v>
      </c>
      <c r="G52" s="232">
        <v>0</v>
      </c>
      <c r="H52" s="232">
        <v>0</v>
      </c>
      <c r="I52" s="232">
        <v>0</v>
      </c>
      <c r="J52" s="254">
        <f t="shared" si="8"/>
        <v>6.3943299999999995E-2</v>
      </c>
    </row>
    <row r="53" spans="1:10">
      <c r="A53" s="253" t="s">
        <v>363</v>
      </c>
      <c r="B53" s="253" t="s">
        <v>567</v>
      </c>
      <c r="C53" s="232">
        <v>5.1709999999999999E-2</v>
      </c>
      <c r="D53" s="232">
        <v>0</v>
      </c>
      <c r="E53" s="232">
        <v>0</v>
      </c>
      <c r="F53" s="232">
        <v>0</v>
      </c>
      <c r="G53" s="232">
        <v>0</v>
      </c>
      <c r="H53" s="232">
        <v>0</v>
      </c>
      <c r="I53" s="232">
        <v>0</v>
      </c>
      <c r="J53" s="254">
        <f t="shared" si="8"/>
        <v>5.1709999999999999E-2</v>
      </c>
    </row>
    <row r="54" spans="1:10">
      <c r="A54" s="253" t="s">
        <v>363</v>
      </c>
      <c r="B54" s="253" t="s">
        <v>382</v>
      </c>
      <c r="C54" s="232">
        <v>8.0831799999999995E-2</v>
      </c>
      <c r="D54" s="232">
        <v>0</v>
      </c>
      <c r="E54" s="232">
        <v>6.2124599999999995E-2</v>
      </c>
      <c r="F54" s="232">
        <v>0</v>
      </c>
      <c r="G54" s="232">
        <v>0</v>
      </c>
      <c r="H54" s="232">
        <v>9.9999999999999395E-5</v>
      </c>
      <c r="I54" s="232">
        <v>0</v>
      </c>
      <c r="J54" s="254">
        <f t="shared" si="8"/>
        <v>1.8607200000000001E-2</v>
      </c>
    </row>
    <row r="55" spans="1:10">
      <c r="A55" s="253" t="s">
        <v>363</v>
      </c>
      <c r="B55" s="253" t="s">
        <v>479</v>
      </c>
      <c r="C55" s="232">
        <v>0.13985819999999999</v>
      </c>
      <c r="D55" s="232">
        <v>3.103699999999987E-3</v>
      </c>
      <c r="E55" s="232">
        <v>1.9606300000000007E-2</v>
      </c>
      <c r="F55" s="232">
        <v>0</v>
      </c>
      <c r="G55" s="232">
        <v>0</v>
      </c>
      <c r="H55" s="232">
        <v>8.9999999999999941E-3</v>
      </c>
      <c r="I55" s="232">
        <v>0</v>
      </c>
      <c r="J55" s="254">
        <f t="shared" si="8"/>
        <v>0.1081482</v>
      </c>
    </row>
    <row r="56" spans="1:10">
      <c r="A56" s="253" t="s">
        <v>193</v>
      </c>
      <c r="B56" s="253" t="s">
        <v>527</v>
      </c>
      <c r="C56" s="232">
        <v>4.5747000000000003E-2</v>
      </c>
      <c r="D56" s="232">
        <v>0</v>
      </c>
      <c r="E56" s="232">
        <v>0</v>
      </c>
      <c r="F56" s="232">
        <v>0</v>
      </c>
      <c r="G56" s="232">
        <v>0.02</v>
      </c>
      <c r="H56" s="232"/>
      <c r="I56" s="232">
        <v>2.5747000000000003E-2</v>
      </c>
      <c r="J56" s="254">
        <f t="shared" si="8"/>
        <v>2.5747000000000003E-2</v>
      </c>
    </row>
    <row r="57" spans="1:10">
      <c r="A57" s="253" t="s">
        <v>193</v>
      </c>
      <c r="B57" s="253" t="s">
        <v>528</v>
      </c>
      <c r="C57" s="232">
        <v>1.4118063680000001</v>
      </c>
      <c r="D57" s="232">
        <v>0</v>
      </c>
      <c r="E57" s="232">
        <v>0.11</v>
      </c>
      <c r="F57" s="232"/>
      <c r="G57" s="232">
        <v>0</v>
      </c>
      <c r="H57" s="232"/>
      <c r="I57" s="232">
        <v>1.301806368</v>
      </c>
      <c r="J57" s="254">
        <f t="shared" si="8"/>
        <v>1.301806368</v>
      </c>
    </row>
    <row r="58" spans="1:10">
      <c r="A58" s="253" t="s">
        <v>193</v>
      </c>
      <c r="B58" s="253" t="s">
        <v>209</v>
      </c>
      <c r="C58" s="232">
        <v>0.73138910000000001</v>
      </c>
      <c r="D58" s="232">
        <v>3.3486800000000039E-2</v>
      </c>
      <c r="E58" s="232">
        <v>0</v>
      </c>
      <c r="F58" s="232">
        <v>0</v>
      </c>
      <c r="G58" s="232">
        <v>0</v>
      </c>
      <c r="H58" s="232"/>
      <c r="I58" s="232">
        <v>0</v>
      </c>
      <c r="J58" s="254">
        <f t="shared" si="8"/>
        <v>0.69790229999999998</v>
      </c>
    </row>
    <row r="59" spans="1:10">
      <c r="A59" s="253" t="s">
        <v>193</v>
      </c>
      <c r="B59" s="253" t="s">
        <v>568</v>
      </c>
      <c r="C59" s="232">
        <v>1.76732E-2</v>
      </c>
      <c r="D59" s="232">
        <v>0</v>
      </c>
      <c r="E59" s="232">
        <v>0</v>
      </c>
      <c r="F59" s="232">
        <v>0</v>
      </c>
      <c r="G59" s="232">
        <v>0</v>
      </c>
      <c r="H59" s="232"/>
      <c r="I59" s="232">
        <v>0</v>
      </c>
      <c r="J59" s="254">
        <f t="shared" si="8"/>
        <v>1.76732E-2</v>
      </c>
    </row>
    <row r="60" spans="1:10">
      <c r="A60" s="253" t="s">
        <v>193</v>
      </c>
      <c r="B60" s="253" t="s">
        <v>204</v>
      </c>
      <c r="C60" s="232">
        <v>0.105119568</v>
      </c>
      <c r="D60" s="232">
        <v>0</v>
      </c>
      <c r="E60" s="232">
        <v>0.02</v>
      </c>
      <c r="F60" s="232">
        <v>0</v>
      </c>
      <c r="G60" s="232">
        <v>0</v>
      </c>
      <c r="H60" s="232"/>
      <c r="I60" s="232">
        <v>3.7893679999999874E-3</v>
      </c>
      <c r="J60" s="254">
        <f t="shared" si="8"/>
        <v>8.5119567999999993E-2</v>
      </c>
    </row>
    <row r="61" spans="1:10">
      <c r="A61" s="253" t="s">
        <v>193</v>
      </c>
      <c r="B61" s="253" t="s">
        <v>211</v>
      </c>
      <c r="C61" s="232">
        <v>0.33002186</v>
      </c>
      <c r="D61" s="232"/>
      <c r="E61" s="232"/>
      <c r="F61" s="232"/>
      <c r="G61" s="232"/>
      <c r="H61" s="232"/>
      <c r="I61" s="232">
        <v>0.32002185999999999</v>
      </c>
      <c r="J61" s="254">
        <f t="shared" si="8"/>
        <v>0.33002186</v>
      </c>
    </row>
    <row r="62" spans="1:10">
      <c r="A62" s="253" t="s">
        <v>193</v>
      </c>
      <c r="B62" s="253" t="s">
        <v>207</v>
      </c>
      <c r="C62" s="232">
        <v>0.27482229999999996</v>
      </c>
      <c r="D62" s="232">
        <v>0</v>
      </c>
      <c r="E62" s="232">
        <v>0</v>
      </c>
      <c r="F62" s="232">
        <v>0</v>
      </c>
      <c r="G62" s="232">
        <v>0</v>
      </c>
      <c r="H62" s="232"/>
      <c r="I62" s="232">
        <v>0.12446959999999996</v>
      </c>
      <c r="J62" s="254">
        <f t="shared" si="8"/>
        <v>0.27482229999999996</v>
      </c>
    </row>
    <row r="63" spans="1:10">
      <c r="A63" s="253" t="s">
        <v>193</v>
      </c>
      <c r="B63" s="253" t="s">
        <v>569</v>
      </c>
      <c r="C63" s="232">
        <v>1.6192600000000001E-2</v>
      </c>
      <c r="D63" s="232">
        <v>1.6192600000000001E-2</v>
      </c>
      <c r="E63" s="232">
        <v>0</v>
      </c>
      <c r="F63" s="232">
        <v>0</v>
      </c>
      <c r="G63" s="232">
        <v>0</v>
      </c>
      <c r="H63" s="232"/>
      <c r="I63" s="232">
        <v>0</v>
      </c>
      <c r="J63" s="254">
        <f t="shared" si="8"/>
        <v>0</v>
      </c>
    </row>
    <row r="64" spans="1:10">
      <c r="A64" s="253" t="s">
        <v>193</v>
      </c>
      <c r="B64" s="253" t="s">
        <v>570</v>
      </c>
      <c r="C64" s="232">
        <v>5.4000000000000003E-3</v>
      </c>
      <c r="D64" s="232">
        <v>5.4000000000000003E-3</v>
      </c>
      <c r="E64" s="232">
        <v>0</v>
      </c>
      <c r="F64" s="232">
        <v>0</v>
      </c>
      <c r="G64" s="232">
        <v>0</v>
      </c>
      <c r="H64" s="232"/>
      <c r="I64" s="232">
        <v>0</v>
      </c>
      <c r="J64" s="254">
        <f t="shared" si="8"/>
        <v>0</v>
      </c>
    </row>
    <row r="65" spans="1:10">
      <c r="A65" s="253" t="s">
        <v>193</v>
      </c>
      <c r="B65" s="253" t="s">
        <v>545</v>
      </c>
      <c r="C65" s="232">
        <v>0</v>
      </c>
      <c r="D65" s="232">
        <v>0</v>
      </c>
      <c r="E65" s="232">
        <v>0</v>
      </c>
      <c r="F65" s="232">
        <v>0</v>
      </c>
      <c r="G65" s="232">
        <v>0</v>
      </c>
      <c r="H65" s="232">
        <v>0</v>
      </c>
      <c r="I65" s="232">
        <v>0</v>
      </c>
      <c r="J65" s="254">
        <f t="shared" si="8"/>
        <v>0</v>
      </c>
    </row>
    <row r="66" spans="1:10">
      <c r="A66" s="253" t="s">
        <v>493</v>
      </c>
      <c r="B66" s="253" t="s">
        <v>525</v>
      </c>
      <c r="C66" s="232">
        <v>1.235E-2</v>
      </c>
      <c r="D66" s="232">
        <v>0</v>
      </c>
      <c r="E66" s="232">
        <v>1.1050000000000001E-2</v>
      </c>
      <c r="F66" s="232">
        <v>0</v>
      </c>
      <c r="G66" s="232">
        <v>0</v>
      </c>
      <c r="H66" s="232">
        <v>0</v>
      </c>
      <c r="I66" s="232">
        <v>1.2999999999999991E-3</v>
      </c>
      <c r="J66" s="254">
        <f t="shared" si="8"/>
        <v>1.2999999999999991E-3</v>
      </c>
    </row>
    <row r="67" spans="1:10">
      <c r="A67" s="253" t="s">
        <v>493</v>
      </c>
      <c r="B67" s="253" t="s">
        <v>280</v>
      </c>
      <c r="C67" s="232">
        <v>1.22749E-2</v>
      </c>
      <c r="D67" s="232">
        <v>1.22749E-2</v>
      </c>
      <c r="E67" s="232">
        <v>0</v>
      </c>
      <c r="F67" s="232">
        <v>0</v>
      </c>
      <c r="G67" s="232">
        <v>0</v>
      </c>
      <c r="H67" s="232">
        <v>0</v>
      </c>
      <c r="I67" s="232">
        <v>0</v>
      </c>
      <c r="J67" s="254">
        <f t="shared" si="8"/>
        <v>0</v>
      </c>
    </row>
    <row r="68" spans="1:10">
      <c r="A68" s="253" t="s">
        <v>493</v>
      </c>
      <c r="B68" s="253" t="s">
        <v>274</v>
      </c>
      <c r="C68" s="232">
        <v>2.1222499999999998E-2</v>
      </c>
      <c r="D68" s="232">
        <v>0</v>
      </c>
      <c r="E68" s="232">
        <v>2.1222499999999998E-2</v>
      </c>
      <c r="F68" s="232">
        <v>0</v>
      </c>
      <c r="G68" s="232">
        <v>0</v>
      </c>
      <c r="H68" s="232">
        <v>0</v>
      </c>
      <c r="I68" s="232">
        <v>0</v>
      </c>
      <c r="J68" s="254">
        <f t="shared" si="8"/>
        <v>0</v>
      </c>
    </row>
    <row r="69" spans="1:10">
      <c r="A69" s="253" t="s">
        <v>493</v>
      </c>
      <c r="B69" s="253" t="s">
        <v>281</v>
      </c>
      <c r="C69" s="232">
        <v>1.8749999999999999E-2</v>
      </c>
      <c r="D69" s="232">
        <v>0</v>
      </c>
      <c r="E69" s="232">
        <v>0</v>
      </c>
      <c r="F69" s="232">
        <v>0</v>
      </c>
      <c r="G69" s="232">
        <v>0</v>
      </c>
      <c r="H69" s="232">
        <v>0</v>
      </c>
      <c r="I69" s="232">
        <v>1.346E-2</v>
      </c>
      <c r="J69" s="254">
        <f t="shared" si="8"/>
        <v>1.8749999999999999E-2</v>
      </c>
    </row>
    <row r="70" spans="1:10">
      <c r="A70" s="253" t="s">
        <v>493</v>
      </c>
      <c r="B70" s="253" t="s">
        <v>540</v>
      </c>
      <c r="C70" s="232">
        <v>0.13</v>
      </c>
      <c r="D70" s="232">
        <v>0</v>
      </c>
      <c r="E70" s="232">
        <v>0</v>
      </c>
      <c r="F70" s="232">
        <v>0</v>
      </c>
      <c r="G70" s="232">
        <v>0</v>
      </c>
      <c r="H70" s="232">
        <v>0.13</v>
      </c>
      <c r="I70" s="232">
        <v>0</v>
      </c>
      <c r="J70" s="254">
        <f t="shared" si="8"/>
        <v>0</v>
      </c>
    </row>
    <row r="71" spans="1:10">
      <c r="A71" s="253" t="s">
        <v>493</v>
      </c>
      <c r="B71" s="253" t="s">
        <v>275</v>
      </c>
      <c r="C71" s="232">
        <v>3.3433000000000004E-2</v>
      </c>
      <c r="D71" s="232">
        <v>0</v>
      </c>
      <c r="E71" s="232">
        <v>0</v>
      </c>
      <c r="F71" s="232">
        <v>0</v>
      </c>
      <c r="G71" s="232">
        <v>0</v>
      </c>
      <c r="H71" s="232">
        <v>0</v>
      </c>
      <c r="I71" s="232">
        <v>2.6770000000000006E-2</v>
      </c>
      <c r="J71" s="254">
        <f t="shared" si="8"/>
        <v>3.3433000000000004E-2</v>
      </c>
    </row>
    <row r="72" spans="1:10">
      <c r="A72" s="253" t="s">
        <v>493</v>
      </c>
      <c r="B72" s="253" t="s">
        <v>571</v>
      </c>
      <c r="C72" s="232">
        <v>3.5E-4</v>
      </c>
      <c r="D72" s="232">
        <v>0</v>
      </c>
      <c r="E72" s="232">
        <v>3.5E-4</v>
      </c>
      <c r="F72" s="232">
        <v>0</v>
      </c>
      <c r="G72" s="232">
        <v>0</v>
      </c>
      <c r="H72" s="232">
        <v>0</v>
      </c>
      <c r="I72" s="232">
        <v>0</v>
      </c>
      <c r="J72" s="254">
        <f t="shared" si="8"/>
        <v>0</v>
      </c>
    </row>
    <row r="73" spans="1:10">
      <c r="A73" s="253" t="s">
        <v>493</v>
      </c>
      <c r="B73" s="253" t="s">
        <v>572</v>
      </c>
      <c r="C73" s="232">
        <v>1.7845000000000003E-2</v>
      </c>
      <c r="D73" s="232">
        <v>0</v>
      </c>
      <c r="E73" s="232">
        <v>7.9450000000000007E-3</v>
      </c>
      <c r="F73" s="232">
        <v>0</v>
      </c>
      <c r="G73" s="232">
        <v>0</v>
      </c>
      <c r="H73" s="232">
        <v>0</v>
      </c>
      <c r="I73" s="232">
        <v>0</v>
      </c>
      <c r="J73" s="254">
        <f t="shared" si="8"/>
        <v>9.9000000000000025E-3</v>
      </c>
    </row>
    <row r="74" spans="1:10">
      <c r="A74" s="253" t="s">
        <v>493</v>
      </c>
      <c r="B74" s="253" t="s">
        <v>279</v>
      </c>
      <c r="C74" s="232">
        <v>8.095999999999999E-3</v>
      </c>
      <c r="D74" s="232">
        <v>0</v>
      </c>
      <c r="E74" s="232">
        <v>0</v>
      </c>
      <c r="F74" s="232">
        <v>0</v>
      </c>
      <c r="G74" s="232">
        <v>0</v>
      </c>
      <c r="H74" s="232">
        <v>0</v>
      </c>
      <c r="I74" s="232">
        <v>2.8669999999999989E-3</v>
      </c>
      <c r="J74" s="254">
        <f t="shared" si="8"/>
        <v>8.095999999999999E-3</v>
      </c>
    </row>
    <row r="75" spans="1:10">
      <c r="A75" s="253" t="s">
        <v>493</v>
      </c>
      <c r="B75" s="253" t="s">
        <v>295</v>
      </c>
      <c r="C75" s="232">
        <v>1.0610000000000001E-2</v>
      </c>
      <c r="D75" s="232">
        <v>0</v>
      </c>
      <c r="E75" s="232">
        <v>0</v>
      </c>
      <c r="F75" s="232">
        <v>0</v>
      </c>
      <c r="G75" s="232">
        <v>9.4249999999999998E-4</v>
      </c>
      <c r="H75" s="232">
        <v>0</v>
      </c>
      <c r="I75" s="232">
        <v>4.2000000000000023E-4</v>
      </c>
      <c r="J75" s="254">
        <f t="shared" si="8"/>
        <v>9.6675000000000007E-3</v>
      </c>
    </row>
    <row r="76" spans="1:10">
      <c r="A76" s="253" t="s">
        <v>239</v>
      </c>
      <c r="B76" s="253" t="s">
        <v>240</v>
      </c>
      <c r="C76" s="232">
        <v>5.7236300000000004E-2</v>
      </c>
      <c r="D76" s="232"/>
      <c r="E76" s="232">
        <v>5.7236300000000004E-2</v>
      </c>
      <c r="F76" s="232">
        <v>0</v>
      </c>
      <c r="G76" s="232"/>
      <c r="H76" s="232">
        <v>0</v>
      </c>
      <c r="I76" s="232">
        <v>0</v>
      </c>
      <c r="J76" s="254">
        <f t="shared" si="8"/>
        <v>0</v>
      </c>
    </row>
    <row r="77" spans="1:10">
      <c r="A77" s="253" t="s">
        <v>239</v>
      </c>
      <c r="B77" s="253" t="s">
        <v>529</v>
      </c>
      <c r="C77" s="232">
        <v>0</v>
      </c>
      <c r="D77" s="232"/>
      <c r="E77" s="232">
        <v>0</v>
      </c>
      <c r="F77" s="232">
        <v>0</v>
      </c>
      <c r="G77" s="232"/>
      <c r="H77" s="232"/>
      <c r="I77" s="232">
        <v>0</v>
      </c>
      <c r="J77" s="254">
        <f t="shared" si="8"/>
        <v>0</v>
      </c>
    </row>
    <row r="78" spans="1:10">
      <c r="A78" s="253" t="s">
        <v>239</v>
      </c>
      <c r="B78" s="253" t="s">
        <v>523</v>
      </c>
      <c r="C78" s="232">
        <v>4.5000000000000005E-3</v>
      </c>
      <c r="D78" s="232">
        <v>0</v>
      </c>
      <c r="E78" s="232">
        <v>0</v>
      </c>
      <c r="F78" s="232">
        <v>0</v>
      </c>
      <c r="G78" s="232">
        <v>0</v>
      </c>
      <c r="H78" s="232">
        <v>0</v>
      </c>
      <c r="I78" s="232">
        <v>4.000000000000001E-3</v>
      </c>
      <c r="J78" s="254">
        <f t="shared" si="8"/>
        <v>4.5000000000000005E-3</v>
      </c>
    </row>
    <row r="79" spans="1:10">
      <c r="A79" s="253" t="s">
        <v>239</v>
      </c>
      <c r="B79" s="253" t="s">
        <v>573</v>
      </c>
      <c r="C79" s="232">
        <v>3.8800000000000002E-3</v>
      </c>
      <c r="D79" s="232">
        <v>3.8800000000000002E-3</v>
      </c>
      <c r="E79" s="232">
        <v>0</v>
      </c>
      <c r="F79" s="232">
        <v>0</v>
      </c>
      <c r="G79" s="232">
        <v>0</v>
      </c>
      <c r="H79" s="232">
        <v>0</v>
      </c>
      <c r="I79" s="232">
        <v>0</v>
      </c>
      <c r="J79" s="254">
        <f t="shared" si="8"/>
        <v>0</v>
      </c>
    </row>
    <row r="80" spans="1:10">
      <c r="A80" s="253" t="s">
        <v>239</v>
      </c>
      <c r="B80" s="253" t="s">
        <v>546</v>
      </c>
      <c r="C80" s="232">
        <v>1.9E-2</v>
      </c>
      <c r="D80" s="232">
        <v>0</v>
      </c>
      <c r="E80" s="232">
        <v>0</v>
      </c>
      <c r="F80" s="232">
        <v>0</v>
      </c>
      <c r="G80" s="232">
        <v>0</v>
      </c>
      <c r="H80" s="232">
        <v>0</v>
      </c>
      <c r="I80" s="232">
        <v>7.45E-3</v>
      </c>
      <c r="J80" s="254">
        <f t="shared" si="8"/>
        <v>1.9E-2</v>
      </c>
    </row>
    <row r="81" spans="1:10">
      <c r="A81" s="253" t="s">
        <v>239</v>
      </c>
      <c r="B81" s="253" t="s">
        <v>574</v>
      </c>
      <c r="C81" s="232">
        <v>2.0139799999999999E-2</v>
      </c>
      <c r="D81" s="232">
        <v>0</v>
      </c>
      <c r="E81" s="232">
        <v>0</v>
      </c>
      <c r="F81" s="232">
        <v>0</v>
      </c>
      <c r="G81" s="232">
        <v>0</v>
      </c>
      <c r="H81" s="232">
        <v>0</v>
      </c>
      <c r="I81" s="232">
        <v>2.0139799999999999E-2</v>
      </c>
      <c r="J81" s="254">
        <f t="shared" si="8"/>
        <v>2.0139799999999999E-2</v>
      </c>
    </row>
    <row r="82" spans="1:10">
      <c r="A82" s="253" t="s">
        <v>239</v>
      </c>
      <c r="B82" s="253" t="s">
        <v>524</v>
      </c>
      <c r="C82" s="232">
        <v>1.7500000000000002E-2</v>
      </c>
      <c r="D82" s="232">
        <v>0</v>
      </c>
      <c r="E82" s="232">
        <v>6.7999999999999996E-3</v>
      </c>
      <c r="F82" s="232">
        <v>0</v>
      </c>
      <c r="G82" s="232">
        <v>0</v>
      </c>
      <c r="H82" s="232">
        <v>3.0000000000000001E-3</v>
      </c>
      <c r="I82" s="232">
        <v>7.700000000000002E-3</v>
      </c>
      <c r="J82" s="254">
        <f t="shared" si="8"/>
        <v>7.7000000000000011E-3</v>
      </c>
    </row>
    <row r="83" spans="1:10">
      <c r="A83" s="253" t="s">
        <v>239</v>
      </c>
      <c r="B83" s="253" t="s">
        <v>544</v>
      </c>
      <c r="C83" s="232">
        <v>6.3600000000000002E-3</v>
      </c>
      <c r="D83" s="232">
        <v>0</v>
      </c>
      <c r="E83" s="232">
        <v>0</v>
      </c>
      <c r="F83" s="232">
        <v>0</v>
      </c>
      <c r="G83" s="232">
        <v>0</v>
      </c>
      <c r="H83" s="232">
        <v>0</v>
      </c>
      <c r="I83" s="232">
        <v>2.5500000000000002E-3</v>
      </c>
      <c r="J83" s="254">
        <f t="shared" si="8"/>
        <v>6.3600000000000002E-3</v>
      </c>
    </row>
    <row r="84" spans="1:10">
      <c r="A84" s="253" t="s">
        <v>239</v>
      </c>
      <c r="B84" s="253" t="s">
        <v>526</v>
      </c>
      <c r="C84" s="232">
        <v>7.4130999999999997E-3</v>
      </c>
      <c r="D84" s="232">
        <v>0</v>
      </c>
      <c r="E84" s="232">
        <v>0</v>
      </c>
      <c r="F84" s="232">
        <v>0</v>
      </c>
      <c r="G84" s="232">
        <v>0</v>
      </c>
      <c r="H84" s="232">
        <v>0</v>
      </c>
      <c r="I84" s="232">
        <v>6.5799999999999999E-3</v>
      </c>
      <c r="J84" s="254">
        <f t="shared" si="8"/>
        <v>7.4130999999999997E-3</v>
      </c>
    </row>
    <row r="85" spans="1:10">
      <c r="A85" s="253" t="s">
        <v>239</v>
      </c>
      <c r="B85" s="253" t="s">
        <v>575</v>
      </c>
      <c r="C85" s="232">
        <v>7.8230999999999995E-3</v>
      </c>
      <c r="D85" s="232"/>
      <c r="E85" s="232">
        <v>3.489285E-3</v>
      </c>
      <c r="F85" s="232">
        <v>0</v>
      </c>
      <c r="G85" s="232">
        <v>0</v>
      </c>
      <c r="H85" s="232">
        <v>0</v>
      </c>
      <c r="I85" s="232">
        <v>4.3338149999999995E-3</v>
      </c>
      <c r="J85" s="254">
        <f t="shared" si="8"/>
        <v>4.3338149999999995E-3</v>
      </c>
    </row>
    <row r="86" spans="1:10">
      <c r="A86" s="253" t="s">
        <v>239</v>
      </c>
      <c r="B86" s="253" t="s">
        <v>533</v>
      </c>
      <c r="C86" s="232">
        <v>7.4999999999999997E-3</v>
      </c>
      <c r="D86" s="232">
        <v>0</v>
      </c>
      <c r="E86" s="232">
        <v>0</v>
      </c>
      <c r="F86" s="232"/>
      <c r="G86" s="232">
        <v>7.4999999999999997E-3</v>
      </c>
      <c r="H86" s="232">
        <v>0</v>
      </c>
      <c r="I86" s="232">
        <v>0</v>
      </c>
      <c r="J86" s="254">
        <f t="shared" si="8"/>
        <v>0</v>
      </c>
    </row>
    <row r="87" spans="1:10">
      <c r="A87" s="253" t="s">
        <v>239</v>
      </c>
      <c r="B87" s="253" t="s">
        <v>535</v>
      </c>
      <c r="C87" s="232">
        <v>2.2000000000000002E-2</v>
      </c>
      <c r="D87" s="232"/>
      <c r="E87" s="232">
        <v>7.0032999999999996E-3</v>
      </c>
      <c r="F87" s="232">
        <v>4.8929999999999998E-3</v>
      </c>
      <c r="G87" s="232"/>
      <c r="H87" s="232">
        <v>4.1999999999999997E-3</v>
      </c>
      <c r="I87" s="232">
        <v>0</v>
      </c>
      <c r="J87" s="254">
        <f t="shared" si="8"/>
        <v>5.9037000000000022E-3</v>
      </c>
    </row>
    <row r="88" spans="1:10">
      <c r="A88" s="253" t="s">
        <v>239</v>
      </c>
      <c r="B88" s="253" t="s">
        <v>531</v>
      </c>
      <c r="C88" s="232">
        <v>1.5503699999999999E-2</v>
      </c>
      <c r="D88" s="232">
        <v>0</v>
      </c>
      <c r="E88" s="232">
        <v>4.6036999999999996E-3</v>
      </c>
      <c r="F88" s="232">
        <v>4.9629999999999997E-4</v>
      </c>
      <c r="G88" s="232">
        <v>4.0486999999999997E-3</v>
      </c>
      <c r="H88" s="232"/>
      <c r="I88" s="232">
        <v>6.3550000000000004E-3</v>
      </c>
      <c r="J88" s="254">
        <f t="shared" si="8"/>
        <v>6.3550000000000004E-3</v>
      </c>
    </row>
    <row r="89" spans="1:10">
      <c r="A89" s="253" t="s">
        <v>239</v>
      </c>
      <c r="B89" s="253" t="s">
        <v>541</v>
      </c>
      <c r="C89" s="232">
        <v>1.09E-2</v>
      </c>
      <c r="D89" s="232">
        <v>0</v>
      </c>
      <c r="E89" s="232">
        <v>0</v>
      </c>
      <c r="F89" s="232">
        <v>0</v>
      </c>
      <c r="G89" s="232">
        <v>0</v>
      </c>
      <c r="H89" s="232">
        <v>0</v>
      </c>
      <c r="I89" s="232">
        <v>1.09E-2</v>
      </c>
      <c r="J89" s="254">
        <f t="shared" ref="J89:J97" si="10">C89-D89-E89-F89-G89-H89</f>
        <v>1.09E-2</v>
      </c>
    </row>
    <row r="90" spans="1:10">
      <c r="A90" s="253" t="s">
        <v>239</v>
      </c>
      <c r="B90" s="253" t="s">
        <v>543</v>
      </c>
      <c r="C90" s="232">
        <v>4.1355000000000003E-3</v>
      </c>
      <c r="D90" s="232">
        <v>0</v>
      </c>
      <c r="E90" s="232">
        <v>0</v>
      </c>
      <c r="F90" s="232">
        <v>0</v>
      </c>
      <c r="G90" s="232">
        <v>0</v>
      </c>
      <c r="H90" s="232">
        <v>0</v>
      </c>
      <c r="I90" s="232">
        <v>4.1355000000000003E-3</v>
      </c>
      <c r="J90" s="254">
        <f t="shared" si="10"/>
        <v>4.1355000000000003E-3</v>
      </c>
    </row>
    <row r="91" spans="1:10">
      <c r="A91" s="253" t="s">
        <v>239</v>
      </c>
      <c r="B91" s="253" t="s">
        <v>498</v>
      </c>
      <c r="C91" s="232">
        <v>5.0000000000000001E-4</v>
      </c>
      <c r="D91" s="232">
        <v>0</v>
      </c>
      <c r="E91" s="232">
        <v>0</v>
      </c>
      <c r="F91" s="232">
        <v>0</v>
      </c>
      <c r="G91" s="232">
        <v>0</v>
      </c>
      <c r="H91" s="232">
        <v>0</v>
      </c>
      <c r="I91" s="232">
        <v>5.0000000000000001E-4</v>
      </c>
      <c r="J91" s="254">
        <f t="shared" si="10"/>
        <v>5.0000000000000001E-4</v>
      </c>
    </row>
    <row r="92" spans="1:10">
      <c r="A92" s="253" t="s">
        <v>239</v>
      </c>
      <c r="B92" s="253" t="s">
        <v>532</v>
      </c>
      <c r="C92" s="232">
        <v>3.0489999999999996E-3</v>
      </c>
      <c r="D92" s="232">
        <v>0</v>
      </c>
      <c r="E92" s="232">
        <v>0</v>
      </c>
      <c r="F92" s="232">
        <v>0</v>
      </c>
      <c r="G92" s="232">
        <v>0</v>
      </c>
      <c r="H92" s="232">
        <v>0</v>
      </c>
      <c r="I92" s="232">
        <v>6.6499999999999979E-4</v>
      </c>
      <c r="J92" s="254">
        <f t="shared" si="10"/>
        <v>3.0489999999999996E-3</v>
      </c>
    </row>
    <row r="93" spans="1:10">
      <c r="A93" s="253" t="s">
        <v>239</v>
      </c>
      <c r="B93" s="253" t="s">
        <v>576</v>
      </c>
      <c r="C93" s="232">
        <v>5.9599999999999996E-4</v>
      </c>
      <c r="D93" s="232">
        <v>0</v>
      </c>
      <c r="E93" s="232">
        <v>0</v>
      </c>
      <c r="F93" s="232">
        <v>0</v>
      </c>
      <c r="G93" s="232">
        <v>0</v>
      </c>
      <c r="H93" s="232">
        <v>0</v>
      </c>
      <c r="I93" s="232">
        <v>5.9599999999999996E-4</v>
      </c>
      <c r="J93" s="254">
        <f t="shared" si="10"/>
        <v>5.9599999999999996E-4</v>
      </c>
    </row>
    <row r="94" spans="1:10">
      <c r="A94" s="253" t="s">
        <v>239</v>
      </c>
      <c r="B94" s="253" t="s">
        <v>577</v>
      </c>
      <c r="C94" s="232">
        <v>1.7492E-3</v>
      </c>
      <c r="D94" s="232">
        <v>0</v>
      </c>
      <c r="E94" s="232">
        <v>0</v>
      </c>
      <c r="F94" s="232">
        <v>0</v>
      </c>
      <c r="G94" s="232">
        <v>0</v>
      </c>
      <c r="H94" s="232">
        <v>0</v>
      </c>
      <c r="I94" s="232">
        <v>1.7492E-3</v>
      </c>
      <c r="J94" s="254">
        <f t="shared" si="10"/>
        <v>1.7492E-3</v>
      </c>
    </row>
    <row r="95" spans="1:10">
      <c r="A95" s="253" t="s">
        <v>530</v>
      </c>
      <c r="B95" s="253" t="s">
        <v>530</v>
      </c>
      <c r="C95" s="232">
        <v>13.135819810000001</v>
      </c>
      <c r="D95" s="232">
        <v>0</v>
      </c>
      <c r="E95" s="232">
        <v>0</v>
      </c>
      <c r="F95" s="232">
        <v>0</v>
      </c>
      <c r="G95" s="232">
        <v>0</v>
      </c>
      <c r="H95" s="232">
        <v>0</v>
      </c>
      <c r="I95" s="232">
        <v>1.4988198100000005</v>
      </c>
      <c r="J95" s="254">
        <f t="shared" si="10"/>
        <v>13.135819810000001</v>
      </c>
    </row>
    <row r="96" spans="1:10">
      <c r="A96" s="253" t="s">
        <v>342</v>
      </c>
      <c r="B96" s="253" t="s">
        <v>578</v>
      </c>
      <c r="C96" s="232">
        <v>0.1016682</v>
      </c>
      <c r="D96" s="232">
        <v>0</v>
      </c>
      <c r="E96" s="232">
        <v>0</v>
      </c>
      <c r="F96" s="232">
        <v>0</v>
      </c>
      <c r="G96" s="232">
        <v>0</v>
      </c>
      <c r="H96" s="232">
        <v>0</v>
      </c>
      <c r="I96" s="232">
        <v>0.1016682</v>
      </c>
      <c r="J96" s="254">
        <f t="shared" si="10"/>
        <v>0.1016682</v>
      </c>
    </row>
    <row r="97" spans="1:19">
      <c r="A97" s="253" t="s">
        <v>534</v>
      </c>
      <c r="B97" s="253" t="s">
        <v>534</v>
      </c>
      <c r="C97" s="232">
        <v>0.16600000000000001</v>
      </c>
      <c r="D97" s="232">
        <v>0</v>
      </c>
      <c r="E97" s="232">
        <v>0</v>
      </c>
      <c r="F97" s="232">
        <v>0</v>
      </c>
      <c r="G97" s="232">
        <v>0</v>
      </c>
      <c r="H97" s="232">
        <v>0</v>
      </c>
      <c r="I97" s="232">
        <v>1.0000000000000009E-3</v>
      </c>
      <c r="J97" s="254">
        <f t="shared" si="10"/>
        <v>0.16600000000000001</v>
      </c>
    </row>
    <row r="98" spans="1:19">
      <c r="A98" s="116"/>
      <c r="B98" s="116"/>
      <c r="C98" s="116"/>
      <c r="D98" s="116"/>
      <c r="E98" s="116"/>
      <c r="F98" s="116"/>
      <c r="G98" s="116"/>
      <c r="H98" s="116"/>
      <c r="I98" s="116"/>
      <c r="J98" s="116"/>
    </row>
    <row r="101" spans="1:19">
      <c r="B101" s="255" t="s">
        <v>651</v>
      </c>
      <c r="C101" s="234"/>
      <c r="D101" s="357" t="s">
        <v>588</v>
      </c>
      <c r="E101" s="357"/>
      <c r="F101" s="357"/>
      <c r="G101" s="357"/>
      <c r="H101" s="357"/>
      <c r="I101" s="234"/>
      <c r="M101" s="162" t="s">
        <v>436</v>
      </c>
      <c r="N101" s="119">
        <v>1</v>
      </c>
      <c r="O101" s="119">
        <f>N101+1</f>
        <v>2</v>
      </c>
      <c r="P101" s="119">
        <f t="shared" ref="P101" si="11">O101+1</f>
        <v>3</v>
      </c>
      <c r="Q101" s="119">
        <f t="shared" ref="Q101" si="12">P101+1</f>
        <v>4</v>
      </c>
      <c r="R101" s="119">
        <f t="shared" ref="R101" si="13">Q101+1</f>
        <v>5</v>
      </c>
      <c r="S101" s="119">
        <f t="shared" ref="S101" si="14">R101+1</f>
        <v>6</v>
      </c>
    </row>
    <row r="102" spans="1:19" ht="28.8">
      <c r="B102" s="233" t="s">
        <v>589</v>
      </c>
      <c r="C102" s="233" t="s">
        <v>590</v>
      </c>
      <c r="D102" s="233" t="s">
        <v>426</v>
      </c>
      <c r="E102" s="233" t="s">
        <v>427</v>
      </c>
      <c r="F102" s="233" t="s">
        <v>428</v>
      </c>
      <c r="G102" s="233" t="s">
        <v>429</v>
      </c>
      <c r="H102" s="233" t="s">
        <v>430</v>
      </c>
      <c r="I102" s="233" t="s">
        <v>422</v>
      </c>
      <c r="M102" s="163" t="s">
        <v>437</v>
      </c>
      <c r="N102" s="164">
        <f>C104</f>
        <v>124.72298093600014</v>
      </c>
      <c r="O102" s="165"/>
      <c r="P102" s="165"/>
      <c r="Q102" s="165"/>
      <c r="R102" s="165"/>
      <c r="S102" s="116"/>
    </row>
    <row r="103" spans="1:19">
      <c r="B103" s="231" t="s">
        <v>591</v>
      </c>
      <c r="C103" s="232">
        <v>323.77999999999997</v>
      </c>
      <c r="D103" s="232">
        <v>0</v>
      </c>
      <c r="E103" s="232">
        <v>0</v>
      </c>
      <c r="F103" s="232">
        <v>0</v>
      </c>
      <c r="G103" s="232">
        <v>0</v>
      </c>
      <c r="H103" s="232">
        <v>0</v>
      </c>
      <c r="I103" s="232"/>
      <c r="M103" s="163" t="s">
        <v>438</v>
      </c>
      <c r="N103" s="164">
        <f>D104</f>
        <v>60.174922085999988</v>
      </c>
      <c r="O103" s="164">
        <f t="shared" ref="O103:S103" si="15">E104</f>
        <v>0</v>
      </c>
      <c r="P103" s="164">
        <f t="shared" si="15"/>
        <v>0</v>
      </c>
      <c r="Q103" s="164">
        <f t="shared" si="15"/>
        <v>0</v>
      </c>
      <c r="R103" s="164">
        <f t="shared" si="15"/>
        <v>0</v>
      </c>
      <c r="S103" s="164">
        <f t="shared" si="15"/>
        <v>10.029999999999999</v>
      </c>
    </row>
    <row r="104" spans="1:19">
      <c r="B104" s="231" t="s">
        <v>592</v>
      </c>
      <c r="C104" s="232">
        <v>124.72298093600014</v>
      </c>
      <c r="D104" s="232">
        <v>60.174922085999988</v>
      </c>
      <c r="E104" s="232">
        <v>0</v>
      </c>
      <c r="F104" s="232">
        <v>0</v>
      </c>
      <c r="G104" s="232">
        <v>0</v>
      </c>
      <c r="H104" s="232">
        <v>0</v>
      </c>
      <c r="I104" s="232">
        <v>10.029999999999999</v>
      </c>
      <c r="M104" s="163" t="s">
        <v>439</v>
      </c>
      <c r="N104" s="165">
        <v>1</v>
      </c>
      <c r="O104" s="165">
        <f>N104+1</f>
        <v>2</v>
      </c>
      <c r="P104" s="165">
        <f t="shared" ref="P104" si="16">O104+1</f>
        <v>3</v>
      </c>
      <c r="Q104" s="165">
        <f t="shared" ref="Q104" si="17">P104+1</f>
        <v>4</v>
      </c>
      <c r="R104" s="165">
        <f t="shared" ref="R104" si="18">Q104+1</f>
        <v>5</v>
      </c>
      <c r="S104" s="165">
        <f t="shared" ref="S104" si="19">R104+1</f>
        <v>6</v>
      </c>
    </row>
    <row r="105" spans="1:19">
      <c r="B105" s="231" t="s">
        <v>593</v>
      </c>
      <c r="C105" s="232">
        <v>10.7</v>
      </c>
      <c r="D105" s="232">
        <v>10.7</v>
      </c>
      <c r="E105" s="232">
        <v>0</v>
      </c>
      <c r="F105" s="232">
        <v>0</v>
      </c>
      <c r="G105" s="232">
        <v>0</v>
      </c>
      <c r="H105" s="232">
        <v>0</v>
      </c>
      <c r="I105" s="232">
        <v>0.02</v>
      </c>
      <c r="M105" s="163" t="s">
        <v>153</v>
      </c>
      <c r="N105" s="166">
        <f>1/(1+$N$106)^N104</f>
        <v>0.85470085470085477</v>
      </c>
      <c r="O105" s="166">
        <f t="shared" ref="O105" si="20">1/(1+$N$25)^O104</f>
        <v>0.73051355102637161</v>
      </c>
      <c r="P105" s="166">
        <f t="shared" ref="P105" si="21">1/(1+$N$25)^P104</f>
        <v>0.62437055643279626</v>
      </c>
      <c r="Q105" s="166">
        <f t="shared" ref="Q105" si="22">1/(1+$N$25)^Q104</f>
        <v>0.53365004823315931</v>
      </c>
      <c r="R105" s="166">
        <f t="shared" ref="R105" si="23">1/(1+$N$25)^R104</f>
        <v>0.45611115233603361</v>
      </c>
      <c r="S105" s="275">
        <v>0.3</v>
      </c>
    </row>
    <row r="106" spans="1:19">
      <c r="B106" s="233"/>
      <c r="C106" s="233">
        <v>459.20298093600007</v>
      </c>
      <c r="D106" s="233">
        <v>70.874922085999984</v>
      </c>
      <c r="E106" s="233">
        <v>0</v>
      </c>
      <c r="F106" s="233">
        <v>0</v>
      </c>
      <c r="G106" s="233">
        <v>0</v>
      </c>
      <c r="H106" s="233">
        <v>0</v>
      </c>
      <c r="I106" s="233">
        <v>10.049999999999999</v>
      </c>
      <c r="M106" s="163" t="s">
        <v>440</v>
      </c>
      <c r="N106" s="167">
        <v>0.17</v>
      </c>
      <c r="O106" s="165"/>
      <c r="P106" s="165"/>
      <c r="Q106" s="165"/>
      <c r="R106" s="165"/>
      <c r="S106" s="116"/>
    </row>
    <row r="107" spans="1:19">
      <c r="M107" s="163" t="s">
        <v>441</v>
      </c>
      <c r="N107" s="164">
        <f>N103*N105</f>
        <v>51.431557338461531</v>
      </c>
      <c r="O107" s="164">
        <f t="shared" ref="O107:R107" si="24">O103*O105</f>
        <v>0</v>
      </c>
      <c r="P107" s="164">
        <f t="shared" si="24"/>
        <v>0</v>
      </c>
      <c r="Q107" s="164">
        <f t="shared" si="24"/>
        <v>0</v>
      </c>
      <c r="R107" s="164">
        <f t="shared" si="24"/>
        <v>0</v>
      </c>
      <c r="S107" s="164">
        <f>S103*S105</f>
        <v>3.0089999999999999</v>
      </c>
    </row>
    <row r="108" spans="1:19">
      <c r="M108" s="168" t="s">
        <v>442</v>
      </c>
      <c r="N108" s="169">
        <f>SUM(N107:S107)</f>
        <v>54.440557338461531</v>
      </c>
      <c r="O108" s="162"/>
      <c r="P108" s="162"/>
      <c r="Q108" s="162"/>
      <c r="R108" s="170"/>
      <c r="S108" s="170"/>
    </row>
    <row r="109" spans="1:19">
      <c r="M109" s="276" t="s">
        <v>465</v>
      </c>
      <c r="N109" s="159">
        <f>(N103*50%)+(O103*40%)+(P103*30%)+(Q103*20%)+(R103*10%)</f>
        <v>30.087461042999994</v>
      </c>
    </row>
    <row r="110" spans="1:19">
      <c r="B110" s="239"/>
      <c r="C110" s="239"/>
      <c r="D110" s="239"/>
      <c r="E110" s="358" t="s">
        <v>421</v>
      </c>
      <c r="F110" s="358"/>
      <c r="G110" s="358"/>
      <c r="H110" s="358"/>
      <c r="I110" s="358"/>
      <c r="J110" s="249"/>
      <c r="K110" s="249"/>
    </row>
    <row r="111" spans="1:19">
      <c r="B111" s="239" t="s">
        <v>594</v>
      </c>
      <c r="C111" s="239"/>
      <c r="D111" s="248">
        <f t="shared" ref="D111:K111" si="25">SUBTOTAL(9,D113:D197)</f>
        <v>177.10097924871647</v>
      </c>
      <c r="E111" s="248">
        <f t="shared" si="25"/>
        <v>45.144714654663979</v>
      </c>
      <c r="F111" s="248">
        <f t="shared" si="25"/>
        <v>17.387515564000008</v>
      </c>
      <c r="G111" s="248">
        <f t="shared" si="25"/>
        <v>33.667447898000006</v>
      </c>
      <c r="H111" s="248">
        <f t="shared" si="25"/>
        <v>7.1476742372246322</v>
      </c>
      <c r="I111" s="248">
        <f t="shared" si="25"/>
        <v>2.4621342576175644</v>
      </c>
      <c r="J111" s="248">
        <f t="shared" si="25"/>
        <v>8.2855697782103324</v>
      </c>
      <c r="K111" s="248">
        <f t="shared" si="25"/>
        <v>71.291492637210339</v>
      </c>
    </row>
    <row r="112" spans="1:19" ht="43.2">
      <c r="B112" s="250" t="s">
        <v>186</v>
      </c>
      <c r="C112" s="250" t="s">
        <v>187</v>
      </c>
      <c r="D112" s="256" t="s">
        <v>548</v>
      </c>
      <c r="E112" s="252" t="s">
        <v>426</v>
      </c>
      <c r="F112" s="252" t="s">
        <v>427</v>
      </c>
      <c r="G112" s="252" t="s">
        <v>428</v>
      </c>
      <c r="H112" s="252" t="s">
        <v>429</v>
      </c>
      <c r="I112" s="252" t="s">
        <v>430</v>
      </c>
      <c r="J112" s="243" t="s">
        <v>422</v>
      </c>
      <c r="K112" s="243" t="s">
        <v>501</v>
      </c>
    </row>
    <row r="113" spans="2:19">
      <c r="B113" s="253" t="s">
        <v>239</v>
      </c>
      <c r="C113" s="253" t="s">
        <v>240</v>
      </c>
      <c r="D113" s="232">
        <v>10.610573879999992</v>
      </c>
      <c r="E113" s="232">
        <v>6.3097751859999924</v>
      </c>
      <c r="F113" s="232">
        <v>0</v>
      </c>
      <c r="G113" s="232">
        <v>5.7567013999999972E-2</v>
      </c>
      <c r="H113" s="232">
        <v>0</v>
      </c>
      <c r="I113" s="232">
        <v>-1.3999999382008355E-8</v>
      </c>
      <c r="J113" s="232">
        <v>0</v>
      </c>
      <c r="K113" s="232">
        <f>D113-E113-F113-G113-H113-I113</f>
        <v>4.2432316939999986</v>
      </c>
    </row>
    <row r="114" spans="2:19">
      <c r="B114" s="253" t="s">
        <v>239</v>
      </c>
      <c r="C114" s="253" t="s">
        <v>529</v>
      </c>
      <c r="D114" s="232">
        <v>0.57505612700000008</v>
      </c>
      <c r="E114" s="232"/>
      <c r="F114" s="232">
        <v>0</v>
      </c>
      <c r="G114" s="232">
        <v>0.55073149999999993</v>
      </c>
      <c r="H114" s="232">
        <v>0</v>
      </c>
      <c r="I114" s="232"/>
      <c r="J114" s="232">
        <v>0</v>
      </c>
      <c r="K114" s="232">
        <f t="shared" ref="K114:K177" si="26">D114-E114-F114-G114-H114-I114</f>
        <v>2.4324627000000154E-2</v>
      </c>
      <c r="M114" s="162" t="s">
        <v>436</v>
      </c>
      <c r="N114" s="119">
        <v>1</v>
      </c>
      <c r="O114" s="119">
        <f>N114+1</f>
        <v>2</v>
      </c>
      <c r="P114" s="119">
        <f t="shared" ref="P114" si="27">O114+1</f>
        <v>3</v>
      </c>
      <c r="Q114" s="119">
        <f t="shared" ref="Q114" si="28">P114+1</f>
        <v>4</v>
      </c>
      <c r="R114" s="119">
        <f t="shared" ref="R114" si="29">Q114+1</f>
        <v>5</v>
      </c>
      <c r="S114" s="119">
        <f t="shared" ref="S114" si="30">R114+1</f>
        <v>6</v>
      </c>
    </row>
    <row r="115" spans="2:19">
      <c r="B115" s="253" t="s">
        <v>239</v>
      </c>
      <c r="C115" s="253" t="s">
        <v>523</v>
      </c>
      <c r="D115" s="232">
        <v>1.3717027740000001</v>
      </c>
      <c r="E115" s="232">
        <v>9.4165792000000081E-2</v>
      </c>
      <c r="F115" s="232">
        <v>0</v>
      </c>
      <c r="G115" s="232">
        <v>5.2343999999999724E-3</v>
      </c>
      <c r="H115" s="232">
        <v>0</v>
      </c>
      <c r="I115" s="232">
        <v>4.8612240000001083E-3</v>
      </c>
      <c r="J115" s="232">
        <v>0</v>
      </c>
      <c r="K115" s="232">
        <f t="shared" si="26"/>
        <v>1.2674413579999999</v>
      </c>
      <c r="M115" s="163" t="s">
        <v>437</v>
      </c>
      <c r="N115" s="164">
        <f>D111</f>
        <v>177.10097924871647</v>
      </c>
      <c r="O115" s="165"/>
      <c r="P115" s="165"/>
      <c r="Q115" s="165"/>
      <c r="R115" s="165"/>
      <c r="S115" s="116"/>
    </row>
    <row r="116" spans="2:19">
      <c r="B116" s="253" t="s">
        <v>239</v>
      </c>
      <c r="C116" s="253" t="s">
        <v>595</v>
      </c>
      <c r="D116" s="232">
        <v>0.70443918500000002</v>
      </c>
      <c r="E116" s="232">
        <v>0.57613088700000004</v>
      </c>
      <c r="F116" s="232">
        <v>0</v>
      </c>
      <c r="G116" s="232">
        <v>9.3731097999999985E-2</v>
      </c>
      <c r="H116" s="232">
        <v>0</v>
      </c>
      <c r="I116" s="232">
        <v>9.682386000000015E-3</v>
      </c>
      <c r="J116" s="232">
        <v>0</v>
      </c>
      <c r="K116" s="232">
        <f t="shared" si="26"/>
        <v>2.4894813999999987E-2</v>
      </c>
      <c r="M116" s="163" t="s">
        <v>438</v>
      </c>
      <c r="N116" s="164">
        <f>E111</f>
        <v>45.144714654663979</v>
      </c>
      <c r="O116" s="164">
        <f t="shared" ref="O116:R116" si="31">F111</f>
        <v>17.387515564000008</v>
      </c>
      <c r="P116" s="164">
        <f t="shared" si="31"/>
        <v>33.667447898000006</v>
      </c>
      <c r="Q116" s="164">
        <f t="shared" si="31"/>
        <v>7.1476742372246322</v>
      </c>
      <c r="R116" s="164">
        <f t="shared" si="31"/>
        <v>2.4621342576175644</v>
      </c>
      <c r="S116" s="164">
        <f>K111</f>
        <v>71.291492637210339</v>
      </c>
    </row>
    <row r="117" spans="2:19">
      <c r="B117" s="253" t="s">
        <v>239</v>
      </c>
      <c r="C117" s="253" t="s">
        <v>546</v>
      </c>
      <c r="D117" s="232">
        <v>1.4918138299999999</v>
      </c>
      <c r="E117" s="232"/>
      <c r="F117" s="232">
        <v>0</v>
      </c>
      <c r="G117" s="232">
        <v>1.2211999999998113E-3</v>
      </c>
      <c r="H117" s="232">
        <v>0</v>
      </c>
      <c r="I117" s="232">
        <v>1.0491143999999508E-2</v>
      </c>
      <c r="J117" s="232">
        <v>0</v>
      </c>
      <c r="K117" s="232">
        <f t="shared" si="26"/>
        <v>1.4801014860000006</v>
      </c>
      <c r="M117" s="163" t="s">
        <v>439</v>
      </c>
      <c r="N117" s="165">
        <v>1</v>
      </c>
      <c r="O117" s="165">
        <f>N117+1</f>
        <v>2</v>
      </c>
      <c r="P117" s="165">
        <f t="shared" ref="P117" si="32">O117+1</f>
        <v>3</v>
      </c>
      <c r="Q117" s="165">
        <f t="shared" ref="Q117" si="33">P117+1</f>
        <v>4</v>
      </c>
      <c r="R117" s="165">
        <f t="shared" ref="R117" si="34">Q117+1</f>
        <v>5</v>
      </c>
      <c r="S117" s="165">
        <f t="shared" ref="S117" si="35">R117+1</f>
        <v>6</v>
      </c>
    </row>
    <row r="118" spans="2:19">
      <c r="B118" s="253" t="s">
        <v>239</v>
      </c>
      <c r="C118" s="253" t="s">
        <v>574</v>
      </c>
      <c r="D118" s="232">
        <v>0.31105690000000003</v>
      </c>
      <c r="E118" s="232"/>
      <c r="F118" s="232">
        <v>0</v>
      </c>
      <c r="G118" s="232">
        <v>0.25154719999999997</v>
      </c>
      <c r="H118" s="232">
        <v>5.7700400000000041E-2</v>
      </c>
      <c r="I118" s="232">
        <v>1.8093000000000137E-3</v>
      </c>
      <c r="J118" s="232">
        <v>0</v>
      </c>
      <c r="K118" s="232">
        <f t="shared" si="26"/>
        <v>0</v>
      </c>
      <c r="M118" s="163" t="s">
        <v>153</v>
      </c>
      <c r="N118" s="166">
        <f>1/(1+$N$119)^N117</f>
        <v>0.85470085470085477</v>
      </c>
      <c r="O118" s="166">
        <f t="shared" ref="O118" si="36">1/(1+$N$25)^O117</f>
        <v>0.73051355102637161</v>
      </c>
      <c r="P118" s="166">
        <f t="shared" ref="P118" si="37">1/(1+$N$25)^P117</f>
        <v>0.62437055643279626</v>
      </c>
      <c r="Q118" s="166">
        <f t="shared" ref="Q118" si="38">1/(1+$N$25)^Q117</f>
        <v>0.53365004823315931</v>
      </c>
      <c r="R118" s="166">
        <f t="shared" ref="R118" si="39">1/(1+$N$25)^R117</f>
        <v>0.45611115233603361</v>
      </c>
      <c r="S118" s="275">
        <v>0.3</v>
      </c>
    </row>
    <row r="119" spans="2:19">
      <c r="B119" s="253" t="s">
        <v>239</v>
      </c>
      <c r="C119" s="253" t="s">
        <v>596</v>
      </c>
      <c r="D119" s="232">
        <v>0.69096137999999996</v>
      </c>
      <c r="E119" s="232"/>
      <c r="F119" s="232">
        <v>0</v>
      </c>
      <c r="G119" s="232">
        <v>0.66486899099999985</v>
      </c>
      <c r="H119" s="232">
        <v>2.6092389000000105E-2</v>
      </c>
      <c r="I119" s="232"/>
      <c r="J119" s="232">
        <v>0</v>
      </c>
      <c r="K119" s="232">
        <f t="shared" si="26"/>
        <v>0</v>
      </c>
      <c r="M119" s="163" t="s">
        <v>440</v>
      </c>
      <c r="N119" s="167">
        <v>0.17</v>
      </c>
      <c r="O119" s="165"/>
      <c r="P119" s="165"/>
      <c r="Q119" s="165"/>
      <c r="R119" s="165"/>
      <c r="S119" s="116"/>
    </row>
    <row r="120" spans="2:19">
      <c r="B120" s="253" t="s">
        <v>239</v>
      </c>
      <c r="C120" s="253" t="s">
        <v>597</v>
      </c>
      <c r="D120" s="232">
        <v>0.96390989100000002</v>
      </c>
      <c r="E120" s="232"/>
      <c r="F120" s="232">
        <v>9.3372037999999824E-2</v>
      </c>
      <c r="G120" s="232">
        <v>0.34753785300000017</v>
      </c>
      <c r="H120" s="232">
        <v>0</v>
      </c>
      <c r="I120" s="232"/>
      <c r="J120" s="232">
        <v>0</v>
      </c>
      <c r="K120" s="232">
        <f t="shared" si="26"/>
        <v>0.52300000000000002</v>
      </c>
      <c r="M120" s="163" t="s">
        <v>441</v>
      </c>
      <c r="N120" s="164">
        <f>N116*N118</f>
        <v>38.585226200567504</v>
      </c>
      <c r="O120" s="164">
        <f t="shared" ref="O120:R120" si="40">O116*O118</f>
        <v>12.701815738183951</v>
      </c>
      <c r="P120" s="164">
        <f t="shared" si="40"/>
        <v>21.020963177746442</v>
      </c>
      <c r="Q120" s="164">
        <f t="shared" si="40"/>
        <v>3.8143567014498352</v>
      </c>
      <c r="R120" s="164">
        <f t="shared" si="40"/>
        <v>1.123006893447972</v>
      </c>
      <c r="S120" s="164">
        <f>S116*S118</f>
        <v>21.387447791163101</v>
      </c>
    </row>
    <row r="121" spans="2:19">
      <c r="B121" s="253" t="s">
        <v>239</v>
      </c>
      <c r="C121" s="253" t="s">
        <v>526</v>
      </c>
      <c r="D121" s="232">
        <v>5.6903314570000019</v>
      </c>
      <c r="E121" s="232">
        <v>3.7190942860000016</v>
      </c>
      <c r="F121" s="232">
        <v>0</v>
      </c>
      <c r="G121" s="232">
        <v>1.6133698650000001</v>
      </c>
      <c r="H121" s="232">
        <v>5.0867299999999949E-2</v>
      </c>
      <c r="I121" s="232">
        <v>4.2000006000000312E-2</v>
      </c>
      <c r="J121" s="232">
        <v>0</v>
      </c>
      <c r="K121" s="232">
        <f t="shared" si="26"/>
        <v>0.2649999999999999</v>
      </c>
      <c r="M121" s="168" t="s">
        <v>442</v>
      </c>
      <c r="N121" s="169">
        <f>SUM(N120:S120)</f>
        <v>98.632816502558811</v>
      </c>
      <c r="O121" s="162"/>
      <c r="P121" s="162"/>
      <c r="Q121" s="162"/>
      <c r="R121" s="170"/>
      <c r="S121" s="170"/>
    </row>
    <row r="122" spans="2:19">
      <c r="B122" s="253" t="s">
        <v>239</v>
      </c>
      <c r="C122" s="253" t="s">
        <v>575</v>
      </c>
      <c r="D122" s="232">
        <v>1.3717945779999998</v>
      </c>
      <c r="E122" s="232">
        <v>1.0270610379999998</v>
      </c>
      <c r="F122" s="232">
        <v>0</v>
      </c>
      <c r="G122" s="232">
        <v>0.33275269999999996</v>
      </c>
      <c r="H122" s="232">
        <v>0</v>
      </c>
      <c r="I122" s="232">
        <v>1.1980840000000104E-2</v>
      </c>
      <c r="J122" s="232">
        <v>0</v>
      </c>
      <c r="K122" s="232">
        <f t="shared" si="26"/>
        <v>-5.5511151231257827E-17</v>
      </c>
      <c r="M122" s="276" t="s">
        <v>465</v>
      </c>
      <c r="N122" s="159">
        <f>(N116*50%)+(O116*40%)+(P116*30%)+(Q116*20%)+(R116*10%)</f>
        <v>41.30334619553868</v>
      </c>
    </row>
    <row r="123" spans="2:19">
      <c r="B123" s="253" t="s">
        <v>239</v>
      </c>
      <c r="C123" s="253" t="s">
        <v>533</v>
      </c>
      <c r="D123" s="232">
        <v>1.1497845089999998</v>
      </c>
      <c r="E123" s="232">
        <v>0.13606889</v>
      </c>
      <c r="F123" s="232">
        <v>0.35055316999999986</v>
      </c>
      <c r="G123" s="232">
        <v>0.38949961700000002</v>
      </c>
      <c r="H123" s="232">
        <v>4.6628319999999501E-3</v>
      </c>
      <c r="I123" s="232"/>
      <c r="J123" s="232">
        <v>0</v>
      </c>
      <c r="K123" s="232">
        <f t="shared" si="26"/>
        <v>0.26900000000000002</v>
      </c>
    </row>
    <row r="124" spans="2:19">
      <c r="B124" s="253" t="s">
        <v>239</v>
      </c>
      <c r="C124" s="253" t="s">
        <v>598</v>
      </c>
      <c r="D124" s="232">
        <v>2.7404074880000002</v>
      </c>
      <c r="E124" s="232"/>
      <c r="F124" s="232">
        <v>0</v>
      </c>
      <c r="G124" s="232">
        <v>2.0110266179999998</v>
      </c>
      <c r="H124" s="232">
        <v>0</v>
      </c>
      <c r="I124" s="232">
        <v>1.4953037999999808E-2</v>
      </c>
      <c r="J124" s="232">
        <v>0</v>
      </c>
      <c r="K124" s="232">
        <f t="shared" si="26"/>
        <v>0.7144278320000006</v>
      </c>
    </row>
    <row r="125" spans="2:19">
      <c r="B125" s="253" t="s">
        <v>239</v>
      </c>
      <c r="C125" s="253" t="s">
        <v>531</v>
      </c>
      <c r="D125" s="232">
        <v>2.7274954689999995</v>
      </c>
      <c r="E125" s="232">
        <v>1.3713110129999995</v>
      </c>
      <c r="F125" s="232">
        <v>0.50449977700000015</v>
      </c>
      <c r="G125" s="232">
        <v>0.25783549999999988</v>
      </c>
      <c r="H125" s="232">
        <v>0.15891100000000002</v>
      </c>
      <c r="I125" s="232"/>
      <c r="J125" s="232">
        <v>0</v>
      </c>
      <c r="K125" s="232">
        <f t="shared" si="26"/>
        <v>0.43493817899999998</v>
      </c>
    </row>
    <row r="126" spans="2:19">
      <c r="B126" s="253" t="s">
        <v>239</v>
      </c>
      <c r="C126" s="253" t="s">
        <v>541</v>
      </c>
      <c r="D126" s="232">
        <v>0.64125125700000007</v>
      </c>
      <c r="E126" s="232">
        <v>0.16896759400000011</v>
      </c>
      <c r="F126" s="232">
        <v>0</v>
      </c>
      <c r="G126" s="232"/>
      <c r="H126" s="232">
        <v>0.47228366299999996</v>
      </c>
      <c r="I126" s="232"/>
      <c r="J126" s="232">
        <v>0</v>
      </c>
      <c r="K126" s="232">
        <f t="shared" si="26"/>
        <v>0</v>
      </c>
    </row>
    <row r="127" spans="2:19">
      <c r="B127" s="253" t="s">
        <v>239</v>
      </c>
      <c r="C127" s="253" t="s">
        <v>543</v>
      </c>
      <c r="D127" s="232">
        <v>2.2268811499999988</v>
      </c>
      <c r="E127" s="232">
        <v>1.1432695009999987</v>
      </c>
      <c r="F127" s="232">
        <v>0.37787313200000006</v>
      </c>
      <c r="G127" s="232"/>
      <c r="H127" s="232">
        <v>0</v>
      </c>
      <c r="I127" s="232"/>
      <c r="J127" s="232">
        <v>0</v>
      </c>
      <c r="K127" s="232">
        <f t="shared" si="26"/>
        <v>0.70573851700000001</v>
      </c>
    </row>
    <row r="128" spans="2:19">
      <c r="B128" s="253" t="s">
        <v>239</v>
      </c>
      <c r="C128" s="253" t="s">
        <v>599</v>
      </c>
      <c r="D128" s="232">
        <v>0.63565290299999988</v>
      </c>
      <c r="E128" s="232">
        <v>0.31896370099999988</v>
      </c>
      <c r="F128" s="232">
        <v>0</v>
      </c>
      <c r="G128" s="232">
        <v>8.5945000000000049E-3</v>
      </c>
      <c r="H128" s="232">
        <v>0</v>
      </c>
      <c r="I128" s="232">
        <v>1.0947019999999474E-3</v>
      </c>
      <c r="J128" s="232">
        <v>0</v>
      </c>
      <c r="K128" s="232">
        <f t="shared" si="26"/>
        <v>0.30700000000000005</v>
      </c>
    </row>
    <row r="129" spans="2:11">
      <c r="B129" s="253" t="s">
        <v>239</v>
      </c>
      <c r="C129" s="253" t="s">
        <v>600</v>
      </c>
      <c r="D129" s="232">
        <v>1.4239273299999999</v>
      </c>
      <c r="E129" s="232">
        <v>0.3382027809999999</v>
      </c>
      <c r="F129" s="232">
        <v>0.3040885900000001</v>
      </c>
      <c r="G129" s="232"/>
      <c r="H129" s="232">
        <v>6.777800000000056E-3</v>
      </c>
      <c r="I129" s="232"/>
      <c r="J129" s="232">
        <v>0</v>
      </c>
      <c r="K129" s="232">
        <f t="shared" si="26"/>
        <v>0.77485815899999988</v>
      </c>
    </row>
    <row r="130" spans="2:11">
      <c r="B130" s="253" t="s">
        <v>239</v>
      </c>
      <c r="C130" s="253" t="s">
        <v>601</v>
      </c>
      <c r="D130" s="232">
        <v>0.82823081500000018</v>
      </c>
      <c r="E130" s="232"/>
      <c r="F130" s="232">
        <v>0</v>
      </c>
      <c r="G130" s="232"/>
      <c r="H130" s="232">
        <v>6.4755899999999977E-2</v>
      </c>
      <c r="I130" s="232"/>
      <c r="J130" s="232">
        <v>0</v>
      </c>
      <c r="K130" s="232">
        <f t="shared" si="26"/>
        <v>0.7634749150000002</v>
      </c>
    </row>
    <row r="131" spans="2:11">
      <c r="B131" s="253" t="s">
        <v>239</v>
      </c>
      <c r="C131" s="253" t="s">
        <v>602</v>
      </c>
      <c r="D131" s="232">
        <v>0.93118219400000013</v>
      </c>
      <c r="E131" s="232">
        <v>0.48803644400000012</v>
      </c>
      <c r="F131" s="232">
        <v>0</v>
      </c>
      <c r="G131" s="232"/>
      <c r="H131" s="232">
        <v>0</v>
      </c>
      <c r="I131" s="232">
        <v>1.3366499999999393E-3</v>
      </c>
      <c r="J131" s="232">
        <v>0</v>
      </c>
      <c r="K131" s="232">
        <f t="shared" si="26"/>
        <v>0.44180910000000007</v>
      </c>
    </row>
    <row r="132" spans="2:11">
      <c r="B132" s="253" t="s">
        <v>239</v>
      </c>
      <c r="C132" s="253" t="s">
        <v>576</v>
      </c>
      <c r="D132" s="232">
        <v>1.058221294</v>
      </c>
      <c r="E132" s="232">
        <v>1.003002594</v>
      </c>
      <c r="F132" s="232">
        <v>0</v>
      </c>
      <c r="G132" s="232"/>
      <c r="H132" s="232">
        <v>0</v>
      </c>
      <c r="I132" s="232">
        <v>1.0750000000000065E-3</v>
      </c>
      <c r="J132" s="232">
        <v>0</v>
      </c>
      <c r="K132" s="232">
        <f t="shared" si="26"/>
        <v>5.4143699999999947E-2</v>
      </c>
    </row>
    <row r="133" spans="2:11">
      <c r="B133" s="253" t="s">
        <v>239</v>
      </c>
      <c r="C133" s="253" t="s">
        <v>603</v>
      </c>
      <c r="D133" s="232">
        <v>0.16286250000000002</v>
      </c>
      <c r="E133" s="232">
        <v>0.14983780000000002</v>
      </c>
      <c r="F133" s="232">
        <v>1.621999999999995E-4</v>
      </c>
      <c r="G133" s="232"/>
      <c r="H133" s="232">
        <v>0</v>
      </c>
      <c r="I133" s="232">
        <v>1.2862499999999999E-2</v>
      </c>
      <c r="J133" s="232">
        <v>0</v>
      </c>
      <c r="K133" s="232">
        <f t="shared" si="26"/>
        <v>0</v>
      </c>
    </row>
    <row r="134" spans="2:11">
      <c r="B134" s="253" t="s">
        <v>400</v>
      </c>
      <c r="C134" s="253" t="s">
        <v>604</v>
      </c>
      <c r="D134" s="232">
        <v>0.48785684999999995</v>
      </c>
      <c r="E134" s="232">
        <v>0.47015055599999994</v>
      </c>
      <c r="F134" s="232">
        <v>1.4794293999999986E-2</v>
      </c>
      <c r="G134" s="232"/>
      <c r="H134" s="232">
        <v>0</v>
      </c>
      <c r="I134" s="232">
        <v>0</v>
      </c>
      <c r="J134" s="232">
        <v>0</v>
      </c>
      <c r="K134" s="232">
        <f t="shared" si="26"/>
        <v>2.9120000000000257E-3</v>
      </c>
    </row>
    <row r="135" spans="2:11">
      <c r="B135" s="253" t="s">
        <v>400</v>
      </c>
      <c r="C135" s="253" t="s">
        <v>605</v>
      </c>
      <c r="D135" s="232">
        <v>3.8451427409999996</v>
      </c>
      <c r="E135" s="232">
        <v>3.2573295109999996</v>
      </c>
      <c r="F135" s="232">
        <v>0.53172596600000022</v>
      </c>
      <c r="G135" s="232">
        <v>0</v>
      </c>
      <c r="H135" s="232">
        <v>0</v>
      </c>
      <c r="I135" s="232">
        <v>0</v>
      </c>
      <c r="J135" s="232">
        <v>0</v>
      </c>
      <c r="K135" s="232">
        <f t="shared" si="26"/>
        <v>5.6087263999999859E-2</v>
      </c>
    </row>
    <row r="136" spans="2:11">
      <c r="B136" s="253" t="s">
        <v>400</v>
      </c>
      <c r="C136" s="253" t="s">
        <v>606</v>
      </c>
      <c r="D136" s="232">
        <v>0.5275763</v>
      </c>
      <c r="E136" s="232">
        <v>0.52488148899999998</v>
      </c>
      <c r="F136" s="232"/>
      <c r="G136" s="232"/>
      <c r="H136" s="232"/>
      <c r="I136" s="232">
        <v>0</v>
      </c>
      <c r="J136" s="232">
        <v>0</v>
      </c>
      <c r="K136" s="232">
        <f t="shared" si="26"/>
        <v>2.6948110000000192E-3</v>
      </c>
    </row>
    <row r="137" spans="2:11">
      <c r="B137" s="253" t="s">
        <v>400</v>
      </c>
      <c r="C137" s="253" t="s">
        <v>539</v>
      </c>
      <c r="D137" s="232">
        <v>3.5221452229999999</v>
      </c>
      <c r="E137" s="232">
        <v>1.8625359009999998</v>
      </c>
      <c r="F137" s="232">
        <v>0.33370346900000014</v>
      </c>
      <c r="G137" s="232">
        <v>0.79570354799999998</v>
      </c>
      <c r="H137" s="232"/>
      <c r="I137" s="232">
        <v>0</v>
      </c>
      <c r="J137" s="232">
        <v>0.20688046199999999</v>
      </c>
      <c r="K137" s="232">
        <f t="shared" si="26"/>
        <v>0.5302023050000001</v>
      </c>
    </row>
    <row r="138" spans="2:11">
      <c r="B138" s="253" t="s">
        <v>400</v>
      </c>
      <c r="C138" s="253" t="s">
        <v>537</v>
      </c>
      <c r="D138" s="232">
        <v>0.63207639999999998</v>
      </c>
      <c r="E138" s="232">
        <v>0</v>
      </c>
      <c r="F138" s="232">
        <v>0.63207639999999998</v>
      </c>
      <c r="G138" s="232"/>
      <c r="H138" s="232"/>
      <c r="I138" s="232"/>
      <c r="J138" s="232">
        <v>0</v>
      </c>
      <c r="K138" s="232">
        <f t="shared" si="26"/>
        <v>0</v>
      </c>
    </row>
    <row r="139" spans="2:11">
      <c r="B139" s="253" t="s">
        <v>400</v>
      </c>
      <c r="C139" s="253" t="s">
        <v>536</v>
      </c>
      <c r="D139" s="232">
        <v>0.95223307499999998</v>
      </c>
      <c r="E139" s="232">
        <v>0</v>
      </c>
      <c r="F139" s="232">
        <v>0.95223307499999998</v>
      </c>
      <c r="G139" s="232">
        <v>0</v>
      </c>
      <c r="H139" s="232">
        <v>0</v>
      </c>
      <c r="I139" s="232">
        <v>0</v>
      </c>
      <c r="J139" s="232">
        <v>0</v>
      </c>
      <c r="K139" s="232">
        <f t="shared" si="26"/>
        <v>0</v>
      </c>
    </row>
    <row r="140" spans="2:11">
      <c r="B140" s="253" t="s">
        <v>400</v>
      </c>
      <c r="C140" s="253" t="s">
        <v>607</v>
      </c>
      <c r="D140" s="232">
        <v>2.3216592599999997</v>
      </c>
      <c r="E140" s="232">
        <v>0</v>
      </c>
      <c r="F140" s="232">
        <v>2.3216592600000001</v>
      </c>
      <c r="G140" s="232">
        <v>0</v>
      </c>
      <c r="H140" s="232">
        <v>0</v>
      </c>
      <c r="I140" s="232">
        <v>0</v>
      </c>
      <c r="J140" s="232">
        <v>0</v>
      </c>
      <c r="K140" s="232">
        <f t="shared" si="26"/>
        <v>-4.4408920985006262E-16</v>
      </c>
    </row>
    <row r="141" spans="2:11">
      <c r="B141" s="253" t="s">
        <v>400</v>
      </c>
      <c r="C141" s="253" t="s">
        <v>549</v>
      </c>
      <c r="D141" s="232">
        <v>0.22099828500000002</v>
      </c>
      <c r="E141" s="232">
        <v>5.4931685000000008E-2</v>
      </c>
      <c r="F141" s="232">
        <v>0</v>
      </c>
      <c r="G141" s="232">
        <v>0.16606660000000001</v>
      </c>
      <c r="H141" s="232"/>
      <c r="I141" s="232"/>
      <c r="J141" s="232">
        <v>0</v>
      </c>
      <c r="K141" s="232">
        <f t="shared" si="26"/>
        <v>0</v>
      </c>
    </row>
    <row r="142" spans="2:11">
      <c r="B142" s="253" t="s">
        <v>400</v>
      </c>
      <c r="C142" s="253" t="s">
        <v>542</v>
      </c>
      <c r="D142" s="232">
        <v>1.0179389050000001</v>
      </c>
      <c r="E142" s="232">
        <v>0</v>
      </c>
      <c r="F142" s="232">
        <v>1.0179389050000001</v>
      </c>
      <c r="G142" s="232">
        <v>0</v>
      </c>
      <c r="H142" s="232">
        <v>0</v>
      </c>
      <c r="I142" s="232">
        <v>0</v>
      </c>
      <c r="J142" s="232">
        <v>0</v>
      </c>
      <c r="K142" s="232">
        <f t="shared" si="26"/>
        <v>0</v>
      </c>
    </row>
    <row r="143" spans="2:11">
      <c r="B143" s="253" t="s">
        <v>213</v>
      </c>
      <c r="C143" s="253" t="s">
        <v>553</v>
      </c>
      <c r="D143" s="257">
        <v>0.29862952799999998</v>
      </c>
      <c r="E143" s="232">
        <v>1.6371808999999984E-2</v>
      </c>
      <c r="F143" s="232">
        <v>7.2267089999999992E-2</v>
      </c>
      <c r="G143" s="232">
        <v>0</v>
      </c>
      <c r="H143" s="232">
        <v>0</v>
      </c>
      <c r="I143" s="232">
        <v>0</v>
      </c>
      <c r="J143" s="232">
        <v>0</v>
      </c>
      <c r="K143" s="232">
        <f t="shared" si="26"/>
        <v>0.20999062900000004</v>
      </c>
    </row>
    <row r="144" spans="2:11">
      <c r="B144" s="253" t="s">
        <v>213</v>
      </c>
      <c r="C144" s="253" t="s">
        <v>554</v>
      </c>
      <c r="D144" s="232">
        <v>1.1247415630000026</v>
      </c>
      <c r="E144" s="232">
        <v>0</v>
      </c>
      <c r="F144" s="232">
        <v>1.1247415630000026</v>
      </c>
      <c r="G144" s="232">
        <v>0</v>
      </c>
      <c r="H144" s="232">
        <v>0</v>
      </c>
      <c r="I144" s="232">
        <v>0</v>
      </c>
      <c r="J144" s="232">
        <v>0</v>
      </c>
      <c r="K144" s="232">
        <f t="shared" si="26"/>
        <v>0</v>
      </c>
    </row>
    <row r="145" spans="2:11">
      <c r="B145" s="253" t="s">
        <v>213</v>
      </c>
      <c r="C145" s="253" t="s">
        <v>232</v>
      </c>
      <c r="D145" s="232">
        <v>15.710363527</v>
      </c>
      <c r="E145" s="232">
        <v>7.2784029190000012</v>
      </c>
      <c r="F145" s="232">
        <v>5.1252754849999995</v>
      </c>
      <c r="G145" s="232">
        <v>3.3066851229999998</v>
      </c>
      <c r="H145" s="232">
        <v>0</v>
      </c>
      <c r="I145" s="232">
        <v>0</v>
      </c>
      <c r="J145" s="232">
        <v>0</v>
      </c>
      <c r="K145" s="232">
        <f t="shared" si="26"/>
        <v>-4.4408920985006262E-16</v>
      </c>
    </row>
    <row r="146" spans="2:11">
      <c r="B146" s="253" t="s">
        <v>213</v>
      </c>
      <c r="C146" s="253" t="s">
        <v>228</v>
      </c>
      <c r="D146" s="257">
        <v>4.507463529999999</v>
      </c>
      <c r="E146" s="232">
        <v>3.4421469849999995</v>
      </c>
      <c r="F146" s="232">
        <v>0.9683845919999996</v>
      </c>
      <c r="G146" s="232">
        <v>9.6931953000000112E-2</v>
      </c>
      <c r="H146" s="232">
        <v>0</v>
      </c>
      <c r="I146" s="232">
        <v>0</v>
      </c>
      <c r="J146" s="232">
        <v>0</v>
      </c>
      <c r="K146" s="232">
        <f t="shared" si="26"/>
        <v>-2.0816681711721685E-16</v>
      </c>
    </row>
    <row r="147" spans="2:11">
      <c r="B147" s="253" t="s">
        <v>213</v>
      </c>
      <c r="C147" s="253" t="s">
        <v>218</v>
      </c>
      <c r="D147" s="232">
        <v>0.47279423900000001</v>
      </c>
      <c r="E147" s="232">
        <v>0</v>
      </c>
      <c r="F147" s="232">
        <v>2.3267190000000038E-2</v>
      </c>
      <c r="G147" s="232">
        <v>6.8528399999999998E-4</v>
      </c>
      <c r="H147" s="232">
        <v>0</v>
      </c>
      <c r="I147" s="232">
        <v>0</v>
      </c>
      <c r="J147" s="232">
        <v>0</v>
      </c>
      <c r="K147" s="232">
        <f t="shared" si="26"/>
        <v>0.44884176499999995</v>
      </c>
    </row>
    <row r="148" spans="2:11">
      <c r="B148" s="253" t="s">
        <v>213</v>
      </c>
      <c r="C148" s="253" t="s">
        <v>555</v>
      </c>
      <c r="D148" s="257">
        <v>11.155269400000002</v>
      </c>
      <c r="E148" s="232">
        <v>3.38236650000006E-2</v>
      </c>
      <c r="F148" s="232">
        <v>6.696256999999285E-3</v>
      </c>
      <c r="G148" s="232">
        <v>10.348145078000002</v>
      </c>
      <c r="H148" s="232">
        <v>0</v>
      </c>
      <c r="I148" s="232">
        <v>0</v>
      </c>
      <c r="J148" s="232">
        <v>0</v>
      </c>
      <c r="K148" s="232">
        <f t="shared" si="26"/>
        <v>0.7666044000000003</v>
      </c>
    </row>
    <row r="149" spans="2:11">
      <c r="B149" s="253" t="s">
        <v>213</v>
      </c>
      <c r="C149" s="253" t="s">
        <v>220</v>
      </c>
      <c r="D149" s="232">
        <v>0.42830925400000003</v>
      </c>
      <c r="E149" s="232">
        <v>0.42830925400000003</v>
      </c>
      <c r="F149" s="232"/>
      <c r="G149" s="232">
        <v>0</v>
      </c>
      <c r="H149" s="232">
        <v>0</v>
      </c>
      <c r="I149" s="232">
        <v>0</v>
      </c>
      <c r="J149" s="232">
        <v>0</v>
      </c>
      <c r="K149" s="232">
        <f t="shared" si="26"/>
        <v>0</v>
      </c>
    </row>
    <row r="150" spans="2:11">
      <c r="B150" s="253" t="s">
        <v>213</v>
      </c>
      <c r="C150" s="253" t="s">
        <v>608</v>
      </c>
      <c r="D150" s="257">
        <v>39.615198300000003</v>
      </c>
      <c r="E150" s="232">
        <v>0</v>
      </c>
      <c r="F150" s="232">
        <v>0</v>
      </c>
      <c r="G150" s="232">
        <v>0</v>
      </c>
      <c r="H150" s="232">
        <v>0</v>
      </c>
      <c r="I150" s="232">
        <v>0</v>
      </c>
      <c r="J150" s="232">
        <v>0</v>
      </c>
      <c r="K150" s="232">
        <f t="shared" si="26"/>
        <v>39.615198300000003</v>
      </c>
    </row>
    <row r="151" spans="2:11">
      <c r="B151" s="253" t="s">
        <v>213</v>
      </c>
      <c r="C151" s="253" t="s">
        <v>556</v>
      </c>
      <c r="D151" s="257">
        <v>5.2897581300000018</v>
      </c>
      <c r="E151" s="232">
        <v>1.8973825219999998</v>
      </c>
      <c r="F151" s="232">
        <v>3.8565856999999655E-2</v>
      </c>
      <c r="G151" s="232">
        <v>0</v>
      </c>
      <c r="H151" s="232">
        <v>0</v>
      </c>
      <c r="I151" s="232">
        <v>0</v>
      </c>
      <c r="J151" s="232">
        <v>0</v>
      </c>
      <c r="K151" s="232">
        <f t="shared" si="26"/>
        <v>3.3538097510000022</v>
      </c>
    </row>
    <row r="152" spans="2:11">
      <c r="B152" s="253" t="s">
        <v>213</v>
      </c>
      <c r="C152" s="253" t="s">
        <v>609</v>
      </c>
      <c r="D152" s="232">
        <v>0.49268440000000002</v>
      </c>
      <c r="E152" s="232">
        <v>0</v>
      </c>
      <c r="F152" s="232">
        <v>0</v>
      </c>
      <c r="G152" s="232">
        <v>0</v>
      </c>
      <c r="H152" s="232">
        <v>0</v>
      </c>
      <c r="I152" s="232">
        <v>0</v>
      </c>
      <c r="J152" s="232">
        <v>0</v>
      </c>
      <c r="K152" s="232">
        <f t="shared" si="26"/>
        <v>0.49268440000000002</v>
      </c>
    </row>
    <row r="153" spans="2:11">
      <c r="B153" s="253" t="s">
        <v>213</v>
      </c>
      <c r="C153" s="253" t="s">
        <v>230</v>
      </c>
      <c r="D153" s="232">
        <v>3.0839999999999999E-2</v>
      </c>
      <c r="E153" s="232">
        <v>3.0839999999999999E-2</v>
      </c>
      <c r="F153" s="232">
        <v>0</v>
      </c>
      <c r="G153" s="232">
        <v>0</v>
      </c>
      <c r="H153" s="232">
        <v>0</v>
      </c>
      <c r="I153" s="232">
        <v>0</v>
      </c>
      <c r="J153" s="232">
        <v>0</v>
      </c>
      <c r="K153" s="232">
        <f t="shared" si="26"/>
        <v>0</v>
      </c>
    </row>
    <row r="154" spans="2:11">
      <c r="B154" s="253" t="s">
        <v>213</v>
      </c>
      <c r="C154" s="253" t="s">
        <v>610</v>
      </c>
      <c r="D154" s="232">
        <v>0.06</v>
      </c>
      <c r="E154" s="232">
        <v>0</v>
      </c>
      <c r="F154" s="232">
        <v>0.06</v>
      </c>
      <c r="G154" s="232">
        <v>0</v>
      </c>
      <c r="H154" s="232">
        <v>0</v>
      </c>
      <c r="I154" s="232">
        <v>0</v>
      </c>
      <c r="J154" s="232">
        <v>0</v>
      </c>
      <c r="K154" s="232">
        <f t="shared" si="26"/>
        <v>0</v>
      </c>
    </row>
    <row r="155" spans="2:11">
      <c r="B155" s="253" t="s">
        <v>363</v>
      </c>
      <c r="C155" s="253" t="s">
        <v>475</v>
      </c>
      <c r="D155" s="232">
        <v>0.23427930600000002</v>
      </c>
      <c r="E155" s="232">
        <v>0</v>
      </c>
      <c r="F155" s="232">
        <v>9.419950699999996E-2</v>
      </c>
      <c r="G155" s="232">
        <v>5.7911500000000005E-2</v>
      </c>
      <c r="H155" s="232">
        <v>8.2168299000000056E-2</v>
      </c>
      <c r="I155" s="232">
        <v>0</v>
      </c>
      <c r="J155" s="232">
        <v>0</v>
      </c>
      <c r="K155" s="232">
        <f t="shared" si="26"/>
        <v>0</v>
      </c>
    </row>
    <row r="156" spans="2:11">
      <c r="B156" s="253" t="s">
        <v>363</v>
      </c>
      <c r="C156" s="253" t="s">
        <v>557</v>
      </c>
      <c r="D156" s="232">
        <v>2.3515530999999999E-2</v>
      </c>
      <c r="E156" s="232">
        <v>0</v>
      </c>
      <c r="F156" s="232">
        <v>1.8989999999999979E-3</v>
      </c>
      <c r="G156" s="232">
        <v>1.3000000000000001E-8</v>
      </c>
      <c r="H156" s="232">
        <v>0</v>
      </c>
      <c r="I156" s="232">
        <v>0</v>
      </c>
      <c r="J156" s="232">
        <v>0</v>
      </c>
      <c r="K156" s="232">
        <f t="shared" si="26"/>
        <v>2.1616518000000001E-2</v>
      </c>
    </row>
    <row r="157" spans="2:11">
      <c r="B157" s="253" t="s">
        <v>363</v>
      </c>
      <c r="C157" s="253" t="s">
        <v>476</v>
      </c>
      <c r="D157" s="232">
        <v>0.22139086600000002</v>
      </c>
      <c r="E157" s="232">
        <v>0</v>
      </c>
      <c r="F157" s="232">
        <v>0</v>
      </c>
      <c r="G157" s="232">
        <v>0</v>
      </c>
      <c r="H157" s="232">
        <v>0</v>
      </c>
      <c r="I157" s="232">
        <v>0</v>
      </c>
      <c r="J157" s="232">
        <v>0</v>
      </c>
      <c r="K157" s="232">
        <f t="shared" si="26"/>
        <v>0.22139086600000002</v>
      </c>
    </row>
    <row r="158" spans="2:11">
      <c r="B158" s="253" t="s">
        <v>363</v>
      </c>
      <c r="C158" s="253" t="s">
        <v>558</v>
      </c>
      <c r="D158" s="232">
        <v>0.273541335</v>
      </c>
      <c r="E158" s="232">
        <v>0</v>
      </c>
      <c r="F158" s="232">
        <v>0</v>
      </c>
      <c r="G158" s="232">
        <v>0</v>
      </c>
      <c r="H158" s="232">
        <v>0</v>
      </c>
      <c r="I158" s="232">
        <v>0</v>
      </c>
      <c r="J158" s="232">
        <v>0</v>
      </c>
      <c r="K158" s="232">
        <f t="shared" si="26"/>
        <v>0.273541335</v>
      </c>
    </row>
    <row r="159" spans="2:11">
      <c r="B159" s="253" t="s">
        <v>363</v>
      </c>
      <c r="C159" s="253" t="s">
        <v>611</v>
      </c>
      <c r="D159" s="232">
        <v>0.12840476099999998</v>
      </c>
      <c r="E159" s="232">
        <v>0</v>
      </c>
      <c r="F159" s="232">
        <v>0</v>
      </c>
      <c r="G159" s="232">
        <v>0</v>
      </c>
      <c r="H159" s="232">
        <v>0</v>
      </c>
      <c r="I159" s="232">
        <v>0</v>
      </c>
      <c r="J159" s="232">
        <v>0</v>
      </c>
      <c r="K159" s="232">
        <f t="shared" si="26"/>
        <v>0.12840476099999998</v>
      </c>
    </row>
    <row r="160" spans="2:11">
      <c r="B160" s="253" t="s">
        <v>363</v>
      </c>
      <c r="C160" s="253" t="s">
        <v>612</v>
      </c>
      <c r="D160" s="232">
        <v>0.57996217800000005</v>
      </c>
      <c r="E160" s="232">
        <v>0</v>
      </c>
      <c r="F160" s="232">
        <v>0.57996217800000005</v>
      </c>
      <c r="G160" s="232">
        <v>0</v>
      </c>
      <c r="H160" s="232">
        <v>0</v>
      </c>
      <c r="I160" s="232">
        <v>0</v>
      </c>
      <c r="J160" s="232">
        <v>0</v>
      </c>
      <c r="K160" s="232">
        <f t="shared" si="26"/>
        <v>0</v>
      </c>
    </row>
    <row r="161" spans="2:11">
      <c r="B161" s="253" t="s">
        <v>363</v>
      </c>
      <c r="C161" s="253" t="s">
        <v>477</v>
      </c>
      <c r="D161" s="232">
        <v>0.9364441750000011</v>
      </c>
      <c r="E161" s="232">
        <v>0</v>
      </c>
      <c r="F161" s="232">
        <v>0.9364441750000011</v>
      </c>
      <c r="G161" s="232">
        <v>0</v>
      </c>
      <c r="H161" s="232">
        <v>0</v>
      </c>
      <c r="I161" s="232">
        <v>0</v>
      </c>
      <c r="J161" s="232">
        <v>0</v>
      </c>
      <c r="K161" s="232">
        <f t="shared" si="26"/>
        <v>0</v>
      </c>
    </row>
    <row r="162" spans="2:11">
      <c r="B162" s="253" t="s">
        <v>363</v>
      </c>
      <c r="C162" s="253" t="s">
        <v>560</v>
      </c>
      <c r="D162" s="232">
        <v>0.12708302999999999</v>
      </c>
      <c r="E162" s="232">
        <v>1.3122887999963417E-2</v>
      </c>
      <c r="F162" s="232">
        <v>6.8602622000000002E-2</v>
      </c>
      <c r="G162" s="232">
        <v>0</v>
      </c>
      <c r="H162" s="232">
        <v>4.5357520000036566E-2</v>
      </c>
      <c r="I162" s="232">
        <v>0</v>
      </c>
      <c r="J162" s="232">
        <v>0</v>
      </c>
      <c r="K162" s="232">
        <f t="shared" si="26"/>
        <v>0</v>
      </c>
    </row>
    <row r="163" spans="2:11">
      <c r="B163" s="253" t="s">
        <v>363</v>
      </c>
      <c r="C163" s="253" t="s">
        <v>613</v>
      </c>
      <c r="D163" s="232">
        <v>0.96062063600000014</v>
      </c>
      <c r="E163" s="232">
        <v>0</v>
      </c>
      <c r="F163" s="232">
        <v>0</v>
      </c>
      <c r="G163" s="232">
        <v>0</v>
      </c>
      <c r="H163" s="232">
        <v>0</v>
      </c>
      <c r="I163" s="232">
        <v>0</v>
      </c>
      <c r="J163" s="232">
        <v>0</v>
      </c>
      <c r="K163" s="232">
        <f t="shared" si="26"/>
        <v>0.96062063600000014</v>
      </c>
    </row>
    <row r="164" spans="2:11">
      <c r="B164" s="253" t="s">
        <v>363</v>
      </c>
      <c r="C164" s="253" t="s">
        <v>614</v>
      </c>
      <c r="D164" s="232">
        <v>5.860887E-2</v>
      </c>
      <c r="E164" s="232">
        <v>5.860887E-2</v>
      </c>
      <c r="F164" s="232">
        <v>0</v>
      </c>
      <c r="G164" s="232">
        <v>0</v>
      </c>
      <c r="H164" s="232">
        <v>0</v>
      </c>
      <c r="I164" s="232">
        <v>0</v>
      </c>
      <c r="J164" s="232">
        <v>0</v>
      </c>
      <c r="K164" s="232">
        <f t="shared" si="26"/>
        <v>0</v>
      </c>
    </row>
    <row r="165" spans="2:11">
      <c r="B165" s="253" t="s">
        <v>363</v>
      </c>
      <c r="C165" s="253" t="s">
        <v>615</v>
      </c>
      <c r="D165" s="232">
        <v>8.3495200000000006E-2</v>
      </c>
      <c r="E165" s="232">
        <v>9.9999999999999995E-8</v>
      </c>
      <c r="F165" s="232">
        <v>9.9999999999999995E-8</v>
      </c>
      <c r="G165" s="232">
        <v>0</v>
      </c>
      <c r="H165" s="232">
        <v>0</v>
      </c>
      <c r="I165" s="232">
        <v>0</v>
      </c>
      <c r="J165" s="232">
        <v>0</v>
      </c>
      <c r="K165" s="232">
        <f t="shared" si="26"/>
        <v>8.3495E-2</v>
      </c>
    </row>
    <row r="166" spans="2:11">
      <c r="B166" s="253" t="s">
        <v>363</v>
      </c>
      <c r="C166" s="253" t="s">
        <v>561</v>
      </c>
      <c r="D166" s="232">
        <v>0.11014313000000001</v>
      </c>
      <c r="E166" s="232">
        <v>0</v>
      </c>
      <c r="F166" s="232">
        <v>5.6354000000000126E-3</v>
      </c>
      <c r="G166" s="232">
        <v>0</v>
      </c>
      <c r="H166" s="232">
        <v>0</v>
      </c>
      <c r="I166" s="232">
        <v>0</v>
      </c>
      <c r="J166" s="232">
        <v>0</v>
      </c>
      <c r="K166" s="232">
        <f t="shared" si="26"/>
        <v>0.10450772999999999</v>
      </c>
    </row>
    <row r="167" spans="2:11">
      <c r="B167" s="253" t="s">
        <v>363</v>
      </c>
      <c r="C167" s="253" t="s">
        <v>616</v>
      </c>
      <c r="D167" s="232">
        <v>0.17435980000000001</v>
      </c>
      <c r="E167" s="232">
        <v>0</v>
      </c>
      <c r="F167" s="232">
        <v>0</v>
      </c>
      <c r="G167" s="232">
        <v>6.1999999999999999E-8</v>
      </c>
      <c r="H167" s="232">
        <v>0</v>
      </c>
      <c r="I167" s="232">
        <v>0</v>
      </c>
      <c r="J167" s="232">
        <v>0</v>
      </c>
      <c r="K167" s="232">
        <f t="shared" si="26"/>
        <v>0.17435973800000001</v>
      </c>
    </row>
    <row r="168" spans="2:11">
      <c r="B168" s="253" t="s">
        <v>363</v>
      </c>
      <c r="C168" s="253" t="s">
        <v>563</v>
      </c>
      <c r="D168" s="232">
        <v>6.8314479999999886E-2</v>
      </c>
      <c r="E168" s="232">
        <v>0</v>
      </c>
      <c r="F168" s="232">
        <v>4.1259999999988806E-4</v>
      </c>
      <c r="G168" s="232">
        <v>1.3663229999999985E-2</v>
      </c>
      <c r="H168" s="232">
        <v>5.4238650000000013E-2</v>
      </c>
      <c r="I168" s="232">
        <v>0</v>
      </c>
      <c r="J168" s="232">
        <v>0</v>
      </c>
      <c r="K168" s="232">
        <f t="shared" si="26"/>
        <v>0</v>
      </c>
    </row>
    <row r="169" spans="2:11">
      <c r="B169" s="253" t="s">
        <v>363</v>
      </c>
      <c r="C169" s="253" t="s">
        <v>617</v>
      </c>
      <c r="D169" s="232">
        <v>0.223209242</v>
      </c>
      <c r="E169" s="232">
        <v>0</v>
      </c>
      <c r="F169" s="232">
        <v>0</v>
      </c>
      <c r="G169" s="232">
        <v>0</v>
      </c>
      <c r="H169" s="232">
        <v>0</v>
      </c>
      <c r="I169" s="232">
        <v>0</v>
      </c>
      <c r="J169" s="232">
        <v>0</v>
      </c>
      <c r="K169" s="232">
        <f t="shared" si="26"/>
        <v>0.223209242</v>
      </c>
    </row>
    <row r="170" spans="2:11">
      <c r="B170" s="253" t="s">
        <v>363</v>
      </c>
      <c r="C170" s="253" t="s">
        <v>618</v>
      </c>
      <c r="D170" s="232">
        <v>3.7653300000000001E-2</v>
      </c>
      <c r="E170" s="232">
        <v>0</v>
      </c>
      <c r="F170" s="232">
        <v>0</v>
      </c>
      <c r="G170" s="232">
        <v>0</v>
      </c>
      <c r="H170" s="232">
        <v>0</v>
      </c>
      <c r="I170" s="232">
        <v>0</v>
      </c>
      <c r="J170" s="232">
        <v>0</v>
      </c>
      <c r="K170" s="232">
        <f t="shared" si="26"/>
        <v>3.7653300000000001E-2</v>
      </c>
    </row>
    <row r="171" spans="2:11">
      <c r="B171" s="253" t="s">
        <v>363</v>
      </c>
      <c r="C171" s="253" t="s">
        <v>564</v>
      </c>
      <c r="D171" s="232">
        <v>0.28368216099999999</v>
      </c>
      <c r="E171" s="232">
        <v>0</v>
      </c>
      <c r="F171" s="232">
        <v>9.4305354000000008E-2</v>
      </c>
      <c r="G171" s="232">
        <v>0</v>
      </c>
      <c r="H171" s="232">
        <v>0.18937680699999998</v>
      </c>
      <c r="I171" s="232">
        <v>0</v>
      </c>
      <c r="J171" s="232">
        <v>0</v>
      </c>
      <c r="K171" s="232">
        <f t="shared" si="26"/>
        <v>0</v>
      </c>
    </row>
    <row r="172" spans="2:11">
      <c r="B172" s="253" t="s">
        <v>363</v>
      </c>
      <c r="C172" s="253" t="s">
        <v>566</v>
      </c>
      <c r="D172" s="232">
        <v>3.3250200000000001E-2</v>
      </c>
      <c r="E172" s="232">
        <v>0</v>
      </c>
      <c r="F172" s="232">
        <v>6E-9</v>
      </c>
      <c r="G172" s="232">
        <v>0</v>
      </c>
      <c r="H172" s="232">
        <v>0</v>
      </c>
      <c r="I172" s="232">
        <v>0</v>
      </c>
      <c r="J172" s="232">
        <v>0</v>
      </c>
      <c r="K172" s="232">
        <f t="shared" si="26"/>
        <v>3.3250194000000004E-2</v>
      </c>
    </row>
    <row r="173" spans="2:11">
      <c r="B173" s="253" t="s">
        <v>363</v>
      </c>
      <c r="C173" s="253" t="s">
        <v>478</v>
      </c>
      <c r="D173" s="232">
        <v>0.64706053799999996</v>
      </c>
      <c r="E173" s="232">
        <v>0</v>
      </c>
      <c r="F173" s="232">
        <v>0.58615276000000016</v>
      </c>
      <c r="G173" s="232">
        <v>6.0907777999999801E-2</v>
      </c>
      <c r="H173" s="232">
        <v>0</v>
      </c>
      <c r="I173" s="232">
        <v>0</v>
      </c>
      <c r="J173" s="232">
        <v>0</v>
      </c>
      <c r="K173" s="232">
        <f t="shared" si="26"/>
        <v>0</v>
      </c>
    </row>
    <row r="174" spans="2:11">
      <c r="B174" s="253" t="s">
        <v>363</v>
      </c>
      <c r="C174" s="253" t="s">
        <v>619</v>
      </c>
      <c r="D174" s="232">
        <v>2.1094499999999999E-2</v>
      </c>
      <c r="E174" s="232">
        <v>0</v>
      </c>
      <c r="F174" s="232">
        <v>0</v>
      </c>
      <c r="G174" s="232">
        <v>0</v>
      </c>
      <c r="H174" s="232">
        <v>0</v>
      </c>
      <c r="I174" s="232">
        <v>0</v>
      </c>
      <c r="J174" s="232">
        <v>0</v>
      </c>
      <c r="K174" s="232">
        <f t="shared" si="26"/>
        <v>2.1094499999999999E-2</v>
      </c>
    </row>
    <row r="175" spans="2:11">
      <c r="B175" s="253" t="s">
        <v>363</v>
      </c>
      <c r="C175" s="253" t="s">
        <v>479</v>
      </c>
      <c r="D175" s="232">
        <v>4.6623907999999971E-2</v>
      </c>
      <c r="E175" s="232">
        <v>0</v>
      </c>
      <c r="F175" s="232">
        <v>4.6623907999999971E-2</v>
      </c>
      <c r="G175" s="232">
        <v>0</v>
      </c>
      <c r="H175" s="232">
        <v>0</v>
      </c>
      <c r="I175" s="232">
        <v>0</v>
      </c>
      <c r="J175" s="232">
        <v>0</v>
      </c>
      <c r="K175" s="232">
        <f t="shared" si="26"/>
        <v>0</v>
      </c>
    </row>
    <row r="176" spans="2:11">
      <c r="B176" s="253" t="s">
        <v>193</v>
      </c>
      <c r="C176" s="253" t="s">
        <v>527</v>
      </c>
      <c r="D176" s="232">
        <v>1.5674603812103318</v>
      </c>
      <c r="E176" s="232"/>
      <c r="F176" s="232"/>
      <c r="G176" s="232">
        <v>0</v>
      </c>
      <c r="H176" s="232">
        <v>0</v>
      </c>
      <c r="I176" s="232">
        <v>0.59</v>
      </c>
      <c r="J176" s="232">
        <v>0.97746038121033185</v>
      </c>
      <c r="K176" s="232">
        <f t="shared" si="26"/>
        <v>0.97746038121033185</v>
      </c>
    </row>
    <row r="177" spans="2:11">
      <c r="B177" s="253" t="s">
        <v>193</v>
      </c>
      <c r="C177" s="253" t="s">
        <v>528</v>
      </c>
      <c r="D177" s="232">
        <v>5.423187481617564</v>
      </c>
      <c r="E177" s="232"/>
      <c r="F177" s="232"/>
      <c r="G177" s="232"/>
      <c r="H177" s="232">
        <v>4.1532</v>
      </c>
      <c r="I177" s="232">
        <v>1.1799874816175639</v>
      </c>
      <c r="J177" s="232">
        <v>0</v>
      </c>
      <c r="K177" s="232">
        <f t="shared" si="26"/>
        <v>9.000000000000008E-2</v>
      </c>
    </row>
    <row r="178" spans="2:11">
      <c r="B178" s="253" t="s">
        <v>193</v>
      </c>
      <c r="C178" s="253" t="s">
        <v>240</v>
      </c>
      <c r="D178" s="232">
        <v>0.41941459500000006</v>
      </c>
      <c r="E178" s="232">
        <v>0.419414595</v>
      </c>
      <c r="F178" s="232">
        <v>0</v>
      </c>
      <c r="G178" s="232">
        <v>0</v>
      </c>
      <c r="H178" s="232">
        <v>0</v>
      </c>
      <c r="I178" s="232"/>
      <c r="J178" s="232">
        <v>0</v>
      </c>
      <c r="K178" s="232">
        <f t="shared" ref="K178:K197" si="41">D178-E178-F178-G178-H178-I178</f>
        <v>5.5511151231257827E-17</v>
      </c>
    </row>
    <row r="179" spans="2:11">
      <c r="B179" s="253" t="s">
        <v>193</v>
      </c>
      <c r="C179" s="253" t="s">
        <v>209</v>
      </c>
      <c r="D179" s="232">
        <v>0.27583197300000001</v>
      </c>
      <c r="E179" s="232">
        <v>0</v>
      </c>
      <c r="F179" s="232">
        <v>0</v>
      </c>
      <c r="G179" s="232">
        <v>0.265831973</v>
      </c>
      <c r="H179" s="232">
        <v>0.01</v>
      </c>
      <c r="I179" s="232"/>
      <c r="J179" s="232">
        <v>0</v>
      </c>
      <c r="K179" s="232">
        <f t="shared" si="41"/>
        <v>8.6736173798840355E-18</v>
      </c>
    </row>
    <row r="180" spans="2:11">
      <c r="B180" s="253" t="s">
        <v>193</v>
      </c>
      <c r="C180" s="253" t="s">
        <v>568</v>
      </c>
      <c r="D180" s="232">
        <v>1.2638878198919354</v>
      </c>
      <c r="E180" s="232">
        <v>0.49288581589193498</v>
      </c>
      <c r="F180" s="232">
        <v>0</v>
      </c>
      <c r="G180" s="232">
        <v>0</v>
      </c>
      <c r="H180" s="232">
        <v>0</v>
      </c>
      <c r="I180" s="232"/>
      <c r="J180" s="232">
        <v>0.77100200400000052</v>
      </c>
      <c r="K180" s="232">
        <f t="shared" si="41"/>
        <v>0.77100200400000052</v>
      </c>
    </row>
    <row r="181" spans="2:11">
      <c r="B181" s="253" t="s">
        <v>193</v>
      </c>
      <c r="C181" s="253" t="s">
        <v>204</v>
      </c>
      <c r="D181" s="232">
        <v>1.8724655189242405</v>
      </c>
      <c r="E181" s="232">
        <v>0.16649570992424101</v>
      </c>
      <c r="F181" s="232">
        <v>0.02</v>
      </c>
      <c r="G181" s="232">
        <v>0</v>
      </c>
      <c r="H181" s="232">
        <v>0</v>
      </c>
      <c r="I181" s="232"/>
      <c r="J181" s="232">
        <v>1.6859698089999995</v>
      </c>
      <c r="K181" s="232">
        <f t="shared" si="41"/>
        <v>1.6859698089999995</v>
      </c>
    </row>
    <row r="182" spans="2:11">
      <c r="B182" s="253" t="s">
        <v>193</v>
      </c>
      <c r="C182" s="253" t="s">
        <v>211</v>
      </c>
      <c r="D182" s="232">
        <v>4.3010581772245953</v>
      </c>
      <c r="E182" s="232">
        <v>0</v>
      </c>
      <c r="F182" s="232">
        <v>0</v>
      </c>
      <c r="G182" s="232">
        <v>1.97</v>
      </c>
      <c r="H182" s="232">
        <v>1.7510581772245952</v>
      </c>
      <c r="I182" s="232">
        <v>0.57999999999999996</v>
      </c>
      <c r="J182" s="232">
        <v>0</v>
      </c>
      <c r="K182" s="232">
        <f t="shared" si="41"/>
        <v>0</v>
      </c>
    </row>
    <row r="183" spans="2:11">
      <c r="B183" s="253" t="s">
        <v>193</v>
      </c>
      <c r="C183" s="253" t="s">
        <v>207</v>
      </c>
      <c r="D183" s="232">
        <v>4.2378855778478544</v>
      </c>
      <c r="E183" s="232">
        <v>0.75680148084785404</v>
      </c>
      <c r="F183" s="232">
        <v>0</v>
      </c>
      <c r="G183" s="232">
        <v>0</v>
      </c>
      <c r="H183" s="232">
        <v>0</v>
      </c>
      <c r="I183" s="232"/>
      <c r="J183" s="232">
        <v>3.4810840970000001</v>
      </c>
      <c r="K183" s="232">
        <f t="shared" si="41"/>
        <v>3.4810840970000001</v>
      </c>
    </row>
    <row r="184" spans="2:11">
      <c r="B184" s="253" t="s">
        <v>193</v>
      </c>
      <c r="C184" s="253" t="s">
        <v>569</v>
      </c>
      <c r="D184" s="232">
        <v>0.35960949799999997</v>
      </c>
      <c r="E184" s="232"/>
      <c r="F184" s="232">
        <v>0</v>
      </c>
      <c r="G184" s="232">
        <v>0</v>
      </c>
      <c r="H184" s="232">
        <v>0</v>
      </c>
      <c r="I184" s="232"/>
      <c r="J184" s="232">
        <v>0.10960949799999997</v>
      </c>
      <c r="K184" s="232">
        <f t="shared" si="41"/>
        <v>0.35960949799999997</v>
      </c>
    </row>
    <row r="185" spans="2:11">
      <c r="B185" s="253" t="s">
        <v>193</v>
      </c>
      <c r="C185" s="253" t="s">
        <v>570</v>
      </c>
      <c r="D185" s="232">
        <v>0.23154673199999998</v>
      </c>
      <c r="E185" s="232"/>
      <c r="F185" s="232">
        <v>0.04</v>
      </c>
      <c r="G185" s="232">
        <v>0</v>
      </c>
      <c r="H185" s="232">
        <v>0</v>
      </c>
      <c r="I185" s="232"/>
      <c r="J185" s="232">
        <v>0</v>
      </c>
      <c r="K185" s="232">
        <f t="shared" si="41"/>
        <v>0.19154673199999997</v>
      </c>
    </row>
    <row r="186" spans="2:11">
      <c r="B186" s="253" t="s">
        <v>493</v>
      </c>
      <c r="C186" s="253" t="s">
        <v>525</v>
      </c>
      <c r="D186" s="232">
        <v>0.23922323600000003</v>
      </c>
      <c r="E186" s="232">
        <v>0</v>
      </c>
      <c r="F186" s="232">
        <v>0</v>
      </c>
      <c r="G186" s="232">
        <v>0</v>
      </c>
      <c r="H186" s="232">
        <v>0</v>
      </c>
      <c r="I186" s="232">
        <v>0</v>
      </c>
      <c r="J186" s="232">
        <v>0.23922323600000003</v>
      </c>
      <c r="K186" s="232">
        <f t="shared" si="41"/>
        <v>0.23922323600000003</v>
      </c>
    </row>
    <row r="187" spans="2:11">
      <c r="B187" s="253" t="s">
        <v>493</v>
      </c>
      <c r="C187" s="253" t="s">
        <v>280</v>
      </c>
      <c r="D187" s="232">
        <v>0.15088985999999999</v>
      </c>
      <c r="E187" s="232">
        <v>0</v>
      </c>
      <c r="F187" s="232">
        <v>0</v>
      </c>
      <c r="G187" s="232">
        <v>0</v>
      </c>
      <c r="H187" s="232">
        <v>0</v>
      </c>
      <c r="I187" s="232">
        <v>0</v>
      </c>
      <c r="J187" s="232">
        <v>0.15088985999999999</v>
      </c>
      <c r="K187" s="232">
        <f t="shared" si="41"/>
        <v>0.15088985999999999</v>
      </c>
    </row>
    <row r="188" spans="2:11">
      <c r="B188" s="253" t="s">
        <v>493</v>
      </c>
      <c r="C188" s="253" t="s">
        <v>281</v>
      </c>
      <c r="D188" s="232">
        <v>0.55281944900000002</v>
      </c>
      <c r="E188" s="232">
        <v>0.34389398500000001</v>
      </c>
      <c r="F188" s="232">
        <v>5.9399644000000001E-2</v>
      </c>
      <c r="G188" s="232">
        <v>6.6566200000000006E-2</v>
      </c>
      <c r="H188" s="232">
        <v>2.0223499999999998E-2</v>
      </c>
      <c r="I188" s="232">
        <v>0</v>
      </c>
      <c r="J188" s="232">
        <v>6.2736120000000006E-2</v>
      </c>
      <c r="K188" s="232">
        <f t="shared" si="41"/>
        <v>6.2736120000000006E-2</v>
      </c>
    </row>
    <row r="189" spans="2:11">
      <c r="B189" s="253" t="s">
        <v>493</v>
      </c>
      <c r="C189" s="253" t="s">
        <v>275</v>
      </c>
      <c r="D189" s="232">
        <v>2.6042860579999996</v>
      </c>
      <c r="E189" s="232">
        <v>3.3858429999997774E-3</v>
      </c>
      <c r="F189" s="232">
        <v>0</v>
      </c>
      <c r="G189" s="232">
        <v>0</v>
      </c>
      <c r="H189" s="232">
        <v>0</v>
      </c>
      <c r="I189" s="232">
        <v>0</v>
      </c>
      <c r="J189" s="232">
        <v>0</v>
      </c>
      <c r="K189" s="232">
        <f t="shared" si="41"/>
        <v>2.6009002149999998</v>
      </c>
    </row>
    <row r="190" spans="2:11">
      <c r="B190" s="253" t="s">
        <v>493</v>
      </c>
      <c r="C190" s="253" t="s">
        <v>571</v>
      </c>
      <c r="D190" s="232">
        <v>0.59585929999999998</v>
      </c>
      <c r="E190" s="232">
        <v>0</v>
      </c>
      <c r="F190" s="232">
        <v>0</v>
      </c>
      <c r="G190" s="232">
        <v>0</v>
      </c>
      <c r="H190" s="232">
        <v>0</v>
      </c>
      <c r="I190" s="232">
        <v>0</v>
      </c>
      <c r="J190" s="232">
        <v>0.59585929999999998</v>
      </c>
      <c r="K190" s="232">
        <f t="shared" si="41"/>
        <v>0.59585929999999998</v>
      </c>
    </row>
    <row r="191" spans="2:11">
      <c r="B191" s="253" t="s">
        <v>493</v>
      </c>
      <c r="C191" s="253" t="s">
        <v>572</v>
      </c>
      <c r="D191" s="232">
        <v>2.4802548000000001E-2</v>
      </c>
      <c r="E191" s="232">
        <v>0</v>
      </c>
      <c r="F191" s="232">
        <v>0</v>
      </c>
      <c r="G191" s="232">
        <v>0</v>
      </c>
      <c r="H191" s="232">
        <v>0</v>
      </c>
      <c r="I191" s="232">
        <v>0</v>
      </c>
      <c r="J191" s="232">
        <v>0</v>
      </c>
      <c r="K191" s="232">
        <f t="shared" si="41"/>
        <v>2.4802548000000001E-2</v>
      </c>
    </row>
    <row r="192" spans="2:11">
      <c r="B192" s="253" t="s">
        <v>493</v>
      </c>
      <c r="C192" s="253" t="s">
        <v>279</v>
      </c>
      <c r="D192" s="232">
        <v>0.202641817</v>
      </c>
      <c r="E192" s="232">
        <v>0.19778680600000001</v>
      </c>
      <c r="F192" s="232">
        <v>0</v>
      </c>
      <c r="G192" s="232">
        <v>0</v>
      </c>
      <c r="H192" s="232">
        <v>0</v>
      </c>
      <c r="I192" s="232">
        <v>0</v>
      </c>
      <c r="J192" s="232">
        <v>4.8550109999999924E-3</v>
      </c>
      <c r="K192" s="232">
        <f t="shared" si="41"/>
        <v>4.8550109999999924E-3</v>
      </c>
    </row>
    <row r="193" spans="2:11">
      <c r="B193" s="253" t="s">
        <v>493</v>
      </c>
      <c r="C193" s="253" t="s">
        <v>295</v>
      </c>
      <c r="D193" s="232">
        <v>9.9328314999999989</v>
      </c>
      <c r="E193" s="232">
        <v>0</v>
      </c>
      <c r="F193" s="232">
        <v>0</v>
      </c>
      <c r="G193" s="232">
        <v>9.9328314999999989</v>
      </c>
      <c r="H193" s="232">
        <v>0</v>
      </c>
      <c r="I193" s="232">
        <v>0</v>
      </c>
      <c r="J193" s="232">
        <v>0</v>
      </c>
      <c r="K193" s="232">
        <f t="shared" si="41"/>
        <v>0</v>
      </c>
    </row>
    <row r="194" spans="2:11">
      <c r="B194" s="253" t="s">
        <v>530</v>
      </c>
      <c r="C194" s="253" t="s">
        <v>530</v>
      </c>
      <c r="D194" s="232">
        <v>5.6630341390000005</v>
      </c>
      <c r="E194" s="254">
        <f>D194</f>
        <v>5.6630341390000005</v>
      </c>
      <c r="F194" s="232">
        <v>0</v>
      </c>
      <c r="G194" s="232">
        <v>0</v>
      </c>
      <c r="H194" s="232">
        <v>0</v>
      </c>
      <c r="I194" s="232">
        <v>0</v>
      </c>
      <c r="J194" s="232">
        <v>0</v>
      </c>
      <c r="K194" s="232">
        <f t="shared" si="41"/>
        <v>0</v>
      </c>
    </row>
    <row r="195" spans="2:11">
      <c r="B195" s="253" t="s">
        <v>534</v>
      </c>
      <c r="C195" s="253" t="s">
        <v>534</v>
      </c>
      <c r="D195" s="232">
        <v>6.3440602999999998E-2</v>
      </c>
      <c r="E195" s="254">
        <f>D195</f>
        <v>6.3440602999999998E-2</v>
      </c>
      <c r="F195" s="232">
        <v>0</v>
      </c>
      <c r="G195" s="232">
        <v>0</v>
      </c>
      <c r="H195" s="232">
        <v>0</v>
      </c>
      <c r="I195" s="232">
        <v>0</v>
      </c>
      <c r="J195" s="232">
        <v>0</v>
      </c>
      <c r="K195" s="232">
        <f t="shared" si="41"/>
        <v>0</v>
      </c>
    </row>
    <row r="196" spans="2:11">
      <c r="B196" s="253" t="s">
        <v>342</v>
      </c>
      <c r="C196" s="231" t="s">
        <v>620</v>
      </c>
      <c r="D196" s="232">
        <v>0.11107577999999999</v>
      </c>
      <c r="E196" s="254">
        <f>D196</f>
        <v>0.11107577999999999</v>
      </c>
      <c r="F196" s="232">
        <v>0</v>
      </c>
      <c r="G196" s="232">
        <v>0</v>
      </c>
      <c r="H196" s="232">
        <v>0</v>
      </c>
      <c r="I196" s="232">
        <v>0</v>
      </c>
      <c r="J196" s="232">
        <v>0</v>
      </c>
      <c r="K196" s="232">
        <f t="shared" si="41"/>
        <v>0</v>
      </c>
    </row>
    <row r="197" spans="2:11">
      <c r="B197" s="253" t="s">
        <v>342</v>
      </c>
      <c r="C197" s="231" t="s">
        <v>621</v>
      </c>
      <c r="D197" s="232">
        <v>0.71377423600000001</v>
      </c>
      <c r="E197" s="254">
        <f>D197</f>
        <v>0.71377423600000001</v>
      </c>
      <c r="F197" s="232">
        <v>0</v>
      </c>
      <c r="G197" s="232">
        <v>0</v>
      </c>
      <c r="H197" s="232">
        <v>0</v>
      </c>
      <c r="I197" s="232">
        <v>0</v>
      </c>
      <c r="J197" s="232">
        <v>0</v>
      </c>
      <c r="K197" s="232">
        <f t="shared" si="41"/>
        <v>0</v>
      </c>
    </row>
  </sheetData>
  <mergeCells count="8">
    <mergeCell ref="D101:H101"/>
    <mergeCell ref="E110:I110"/>
    <mergeCell ref="B2:M2"/>
    <mergeCell ref="B3:M3"/>
    <mergeCell ref="B5:M5"/>
    <mergeCell ref="B13:M13"/>
    <mergeCell ref="B14:M14"/>
    <mergeCell ref="D21:H21"/>
  </mergeCells>
  <conditionalFormatting sqref="B23">
    <cfRule type="duplicateValues" dxfId="2" priority="2"/>
  </conditionalFormatting>
  <conditionalFormatting sqref="B24">
    <cfRule type="duplicateValues" dxfId="1" priority="1"/>
  </conditionalFormatting>
  <conditionalFormatting sqref="B25:B96">
    <cfRule type="duplicateValues" dxfId="0" priority="3"/>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2:T27"/>
  <sheetViews>
    <sheetView workbookViewId="0">
      <selection activeCell="M6" sqref="M6"/>
    </sheetView>
  </sheetViews>
  <sheetFormatPr defaultRowHeight="14.4"/>
  <cols>
    <col min="2" max="2" width="16.6640625" customWidth="1"/>
    <col min="3" max="3" width="22.88671875" customWidth="1"/>
    <col min="4" max="10" width="12.33203125" customWidth="1"/>
    <col min="11" max="11" width="13.33203125" customWidth="1"/>
    <col min="12" max="12" width="16.6640625" customWidth="1"/>
    <col min="13" max="13" width="55" customWidth="1"/>
  </cols>
  <sheetData>
    <row r="2" spans="2:20">
      <c r="B2" s="360" t="s">
        <v>653</v>
      </c>
      <c r="C2" s="361"/>
      <c r="D2" s="361"/>
      <c r="E2" s="349"/>
      <c r="F2" s="349"/>
      <c r="G2" s="349"/>
      <c r="H2" s="349"/>
      <c r="I2" s="349"/>
      <c r="J2" s="349"/>
      <c r="K2" s="361"/>
      <c r="L2" s="361"/>
      <c r="M2" s="362"/>
    </row>
    <row r="3" spans="2:20" ht="14.4" customHeight="1">
      <c r="B3" s="293" t="s">
        <v>156</v>
      </c>
      <c r="C3" s="363"/>
      <c r="D3" s="363"/>
      <c r="E3" s="352"/>
      <c r="F3" s="352"/>
      <c r="G3" s="352"/>
      <c r="H3" s="352"/>
      <c r="I3" s="352"/>
      <c r="J3" s="352"/>
      <c r="K3" s="363"/>
      <c r="L3" s="363"/>
      <c r="M3" s="364"/>
    </row>
    <row r="4" spans="2:20" ht="36">
      <c r="B4" s="24" t="s">
        <v>0</v>
      </c>
      <c r="C4" s="24" t="s">
        <v>70</v>
      </c>
      <c r="D4" s="33" t="s">
        <v>65</v>
      </c>
      <c r="E4" s="33" t="s">
        <v>458</v>
      </c>
      <c r="F4" s="33" t="s">
        <v>459</v>
      </c>
      <c r="G4" s="33" t="s">
        <v>460</v>
      </c>
      <c r="H4" s="33" t="s">
        <v>461</v>
      </c>
      <c r="I4" s="33" t="s">
        <v>462</v>
      </c>
      <c r="J4" s="33" t="s">
        <v>501</v>
      </c>
      <c r="K4" s="24" t="s">
        <v>464</v>
      </c>
      <c r="L4" s="24" t="s">
        <v>654</v>
      </c>
      <c r="M4" s="24" t="s">
        <v>22</v>
      </c>
    </row>
    <row r="5" spans="2:20">
      <c r="B5" s="293" t="s">
        <v>94</v>
      </c>
      <c r="C5" s="294"/>
      <c r="D5" s="294"/>
      <c r="E5" s="352"/>
      <c r="F5" s="352"/>
      <c r="G5" s="352"/>
      <c r="H5" s="352"/>
      <c r="I5" s="352"/>
      <c r="J5" s="352"/>
      <c r="K5" s="294"/>
      <c r="L5" s="294"/>
      <c r="M5" s="295"/>
      <c r="Q5">
        <f>36.27*50%+15.77*50%</f>
        <v>26.020000000000003</v>
      </c>
    </row>
    <row r="6" spans="2:20" ht="192" customHeight="1">
      <c r="B6" s="40">
        <v>1</v>
      </c>
      <c r="C6" s="43" t="s">
        <v>118</v>
      </c>
      <c r="D6" s="44">
        <f>D27</f>
        <v>285.63818505399996</v>
      </c>
      <c r="E6" s="56">
        <f>O15</f>
        <v>0</v>
      </c>
      <c r="F6" s="56">
        <f t="shared" ref="F6:J6" si="0">P15</f>
        <v>53.916194699000002</v>
      </c>
      <c r="G6" s="56">
        <f t="shared" si="0"/>
        <v>7.7489999999999997</v>
      </c>
      <c r="H6" s="56">
        <f t="shared" si="0"/>
        <v>10.085000000000001</v>
      </c>
      <c r="I6" s="56">
        <f t="shared" si="0"/>
        <v>0</v>
      </c>
      <c r="J6" s="56">
        <f t="shared" si="0"/>
        <v>213.887990355</v>
      </c>
      <c r="K6" s="44">
        <f>O20</f>
        <v>113.77301613212488</v>
      </c>
      <c r="L6" s="44">
        <f>O21</f>
        <v>25.9081778796</v>
      </c>
      <c r="M6" s="88" t="s">
        <v>662</v>
      </c>
      <c r="O6" s="39">
        <v>0.3</v>
      </c>
    </row>
    <row r="7" spans="2:20">
      <c r="B7" s="34"/>
      <c r="C7" s="32" t="s">
        <v>23</v>
      </c>
      <c r="D7" s="45">
        <f>SUM(D6:D6)</f>
        <v>285.63818505399996</v>
      </c>
      <c r="E7" s="45"/>
      <c r="F7" s="45"/>
      <c r="G7" s="45"/>
      <c r="H7" s="45"/>
      <c r="I7" s="45"/>
      <c r="J7" s="45"/>
      <c r="K7" s="45">
        <f>SUM(K6:K6)</f>
        <v>113.77301613212488</v>
      </c>
      <c r="L7" s="45">
        <f>SUM(L6:L6)</f>
        <v>25.9081778796</v>
      </c>
      <c r="M7" s="34"/>
    </row>
    <row r="8" spans="2:20">
      <c r="B8" s="296" t="s">
        <v>20</v>
      </c>
      <c r="C8" s="297"/>
      <c r="D8" s="297"/>
      <c r="E8" s="342"/>
      <c r="F8" s="342"/>
      <c r="G8" s="342"/>
      <c r="H8" s="342"/>
      <c r="I8" s="342"/>
      <c r="J8" s="342"/>
      <c r="K8" s="297"/>
      <c r="L8" s="297"/>
      <c r="M8" s="298"/>
    </row>
    <row r="9" spans="2:20" ht="105" customHeight="1">
      <c r="B9" s="299" t="s">
        <v>652</v>
      </c>
      <c r="C9" s="299"/>
      <c r="D9" s="299"/>
      <c r="E9" s="299"/>
      <c r="F9" s="299"/>
      <c r="G9" s="299"/>
      <c r="H9" s="299"/>
      <c r="I9" s="299"/>
      <c r="J9" s="299"/>
      <c r="K9" s="299"/>
      <c r="L9" s="299"/>
      <c r="M9" s="299"/>
    </row>
    <row r="13" spans="2:20" ht="15.6" customHeight="1">
      <c r="B13" s="239" t="s">
        <v>632</v>
      </c>
      <c r="C13" s="240"/>
      <c r="D13" s="241"/>
      <c r="E13" s="359" t="s">
        <v>588</v>
      </c>
      <c r="F13" s="359"/>
      <c r="G13" s="359"/>
      <c r="H13" s="359"/>
      <c r="I13" s="359"/>
      <c r="J13" s="241"/>
      <c r="K13" s="116"/>
      <c r="N13" s="162" t="s">
        <v>436</v>
      </c>
      <c r="O13" s="119">
        <v>1</v>
      </c>
      <c r="P13" s="119">
        <f>O13+1</f>
        <v>2</v>
      </c>
      <c r="Q13" s="119">
        <f t="shared" ref="Q13:T13" si="1">P13+1</f>
        <v>3</v>
      </c>
      <c r="R13" s="119">
        <f t="shared" si="1"/>
        <v>4</v>
      </c>
      <c r="S13" s="119">
        <f t="shared" si="1"/>
        <v>5</v>
      </c>
      <c r="T13" s="119">
        <f t="shared" si="1"/>
        <v>6</v>
      </c>
    </row>
    <row r="14" spans="2:20" ht="43.2">
      <c r="B14" s="242" t="s">
        <v>2</v>
      </c>
      <c r="C14" s="242" t="s">
        <v>186</v>
      </c>
      <c r="D14" s="230" t="s">
        <v>633</v>
      </c>
      <c r="E14" s="230" t="s">
        <v>426</v>
      </c>
      <c r="F14" s="230" t="s">
        <v>427</v>
      </c>
      <c r="G14" s="230" t="s">
        <v>428</v>
      </c>
      <c r="H14" s="230" t="s">
        <v>429</v>
      </c>
      <c r="I14" s="230" t="s">
        <v>430</v>
      </c>
      <c r="J14" s="230" t="s">
        <v>422</v>
      </c>
      <c r="K14" s="243" t="s">
        <v>501</v>
      </c>
      <c r="N14" s="163" t="s">
        <v>437</v>
      </c>
      <c r="O14" s="164">
        <f>D27</f>
        <v>285.63818505399996</v>
      </c>
      <c r="P14" s="165"/>
      <c r="Q14" s="165"/>
      <c r="R14" s="165"/>
      <c r="S14" s="165"/>
      <c r="T14" s="116"/>
    </row>
    <row r="15" spans="2:20" ht="43.2">
      <c r="B15" s="244" t="s">
        <v>634</v>
      </c>
      <c r="C15" s="245" t="s">
        <v>342</v>
      </c>
      <c r="D15" s="246">
        <v>3.3174226170000001</v>
      </c>
      <c r="E15" s="246">
        <v>0</v>
      </c>
      <c r="F15" s="246">
        <v>0</v>
      </c>
      <c r="G15" s="246">
        <v>0</v>
      </c>
      <c r="H15" s="246">
        <v>0</v>
      </c>
      <c r="I15" s="246">
        <v>0</v>
      </c>
      <c r="J15" s="246">
        <v>0</v>
      </c>
      <c r="K15" s="238">
        <f>D15-E15-F15-G15-H15-I15</f>
        <v>3.3174226170000001</v>
      </c>
      <c r="N15" s="163" t="s">
        <v>438</v>
      </c>
      <c r="O15" s="164">
        <f>E27</f>
        <v>0</v>
      </c>
      <c r="P15" s="164">
        <f>F27</f>
        <v>53.916194699000002</v>
      </c>
      <c r="Q15" s="164">
        <f t="shared" ref="Q15:S15" si="2">G27</f>
        <v>7.7489999999999997</v>
      </c>
      <c r="R15" s="164">
        <f t="shared" si="2"/>
        <v>10.085000000000001</v>
      </c>
      <c r="S15" s="164">
        <f t="shared" si="2"/>
        <v>0</v>
      </c>
      <c r="T15" s="164">
        <f>K27</f>
        <v>213.887990355</v>
      </c>
    </row>
    <row r="16" spans="2:20" ht="28.8">
      <c r="B16" s="244" t="s">
        <v>635</v>
      </c>
      <c r="C16" s="247" t="s">
        <v>636</v>
      </c>
      <c r="D16" s="246">
        <v>1.24</v>
      </c>
      <c r="E16" s="246">
        <v>0</v>
      </c>
      <c r="F16" s="246">
        <v>0</v>
      </c>
      <c r="G16" s="246">
        <v>0</v>
      </c>
      <c r="H16" s="246">
        <v>0</v>
      </c>
      <c r="I16" s="246">
        <v>0</v>
      </c>
      <c r="J16" s="246">
        <v>0</v>
      </c>
      <c r="K16" s="238">
        <f t="shared" ref="K16:K26" si="3">D16-E16-F16-G16-H16-I16</f>
        <v>1.24</v>
      </c>
      <c r="N16" s="163" t="s">
        <v>439</v>
      </c>
      <c r="O16" s="165">
        <v>1</v>
      </c>
      <c r="P16" s="165">
        <f>O16+1</f>
        <v>2</v>
      </c>
      <c r="Q16" s="165">
        <f t="shared" ref="Q16:T16" si="4">P16+1</f>
        <v>3</v>
      </c>
      <c r="R16" s="165">
        <f t="shared" si="4"/>
        <v>4</v>
      </c>
      <c r="S16" s="165">
        <f t="shared" si="4"/>
        <v>5</v>
      </c>
      <c r="T16" s="165">
        <f t="shared" si="4"/>
        <v>6</v>
      </c>
    </row>
    <row r="17" spans="2:20" ht="28.8">
      <c r="B17" s="244" t="s">
        <v>637</v>
      </c>
      <c r="C17" s="245" t="s">
        <v>213</v>
      </c>
      <c r="D17" s="246">
        <v>5.22</v>
      </c>
      <c r="E17" s="246">
        <v>0</v>
      </c>
      <c r="F17" s="246">
        <v>0</v>
      </c>
      <c r="G17" s="246">
        <v>0</v>
      </c>
      <c r="H17" s="246">
        <v>0</v>
      </c>
      <c r="I17" s="246">
        <v>0</v>
      </c>
      <c r="J17" s="246">
        <v>0</v>
      </c>
      <c r="K17" s="238">
        <f t="shared" si="3"/>
        <v>5.22</v>
      </c>
      <c r="N17" s="163" t="s">
        <v>153</v>
      </c>
      <c r="O17" s="166">
        <f>1/(1+$O$18)^O16</f>
        <v>0.85470085470085477</v>
      </c>
      <c r="P17" s="166">
        <f t="shared" ref="P17:S17" si="5">1/(1+$O$18)^P16</f>
        <v>0.73051355102637161</v>
      </c>
      <c r="Q17" s="166">
        <f t="shared" si="5"/>
        <v>0.62437055643279626</v>
      </c>
      <c r="R17" s="166">
        <f t="shared" si="5"/>
        <v>0.53365004823315931</v>
      </c>
      <c r="S17" s="166">
        <f t="shared" si="5"/>
        <v>0.45611115233603361</v>
      </c>
      <c r="T17" s="275">
        <v>0.3</v>
      </c>
    </row>
    <row r="18" spans="2:20" ht="28.8">
      <c r="B18" s="244" t="s">
        <v>638</v>
      </c>
      <c r="C18" s="247" t="s">
        <v>636</v>
      </c>
      <c r="D18" s="246">
        <v>18.55</v>
      </c>
      <c r="E18" s="246">
        <v>0</v>
      </c>
      <c r="F18" s="246">
        <v>0</v>
      </c>
      <c r="G18" s="246">
        <v>7.7489999999999997</v>
      </c>
      <c r="H18" s="246">
        <f>10.085</f>
        <v>10.085000000000001</v>
      </c>
      <c r="I18" s="246">
        <v>0</v>
      </c>
      <c r="J18" s="246">
        <f>D18-G18-H18</f>
        <v>0.71600000000000108</v>
      </c>
      <c r="K18" s="238">
        <f t="shared" si="3"/>
        <v>0.71600000000000108</v>
      </c>
      <c r="N18" s="163" t="s">
        <v>440</v>
      </c>
      <c r="O18" s="167">
        <v>0.17</v>
      </c>
      <c r="P18" s="165"/>
      <c r="Q18" s="165"/>
      <c r="R18" s="165"/>
      <c r="S18" s="165"/>
      <c r="T18" s="116"/>
    </row>
    <row r="19" spans="2:20" ht="28.8">
      <c r="B19" s="244" t="s">
        <v>639</v>
      </c>
      <c r="C19" s="247" t="s">
        <v>636</v>
      </c>
      <c r="D19" s="246">
        <v>0.87</v>
      </c>
      <c r="E19" s="246">
        <v>0</v>
      </c>
      <c r="F19" s="246">
        <v>0</v>
      </c>
      <c r="G19" s="246">
        <v>0</v>
      </c>
      <c r="H19" s="246">
        <v>0</v>
      </c>
      <c r="I19" s="246">
        <v>0</v>
      </c>
      <c r="J19" s="246">
        <v>0</v>
      </c>
      <c r="K19" s="238">
        <f t="shared" si="3"/>
        <v>0.87</v>
      </c>
      <c r="N19" s="163" t="s">
        <v>441</v>
      </c>
      <c r="O19" s="164">
        <f>O15*O17</f>
        <v>0</v>
      </c>
      <c r="P19" s="164">
        <f t="shared" ref="P19:S19" si="6">P15*P17</f>
        <v>39.386510847395726</v>
      </c>
      <c r="Q19" s="164">
        <f t="shared" si="6"/>
        <v>4.8382474417977379</v>
      </c>
      <c r="R19" s="164">
        <f t="shared" si="6"/>
        <v>5.3818607364314124</v>
      </c>
      <c r="S19" s="164">
        <f t="shared" si="6"/>
        <v>0</v>
      </c>
      <c r="T19" s="164">
        <f>T15*T17</f>
        <v>64.1663971065</v>
      </c>
    </row>
    <row r="20" spans="2:20" ht="57.6">
      <c r="B20" s="244" t="s">
        <v>640</v>
      </c>
      <c r="C20" s="245" t="s">
        <v>493</v>
      </c>
      <c r="D20" s="246">
        <v>0</v>
      </c>
      <c r="E20" s="246">
        <v>0</v>
      </c>
      <c r="F20" s="246">
        <v>0</v>
      </c>
      <c r="G20" s="246">
        <v>0</v>
      </c>
      <c r="H20" s="246">
        <v>0</v>
      </c>
      <c r="I20" s="246">
        <v>0</v>
      </c>
      <c r="J20" s="246">
        <v>0</v>
      </c>
      <c r="K20" s="238">
        <f t="shared" si="3"/>
        <v>0</v>
      </c>
      <c r="N20" s="168" t="s">
        <v>442</v>
      </c>
      <c r="O20" s="169">
        <f>SUM(O19:T19)</f>
        <v>113.77301613212488</v>
      </c>
      <c r="P20" s="162"/>
      <c r="Q20" s="162"/>
      <c r="R20" s="162"/>
      <c r="S20" s="170"/>
      <c r="T20" s="170"/>
    </row>
    <row r="21" spans="2:20" ht="57.6">
      <c r="B21" s="244" t="s">
        <v>641</v>
      </c>
      <c r="C21" s="245" t="s">
        <v>493</v>
      </c>
      <c r="D21" s="246">
        <v>2.8708936380000001</v>
      </c>
      <c r="E21" s="246"/>
      <c r="F21" s="246"/>
      <c r="G21" s="246"/>
      <c r="H21" s="246"/>
      <c r="I21" s="246"/>
      <c r="J21" s="246"/>
      <c r="K21" s="238">
        <f t="shared" si="3"/>
        <v>2.8708936380000001</v>
      </c>
      <c r="N21" s="276" t="s">
        <v>465</v>
      </c>
      <c r="O21" s="159">
        <f>(O15*50%)+(P15*40%)+(Q15*30%)+(R15*20%)+(S15*10%)</f>
        <v>25.9081778796</v>
      </c>
    </row>
    <row r="22" spans="2:20" ht="43.2">
      <c r="B22" s="244" t="s">
        <v>640</v>
      </c>
      <c r="C22" s="247" t="s">
        <v>636</v>
      </c>
      <c r="D22" s="246">
        <v>1.68</v>
      </c>
      <c r="E22" s="246">
        <v>0</v>
      </c>
      <c r="F22" s="246">
        <f>D22</f>
        <v>1.68</v>
      </c>
      <c r="G22" s="246">
        <v>0</v>
      </c>
      <c r="H22" s="246">
        <v>0</v>
      </c>
      <c r="I22" s="246">
        <v>0</v>
      </c>
      <c r="J22" s="246">
        <v>0</v>
      </c>
      <c r="K22" s="238">
        <f t="shared" si="3"/>
        <v>0</v>
      </c>
    </row>
    <row r="23" spans="2:20" ht="28.8">
      <c r="B23" s="244" t="s">
        <v>642</v>
      </c>
      <c r="C23" s="245" t="s">
        <v>213</v>
      </c>
      <c r="D23" s="246">
        <f>42.196194699-5.93</f>
        <v>36.266194699000003</v>
      </c>
      <c r="E23" s="246">
        <v>0</v>
      </c>
      <c r="F23" s="246">
        <f>D23</f>
        <v>36.266194699000003</v>
      </c>
      <c r="G23" s="246">
        <v>0</v>
      </c>
      <c r="H23" s="246">
        <v>0</v>
      </c>
      <c r="I23" s="246">
        <v>0</v>
      </c>
      <c r="J23" s="246">
        <v>0</v>
      </c>
      <c r="K23" s="238">
        <f t="shared" si="3"/>
        <v>0</v>
      </c>
    </row>
    <row r="24" spans="2:20" ht="28.8">
      <c r="B24" s="244" t="s">
        <v>643</v>
      </c>
      <c r="C24" s="245" t="s">
        <v>213</v>
      </c>
      <c r="D24" s="246">
        <v>198.81367409999999</v>
      </c>
      <c r="E24" s="246"/>
      <c r="F24" s="246"/>
      <c r="G24" s="246"/>
      <c r="H24" s="246"/>
      <c r="I24" s="246"/>
      <c r="J24" s="246">
        <f>D24</f>
        <v>198.81367409999999</v>
      </c>
      <c r="K24" s="238">
        <f t="shared" si="3"/>
        <v>198.81367409999999</v>
      </c>
    </row>
    <row r="25" spans="2:20" ht="28.8">
      <c r="B25" s="244" t="s">
        <v>644</v>
      </c>
      <c r="C25" s="245" t="s">
        <v>213</v>
      </c>
      <c r="D25" s="246">
        <v>15.97</v>
      </c>
      <c r="E25" s="246">
        <v>0</v>
      </c>
      <c r="F25" s="246">
        <f>D25</f>
        <v>15.97</v>
      </c>
      <c r="G25" s="246">
        <v>0</v>
      </c>
      <c r="H25" s="246">
        <v>0</v>
      </c>
      <c r="I25" s="246">
        <v>0</v>
      </c>
      <c r="J25" s="246">
        <v>0</v>
      </c>
      <c r="K25" s="238">
        <f t="shared" si="3"/>
        <v>0</v>
      </c>
    </row>
    <row r="26" spans="2:20" ht="43.2">
      <c r="B26" s="244" t="s">
        <v>645</v>
      </c>
      <c r="C26" s="245" t="s">
        <v>636</v>
      </c>
      <c r="D26" s="246">
        <v>0.84</v>
      </c>
      <c r="E26" s="246">
        <v>0</v>
      </c>
      <c r="F26" s="246">
        <v>0</v>
      </c>
      <c r="G26" s="246">
        <v>0</v>
      </c>
      <c r="H26" s="246">
        <v>0</v>
      </c>
      <c r="I26" s="246">
        <v>0</v>
      </c>
      <c r="J26" s="246">
        <v>0</v>
      </c>
      <c r="K26" s="238">
        <f t="shared" si="3"/>
        <v>0.84</v>
      </c>
    </row>
    <row r="27" spans="2:20">
      <c r="B27" s="258" t="s">
        <v>21</v>
      </c>
      <c r="C27" s="258"/>
      <c r="D27" s="259">
        <f t="shared" ref="D27:J27" si="7">SUM(D15:D26)</f>
        <v>285.63818505399996</v>
      </c>
      <c r="E27" s="259">
        <f t="shared" si="7"/>
        <v>0</v>
      </c>
      <c r="F27" s="259">
        <f t="shared" si="7"/>
        <v>53.916194699000002</v>
      </c>
      <c r="G27" s="259">
        <f t="shared" si="7"/>
        <v>7.7489999999999997</v>
      </c>
      <c r="H27" s="259">
        <f t="shared" si="7"/>
        <v>10.085000000000001</v>
      </c>
      <c r="I27" s="259">
        <f t="shared" si="7"/>
        <v>0</v>
      </c>
      <c r="J27" s="259">
        <f t="shared" si="7"/>
        <v>199.52967409999999</v>
      </c>
      <c r="K27" s="259">
        <f>SUM(K15:K26)</f>
        <v>213.887990355</v>
      </c>
    </row>
  </sheetData>
  <mergeCells count="6">
    <mergeCell ref="E13:I13"/>
    <mergeCell ref="B2:M2"/>
    <mergeCell ref="B3:M3"/>
    <mergeCell ref="B5:M5"/>
    <mergeCell ref="B8:M8"/>
    <mergeCell ref="B9:M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B2:I9"/>
  <sheetViews>
    <sheetView topLeftCell="A4" workbookViewId="0">
      <selection activeCell="G6" sqref="G6"/>
    </sheetView>
  </sheetViews>
  <sheetFormatPr defaultRowHeight="14.4"/>
  <cols>
    <col min="3" max="3" width="14.6640625" customWidth="1"/>
    <col min="7" max="7" width="83.33203125" customWidth="1"/>
  </cols>
  <sheetData>
    <row r="2" spans="2:9">
      <c r="B2" s="348" t="s">
        <v>119</v>
      </c>
      <c r="C2" s="349"/>
      <c r="D2" s="349"/>
      <c r="E2" s="349"/>
      <c r="F2" s="349"/>
      <c r="G2" s="350"/>
    </row>
    <row r="3" spans="2:9">
      <c r="B3" s="351" t="str">
        <f>'Interest Accrued-IV'!B3:M3</f>
        <v>Details as on 30th September, 2018</v>
      </c>
      <c r="C3" s="352"/>
      <c r="D3" s="352"/>
      <c r="E3" s="352"/>
      <c r="F3" s="352"/>
      <c r="G3" s="353"/>
    </row>
    <row r="4" spans="2:9" ht="48">
      <c r="B4" s="24" t="s">
        <v>0</v>
      </c>
      <c r="C4" s="24" t="s">
        <v>70</v>
      </c>
      <c r="D4" s="33" t="s">
        <v>65</v>
      </c>
      <c r="E4" s="24" t="s">
        <v>464</v>
      </c>
      <c r="F4" s="24" t="s">
        <v>465</v>
      </c>
      <c r="G4" s="24" t="s">
        <v>22</v>
      </c>
    </row>
    <row r="5" spans="2:9">
      <c r="B5" s="351" t="str">
        <f>[4]SUMMARY!B5</f>
        <v>Figures in INR Crores</v>
      </c>
      <c r="C5" s="352"/>
      <c r="D5" s="352"/>
      <c r="E5" s="352"/>
      <c r="F5" s="352"/>
      <c r="G5" s="353"/>
    </row>
    <row r="6" spans="2:9" ht="102.6">
      <c r="B6" s="40">
        <v>1</v>
      </c>
      <c r="C6" s="43" t="s">
        <v>119</v>
      </c>
      <c r="D6" s="44">
        <v>29.18</v>
      </c>
      <c r="E6" s="44">
        <f t="shared" ref="E6" si="0">$D6*H6</f>
        <v>23.344000000000001</v>
      </c>
      <c r="F6" s="44">
        <f>$E6*I6</f>
        <v>11.672000000000001</v>
      </c>
      <c r="G6" s="89" t="s">
        <v>663</v>
      </c>
      <c r="H6" s="39">
        <v>0.8</v>
      </c>
      <c r="I6" s="39">
        <v>0.5</v>
      </c>
    </row>
    <row r="7" spans="2:9">
      <c r="B7" s="34"/>
      <c r="C7" s="195" t="s">
        <v>23</v>
      </c>
      <c r="D7" s="45">
        <f>SUM(D6:D6)</f>
        <v>29.18</v>
      </c>
      <c r="E7" s="45">
        <f>SUM(E6:E6)</f>
        <v>23.344000000000001</v>
      </c>
      <c r="F7" s="45">
        <f>SUM(F6:F6)</f>
        <v>11.672000000000001</v>
      </c>
      <c r="G7" s="34"/>
    </row>
    <row r="8" spans="2:9">
      <c r="B8" s="341" t="s">
        <v>20</v>
      </c>
      <c r="C8" s="342"/>
      <c r="D8" s="342"/>
      <c r="E8" s="342"/>
      <c r="F8" s="342"/>
      <c r="G8" s="365"/>
    </row>
    <row r="9" spans="2:9" ht="128.25" customHeight="1">
      <c r="B9" s="299" t="s">
        <v>652</v>
      </c>
      <c r="C9" s="299"/>
      <c r="D9" s="299"/>
      <c r="E9" s="299"/>
      <c r="F9" s="299"/>
      <c r="G9" s="299"/>
    </row>
  </sheetData>
  <mergeCells count="5">
    <mergeCell ref="B2:G2"/>
    <mergeCell ref="B3:G3"/>
    <mergeCell ref="B5:G5"/>
    <mergeCell ref="B8:G8"/>
    <mergeCell ref="B9:G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249977111117893"/>
  </sheetPr>
  <dimension ref="B2:U20"/>
  <sheetViews>
    <sheetView workbookViewId="0">
      <selection activeCell="M6" sqref="M6"/>
    </sheetView>
  </sheetViews>
  <sheetFormatPr defaultRowHeight="14.4"/>
  <cols>
    <col min="3" max="3" width="17.109375" customWidth="1"/>
    <col min="12" max="12" width="11.33203125" customWidth="1"/>
    <col min="13" max="13" width="61.6640625" customWidth="1"/>
  </cols>
  <sheetData>
    <row r="2" spans="2:21">
      <c r="B2" s="366" t="s">
        <v>622</v>
      </c>
      <c r="C2" s="367"/>
      <c r="D2" s="367"/>
      <c r="E2" s="367"/>
      <c r="F2" s="367"/>
      <c r="G2" s="367"/>
      <c r="H2" s="367"/>
      <c r="I2" s="367"/>
      <c r="J2" s="367"/>
      <c r="K2" s="367"/>
      <c r="L2" s="367"/>
      <c r="M2" s="367"/>
    </row>
    <row r="3" spans="2:21">
      <c r="B3" s="368" t="s">
        <v>156</v>
      </c>
      <c r="C3" s="369"/>
      <c r="D3" s="369"/>
      <c r="E3" s="369"/>
      <c r="F3" s="369"/>
      <c r="G3" s="369"/>
      <c r="H3" s="369"/>
      <c r="I3" s="369"/>
      <c r="J3" s="369"/>
      <c r="K3" s="369"/>
      <c r="L3" s="369"/>
      <c r="M3" s="369"/>
    </row>
    <row r="4" spans="2:21" ht="48">
      <c r="B4" s="24" t="s">
        <v>0</v>
      </c>
      <c r="C4" s="24" t="s">
        <v>70</v>
      </c>
      <c r="D4" s="33" t="s">
        <v>65</v>
      </c>
      <c r="E4" s="24" t="s">
        <v>458</v>
      </c>
      <c r="F4" s="24" t="s">
        <v>459</v>
      </c>
      <c r="G4" s="24" t="s">
        <v>460</v>
      </c>
      <c r="H4" s="24" t="s">
        <v>461</v>
      </c>
      <c r="I4" s="24" t="s">
        <v>462</v>
      </c>
      <c r="J4" s="236" t="s">
        <v>422</v>
      </c>
      <c r="K4" s="24" t="s">
        <v>464</v>
      </c>
      <c r="L4" s="24" t="s">
        <v>465</v>
      </c>
      <c r="M4" s="24" t="s">
        <v>22</v>
      </c>
    </row>
    <row r="5" spans="2:21">
      <c r="B5" s="351" t="s">
        <v>94</v>
      </c>
      <c r="C5" s="352"/>
      <c r="D5" s="352"/>
      <c r="E5" s="352"/>
      <c r="F5" s="352"/>
      <c r="G5" s="352"/>
      <c r="H5" s="352"/>
      <c r="I5" s="352"/>
      <c r="J5" s="352"/>
      <c r="K5" s="352"/>
      <c r="L5" s="352"/>
      <c r="M5" s="353"/>
    </row>
    <row r="6" spans="2:21" ht="228">
      <c r="B6" s="194">
        <v>1</v>
      </c>
      <c r="C6" s="60" t="s">
        <v>120</v>
      </c>
      <c r="D6" s="56">
        <f>38.12-7.75</f>
        <v>30.369999999999997</v>
      </c>
      <c r="E6" s="56">
        <f>P15</f>
        <v>0</v>
      </c>
      <c r="F6" s="56">
        <f t="shared" ref="F6:I6" si="0">Q15</f>
        <v>5.42</v>
      </c>
      <c r="G6" s="56">
        <f t="shared" si="0"/>
        <v>16.670000000000002</v>
      </c>
      <c r="H6" s="56">
        <f t="shared" si="0"/>
        <v>0</v>
      </c>
      <c r="I6" s="56">
        <f t="shared" si="0"/>
        <v>0</v>
      </c>
      <c r="J6" s="56">
        <f>U15</f>
        <v>8.2799999999999994</v>
      </c>
      <c r="K6" s="56">
        <f>P20</f>
        <v>16.851640622297648</v>
      </c>
      <c r="L6" s="56">
        <v>0</v>
      </c>
      <c r="M6" s="88" t="s">
        <v>664</v>
      </c>
    </row>
    <row r="7" spans="2:21">
      <c r="B7" s="34"/>
      <c r="C7" s="195" t="s">
        <v>23</v>
      </c>
      <c r="D7" s="235">
        <f>SUM(D3:D6)</f>
        <v>30.369999999999997</v>
      </c>
      <c r="E7" s="235">
        <f t="shared" ref="E7:J7" si="1">SUM(E3:E6)</f>
        <v>0</v>
      </c>
      <c r="F7" s="235"/>
      <c r="G7" s="235"/>
      <c r="H7" s="235"/>
      <c r="I7" s="235"/>
      <c r="J7" s="235">
        <f t="shared" si="1"/>
        <v>8.2799999999999994</v>
      </c>
      <c r="K7" s="186">
        <f>K6</f>
        <v>16.851640622297648</v>
      </c>
      <c r="L7" s="186">
        <f>L6</f>
        <v>0</v>
      </c>
      <c r="M7" s="34"/>
    </row>
    <row r="8" spans="2:21">
      <c r="B8" s="370" t="s">
        <v>20</v>
      </c>
      <c r="C8" s="371"/>
      <c r="D8" s="371"/>
      <c r="E8" s="371"/>
      <c r="F8" s="371"/>
      <c r="G8" s="371"/>
      <c r="H8" s="371"/>
      <c r="I8" s="371"/>
      <c r="J8" s="371"/>
      <c r="K8" s="371"/>
      <c r="L8" s="371"/>
      <c r="M8" s="371"/>
    </row>
    <row r="9" spans="2:21" ht="93" customHeight="1">
      <c r="B9" s="372" t="s">
        <v>674</v>
      </c>
      <c r="C9" s="373"/>
      <c r="D9" s="373"/>
      <c r="E9" s="373"/>
      <c r="F9" s="373"/>
      <c r="G9" s="373"/>
      <c r="H9" s="373"/>
      <c r="I9" s="373"/>
      <c r="J9" s="373"/>
      <c r="K9" s="373"/>
      <c r="L9" s="373"/>
      <c r="M9" s="373"/>
    </row>
    <row r="13" spans="2:21" ht="57.6">
      <c r="B13" s="260" t="s">
        <v>623</v>
      </c>
      <c r="C13" s="116"/>
      <c r="D13" s="116"/>
      <c r="E13" s="359" t="s">
        <v>588</v>
      </c>
      <c r="F13" s="359"/>
      <c r="G13" s="359"/>
      <c r="H13" s="359"/>
      <c r="I13" s="359"/>
      <c r="J13" s="116"/>
      <c r="K13" s="116"/>
      <c r="O13" s="162" t="s">
        <v>436</v>
      </c>
      <c r="P13" s="119">
        <v>1</v>
      </c>
      <c r="Q13" s="119">
        <f>P13+1</f>
        <v>2</v>
      </c>
      <c r="R13" s="119">
        <f t="shared" ref="R13:U13" si="2">Q13+1</f>
        <v>3</v>
      </c>
      <c r="S13" s="119">
        <f t="shared" si="2"/>
        <v>4</v>
      </c>
      <c r="T13" s="119">
        <f t="shared" si="2"/>
        <v>5</v>
      </c>
      <c r="U13" s="119">
        <f t="shared" si="2"/>
        <v>6</v>
      </c>
    </row>
    <row r="14" spans="2:21" ht="34.950000000000003" customHeight="1">
      <c r="B14" s="261" t="s">
        <v>624</v>
      </c>
      <c r="C14" s="261" t="s">
        <v>186</v>
      </c>
      <c r="D14" s="262" t="s">
        <v>548</v>
      </c>
      <c r="E14" s="230" t="s">
        <v>426</v>
      </c>
      <c r="F14" s="230" t="s">
        <v>427</v>
      </c>
      <c r="G14" s="230" t="s">
        <v>428</v>
      </c>
      <c r="H14" s="230" t="s">
        <v>429</v>
      </c>
      <c r="I14" s="230" t="s">
        <v>430</v>
      </c>
      <c r="J14" s="230" t="s">
        <v>422</v>
      </c>
      <c r="K14" s="24" t="s">
        <v>501</v>
      </c>
      <c r="O14" s="163" t="s">
        <v>437</v>
      </c>
      <c r="P14" s="164">
        <f>D7</f>
        <v>30.369999999999997</v>
      </c>
      <c r="Q14" s="165"/>
      <c r="R14" s="165"/>
      <c r="S14" s="165"/>
      <c r="T14" s="165"/>
      <c r="U14" s="116"/>
    </row>
    <row r="15" spans="2:21">
      <c r="B15" s="263" t="s">
        <v>625</v>
      </c>
      <c r="C15" s="263" t="s">
        <v>493</v>
      </c>
      <c r="D15" s="264">
        <v>12.27</v>
      </c>
      <c r="E15" s="232">
        <v>0</v>
      </c>
      <c r="F15" s="232">
        <v>5.42</v>
      </c>
      <c r="G15" s="232">
        <v>0.76</v>
      </c>
      <c r="H15" s="232">
        <v>0</v>
      </c>
      <c r="I15" s="232">
        <v>0</v>
      </c>
      <c r="J15" s="232">
        <v>0.53</v>
      </c>
      <c r="K15" s="238">
        <f>D15-E15-F15-G15-H15-I15</f>
        <v>6.09</v>
      </c>
      <c r="O15" s="163" t="s">
        <v>438</v>
      </c>
      <c r="P15" s="164">
        <f>E20</f>
        <v>0</v>
      </c>
      <c r="Q15" s="164">
        <f>F20</f>
        <v>5.42</v>
      </c>
      <c r="R15" s="164">
        <f>G20</f>
        <v>16.670000000000002</v>
      </c>
      <c r="S15" s="164">
        <f t="shared" ref="S15:T15" si="3">H20</f>
        <v>0</v>
      </c>
      <c r="T15" s="164">
        <f t="shared" si="3"/>
        <v>0</v>
      </c>
      <c r="U15" s="164">
        <f>K20</f>
        <v>8.2799999999999994</v>
      </c>
    </row>
    <row r="16" spans="2:21">
      <c r="B16" s="263" t="s">
        <v>626</v>
      </c>
      <c r="C16" s="263" t="s">
        <v>493</v>
      </c>
      <c r="D16" s="264">
        <v>0.02</v>
      </c>
      <c r="E16" s="232">
        <v>0</v>
      </c>
      <c r="F16" s="232">
        <v>0</v>
      </c>
      <c r="G16" s="232">
        <v>0</v>
      </c>
      <c r="H16" s="232">
        <v>0</v>
      </c>
      <c r="I16" s="232">
        <v>0</v>
      </c>
      <c r="J16" s="232">
        <v>0.02</v>
      </c>
      <c r="K16" s="238">
        <f t="shared" ref="K16:K19" si="4">D16-E16-F16-G16-H16-I16</f>
        <v>0.02</v>
      </c>
      <c r="O16" s="163" t="s">
        <v>439</v>
      </c>
      <c r="P16" s="165">
        <v>1</v>
      </c>
      <c r="Q16" s="165">
        <f>P16+1</f>
        <v>2</v>
      </c>
      <c r="R16" s="165">
        <f t="shared" ref="R16:U16" si="5">Q16+1</f>
        <v>3</v>
      </c>
      <c r="S16" s="165">
        <f t="shared" si="5"/>
        <v>4</v>
      </c>
      <c r="T16" s="165">
        <f t="shared" si="5"/>
        <v>5</v>
      </c>
      <c r="U16" s="165">
        <f t="shared" si="5"/>
        <v>6</v>
      </c>
    </row>
    <row r="17" spans="2:21">
      <c r="B17" s="263" t="s">
        <v>626</v>
      </c>
      <c r="C17" s="263" t="s">
        <v>342</v>
      </c>
      <c r="D17" s="264">
        <v>15.91</v>
      </c>
      <c r="E17" s="232">
        <v>0</v>
      </c>
      <c r="F17" s="232">
        <v>0</v>
      </c>
      <c r="G17" s="253">
        <v>15.91</v>
      </c>
      <c r="H17" s="232">
        <v>0</v>
      </c>
      <c r="I17" s="232">
        <v>0</v>
      </c>
      <c r="J17" s="232">
        <v>0</v>
      </c>
      <c r="K17" s="238">
        <f t="shared" si="4"/>
        <v>0</v>
      </c>
      <c r="O17" s="163" t="s">
        <v>153</v>
      </c>
      <c r="P17" s="166">
        <f>1/(1+$P$18)^P16</f>
        <v>0.85470085470085477</v>
      </c>
      <c r="Q17" s="166">
        <f t="shared" ref="Q17:T17" si="6">1/(1+$P$18)^Q16</f>
        <v>0.73051355102637161</v>
      </c>
      <c r="R17" s="166">
        <f t="shared" si="6"/>
        <v>0.62437055643279626</v>
      </c>
      <c r="S17" s="166">
        <f t="shared" si="6"/>
        <v>0.53365004823315931</v>
      </c>
      <c r="T17" s="166">
        <f t="shared" si="6"/>
        <v>0.45611115233603361</v>
      </c>
      <c r="U17" s="275">
        <v>0.3</v>
      </c>
    </row>
    <row r="18" spans="2:21">
      <c r="B18" s="263" t="s">
        <v>626</v>
      </c>
      <c r="C18" s="263" t="s">
        <v>363</v>
      </c>
      <c r="D18" s="264">
        <v>1.98</v>
      </c>
      <c r="E18" s="232">
        <v>0</v>
      </c>
      <c r="F18" s="232">
        <v>0</v>
      </c>
      <c r="G18" s="232">
        <v>0</v>
      </c>
      <c r="H18" s="232">
        <v>0</v>
      </c>
      <c r="I18" s="232">
        <v>0</v>
      </c>
      <c r="J18" s="232">
        <v>0.85</v>
      </c>
      <c r="K18" s="238">
        <f t="shared" si="4"/>
        <v>1.98</v>
      </c>
      <c r="O18" s="163" t="s">
        <v>440</v>
      </c>
      <c r="P18" s="167">
        <v>0.17</v>
      </c>
      <c r="Q18" s="165"/>
      <c r="R18" s="165"/>
      <c r="S18" s="165"/>
      <c r="T18" s="165"/>
      <c r="U18" s="116"/>
    </row>
    <row r="19" spans="2:21">
      <c r="B19" s="263" t="s">
        <v>626</v>
      </c>
      <c r="C19" s="263" t="s">
        <v>627</v>
      </c>
      <c r="D19" s="264">
        <v>0.19</v>
      </c>
      <c r="E19" s="232">
        <v>0</v>
      </c>
      <c r="F19" s="232">
        <v>0</v>
      </c>
      <c r="G19" s="232">
        <v>0</v>
      </c>
      <c r="H19" s="232">
        <v>0</v>
      </c>
      <c r="I19" s="232">
        <v>0</v>
      </c>
      <c r="J19" s="232">
        <v>0</v>
      </c>
      <c r="K19" s="238">
        <f t="shared" si="4"/>
        <v>0.19</v>
      </c>
      <c r="O19" s="163" t="s">
        <v>441</v>
      </c>
      <c r="P19" s="164">
        <f>P15*P17</f>
        <v>0</v>
      </c>
      <c r="Q19" s="164">
        <f t="shared" ref="Q19:T19" si="7">Q15*Q17</f>
        <v>3.9593834465629341</v>
      </c>
      <c r="R19" s="164">
        <f t="shared" si="7"/>
        <v>10.408257175734715</v>
      </c>
      <c r="S19" s="164">
        <f t="shared" si="7"/>
        <v>0</v>
      </c>
      <c r="T19" s="164">
        <f t="shared" si="7"/>
        <v>0</v>
      </c>
      <c r="U19" s="164">
        <f>U15*U17</f>
        <v>2.4839999999999995</v>
      </c>
    </row>
    <row r="20" spans="2:21" ht="57.6">
      <c r="B20" s="265" t="s">
        <v>628</v>
      </c>
      <c r="C20" s="265"/>
      <c r="D20" s="266">
        <v>30.37</v>
      </c>
      <c r="E20" s="266">
        <v>0</v>
      </c>
      <c r="F20" s="266">
        <v>5.42</v>
      </c>
      <c r="G20" s="266">
        <v>16.670000000000002</v>
      </c>
      <c r="H20" s="266">
        <v>0</v>
      </c>
      <c r="I20" s="266">
        <v>0</v>
      </c>
      <c r="J20" s="266">
        <v>1.4</v>
      </c>
      <c r="K20" s="266">
        <f>SUM(K15:K19)</f>
        <v>8.2799999999999994</v>
      </c>
      <c r="O20" s="168" t="s">
        <v>442</v>
      </c>
      <c r="P20" s="169">
        <f>SUM(P19:U19)</f>
        <v>16.851640622297648</v>
      </c>
      <c r="Q20" s="162"/>
      <c r="R20" s="162"/>
      <c r="S20" s="162"/>
      <c r="T20" s="170"/>
      <c r="U20" s="170"/>
    </row>
  </sheetData>
  <mergeCells count="6">
    <mergeCell ref="E13:I13"/>
    <mergeCell ref="B2:M2"/>
    <mergeCell ref="B3:M3"/>
    <mergeCell ref="B5:M5"/>
    <mergeCell ref="B8:M8"/>
    <mergeCell ref="B9:M9"/>
  </mergeCells>
  <phoneticPr fontId="7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B2:I9"/>
  <sheetViews>
    <sheetView topLeftCell="A3" workbookViewId="0">
      <selection activeCell="B9" sqref="B9:G9"/>
    </sheetView>
  </sheetViews>
  <sheetFormatPr defaultRowHeight="14.4"/>
  <cols>
    <col min="3" max="3" width="22.88671875" customWidth="1"/>
    <col min="4" max="4" width="12.33203125" customWidth="1"/>
    <col min="5" max="5" width="13.33203125" customWidth="1"/>
    <col min="6" max="6" width="12.6640625" customWidth="1"/>
    <col min="7" max="7" width="55" customWidth="1"/>
  </cols>
  <sheetData>
    <row r="2" spans="2:9">
      <c r="B2" s="360" t="s">
        <v>146</v>
      </c>
      <c r="C2" s="361"/>
      <c r="D2" s="361"/>
      <c r="E2" s="361"/>
      <c r="F2" s="361"/>
      <c r="G2" s="362"/>
    </row>
    <row r="3" spans="2:9" ht="14.4" customHeight="1">
      <c r="B3" s="293" t="s">
        <v>156</v>
      </c>
      <c r="C3" s="363"/>
      <c r="D3" s="363"/>
      <c r="E3" s="363"/>
      <c r="F3" s="363"/>
      <c r="G3" s="364"/>
    </row>
    <row r="4" spans="2:9" ht="36">
      <c r="B4" s="24" t="s">
        <v>0</v>
      </c>
      <c r="C4" s="24" t="s">
        <v>70</v>
      </c>
      <c r="D4" s="33" t="s">
        <v>65</v>
      </c>
      <c r="E4" s="24" t="s">
        <v>464</v>
      </c>
      <c r="F4" s="24" t="s">
        <v>654</v>
      </c>
      <c r="G4" s="24" t="s">
        <v>22</v>
      </c>
    </row>
    <row r="5" spans="2:9">
      <c r="B5" s="293" t="s">
        <v>94</v>
      </c>
      <c r="C5" s="294"/>
      <c r="D5" s="294"/>
      <c r="E5" s="294"/>
      <c r="F5" s="294"/>
      <c r="G5" s="295"/>
    </row>
    <row r="6" spans="2:9" ht="67.95" customHeight="1">
      <c r="B6" s="40">
        <v>1</v>
      </c>
      <c r="C6" s="57" t="s">
        <v>146</v>
      </c>
      <c r="D6" s="56">
        <v>10.35</v>
      </c>
      <c r="E6" s="56">
        <f>D6*H6</f>
        <v>10.35</v>
      </c>
      <c r="F6" s="56">
        <f>E6*I6</f>
        <v>10.35</v>
      </c>
      <c r="G6" s="88" t="s">
        <v>665</v>
      </c>
      <c r="H6" s="39">
        <v>1</v>
      </c>
      <c r="I6" s="39">
        <v>1</v>
      </c>
    </row>
    <row r="7" spans="2:9">
      <c r="B7" s="34"/>
      <c r="C7" s="32" t="s">
        <v>23</v>
      </c>
      <c r="D7" s="45">
        <f>SUM(D6:D6)</f>
        <v>10.35</v>
      </c>
      <c r="E7" s="45">
        <f>SUM(E6:E6)</f>
        <v>10.35</v>
      </c>
      <c r="F7" s="45">
        <f>SUM(F6:F6)</f>
        <v>10.35</v>
      </c>
      <c r="G7" s="34"/>
    </row>
    <row r="8" spans="2:9">
      <c r="B8" s="296" t="s">
        <v>20</v>
      </c>
      <c r="C8" s="297"/>
      <c r="D8" s="297"/>
      <c r="E8" s="297"/>
      <c r="F8" s="297"/>
      <c r="G8" s="298"/>
    </row>
    <row r="9" spans="2:9" ht="105" customHeight="1">
      <c r="B9" s="299" t="s">
        <v>675</v>
      </c>
      <c r="C9" s="299"/>
      <c r="D9" s="299"/>
      <c r="E9" s="299"/>
      <c r="F9" s="299"/>
      <c r="G9" s="299"/>
    </row>
  </sheetData>
  <mergeCells count="5">
    <mergeCell ref="B2:G2"/>
    <mergeCell ref="B3:G3"/>
    <mergeCell ref="B5:G5"/>
    <mergeCell ref="B8:G8"/>
    <mergeCell ref="B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2:I17"/>
  <sheetViews>
    <sheetView topLeftCell="B8" workbookViewId="0">
      <selection activeCell="B10" sqref="B10:G10"/>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97" customWidth="1"/>
  </cols>
  <sheetData>
    <row r="2" spans="2:9">
      <c r="B2" s="360" t="s">
        <v>655</v>
      </c>
      <c r="C2" s="361"/>
      <c r="D2" s="361"/>
      <c r="E2" s="361"/>
      <c r="F2" s="361"/>
      <c r="G2" s="362"/>
    </row>
    <row r="3" spans="2:9">
      <c r="B3" s="293" t="s">
        <v>156</v>
      </c>
      <c r="C3" s="294"/>
      <c r="D3" s="294"/>
      <c r="E3" s="294"/>
      <c r="F3" s="294"/>
      <c r="G3" s="295"/>
    </row>
    <row r="4" spans="2:9" ht="24">
      <c r="B4" s="24" t="s">
        <v>0</v>
      </c>
      <c r="C4" s="24" t="s">
        <v>70</v>
      </c>
      <c r="D4" s="33" t="s">
        <v>65</v>
      </c>
      <c r="E4" s="24" t="s">
        <v>464</v>
      </c>
      <c r="F4" s="24" t="s">
        <v>654</v>
      </c>
      <c r="G4" s="24" t="s">
        <v>22</v>
      </c>
    </row>
    <row r="5" spans="2:9">
      <c r="B5" s="293" t="s">
        <v>94</v>
      </c>
      <c r="C5" s="294"/>
      <c r="D5" s="294"/>
      <c r="E5" s="294"/>
      <c r="F5" s="294"/>
      <c r="G5" s="295"/>
    </row>
    <row r="6" spans="2:9" ht="100.8">
      <c r="B6" s="37">
        <v>1</v>
      </c>
      <c r="C6" s="43" t="s">
        <v>136</v>
      </c>
      <c r="D6" s="44">
        <v>253.43</v>
      </c>
      <c r="E6" s="43">
        <f>$D$6*H6</f>
        <v>253.43</v>
      </c>
      <c r="F6" s="44">
        <f>$D$6*I6</f>
        <v>0</v>
      </c>
      <c r="G6" s="78" t="s">
        <v>680</v>
      </c>
      <c r="H6" s="39">
        <v>1</v>
      </c>
      <c r="I6" s="39">
        <v>0</v>
      </c>
    </row>
    <row r="7" spans="2:9" ht="72">
      <c r="B7" s="37">
        <v>2</v>
      </c>
      <c r="C7" s="83" t="s">
        <v>137</v>
      </c>
      <c r="D7" s="84">
        <f>83.88+33.57</f>
        <v>117.44999999999999</v>
      </c>
      <c r="E7" s="60">
        <f>D7*H7</f>
        <v>117.44999999999999</v>
      </c>
      <c r="F7" s="56">
        <v>0</v>
      </c>
      <c r="G7" s="90" t="s">
        <v>579</v>
      </c>
      <c r="H7" s="39">
        <v>1</v>
      </c>
      <c r="I7" s="39">
        <v>0</v>
      </c>
    </row>
    <row r="8" spans="2:9">
      <c r="B8" s="34"/>
      <c r="C8" s="59" t="s">
        <v>125</v>
      </c>
      <c r="D8" s="45">
        <f>SUM(D6:D7)</f>
        <v>370.88</v>
      </c>
      <c r="E8" s="45">
        <f t="shared" ref="E8:F8" si="0">SUM(E6:E7)</f>
        <v>370.88</v>
      </c>
      <c r="F8" s="45">
        <f t="shared" si="0"/>
        <v>0</v>
      </c>
      <c r="G8" s="34"/>
    </row>
    <row r="9" spans="2:9">
      <c r="B9" s="296" t="s">
        <v>20</v>
      </c>
      <c r="C9" s="297"/>
      <c r="D9" s="297"/>
      <c r="E9" s="297"/>
      <c r="F9" s="297"/>
      <c r="G9" s="298"/>
    </row>
    <row r="10" spans="2:9" ht="124.5" customHeight="1">
      <c r="B10" s="299" t="s">
        <v>650</v>
      </c>
      <c r="C10" s="299"/>
      <c r="D10" s="299"/>
      <c r="E10" s="299"/>
      <c r="F10" s="299"/>
      <c r="G10" s="299"/>
    </row>
    <row r="13" spans="2:9" ht="134.25" customHeight="1">
      <c r="C13" s="374" t="s">
        <v>84</v>
      </c>
      <c r="D13" s="374"/>
      <c r="E13" s="374"/>
      <c r="F13" s="374"/>
      <c r="G13" s="374"/>
    </row>
    <row r="15" spans="2:9" ht="70.5" customHeight="1">
      <c r="C15" s="374" t="s">
        <v>83</v>
      </c>
      <c r="D15" s="374"/>
      <c r="E15" s="374"/>
      <c r="F15" s="374"/>
      <c r="G15" s="374"/>
    </row>
    <row r="17" spans="3:7" ht="73.5" customHeight="1">
      <c r="C17" s="374" t="s">
        <v>85</v>
      </c>
      <c r="D17" s="374"/>
      <c r="E17" s="374"/>
      <c r="F17" s="374"/>
      <c r="G17" s="374"/>
    </row>
  </sheetData>
  <mergeCells count="8">
    <mergeCell ref="C15:G15"/>
    <mergeCell ref="C17:G17"/>
    <mergeCell ref="B2:G2"/>
    <mergeCell ref="B3:G3"/>
    <mergeCell ref="B5:G5"/>
    <mergeCell ref="B9:G9"/>
    <mergeCell ref="B10:G10"/>
    <mergeCell ref="C13:G13"/>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2:T57"/>
  <sheetViews>
    <sheetView topLeftCell="A7" workbookViewId="0">
      <selection activeCell="M6" sqref="M6"/>
    </sheetView>
  </sheetViews>
  <sheetFormatPr defaultRowHeight="14.4"/>
  <cols>
    <col min="3" max="3" width="14.6640625" customWidth="1"/>
    <col min="7" max="7" width="9.6640625" customWidth="1"/>
    <col min="13" max="13" width="63.6640625" customWidth="1"/>
  </cols>
  <sheetData>
    <row r="2" spans="1:20" ht="14.4" customHeight="1">
      <c r="B2" s="348" t="s">
        <v>656</v>
      </c>
      <c r="C2" s="349"/>
      <c r="D2" s="349"/>
      <c r="E2" s="349"/>
      <c r="F2" s="349"/>
      <c r="G2" s="349"/>
      <c r="H2" s="349"/>
      <c r="I2" s="349"/>
      <c r="J2" s="349"/>
      <c r="K2" s="349"/>
      <c r="L2" s="349"/>
      <c r="M2" s="350"/>
    </row>
    <row r="3" spans="1:20" ht="14.4" customHeight="1">
      <c r="B3" s="351" t="s">
        <v>156</v>
      </c>
      <c r="C3" s="352"/>
      <c r="D3" s="352"/>
      <c r="E3" s="352"/>
      <c r="F3" s="352"/>
      <c r="G3" s="352"/>
      <c r="H3" s="352"/>
      <c r="I3" s="352"/>
      <c r="J3" s="352"/>
      <c r="K3" s="352"/>
      <c r="L3" s="352"/>
      <c r="M3" s="353"/>
    </row>
    <row r="4" spans="1:20" ht="60">
      <c r="B4" s="24" t="s">
        <v>0</v>
      </c>
      <c r="C4" s="24" t="s">
        <v>70</v>
      </c>
      <c r="D4" s="33" t="s">
        <v>65</v>
      </c>
      <c r="E4" s="24" t="s">
        <v>458</v>
      </c>
      <c r="F4" s="24" t="s">
        <v>459</v>
      </c>
      <c r="G4" s="24" t="s">
        <v>460</v>
      </c>
      <c r="H4" s="24" t="s">
        <v>461</v>
      </c>
      <c r="I4" s="24" t="s">
        <v>462</v>
      </c>
      <c r="J4" s="24" t="s">
        <v>501</v>
      </c>
      <c r="K4" s="24" t="s">
        <v>464</v>
      </c>
      <c r="L4" s="24" t="s">
        <v>465</v>
      </c>
      <c r="M4" s="24" t="s">
        <v>22</v>
      </c>
    </row>
    <row r="5" spans="1:20" ht="14.4" customHeight="1">
      <c r="B5" s="351" t="str">
        <f>[2]SUMMARY!B5</f>
        <v>Figures in INR Crores</v>
      </c>
      <c r="C5" s="352"/>
      <c r="D5" s="352"/>
      <c r="E5" s="352"/>
      <c r="F5" s="352"/>
      <c r="G5" s="352"/>
      <c r="H5" s="352"/>
      <c r="I5" s="352"/>
      <c r="J5" s="352"/>
      <c r="K5" s="352"/>
      <c r="L5" s="352"/>
      <c r="M5" s="352"/>
    </row>
    <row r="6" spans="1:20" ht="250.8">
      <c r="B6" s="194">
        <v>1</v>
      </c>
      <c r="C6" s="196" t="s">
        <v>138</v>
      </c>
      <c r="D6" s="56">
        <f>4.69+877.39</f>
        <v>882.08</v>
      </c>
      <c r="E6" s="56">
        <f t="shared" ref="E6:J6" si="0">D12</f>
        <v>36.052361388803121</v>
      </c>
      <c r="F6" s="56">
        <f t="shared" si="0"/>
        <v>144.60296724156552</v>
      </c>
      <c r="G6" s="56">
        <f t="shared" si="0"/>
        <v>135.68590686775229</v>
      </c>
      <c r="H6" s="56">
        <f t="shared" si="0"/>
        <v>11.469999999999999</v>
      </c>
      <c r="I6" s="56">
        <f t="shared" si="0"/>
        <v>30.689999999999998</v>
      </c>
      <c r="J6" s="56">
        <f t="shared" si="0"/>
        <v>523.57871183555585</v>
      </c>
      <c r="K6" s="56">
        <f>O20</f>
        <v>398.35932722178131</v>
      </c>
      <c r="L6" s="56">
        <f>O21</f>
        <v>168.62164770212416</v>
      </c>
      <c r="M6" s="91" t="s">
        <v>667</v>
      </c>
      <c r="O6" s="39">
        <v>0.3</v>
      </c>
    </row>
    <row r="7" spans="1:20">
      <c r="B7" s="34"/>
      <c r="C7" s="195" t="s">
        <v>23</v>
      </c>
      <c r="D7" s="45">
        <f>SUM(D3:D6)</f>
        <v>882.08</v>
      </c>
      <c r="E7" s="45">
        <f>SUM(E3:E6)</f>
        <v>36.052361388803121</v>
      </c>
      <c r="F7" s="45">
        <f>SUM(F3:F6)</f>
        <v>144.60296724156552</v>
      </c>
      <c r="G7" s="45">
        <f t="shared" ref="G7:L7" si="1">SUM(G3:G6)</f>
        <v>135.68590686775229</v>
      </c>
      <c r="H7" s="45">
        <f t="shared" si="1"/>
        <v>11.469999999999999</v>
      </c>
      <c r="I7" s="45">
        <f t="shared" si="1"/>
        <v>30.689999999999998</v>
      </c>
      <c r="J7" s="45">
        <f t="shared" si="1"/>
        <v>523.57871183555585</v>
      </c>
      <c r="K7" s="45">
        <f t="shared" si="1"/>
        <v>398.35932722178131</v>
      </c>
      <c r="L7" s="45">
        <f t="shared" si="1"/>
        <v>168.62164770212416</v>
      </c>
      <c r="M7" s="45"/>
    </row>
    <row r="8" spans="1:20" ht="14.4" customHeight="1">
      <c r="B8" s="354" t="s">
        <v>20</v>
      </c>
      <c r="C8" s="355"/>
      <c r="D8" s="355"/>
      <c r="E8" s="355"/>
      <c r="F8" s="355"/>
      <c r="G8" s="355"/>
      <c r="H8" s="355"/>
      <c r="I8" s="355"/>
      <c r="J8" s="355"/>
      <c r="K8" s="355"/>
      <c r="L8" s="355"/>
      <c r="M8" s="356"/>
    </row>
    <row r="9" spans="1:20" ht="100.95" customHeight="1">
      <c r="B9" s="299" t="s">
        <v>679</v>
      </c>
      <c r="C9" s="299"/>
      <c r="D9" s="299"/>
      <c r="E9" s="299"/>
      <c r="F9" s="299"/>
      <c r="G9" s="299"/>
      <c r="H9" s="299"/>
      <c r="I9" s="299"/>
      <c r="J9" s="299"/>
      <c r="K9" s="299"/>
      <c r="L9" s="299"/>
      <c r="M9" s="299"/>
    </row>
    <row r="12" spans="1:20" ht="60.6">
      <c r="A12" s="197"/>
      <c r="B12" s="198" t="s">
        <v>502</v>
      </c>
      <c r="C12" s="199">
        <f t="shared" ref="C12:J12" si="2">SUBTOTAL(9,C14:C57)</f>
        <v>882.07994733367707</v>
      </c>
      <c r="D12" s="199">
        <f t="shared" si="2"/>
        <v>36.052361388803121</v>
      </c>
      <c r="E12" s="199">
        <f t="shared" si="2"/>
        <v>144.60296724156552</v>
      </c>
      <c r="F12" s="199">
        <f t="shared" si="2"/>
        <v>135.68590686775229</v>
      </c>
      <c r="G12" s="199">
        <f t="shared" si="2"/>
        <v>11.469999999999999</v>
      </c>
      <c r="H12" s="199">
        <f t="shared" si="2"/>
        <v>30.689999999999998</v>
      </c>
      <c r="I12" s="199">
        <f t="shared" ref="I12" si="3">SUBTOTAL(9,I14:I57)</f>
        <v>523.57871183555585</v>
      </c>
      <c r="J12" s="199">
        <f t="shared" si="2"/>
        <v>306.12105962966507</v>
      </c>
      <c r="K12" s="197"/>
    </row>
    <row r="13" spans="1:20" ht="36">
      <c r="A13" s="200" t="s">
        <v>186</v>
      </c>
      <c r="B13" s="200" t="s">
        <v>482</v>
      </c>
      <c r="C13" s="201" t="s">
        <v>483</v>
      </c>
      <c r="D13" s="201" t="s">
        <v>426</v>
      </c>
      <c r="E13" s="201" t="s">
        <v>427</v>
      </c>
      <c r="F13" s="201" t="s">
        <v>428</v>
      </c>
      <c r="G13" s="201" t="s">
        <v>429</v>
      </c>
      <c r="H13" s="201" t="s">
        <v>430</v>
      </c>
      <c r="I13" s="201" t="s">
        <v>422</v>
      </c>
      <c r="J13" s="205" t="s">
        <v>422</v>
      </c>
      <c r="K13" s="205" t="s">
        <v>22</v>
      </c>
      <c r="N13" s="162" t="s">
        <v>436</v>
      </c>
      <c r="O13" s="119">
        <v>1</v>
      </c>
      <c r="P13" s="119">
        <f>O13+1</f>
        <v>2</v>
      </c>
      <c r="Q13" s="119">
        <f t="shared" ref="Q13:T13" si="4">P13+1</f>
        <v>3</v>
      </c>
      <c r="R13" s="119">
        <f t="shared" si="4"/>
        <v>4</v>
      </c>
      <c r="S13" s="119">
        <f t="shared" si="4"/>
        <v>5</v>
      </c>
      <c r="T13" s="119">
        <f t="shared" si="4"/>
        <v>6</v>
      </c>
    </row>
    <row r="14" spans="1:20">
      <c r="A14" s="202" t="s">
        <v>213</v>
      </c>
      <c r="B14" s="202" t="s">
        <v>216</v>
      </c>
      <c r="C14" s="203">
        <v>125</v>
      </c>
      <c r="D14" s="203"/>
      <c r="E14" s="203"/>
      <c r="F14" s="203">
        <v>125</v>
      </c>
      <c r="G14" s="203"/>
      <c r="H14" s="203"/>
      <c r="I14" s="203">
        <f>C14-D14-E14-F14-G14-H14</f>
        <v>0</v>
      </c>
      <c r="J14" s="206">
        <v>0</v>
      </c>
      <c r="K14" s="207"/>
      <c r="N14" s="163" t="s">
        <v>437</v>
      </c>
      <c r="O14" s="164">
        <f>C12</f>
        <v>882.07994733367707</v>
      </c>
      <c r="P14" s="165"/>
      <c r="Q14" s="165"/>
      <c r="R14" s="165"/>
      <c r="S14" s="165"/>
      <c r="T14" s="116"/>
    </row>
    <row r="15" spans="1:20">
      <c r="A15" s="202" t="s">
        <v>213</v>
      </c>
      <c r="B15" s="202" t="s">
        <v>484</v>
      </c>
      <c r="C15" s="203">
        <v>42.64</v>
      </c>
      <c r="D15" s="203"/>
      <c r="E15" s="203"/>
      <c r="F15" s="203">
        <v>0</v>
      </c>
      <c r="G15" s="203">
        <v>0</v>
      </c>
      <c r="H15" s="203"/>
      <c r="I15" s="203">
        <f t="shared" ref="I15:I57" si="5">C15-D15-E15-F15-G15-H15</f>
        <v>42.64</v>
      </c>
      <c r="J15" s="206">
        <v>0</v>
      </c>
      <c r="K15" s="207"/>
      <c r="N15" s="163" t="s">
        <v>438</v>
      </c>
      <c r="O15" s="164">
        <f t="shared" ref="O15:T15" si="6">D12</f>
        <v>36.052361388803121</v>
      </c>
      <c r="P15" s="164">
        <f t="shared" si="6"/>
        <v>144.60296724156552</v>
      </c>
      <c r="Q15" s="164">
        <f t="shared" si="6"/>
        <v>135.68590686775229</v>
      </c>
      <c r="R15" s="164">
        <f t="shared" si="6"/>
        <v>11.469999999999999</v>
      </c>
      <c r="S15" s="164">
        <f t="shared" si="6"/>
        <v>30.689999999999998</v>
      </c>
      <c r="T15" s="164">
        <f t="shared" si="6"/>
        <v>523.57871183555585</v>
      </c>
    </row>
    <row r="16" spans="1:20">
      <c r="A16" s="202" t="s">
        <v>213</v>
      </c>
      <c r="B16" s="202" t="s">
        <v>220</v>
      </c>
      <c r="C16" s="203">
        <v>261.77233410000002</v>
      </c>
      <c r="D16" s="203"/>
      <c r="E16" s="203"/>
      <c r="F16" s="203"/>
      <c r="G16" s="203"/>
      <c r="H16" s="203"/>
      <c r="I16" s="203">
        <f t="shared" si="5"/>
        <v>261.77233410000002</v>
      </c>
      <c r="J16" s="206">
        <v>261.77233410000002</v>
      </c>
      <c r="K16" s="207" t="s">
        <v>434</v>
      </c>
      <c r="N16" s="163" t="s">
        <v>439</v>
      </c>
      <c r="O16" s="165">
        <v>1</v>
      </c>
      <c r="P16" s="165">
        <f>O16+1</f>
        <v>2</v>
      </c>
      <c r="Q16" s="165">
        <f t="shared" ref="Q16:T16" si="7">P16+1</f>
        <v>3</v>
      </c>
      <c r="R16" s="165">
        <f t="shared" si="7"/>
        <v>4</v>
      </c>
      <c r="S16" s="165">
        <f t="shared" si="7"/>
        <v>5</v>
      </c>
      <c r="T16" s="165">
        <f t="shared" si="7"/>
        <v>6</v>
      </c>
    </row>
    <row r="17" spans="1:20">
      <c r="A17" s="202" t="s">
        <v>213</v>
      </c>
      <c r="B17" s="202" t="s">
        <v>225</v>
      </c>
      <c r="C17" s="203">
        <v>25.85</v>
      </c>
      <c r="D17" s="203"/>
      <c r="E17" s="203">
        <v>25.85</v>
      </c>
      <c r="F17" s="203">
        <v>0</v>
      </c>
      <c r="G17" s="203"/>
      <c r="H17" s="203"/>
      <c r="I17" s="203">
        <f t="shared" si="5"/>
        <v>0</v>
      </c>
      <c r="J17" s="206">
        <v>0</v>
      </c>
      <c r="K17" s="207"/>
      <c r="N17" s="163" t="s">
        <v>153</v>
      </c>
      <c r="O17" s="166">
        <f>1/(1+$O$18)^O16</f>
        <v>0.85470085470085477</v>
      </c>
      <c r="P17" s="166">
        <f t="shared" ref="P17:S17" si="8">1/(1+$O$18)^P16</f>
        <v>0.73051355102637161</v>
      </c>
      <c r="Q17" s="166">
        <f t="shared" si="8"/>
        <v>0.62437055643279626</v>
      </c>
      <c r="R17" s="166">
        <f t="shared" si="8"/>
        <v>0.53365004823315931</v>
      </c>
      <c r="S17" s="166">
        <f t="shared" si="8"/>
        <v>0.45611115233603361</v>
      </c>
      <c r="T17" s="275">
        <v>0.3</v>
      </c>
    </row>
    <row r="18" spans="1:20">
      <c r="A18" s="202" t="s">
        <v>213</v>
      </c>
      <c r="B18" s="202" t="s">
        <v>214</v>
      </c>
      <c r="C18" s="203">
        <v>77.477000000000004</v>
      </c>
      <c r="D18" s="203"/>
      <c r="E18" s="203">
        <v>77.477000000000004</v>
      </c>
      <c r="F18" s="203">
        <v>0</v>
      </c>
      <c r="G18" s="203"/>
      <c r="H18" s="203"/>
      <c r="I18" s="203">
        <f t="shared" si="5"/>
        <v>0</v>
      </c>
      <c r="J18" s="206">
        <v>0</v>
      </c>
      <c r="K18" s="207"/>
      <c r="N18" s="163" t="s">
        <v>440</v>
      </c>
      <c r="O18" s="167">
        <v>0.17</v>
      </c>
      <c r="P18" s="165"/>
      <c r="Q18" s="165"/>
      <c r="R18" s="165"/>
      <c r="S18" s="165"/>
      <c r="T18" s="116"/>
    </row>
    <row r="19" spans="1:20">
      <c r="A19" s="202" t="s">
        <v>213</v>
      </c>
      <c r="B19" s="202" t="s">
        <v>222</v>
      </c>
      <c r="C19" s="203">
        <v>13.26</v>
      </c>
      <c r="D19" s="203"/>
      <c r="E19" s="203">
        <v>13.26</v>
      </c>
      <c r="F19" s="203"/>
      <c r="G19" s="203"/>
      <c r="H19" s="203"/>
      <c r="I19" s="203">
        <f t="shared" si="5"/>
        <v>0</v>
      </c>
      <c r="J19" s="206">
        <v>0</v>
      </c>
      <c r="K19" s="207"/>
      <c r="N19" s="163" t="s">
        <v>441</v>
      </c>
      <c r="O19" s="164">
        <f>O15*O17</f>
        <v>30.813984092994122</v>
      </c>
      <c r="P19" s="164">
        <f t="shared" ref="P19:S19" si="9">P15*P17</f>
        <v>105.63442708858612</v>
      </c>
      <c r="Q19" s="164">
        <f t="shared" si="9"/>
        <v>84.71828517110707</v>
      </c>
      <c r="R19" s="164">
        <f t="shared" si="9"/>
        <v>6.1209660532343371</v>
      </c>
      <c r="S19" s="164">
        <f t="shared" si="9"/>
        <v>13.998051265192871</v>
      </c>
      <c r="T19" s="164">
        <f>T15*T17</f>
        <v>157.07361355066675</v>
      </c>
    </row>
    <row r="20" spans="1:20" ht="57.6">
      <c r="A20" s="202" t="s">
        <v>363</v>
      </c>
      <c r="B20" s="202" t="s">
        <v>495</v>
      </c>
      <c r="C20" s="203">
        <v>10.64</v>
      </c>
      <c r="D20" s="203"/>
      <c r="E20" s="203"/>
      <c r="F20" s="203"/>
      <c r="G20" s="203"/>
      <c r="H20" s="203"/>
      <c r="I20" s="203">
        <f t="shared" si="5"/>
        <v>10.64</v>
      </c>
      <c r="J20" s="206">
        <v>10.64</v>
      </c>
      <c r="K20" s="207" t="s">
        <v>433</v>
      </c>
      <c r="N20" s="168" t="s">
        <v>442</v>
      </c>
      <c r="O20" s="169">
        <f>SUM(O19:T19)</f>
        <v>398.35932722178131</v>
      </c>
      <c r="P20" s="162"/>
      <c r="Q20" s="162"/>
      <c r="R20" s="162"/>
      <c r="S20" s="170"/>
      <c r="T20" s="170"/>
    </row>
    <row r="21" spans="1:20">
      <c r="A21" s="202" t="s">
        <v>363</v>
      </c>
      <c r="B21" s="202" t="s">
        <v>485</v>
      </c>
      <c r="C21" s="204">
        <v>0.38</v>
      </c>
      <c r="D21" s="203"/>
      <c r="E21" s="203"/>
      <c r="F21" s="203"/>
      <c r="G21" s="203"/>
      <c r="H21" s="203">
        <v>0.38</v>
      </c>
      <c r="I21" s="203">
        <f t="shared" si="5"/>
        <v>0</v>
      </c>
      <c r="J21" s="206">
        <v>0</v>
      </c>
      <c r="K21" s="207"/>
      <c r="N21" s="276" t="s">
        <v>465</v>
      </c>
      <c r="O21" s="159">
        <f>(O15*70%)+(P15*55%)+(Q15*40%)+(R15*30%)+(S15*20%)</f>
        <v>168.62164770212416</v>
      </c>
    </row>
    <row r="22" spans="1:20">
      <c r="A22" s="202" t="s">
        <v>363</v>
      </c>
      <c r="B22" s="202" t="s">
        <v>486</v>
      </c>
      <c r="C22" s="204">
        <v>2.2000000000000002</v>
      </c>
      <c r="D22" s="203"/>
      <c r="E22" s="203"/>
      <c r="F22" s="203"/>
      <c r="G22" s="203"/>
      <c r="H22" s="203">
        <v>2.2000000000000002</v>
      </c>
      <c r="I22" s="203">
        <f t="shared" si="5"/>
        <v>0</v>
      </c>
      <c r="J22" s="206">
        <v>0</v>
      </c>
      <c r="K22" s="207"/>
    </row>
    <row r="23" spans="1:20">
      <c r="A23" s="202" t="s">
        <v>363</v>
      </c>
      <c r="B23" s="202" t="s">
        <v>503</v>
      </c>
      <c r="C23" s="203">
        <v>0.51</v>
      </c>
      <c r="D23" s="203"/>
      <c r="E23" s="203"/>
      <c r="F23" s="203"/>
      <c r="G23" s="203">
        <v>0.51</v>
      </c>
      <c r="H23" s="203"/>
      <c r="I23" s="203">
        <f t="shared" si="5"/>
        <v>0</v>
      </c>
      <c r="J23" s="206">
        <v>0</v>
      </c>
      <c r="K23" s="207"/>
    </row>
    <row r="24" spans="1:20">
      <c r="A24" s="202" t="s">
        <v>363</v>
      </c>
      <c r="B24" s="202" t="s">
        <v>504</v>
      </c>
      <c r="C24" s="203">
        <v>9.6440862999870056</v>
      </c>
      <c r="D24" s="203"/>
      <c r="E24" s="203"/>
      <c r="F24" s="203"/>
      <c r="G24" s="203"/>
      <c r="H24" s="203"/>
      <c r="I24" s="203">
        <f t="shared" si="5"/>
        <v>9.6440862999870056</v>
      </c>
      <c r="J24" s="206">
        <v>0</v>
      </c>
      <c r="K24" s="207"/>
    </row>
    <row r="25" spans="1:20">
      <c r="A25" s="202" t="s">
        <v>363</v>
      </c>
      <c r="B25" s="202" t="s">
        <v>477</v>
      </c>
      <c r="C25" s="203">
        <v>0.35</v>
      </c>
      <c r="D25" s="203"/>
      <c r="E25" s="203"/>
      <c r="F25" s="203"/>
      <c r="G25" s="203"/>
      <c r="H25" s="203"/>
      <c r="I25" s="203">
        <f t="shared" si="5"/>
        <v>0.35</v>
      </c>
      <c r="J25" s="206">
        <v>0.35</v>
      </c>
      <c r="K25" s="207" t="s">
        <v>432</v>
      </c>
    </row>
    <row r="26" spans="1:20">
      <c r="A26" s="202" t="s">
        <v>363</v>
      </c>
      <c r="B26" s="202" t="s">
        <v>478</v>
      </c>
      <c r="C26" s="203">
        <v>0.2</v>
      </c>
      <c r="D26" s="203"/>
      <c r="E26" s="203">
        <v>0.2</v>
      </c>
      <c r="F26" s="203"/>
      <c r="G26" s="203"/>
      <c r="H26" s="203"/>
      <c r="I26" s="203">
        <f t="shared" si="5"/>
        <v>0</v>
      </c>
      <c r="J26" s="206">
        <v>0</v>
      </c>
      <c r="K26" s="207"/>
    </row>
    <row r="27" spans="1:20">
      <c r="A27" s="202" t="s">
        <v>363</v>
      </c>
      <c r="B27" s="202" t="s">
        <v>487</v>
      </c>
      <c r="C27" s="203">
        <v>1.9987481720000095</v>
      </c>
      <c r="D27" s="203"/>
      <c r="E27" s="203"/>
      <c r="F27" s="203"/>
      <c r="G27" s="203"/>
      <c r="H27" s="203"/>
      <c r="I27" s="203">
        <f t="shared" si="5"/>
        <v>1.9987481720000095</v>
      </c>
      <c r="J27" s="206">
        <v>1.4587481720000095</v>
      </c>
      <c r="K27" s="207" t="s">
        <v>433</v>
      </c>
    </row>
    <row r="28" spans="1:20">
      <c r="A28" s="202" t="s">
        <v>193</v>
      </c>
      <c r="B28" s="202" t="s">
        <v>488</v>
      </c>
      <c r="C28" s="203">
        <v>3.0210092</v>
      </c>
      <c r="D28" s="203">
        <v>0</v>
      </c>
      <c r="E28" s="203">
        <v>0</v>
      </c>
      <c r="F28" s="203">
        <v>0</v>
      </c>
      <c r="G28" s="203">
        <v>0</v>
      </c>
      <c r="H28" s="203">
        <v>0</v>
      </c>
      <c r="I28" s="203">
        <f t="shared" si="5"/>
        <v>3.0210092</v>
      </c>
      <c r="J28" s="206">
        <v>2.7910092</v>
      </c>
      <c r="K28" s="207" t="s">
        <v>433</v>
      </c>
    </row>
    <row r="29" spans="1:20">
      <c r="A29" s="202" t="s">
        <v>193</v>
      </c>
      <c r="B29" s="202" t="s">
        <v>489</v>
      </c>
      <c r="C29" s="203">
        <v>36.590000000000003</v>
      </c>
      <c r="D29" s="203">
        <v>0</v>
      </c>
      <c r="E29" s="203">
        <v>0</v>
      </c>
      <c r="F29" s="203">
        <v>0</v>
      </c>
      <c r="G29" s="203">
        <v>0</v>
      </c>
      <c r="H29" s="203">
        <v>0</v>
      </c>
      <c r="I29" s="203">
        <f t="shared" si="5"/>
        <v>36.590000000000003</v>
      </c>
      <c r="J29" s="206">
        <v>13.500000000000004</v>
      </c>
      <c r="K29" s="207" t="s">
        <v>433</v>
      </c>
    </row>
    <row r="30" spans="1:20">
      <c r="A30" s="202" t="s">
        <v>193</v>
      </c>
      <c r="B30" s="202" t="s">
        <v>505</v>
      </c>
      <c r="C30" s="203">
        <v>17.464936099999999</v>
      </c>
      <c r="D30" s="203">
        <v>0</v>
      </c>
      <c r="E30" s="203">
        <v>0.92</v>
      </c>
      <c r="F30" s="203">
        <v>7.09</v>
      </c>
      <c r="G30" s="203">
        <v>8.16</v>
      </c>
      <c r="H30" s="203">
        <v>0</v>
      </c>
      <c r="I30" s="203">
        <f t="shared" si="5"/>
        <v>1.2949360999999975</v>
      </c>
      <c r="J30" s="206">
        <v>4.9360999999974453E-3</v>
      </c>
      <c r="K30" s="207" t="s">
        <v>432</v>
      </c>
    </row>
    <row r="31" spans="1:20">
      <c r="A31" s="202" t="s">
        <v>193</v>
      </c>
      <c r="B31" s="202" t="s">
        <v>207</v>
      </c>
      <c r="C31" s="203">
        <v>27.82</v>
      </c>
      <c r="D31" s="203">
        <v>0</v>
      </c>
      <c r="E31" s="203">
        <v>0</v>
      </c>
      <c r="F31" s="203">
        <v>0</v>
      </c>
      <c r="G31" s="203">
        <v>0</v>
      </c>
      <c r="H31" s="203">
        <v>27.82</v>
      </c>
      <c r="I31" s="203">
        <f t="shared" si="5"/>
        <v>0</v>
      </c>
      <c r="J31" s="206">
        <v>0</v>
      </c>
      <c r="K31" s="207"/>
    </row>
    <row r="32" spans="1:20">
      <c r="A32" s="202" t="s">
        <v>193</v>
      </c>
      <c r="B32" s="202" t="s">
        <v>211</v>
      </c>
      <c r="C32" s="203">
        <v>41.73</v>
      </c>
      <c r="D32" s="203"/>
      <c r="E32" s="203"/>
      <c r="F32" s="203"/>
      <c r="G32" s="203"/>
      <c r="H32" s="203"/>
      <c r="I32" s="203">
        <f t="shared" si="5"/>
        <v>41.73</v>
      </c>
      <c r="J32" s="206">
        <v>0</v>
      </c>
      <c r="K32" s="207"/>
    </row>
    <row r="33" spans="1:11">
      <c r="A33" s="202" t="s">
        <v>400</v>
      </c>
      <c r="B33" s="202" t="s">
        <v>490</v>
      </c>
      <c r="C33" s="203">
        <v>8.0759672415655395</v>
      </c>
      <c r="D33" s="203">
        <v>4.82</v>
      </c>
      <c r="E33" s="203">
        <v>3.2559672415655392</v>
      </c>
      <c r="F33" s="203"/>
      <c r="G33" s="203"/>
      <c r="H33" s="203"/>
      <c r="I33" s="203">
        <f t="shared" si="5"/>
        <v>0</v>
      </c>
      <c r="J33" s="206">
        <v>0</v>
      </c>
      <c r="K33" s="207"/>
    </row>
    <row r="34" spans="1:11">
      <c r="A34" s="202" t="s">
        <v>400</v>
      </c>
      <c r="B34" s="202" t="s">
        <v>506</v>
      </c>
      <c r="C34" s="203">
        <v>5.2111442874588256</v>
      </c>
      <c r="D34" s="203">
        <v>5.21</v>
      </c>
      <c r="E34" s="203"/>
      <c r="F34" s="203"/>
      <c r="G34" s="203"/>
      <c r="H34" s="203"/>
      <c r="I34" s="203">
        <f t="shared" si="5"/>
        <v>1.1442874588256657E-3</v>
      </c>
      <c r="J34" s="206">
        <v>1.1442874588256657E-3</v>
      </c>
      <c r="K34" s="207" t="s">
        <v>433</v>
      </c>
    </row>
    <row r="35" spans="1:11">
      <c r="A35" s="202" t="s">
        <v>400</v>
      </c>
      <c r="B35" s="202" t="s">
        <v>507</v>
      </c>
      <c r="C35" s="203">
        <v>1.2495274854858787</v>
      </c>
      <c r="D35" s="203">
        <v>1.2495274854858787</v>
      </c>
      <c r="E35" s="203"/>
      <c r="F35" s="203"/>
      <c r="G35" s="203"/>
      <c r="H35" s="203"/>
      <c r="I35" s="203">
        <f t="shared" si="5"/>
        <v>0</v>
      </c>
      <c r="J35" s="206">
        <v>0</v>
      </c>
      <c r="K35" s="207"/>
    </row>
    <row r="36" spans="1:11">
      <c r="A36" s="202" t="s">
        <v>400</v>
      </c>
      <c r="B36" s="202" t="s">
        <v>491</v>
      </c>
      <c r="C36" s="203">
        <v>12.75593833799687</v>
      </c>
      <c r="D36" s="203">
        <v>12.75593833799687</v>
      </c>
      <c r="E36" s="203"/>
      <c r="F36" s="203"/>
      <c r="G36" s="203"/>
      <c r="H36" s="203"/>
      <c r="I36" s="203">
        <f t="shared" si="5"/>
        <v>0</v>
      </c>
      <c r="J36" s="206">
        <v>0</v>
      </c>
      <c r="K36" s="207"/>
    </row>
    <row r="37" spans="1:11">
      <c r="A37" s="202" t="s">
        <v>400</v>
      </c>
      <c r="B37" s="202" t="s">
        <v>508</v>
      </c>
      <c r="C37" s="203">
        <v>13.924491508047774</v>
      </c>
      <c r="D37" s="203">
        <v>0.26</v>
      </c>
      <c r="E37" s="203">
        <v>0.44</v>
      </c>
      <c r="F37" s="203">
        <v>0.1</v>
      </c>
      <c r="G37" s="203"/>
      <c r="H37" s="203"/>
      <c r="I37" s="203">
        <f t="shared" si="5"/>
        <v>13.124491508047775</v>
      </c>
      <c r="J37" s="206">
        <v>4.4915080477760938E-3</v>
      </c>
      <c r="K37" s="207" t="s">
        <v>433</v>
      </c>
    </row>
    <row r="38" spans="1:11">
      <c r="A38" s="202" t="s">
        <v>400</v>
      </c>
      <c r="B38" s="202" t="s">
        <v>509</v>
      </c>
      <c r="C38" s="203">
        <v>15.71015076215839</v>
      </c>
      <c r="D38" s="203">
        <v>2.33</v>
      </c>
      <c r="E38" s="203"/>
      <c r="F38" s="203"/>
      <c r="G38" s="203"/>
      <c r="H38" s="203"/>
      <c r="I38" s="203">
        <f t="shared" si="5"/>
        <v>13.38015076215839</v>
      </c>
      <c r="J38" s="206">
        <v>1.5076215838938367E-4</v>
      </c>
      <c r="K38" s="207" t="s">
        <v>433</v>
      </c>
    </row>
    <row r="39" spans="1:11">
      <c r="A39" s="202" t="s">
        <v>400</v>
      </c>
      <c r="B39" s="202" t="s">
        <v>510</v>
      </c>
      <c r="C39" s="203">
        <v>2.9397790449999994</v>
      </c>
      <c r="D39" s="203"/>
      <c r="E39" s="203"/>
      <c r="F39" s="203"/>
      <c r="G39" s="203"/>
      <c r="H39" s="203"/>
      <c r="I39" s="203">
        <f t="shared" si="5"/>
        <v>2.9397790449999994</v>
      </c>
      <c r="J39" s="206">
        <v>0</v>
      </c>
      <c r="K39" s="207"/>
    </row>
    <row r="40" spans="1:11">
      <c r="A40" s="202" t="s">
        <v>493</v>
      </c>
      <c r="B40" s="202" t="s">
        <v>275</v>
      </c>
      <c r="C40" s="203">
        <v>29.0148593135882</v>
      </c>
      <c r="D40" s="203">
        <v>0</v>
      </c>
      <c r="E40" s="203">
        <v>0</v>
      </c>
      <c r="F40" s="203">
        <v>0</v>
      </c>
      <c r="G40" s="203">
        <v>0</v>
      </c>
      <c r="H40" s="203">
        <v>0</v>
      </c>
      <c r="I40" s="203">
        <f t="shared" si="5"/>
        <v>29.0148593135882</v>
      </c>
      <c r="J40" s="206">
        <v>7</v>
      </c>
      <c r="K40" s="207" t="s">
        <v>431</v>
      </c>
    </row>
    <row r="41" spans="1:11">
      <c r="A41" s="202" t="s">
        <v>493</v>
      </c>
      <c r="B41" s="202" t="s">
        <v>279</v>
      </c>
      <c r="C41" s="203">
        <v>7.9180067545994044</v>
      </c>
      <c r="D41" s="203">
        <v>0</v>
      </c>
      <c r="E41" s="203">
        <v>0</v>
      </c>
      <c r="F41" s="203">
        <v>0</v>
      </c>
      <c r="G41" s="203">
        <v>0</v>
      </c>
      <c r="H41" s="203">
        <v>0</v>
      </c>
      <c r="I41" s="203">
        <f t="shared" si="5"/>
        <v>7.9180067545994044</v>
      </c>
      <c r="J41" s="206">
        <v>4.2</v>
      </c>
      <c r="K41" s="207" t="s">
        <v>431</v>
      </c>
    </row>
    <row r="42" spans="1:11">
      <c r="A42" s="202" t="s">
        <v>493</v>
      </c>
      <c r="B42" s="202" t="s">
        <v>494</v>
      </c>
      <c r="C42" s="203">
        <v>15.962812779085141</v>
      </c>
      <c r="D42" s="203">
        <v>0</v>
      </c>
      <c r="E42" s="203">
        <v>0</v>
      </c>
      <c r="F42" s="203">
        <v>0</v>
      </c>
      <c r="G42" s="203">
        <v>2.8</v>
      </c>
      <c r="H42" s="203">
        <v>0</v>
      </c>
      <c r="I42" s="203">
        <f t="shared" si="5"/>
        <v>13.16281277908514</v>
      </c>
      <c r="J42" s="206">
        <v>3.8000000000000007</v>
      </c>
      <c r="K42" s="207" t="s">
        <v>431</v>
      </c>
    </row>
    <row r="43" spans="1:11">
      <c r="A43" s="202" t="s">
        <v>493</v>
      </c>
      <c r="B43" s="202" t="s">
        <v>511</v>
      </c>
      <c r="C43" s="203">
        <v>1.57634E-2</v>
      </c>
      <c r="D43" s="203">
        <v>0</v>
      </c>
      <c r="E43" s="203">
        <v>0</v>
      </c>
      <c r="F43" s="203">
        <v>0</v>
      </c>
      <c r="G43" s="203">
        <v>0</v>
      </c>
      <c r="H43" s="203">
        <v>0</v>
      </c>
      <c r="I43" s="203">
        <f t="shared" si="5"/>
        <v>1.57634E-2</v>
      </c>
      <c r="J43" s="206">
        <v>0</v>
      </c>
      <c r="K43" s="207"/>
    </row>
    <row r="44" spans="1:11">
      <c r="A44" s="202" t="s">
        <v>493</v>
      </c>
      <c r="B44" s="202" t="s">
        <v>512</v>
      </c>
      <c r="C44" s="203">
        <v>7.53</v>
      </c>
      <c r="D44" s="203">
        <v>0</v>
      </c>
      <c r="E44" s="203">
        <v>7.53</v>
      </c>
      <c r="F44" s="203">
        <v>0</v>
      </c>
      <c r="G44" s="203">
        <v>0</v>
      </c>
      <c r="H44" s="203">
        <v>0</v>
      </c>
      <c r="I44" s="203">
        <f t="shared" si="5"/>
        <v>0</v>
      </c>
      <c r="J44" s="206">
        <v>0</v>
      </c>
      <c r="K44" s="207"/>
    </row>
    <row r="45" spans="1:11">
      <c r="A45" s="202" t="s">
        <v>496</v>
      </c>
      <c r="B45" s="202" t="s">
        <v>497</v>
      </c>
      <c r="C45" s="203">
        <v>0.77124550000000003</v>
      </c>
      <c r="D45" s="203"/>
      <c r="E45" s="203"/>
      <c r="F45" s="203"/>
      <c r="G45" s="203"/>
      <c r="H45" s="203"/>
      <c r="I45" s="203">
        <f t="shared" si="5"/>
        <v>0.77124550000000003</v>
      </c>
      <c r="J45" s="206">
        <v>0.20124549999999997</v>
      </c>
      <c r="K45" s="207" t="s">
        <v>433</v>
      </c>
    </row>
    <row r="46" spans="1:11">
      <c r="A46" s="202" t="s">
        <v>239</v>
      </c>
      <c r="B46" s="202" t="s">
        <v>513</v>
      </c>
      <c r="C46" s="203">
        <v>6.59</v>
      </c>
      <c r="D46" s="203"/>
      <c r="E46" s="203"/>
      <c r="F46" s="203"/>
      <c r="G46" s="203"/>
      <c r="H46" s="203"/>
      <c r="I46" s="203">
        <f t="shared" si="5"/>
        <v>6.59</v>
      </c>
      <c r="J46" s="206">
        <v>0</v>
      </c>
      <c r="K46" s="207"/>
    </row>
    <row r="47" spans="1:11">
      <c r="A47" s="202" t="s">
        <v>239</v>
      </c>
      <c r="B47" s="202" t="s">
        <v>514</v>
      </c>
      <c r="C47" s="203">
        <v>15.645906867752311</v>
      </c>
      <c r="D47" s="203"/>
      <c r="E47" s="203">
        <f>22.2-8.42</f>
        <v>13.78</v>
      </c>
      <c r="F47" s="203">
        <v>1.8659068677523116</v>
      </c>
      <c r="G47" s="203"/>
      <c r="H47" s="203"/>
      <c r="I47" s="203">
        <f t="shared" si="5"/>
        <v>0</v>
      </c>
      <c r="J47" s="206">
        <v>0</v>
      </c>
      <c r="K47" s="207"/>
    </row>
    <row r="48" spans="1:11">
      <c r="A48" s="202" t="s">
        <v>239</v>
      </c>
      <c r="B48" s="202" t="s">
        <v>515</v>
      </c>
      <c r="C48" s="203">
        <v>6.28</v>
      </c>
      <c r="D48" s="203">
        <v>6.28</v>
      </c>
      <c r="E48" s="203"/>
      <c r="F48" s="203"/>
      <c r="G48" s="203"/>
      <c r="H48" s="203"/>
      <c r="I48" s="203">
        <f t="shared" si="5"/>
        <v>0</v>
      </c>
      <c r="J48" s="206">
        <v>0</v>
      </c>
      <c r="K48" s="207"/>
    </row>
    <row r="49" spans="1:11">
      <c r="A49" s="202" t="s">
        <v>239</v>
      </c>
      <c r="B49" s="202" t="s">
        <v>516</v>
      </c>
      <c r="C49" s="203">
        <v>3.82</v>
      </c>
      <c r="D49" s="203"/>
      <c r="E49" s="203">
        <f>2.7-0.81</f>
        <v>1.8900000000000001</v>
      </c>
      <c r="F49" s="203">
        <v>1.63</v>
      </c>
      <c r="G49" s="203"/>
      <c r="H49" s="203">
        <v>0.28999999999999998</v>
      </c>
      <c r="I49" s="203">
        <f t="shared" si="5"/>
        <v>9.9999999999998423E-3</v>
      </c>
      <c r="J49" s="206">
        <v>9.9999999999998423E-3</v>
      </c>
      <c r="K49" s="207" t="s">
        <v>432</v>
      </c>
    </row>
    <row r="50" spans="1:11">
      <c r="A50" s="202" t="s">
        <v>239</v>
      </c>
      <c r="B50" s="202" t="s">
        <v>517</v>
      </c>
      <c r="C50" s="203">
        <v>1</v>
      </c>
      <c r="D50" s="203"/>
      <c r="E50" s="203"/>
      <c r="F50" s="203"/>
      <c r="G50" s="203"/>
      <c r="H50" s="203"/>
      <c r="I50" s="203">
        <f t="shared" si="5"/>
        <v>1</v>
      </c>
      <c r="J50" s="206">
        <v>0</v>
      </c>
      <c r="K50" s="207"/>
    </row>
    <row r="51" spans="1:11">
      <c r="A51" s="202" t="s">
        <v>239</v>
      </c>
      <c r="B51" s="202" t="s">
        <v>492</v>
      </c>
      <c r="C51" s="203">
        <f>17.95-7.58</f>
        <v>10.37</v>
      </c>
      <c r="D51" s="203">
        <v>2.11</v>
      </c>
      <c r="E51" s="203"/>
      <c r="F51" s="203"/>
      <c r="G51" s="203"/>
      <c r="H51" s="203"/>
      <c r="I51" s="203">
        <f t="shared" si="5"/>
        <v>8.26</v>
      </c>
      <c r="J51" s="206">
        <v>0</v>
      </c>
      <c r="K51" s="207"/>
    </row>
    <row r="52" spans="1:11">
      <c r="A52" s="202" t="s">
        <v>239</v>
      </c>
      <c r="B52" s="202" t="s">
        <v>518</v>
      </c>
      <c r="C52" s="203">
        <v>1.9311898140000001</v>
      </c>
      <c r="D52" s="203"/>
      <c r="E52" s="203"/>
      <c r="F52" s="203"/>
      <c r="G52" s="203"/>
      <c r="H52" s="203"/>
      <c r="I52" s="203">
        <f t="shared" si="5"/>
        <v>1.9311898140000001</v>
      </c>
      <c r="J52" s="206">
        <v>0</v>
      </c>
      <c r="K52" s="207"/>
    </row>
    <row r="53" spans="1:11">
      <c r="A53" s="202" t="s">
        <v>239</v>
      </c>
      <c r="B53" s="202" t="s">
        <v>240</v>
      </c>
      <c r="C53" s="203">
        <v>1.0711547996311701</v>
      </c>
      <c r="D53" s="203"/>
      <c r="E53" s="203"/>
      <c r="F53" s="203"/>
      <c r="G53" s="203"/>
      <c r="H53" s="203"/>
      <c r="I53" s="203">
        <f t="shared" si="5"/>
        <v>1.0711547996311701</v>
      </c>
      <c r="J53" s="206">
        <v>0</v>
      </c>
      <c r="K53" s="207"/>
    </row>
    <row r="54" spans="1:11">
      <c r="A54" s="202" t="s">
        <v>239</v>
      </c>
      <c r="B54" s="202" t="s">
        <v>519</v>
      </c>
      <c r="C54" s="203">
        <v>1.0368955653203711</v>
      </c>
      <c r="D54" s="203">
        <v>1.0368955653203711</v>
      </c>
      <c r="E54" s="203"/>
      <c r="F54" s="203"/>
      <c r="G54" s="203"/>
      <c r="H54" s="203"/>
      <c r="I54" s="203">
        <f t="shared" si="5"/>
        <v>0</v>
      </c>
      <c r="J54" s="206">
        <v>0</v>
      </c>
      <c r="K54" s="207"/>
    </row>
    <row r="55" spans="1:11">
      <c r="A55" s="202" t="s">
        <v>239</v>
      </c>
      <c r="B55" s="202" t="s">
        <v>520</v>
      </c>
      <c r="C55" s="203">
        <v>0.9</v>
      </c>
      <c r="D55" s="203"/>
      <c r="E55" s="203"/>
      <c r="F55" s="203"/>
      <c r="G55" s="203"/>
      <c r="H55" s="203"/>
      <c r="I55" s="203">
        <f t="shared" si="5"/>
        <v>0.9</v>
      </c>
      <c r="J55" s="206">
        <v>0</v>
      </c>
      <c r="K55" s="207"/>
    </row>
    <row r="56" spans="1:11">
      <c r="A56" s="202" t="s">
        <v>239</v>
      </c>
      <c r="B56" s="202" t="s">
        <v>499</v>
      </c>
      <c r="C56" s="203">
        <v>5.8170000000000002</v>
      </c>
      <c r="D56" s="203"/>
      <c r="E56" s="203"/>
      <c r="F56" s="203"/>
      <c r="G56" s="203"/>
      <c r="H56" s="203"/>
      <c r="I56" s="203">
        <f t="shared" si="5"/>
        <v>5.8170000000000002</v>
      </c>
      <c r="J56" s="206">
        <v>0.38700000000000045</v>
      </c>
      <c r="K56" s="207" t="s">
        <v>433</v>
      </c>
    </row>
    <row r="57" spans="1:11">
      <c r="A57" s="202" t="s">
        <v>239</v>
      </c>
      <c r="B57" s="202" t="s">
        <v>500</v>
      </c>
      <c r="C57" s="203">
        <v>7.99</v>
      </c>
      <c r="D57" s="203"/>
      <c r="E57" s="203"/>
      <c r="F57" s="203"/>
      <c r="G57" s="203"/>
      <c r="H57" s="203"/>
      <c r="I57" s="203">
        <f t="shared" si="5"/>
        <v>7.99</v>
      </c>
      <c r="J57" s="206">
        <v>0</v>
      </c>
      <c r="K57" s="207"/>
    </row>
  </sheetData>
  <mergeCells count="5">
    <mergeCell ref="B8:M8"/>
    <mergeCell ref="B9:M9"/>
    <mergeCell ref="B5:M5"/>
    <mergeCell ref="B2:M2"/>
    <mergeCell ref="B3:M3"/>
  </mergeCells>
  <hyperlinks>
    <hyperlink ref="C12" r:id="rId1" display="=@subtotal(9,D4:D40)"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sheetPr>
  <dimension ref="B2:T173"/>
  <sheetViews>
    <sheetView topLeftCell="A4" workbookViewId="0">
      <selection activeCell="M6" sqref="M6"/>
    </sheetView>
  </sheetViews>
  <sheetFormatPr defaultRowHeight="14.4"/>
  <cols>
    <col min="2" max="2" width="8.44140625" customWidth="1"/>
    <col min="3" max="3" width="17.33203125" customWidth="1"/>
    <col min="4" max="4" width="13.109375" customWidth="1"/>
    <col min="5" max="5" width="8.109375" customWidth="1"/>
    <col min="6" max="6" width="8.6640625" customWidth="1"/>
    <col min="7" max="7" width="8.44140625" customWidth="1"/>
    <col min="8" max="8" width="9.5546875" bestFit="1" customWidth="1"/>
    <col min="9" max="10" width="9" bestFit="1" customWidth="1"/>
    <col min="11" max="11" width="13.109375" customWidth="1"/>
    <col min="12" max="12" width="10.5546875" customWidth="1"/>
    <col min="13" max="13" width="73.5546875" customWidth="1"/>
    <col min="14" max="14" width="13.44140625" customWidth="1"/>
  </cols>
  <sheetData>
    <row r="2" spans="2:20" ht="14.4" customHeight="1">
      <c r="B2" s="348" t="s">
        <v>657</v>
      </c>
      <c r="C2" s="349"/>
      <c r="D2" s="349"/>
      <c r="E2" s="349"/>
      <c r="F2" s="349"/>
      <c r="G2" s="349"/>
      <c r="H2" s="349"/>
      <c r="I2" s="349"/>
      <c r="J2" s="349"/>
      <c r="K2" s="349"/>
      <c r="L2" s="349"/>
      <c r="M2" s="350"/>
    </row>
    <row r="3" spans="2:20" ht="14.4" customHeight="1">
      <c r="B3" s="351" t="s">
        <v>156</v>
      </c>
      <c r="C3" s="352"/>
      <c r="D3" s="352"/>
      <c r="E3" s="352"/>
      <c r="F3" s="352"/>
      <c r="G3" s="352"/>
      <c r="H3" s="352"/>
      <c r="I3" s="352"/>
      <c r="J3" s="352"/>
      <c r="K3" s="352"/>
      <c r="L3" s="352"/>
      <c r="M3" s="353"/>
    </row>
    <row r="4" spans="2:20" ht="60">
      <c r="B4" s="24" t="s">
        <v>0</v>
      </c>
      <c r="C4" s="24" t="s">
        <v>70</v>
      </c>
      <c r="D4" s="33" t="s">
        <v>65</v>
      </c>
      <c r="E4" s="24" t="s">
        <v>458</v>
      </c>
      <c r="F4" s="24" t="s">
        <v>459</v>
      </c>
      <c r="G4" s="24" t="s">
        <v>460</v>
      </c>
      <c r="H4" s="24" t="s">
        <v>461</v>
      </c>
      <c r="I4" s="24" t="s">
        <v>462</v>
      </c>
      <c r="J4" s="24" t="s">
        <v>501</v>
      </c>
      <c r="K4" s="24" t="s">
        <v>464</v>
      </c>
      <c r="L4" s="24" t="s">
        <v>654</v>
      </c>
      <c r="M4" s="24" t="s">
        <v>22</v>
      </c>
    </row>
    <row r="5" spans="2:20" ht="14.4" customHeight="1">
      <c r="B5" s="351" t="s">
        <v>94</v>
      </c>
      <c r="C5" s="352"/>
      <c r="D5" s="352"/>
      <c r="E5" s="352"/>
      <c r="F5" s="352"/>
      <c r="G5" s="352"/>
      <c r="H5" s="352"/>
      <c r="I5" s="352"/>
      <c r="J5" s="352"/>
      <c r="K5" s="352"/>
      <c r="L5" s="352"/>
      <c r="M5" s="353"/>
    </row>
    <row r="6" spans="2:20" ht="228">
      <c r="B6" s="37">
        <v>1</v>
      </c>
      <c r="C6" s="43" t="s">
        <v>126</v>
      </c>
      <c r="D6" s="44">
        <f>224.56+260.62</f>
        <v>485.18</v>
      </c>
      <c r="E6" s="44">
        <f t="shared" ref="E6:J6" si="0">F15</f>
        <v>68.890702599999997</v>
      </c>
      <c r="F6" s="44">
        <f t="shared" si="0"/>
        <v>70.625512523000012</v>
      </c>
      <c r="G6" s="44">
        <f t="shared" si="0"/>
        <v>41.382053080000006</v>
      </c>
      <c r="H6" s="44">
        <f t="shared" si="0"/>
        <v>21.47</v>
      </c>
      <c r="I6" s="44">
        <f t="shared" si="0"/>
        <v>5.0966536999999974</v>
      </c>
      <c r="J6" s="44">
        <f t="shared" si="0"/>
        <v>277.71403418175441</v>
      </c>
      <c r="K6" s="44">
        <f>O23</f>
        <v>233.40788922954471</v>
      </c>
      <c r="L6" s="44">
        <f>O24</f>
        <v>111.08067567965</v>
      </c>
      <c r="M6" s="88" t="s">
        <v>668</v>
      </c>
      <c r="O6" s="39">
        <v>0.3</v>
      </c>
    </row>
    <row r="7" spans="2:20">
      <c r="B7" s="34"/>
      <c r="C7" s="32" t="s">
        <v>23</v>
      </c>
      <c r="D7" s="45">
        <f t="shared" ref="D7:L7" si="1">SUM(D6:D6)</f>
        <v>485.18</v>
      </c>
      <c r="E7" s="45">
        <f t="shared" si="1"/>
        <v>68.890702599999997</v>
      </c>
      <c r="F7" s="45">
        <f t="shared" si="1"/>
        <v>70.625512523000012</v>
      </c>
      <c r="G7" s="45">
        <f t="shared" si="1"/>
        <v>41.382053080000006</v>
      </c>
      <c r="H7" s="45">
        <f t="shared" si="1"/>
        <v>21.47</v>
      </c>
      <c r="I7" s="45">
        <f t="shared" si="1"/>
        <v>5.0966536999999974</v>
      </c>
      <c r="J7" s="45">
        <f t="shared" si="1"/>
        <v>277.71403418175441</v>
      </c>
      <c r="K7" s="45">
        <f t="shared" si="1"/>
        <v>233.40788922954471</v>
      </c>
      <c r="L7" s="45">
        <f t="shared" si="1"/>
        <v>111.08067567965</v>
      </c>
      <c r="M7" s="34"/>
    </row>
    <row r="8" spans="2:20" ht="14.4" customHeight="1">
      <c r="B8" s="191" t="s">
        <v>20</v>
      </c>
      <c r="C8" s="192"/>
      <c r="D8" s="192"/>
      <c r="E8" s="192"/>
      <c r="F8" s="192"/>
      <c r="G8" s="193"/>
      <c r="H8" s="191"/>
      <c r="I8" s="192"/>
      <c r="J8" s="192"/>
      <c r="K8" s="192"/>
      <c r="L8" s="192"/>
      <c r="M8" s="193"/>
    </row>
    <row r="9" spans="2:20" ht="94.2" customHeight="1">
      <c r="B9" s="377" t="s">
        <v>677</v>
      </c>
      <c r="C9" s="378"/>
      <c r="D9" s="378"/>
      <c r="E9" s="378"/>
      <c r="F9" s="378"/>
      <c r="G9" s="378"/>
      <c r="H9" s="378"/>
      <c r="I9" s="378"/>
      <c r="J9" s="378"/>
      <c r="K9" s="378"/>
      <c r="L9" s="378"/>
      <c r="M9" s="378"/>
    </row>
    <row r="15" spans="2:20">
      <c r="B15" s="268"/>
      <c r="C15" s="268"/>
      <c r="D15" s="268"/>
      <c r="E15" s="269">
        <f>SUBTOTAL(9,E18:E173)</f>
        <v>485.1789560847543</v>
      </c>
      <c r="F15" s="269">
        <f t="shared" ref="F15:K15" si="2">SUBTOTAL(9,F18:F173)</f>
        <v>68.890702599999997</v>
      </c>
      <c r="G15" s="269">
        <f t="shared" si="2"/>
        <v>70.625512523000012</v>
      </c>
      <c r="H15" s="269">
        <f t="shared" si="2"/>
        <v>41.382053080000006</v>
      </c>
      <c r="I15" s="269">
        <f t="shared" si="2"/>
        <v>21.47</v>
      </c>
      <c r="J15" s="269">
        <f t="shared" si="2"/>
        <v>5.0966536999999974</v>
      </c>
      <c r="K15" s="269">
        <f t="shared" si="2"/>
        <v>277.71403418175441</v>
      </c>
      <c r="L15" s="190">
        <f t="shared" ref="L15" si="3">SUBTOTAL(9,L18:L173)</f>
        <v>263.5475952187544</v>
      </c>
    </row>
    <row r="16" spans="2:20" ht="14.4" customHeight="1">
      <c r="B16" s="379" t="s">
        <v>186</v>
      </c>
      <c r="C16" s="379" t="s">
        <v>187</v>
      </c>
      <c r="D16" s="379" t="s">
        <v>188</v>
      </c>
      <c r="E16" s="271" t="s">
        <v>184</v>
      </c>
      <c r="F16" s="380" t="s">
        <v>421</v>
      </c>
      <c r="G16" s="380"/>
      <c r="H16" s="380"/>
      <c r="I16" s="380"/>
      <c r="J16" s="380"/>
      <c r="K16" s="379" t="s">
        <v>481</v>
      </c>
      <c r="L16" s="375" t="s">
        <v>422</v>
      </c>
      <c r="N16" s="162" t="s">
        <v>436</v>
      </c>
      <c r="O16" s="119">
        <v>1</v>
      </c>
      <c r="P16" s="119">
        <f>O16+1</f>
        <v>2</v>
      </c>
      <c r="Q16" s="119">
        <f t="shared" ref="Q16:T16" si="4">P16+1</f>
        <v>3</v>
      </c>
      <c r="R16" s="119">
        <f t="shared" si="4"/>
        <v>4</v>
      </c>
      <c r="S16" s="119">
        <f t="shared" si="4"/>
        <v>5</v>
      </c>
      <c r="T16" s="119">
        <f t="shared" si="4"/>
        <v>6</v>
      </c>
    </row>
    <row r="17" spans="2:20" ht="26.4" customHeight="1">
      <c r="B17" s="379"/>
      <c r="C17" s="379"/>
      <c r="D17" s="379"/>
      <c r="E17" s="270" t="s">
        <v>480</v>
      </c>
      <c r="F17" s="270" t="s">
        <v>426</v>
      </c>
      <c r="G17" s="270" t="s">
        <v>427</v>
      </c>
      <c r="H17" s="270" t="s">
        <v>428</v>
      </c>
      <c r="I17" s="270" t="s">
        <v>429</v>
      </c>
      <c r="J17" s="270" t="s">
        <v>430</v>
      </c>
      <c r="K17" s="379"/>
      <c r="L17" s="376"/>
      <c r="N17" s="163" t="s">
        <v>437</v>
      </c>
      <c r="O17" s="164">
        <f>E15</f>
        <v>485.1789560847543</v>
      </c>
      <c r="P17" s="165"/>
      <c r="Q17" s="165"/>
      <c r="R17" s="165"/>
      <c r="S17" s="165"/>
      <c r="T17" s="116"/>
    </row>
    <row r="18" spans="2:20">
      <c r="B18" s="272" t="s">
        <v>193</v>
      </c>
      <c r="C18" s="272" t="s">
        <v>194</v>
      </c>
      <c r="D18" s="273" t="s">
        <v>195</v>
      </c>
      <c r="E18" s="274">
        <v>3.4437063999999999</v>
      </c>
      <c r="F18" s="274">
        <v>0</v>
      </c>
      <c r="G18" s="274">
        <v>2.7437063999999998</v>
      </c>
      <c r="H18" s="274">
        <v>0</v>
      </c>
      <c r="I18" s="274">
        <v>0</v>
      </c>
      <c r="J18" s="274">
        <v>0</v>
      </c>
      <c r="K18" s="274">
        <f>E18-F18-G18-H18-I18-J18</f>
        <v>0.70000000000000018</v>
      </c>
      <c r="L18" s="267">
        <v>0</v>
      </c>
      <c r="N18" s="163" t="s">
        <v>438</v>
      </c>
      <c r="O18" s="164">
        <f t="shared" ref="O18:T18" si="5">F15</f>
        <v>68.890702599999997</v>
      </c>
      <c r="P18" s="164">
        <f t="shared" si="5"/>
        <v>70.625512523000012</v>
      </c>
      <c r="Q18" s="164">
        <f t="shared" si="5"/>
        <v>41.382053080000006</v>
      </c>
      <c r="R18" s="164">
        <f t="shared" si="5"/>
        <v>21.47</v>
      </c>
      <c r="S18" s="164">
        <f t="shared" si="5"/>
        <v>5.0966536999999974</v>
      </c>
      <c r="T18" s="164">
        <f t="shared" si="5"/>
        <v>277.71403418175441</v>
      </c>
    </row>
    <row r="19" spans="2:20">
      <c r="B19" s="272" t="s">
        <v>193</v>
      </c>
      <c r="C19" s="272" t="s">
        <v>196</v>
      </c>
      <c r="D19" s="273" t="s">
        <v>197</v>
      </c>
      <c r="E19" s="274">
        <v>1.5178215000000002</v>
      </c>
      <c r="F19" s="274">
        <v>0</v>
      </c>
      <c r="G19" s="274">
        <v>0</v>
      </c>
      <c r="H19" s="274">
        <v>0</v>
      </c>
      <c r="I19" s="274">
        <v>0</v>
      </c>
      <c r="J19" s="274">
        <v>0</v>
      </c>
      <c r="K19" s="274">
        <f t="shared" ref="K19:K82" si="6">E19-F19-G19-H19-I19-J19</f>
        <v>1.5178215000000002</v>
      </c>
      <c r="L19" s="267">
        <v>1.0678215000000002</v>
      </c>
      <c r="N19" s="163" t="s">
        <v>439</v>
      </c>
      <c r="O19" s="165">
        <v>1</v>
      </c>
      <c r="P19" s="165">
        <f>O19+1</f>
        <v>2</v>
      </c>
      <c r="Q19" s="165">
        <f t="shared" ref="Q19:T19" si="7">P19+1</f>
        <v>3</v>
      </c>
      <c r="R19" s="165">
        <f t="shared" si="7"/>
        <v>4</v>
      </c>
      <c r="S19" s="165">
        <f t="shared" si="7"/>
        <v>5</v>
      </c>
      <c r="T19" s="165">
        <f t="shared" si="7"/>
        <v>6</v>
      </c>
    </row>
    <row r="20" spans="2:20" ht="24">
      <c r="B20" s="272" t="s">
        <v>193</v>
      </c>
      <c r="C20" s="272" t="s">
        <v>198</v>
      </c>
      <c r="D20" s="273" t="s">
        <v>199</v>
      </c>
      <c r="E20" s="274">
        <v>0</v>
      </c>
      <c r="F20" s="274">
        <v>0</v>
      </c>
      <c r="G20" s="274">
        <v>0</v>
      </c>
      <c r="H20" s="274">
        <v>0</v>
      </c>
      <c r="I20" s="274">
        <v>0</v>
      </c>
      <c r="J20" s="274">
        <v>0</v>
      </c>
      <c r="K20" s="274">
        <f t="shared" si="6"/>
        <v>0</v>
      </c>
      <c r="L20" s="267">
        <v>0</v>
      </c>
      <c r="N20" s="163" t="s">
        <v>153</v>
      </c>
      <c r="O20" s="166">
        <f>1/(1+$O$21)^O19</f>
        <v>0.85470085470085477</v>
      </c>
      <c r="P20" s="166">
        <f t="shared" ref="P20:S20" si="8">1/(1+$O$21)^P19</f>
        <v>0.73051355102637161</v>
      </c>
      <c r="Q20" s="166">
        <f t="shared" si="8"/>
        <v>0.62437055643279626</v>
      </c>
      <c r="R20" s="166">
        <f t="shared" si="8"/>
        <v>0.53365004823315931</v>
      </c>
      <c r="S20" s="166">
        <f t="shared" si="8"/>
        <v>0.45611115233603361</v>
      </c>
      <c r="T20" s="275">
        <v>0.3</v>
      </c>
    </row>
    <row r="21" spans="2:20" ht="36">
      <c r="B21" s="272" t="s">
        <v>193</v>
      </c>
      <c r="C21" s="272" t="s">
        <v>200</v>
      </c>
      <c r="D21" s="273" t="s">
        <v>201</v>
      </c>
      <c r="E21" s="274">
        <v>0</v>
      </c>
      <c r="F21" s="274">
        <v>0</v>
      </c>
      <c r="G21" s="274">
        <v>0</v>
      </c>
      <c r="H21" s="274">
        <v>0</v>
      </c>
      <c r="I21" s="274">
        <v>0</v>
      </c>
      <c r="J21" s="274">
        <v>0</v>
      </c>
      <c r="K21" s="274">
        <f t="shared" si="6"/>
        <v>0</v>
      </c>
      <c r="L21" s="267">
        <v>0</v>
      </c>
      <c r="N21" s="163" t="s">
        <v>440</v>
      </c>
      <c r="O21" s="167">
        <v>0.17</v>
      </c>
      <c r="P21" s="165"/>
      <c r="Q21" s="165"/>
      <c r="R21" s="165"/>
      <c r="S21" s="165"/>
      <c r="T21" s="116"/>
    </row>
    <row r="22" spans="2:20" ht="24">
      <c r="B22" s="272" t="s">
        <v>193</v>
      </c>
      <c r="C22" s="272" t="s">
        <v>202</v>
      </c>
      <c r="D22" s="273" t="s">
        <v>203</v>
      </c>
      <c r="E22" s="274">
        <v>4.2326460150000003</v>
      </c>
      <c r="F22" s="274">
        <v>0</v>
      </c>
      <c r="G22" s="274">
        <v>3.78</v>
      </c>
      <c r="H22" s="274">
        <v>0</v>
      </c>
      <c r="I22" s="274">
        <v>0.25</v>
      </c>
      <c r="J22" s="274">
        <v>0</v>
      </c>
      <c r="K22" s="274">
        <f t="shared" si="6"/>
        <v>0.20264601500000046</v>
      </c>
      <c r="L22" s="267">
        <v>0.20264601500000046</v>
      </c>
      <c r="N22" s="163" t="s">
        <v>441</v>
      </c>
      <c r="O22" s="164">
        <f>O18*O20</f>
        <v>58.880942393162393</v>
      </c>
      <c r="P22" s="164">
        <f t="shared" ref="P22:S22" si="9">P18*P20</f>
        <v>51.592893946234213</v>
      </c>
      <c r="Q22" s="164">
        <f t="shared" si="9"/>
        <v>25.837735507891114</v>
      </c>
      <c r="R22" s="164">
        <f t="shared" si="9"/>
        <v>11.45746653556593</v>
      </c>
      <c r="S22" s="164">
        <f t="shared" si="9"/>
        <v>2.324640592164708</v>
      </c>
      <c r="T22" s="164">
        <f>T18*T20</f>
        <v>83.314210254526316</v>
      </c>
    </row>
    <row r="23" spans="2:20" ht="28.8">
      <c r="B23" s="272" t="s">
        <v>193</v>
      </c>
      <c r="C23" s="272" t="s">
        <v>204</v>
      </c>
      <c r="D23" s="273" t="s">
        <v>205</v>
      </c>
      <c r="E23" s="274">
        <v>0.40070805399999998</v>
      </c>
      <c r="F23" s="274">
        <v>0</v>
      </c>
      <c r="G23" s="274">
        <v>0</v>
      </c>
      <c r="H23" s="274">
        <v>0</v>
      </c>
      <c r="I23" s="274">
        <v>0</v>
      </c>
      <c r="J23" s="274">
        <v>0</v>
      </c>
      <c r="K23" s="274">
        <f t="shared" si="6"/>
        <v>0.40070805399999998</v>
      </c>
      <c r="L23" s="267">
        <v>0.40070805399999998</v>
      </c>
      <c r="N23" s="168" t="s">
        <v>442</v>
      </c>
      <c r="O23" s="169">
        <f>SUM(O22:U22)</f>
        <v>233.40788922954471</v>
      </c>
      <c r="P23" s="162"/>
      <c r="Q23" s="162"/>
      <c r="R23" s="162"/>
      <c r="S23" s="170"/>
      <c r="T23" s="170"/>
    </row>
    <row r="24" spans="2:20" ht="36">
      <c r="B24" s="272" t="s">
        <v>193</v>
      </c>
      <c r="C24" s="272" t="s">
        <v>206</v>
      </c>
      <c r="D24" s="273" t="s">
        <v>201</v>
      </c>
      <c r="E24" s="274">
        <v>0</v>
      </c>
      <c r="F24" s="274">
        <v>0</v>
      </c>
      <c r="G24" s="274">
        <v>0</v>
      </c>
      <c r="H24" s="274">
        <v>0</v>
      </c>
      <c r="I24" s="274">
        <v>0</v>
      </c>
      <c r="J24" s="274">
        <v>0</v>
      </c>
      <c r="K24" s="274">
        <f t="shared" si="6"/>
        <v>0</v>
      </c>
      <c r="L24" s="267">
        <v>0</v>
      </c>
      <c r="N24" s="276" t="s">
        <v>465</v>
      </c>
      <c r="O24" s="159">
        <f>(O18*70%)+(P18*55%)+(Q18*40%)+(R18*30%)+(S18*20%)</f>
        <v>111.08067567965</v>
      </c>
    </row>
    <row r="25" spans="2:20" ht="24">
      <c r="B25" s="272" t="s">
        <v>193</v>
      </c>
      <c r="C25" s="272" t="s">
        <v>207</v>
      </c>
      <c r="D25" s="273" t="s">
        <v>208</v>
      </c>
      <c r="E25" s="274">
        <v>0</v>
      </c>
      <c r="F25" s="274">
        <v>0</v>
      </c>
      <c r="G25" s="274">
        <v>0</v>
      </c>
      <c r="H25" s="274">
        <v>0</v>
      </c>
      <c r="I25" s="274">
        <v>0</v>
      </c>
      <c r="J25" s="274">
        <v>0</v>
      </c>
      <c r="K25" s="274">
        <f t="shared" si="6"/>
        <v>0</v>
      </c>
      <c r="L25" s="267">
        <v>0</v>
      </c>
    </row>
    <row r="26" spans="2:20">
      <c r="B26" s="272" t="s">
        <v>193</v>
      </c>
      <c r="C26" s="272" t="s">
        <v>209</v>
      </c>
      <c r="D26" s="273" t="s">
        <v>210</v>
      </c>
      <c r="E26" s="274">
        <v>0</v>
      </c>
      <c r="F26" s="274">
        <v>0</v>
      </c>
      <c r="G26" s="274">
        <v>0</v>
      </c>
      <c r="H26" s="274">
        <v>0</v>
      </c>
      <c r="I26" s="274">
        <v>0</v>
      </c>
      <c r="J26" s="274">
        <v>0</v>
      </c>
      <c r="K26" s="274">
        <f t="shared" si="6"/>
        <v>0</v>
      </c>
      <c r="L26" s="267">
        <v>0</v>
      </c>
    </row>
    <row r="27" spans="2:20" ht="72">
      <c r="B27" s="272" t="s">
        <v>193</v>
      </c>
      <c r="C27" s="272" t="s">
        <v>211</v>
      </c>
      <c r="D27" s="273" t="s">
        <v>212</v>
      </c>
      <c r="E27" s="274">
        <v>0</v>
      </c>
      <c r="F27" s="274">
        <v>0</v>
      </c>
      <c r="G27" s="274">
        <v>0</v>
      </c>
      <c r="H27" s="274">
        <v>0</v>
      </c>
      <c r="I27" s="274">
        <v>0</v>
      </c>
      <c r="J27" s="274">
        <v>0</v>
      </c>
      <c r="K27" s="274">
        <f t="shared" si="6"/>
        <v>0</v>
      </c>
      <c r="L27" s="267">
        <v>0</v>
      </c>
    </row>
    <row r="28" spans="2:20" ht="36">
      <c r="B28" s="272" t="s">
        <v>213</v>
      </c>
      <c r="C28" s="272" t="s">
        <v>214</v>
      </c>
      <c r="D28" s="273" t="s">
        <v>215</v>
      </c>
      <c r="E28" s="274">
        <v>0</v>
      </c>
      <c r="F28" s="274">
        <v>0</v>
      </c>
      <c r="G28" s="274">
        <v>0</v>
      </c>
      <c r="H28" s="274">
        <v>0</v>
      </c>
      <c r="I28" s="274">
        <v>0</v>
      </c>
      <c r="J28" s="274">
        <v>0</v>
      </c>
      <c r="K28" s="274">
        <f t="shared" si="6"/>
        <v>0</v>
      </c>
      <c r="L28" s="267">
        <v>0</v>
      </c>
    </row>
    <row r="29" spans="2:20" ht="36">
      <c r="B29" s="272" t="s">
        <v>213</v>
      </c>
      <c r="C29" s="272" t="s">
        <v>216</v>
      </c>
      <c r="D29" s="273" t="s">
        <v>217</v>
      </c>
      <c r="E29" s="274">
        <v>0</v>
      </c>
      <c r="F29" s="274">
        <v>0</v>
      </c>
      <c r="G29" s="274">
        <v>0</v>
      </c>
      <c r="H29" s="274">
        <v>0</v>
      </c>
      <c r="I29" s="274">
        <v>0</v>
      </c>
      <c r="J29" s="274">
        <v>0</v>
      </c>
      <c r="K29" s="274">
        <f t="shared" si="6"/>
        <v>0</v>
      </c>
      <c r="L29" s="267">
        <v>0</v>
      </c>
    </row>
    <row r="30" spans="2:20">
      <c r="B30" s="272" t="s">
        <v>213</v>
      </c>
      <c r="C30" s="272" t="s">
        <v>218</v>
      </c>
      <c r="D30" s="273" t="s">
        <v>219</v>
      </c>
      <c r="E30" s="274">
        <v>0</v>
      </c>
      <c r="F30" s="274">
        <v>0</v>
      </c>
      <c r="G30" s="274">
        <v>0</v>
      </c>
      <c r="H30" s="274">
        <v>0</v>
      </c>
      <c r="I30" s="274">
        <v>0</v>
      </c>
      <c r="J30" s="274">
        <v>0</v>
      </c>
      <c r="K30" s="274">
        <f t="shared" si="6"/>
        <v>0</v>
      </c>
      <c r="L30" s="267">
        <v>0</v>
      </c>
    </row>
    <row r="31" spans="2:20" ht="36">
      <c r="B31" s="272" t="s">
        <v>213</v>
      </c>
      <c r="C31" s="272" t="s">
        <v>220</v>
      </c>
      <c r="D31" s="273" t="s">
        <v>221</v>
      </c>
      <c r="E31" s="274">
        <v>14.295931400000001</v>
      </c>
      <c r="F31" s="274">
        <v>0</v>
      </c>
      <c r="G31" s="274">
        <v>0</v>
      </c>
      <c r="H31" s="274">
        <v>0</v>
      </c>
      <c r="I31" s="274">
        <v>0</v>
      </c>
      <c r="J31" s="274">
        <v>0</v>
      </c>
      <c r="K31" s="274">
        <f t="shared" si="6"/>
        <v>14.295931400000001</v>
      </c>
      <c r="L31" s="267">
        <v>10.005931400000001</v>
      </c>
    </row>
    <row r="32" spans="2:20" ht="36">
      <c r="B32" s="272" t="s">
        <v>213</v>
      </c>
      <c r="C32" s="272" t="s">
        <v>222</v>
      </c>
      <c r="D32" s="273" t="s">
        <v>215</v>
      </c>
      <c r="E32" s="274">
        <v>4.4716089239999999</v>
      </c>
      <c r="F32" s="274">
        <v>0</v>
      </c>
      <c r="G32" s="274">
        <v>1.6</v>
      </c>
      <c r="H32" s="274">
        <v>0</v>
      </c>
      <c r="I32" s="274">
        <v>0</v>
      </c>
      <c r="J32" s="274">
        <v>0</v>
      </c>
      <c r="K32" s="274">
        <f t="shared" si="6"/>
        <v>2.8716089239999998</v>
      </c>
      <c r="L32" s="267">
        <v>2.8716089239999998</v>
      </c>
    </row>
    <row r="33" spans="2:12" ht="36">
      <c r="B33" s="272" t="s">
        <v>213</v>
      </c>
      <c r="C33" s="272" t="s">
        <v>223</v>
      </c>
      <c r="D33" s="273" t="s">
        <v>224</v>
      </c>
      <c r="E33" s="274">
        <v>5.5585218000000003</v>
      </c>
      <c r="F33" s="274">
        <v>0</v>
      </c>
      <c r="G33" s="274">
        <v>0</v>
      </c>
      <c r="H33" s="274">
        <v>0</v>
      </c>
      <c r="I33" s="274">
        <v>0</v>
      </c>
      <c r="J33" s="274">
        <v>0</v>
      </c>
      <c r="K33" s="274">
        <f t="shared" si="6"/>
        <v>5.5585218000000003</v>
      </c>
      <c r="L33" s="267">
        <v>5.5585218000000003</v>
      </c>
    </row>
    <row r="34" spans="2:12" ht="36">
      <c r="B34" s="272" t="s">
        <v>213</v>
      </c>
      <c r="C34" s="272" t="s">
        <v>225</v>
      </c>
      <c r="D34" s="273" t="s">
        <v>215</v>
      </c>
      <c r="E34" s="274">
        <v>0</v>
      </c>
      <c r="F34" s="274">
        <v>0</v>
      </c>
      <c r="G34" s="274">
        <v>0</v>
      </c>
      <c r="H34" s="274">
        <v>0</v>
      </c>
      <c r="I34" s="274">
        <v>0</v>
      </c>
      <c r="J34" s="274">
        <v>0</v>
      </c>
      <c r="K34" s="274">
        <f t="shared" si="6"/>
        <v>0</v>
      </c>
      <c r="L34" s="267">
        <v>0</v>
      </c>
    </row>
    <row r="35" spans="2:12" ht="36">
      <c r="B35" s="272" t="s">
        <v>213</v>
      </c>
      <c r="C35" s="272" t="s">
        <v>226</v>
      </c>
      <c r="D35" s="273" t="s">
        <v>215</v>
      </c>
      <c r="E35" s="274">
        <v>6.0735345000000001</v>
      </c>
      <c r="F35" s="274">
        <v>0</v>
      </c>
      <c r="G35" s="274">
        <v>0</v>
      </c>
      <c r="H35" s="274">
        <v>0</v>
      </c>
      <c r="I35" s="274">
        <v>0</v>
      </c>
      <c r="J35" s="274">
        <v>0</v>
      </c>
      <c r="K35" s="274">
        <f t="shared" si="6"/>
        <v>6.0735345000000001</v>
      </c>
      <c r="L35" s="267">
        <v>6.0735345000000001</v>
      </c>
    </row>
    <row r="36" spans="2:12">
      <c r="B36" s="272" t="s">
        <v>213</v>
      </c>
      <c r="C36" s="272" t="s">
        <v>226</v>
      </c>
      <c r="D36" s="273" t="s">
        <v>227</v>
      </c>
      <c r="E36" s="274">
        <v>0</v>
      </c>
      <c r="F36" s="274">
        <v>0</v>
      </c>
      <c r="G36" s="274">
        <v>0</v>
      </c>
      <c r="H36" s="274">
        <v>0</v>
      </c>
      <c r="I36" s="274">
        <v>0</v>
      </c>
      <c r="J36" s="274">
        <v>0</v>
      </c>
      <c r="K36" s="274">
        <f t="shared" si="6"/>
        <v>0</v>
      </c>
      <c r="L36" s="267">
        <v>0</v>
      </c>
    </row>
    <row r="37" spans="2:12">
      <c r="B37" s="272" t="s">
        <v>213</v>
      </c>
      <c r="C37" s="272" t="s">
        <v>228</v>
      </c>
      <c r="D37" s="273" t="s">
        <v>229</v>
      </c>
      <c r="E37" s="274">
        <v>4.8048447000000003</v>
      </c>
      <c r="F37" s="274">
        <v>4.8</v>
      </c>
      <c r="G37" s="274">
        <v>0</v>
      </c>
      <c r="H37" s="274">
        <v>0</v>
      </c>
      <c r="I37" s="274">
        <v>0</v>
      </c>
      <c r="J37" s="274">
        <v>0</v>
      </c>
      <c r="K37" s="274">
        <f t="shared" si="6"/>
        <v>4.8447000000004792E-3</v>
      </c>
      <c r="L37" s="267">
        <v>4.8447000000004792E-3</v>
      </c>
    </row>
    <row r="38" spans="2:12" ht="36">
      <c r="B38" s="272" t="s">
        <v>213</v>
      </c>
      <c r="C38" s="272" t="s">
        <v>230</v>
      </c>
      <c r="D38" s="273" t="s">
        <v>217</v>
      </c>
      <c r="E38" s="274">
        <v>0.48978996299999999</v>
      </c>
      <c r="F38" s="274">
        <v>0</v>
      </c>
      <c r="G38" s="274">
        <v>0</v>
      </c>
      <c r="H38" s="274">
        <v>0</v>
      </c>
      <c r="I38" s="274">
        <v>0</v>
      </c>
      <c r="J38" s="274">
        <v>0</v>
      </c>
      <c r="K38" s="274">
        <f t="shared" si="6"/>
        <v>0.48978996299999999</v>
      </c>
      <c r="L38" s="267">
        <v>0</v>
      </c>
    </row>
    <row r="39" spans="2:12" ht="36">
      <c r="B39" s="272" t="s">
        <v>213</v>
      </c>
      <c r="C39" s="272" t="s">
        <v>231</v>
      </c>
      <c r="D39" s="273" t="s">
        <v>217</v>
      </c>
      <c r="E39" s="274">
        <f>3.2716889-0.02</f>
        <v>3.2516889</v>
      </c>
      <c r="F39" s="274">
        <v>0</v>
      </c>
      <c r="G39" s="274">
        <v>0</v>
      </c>
      <c r="H39" s="274">
        <v>0</v>
      </c>
      <c r="I39" s="274">
        <v>0</v>
      </c>
      <c r="J39" s="274">
        <v>0</v>
      </c>
      <c r="K39" s="274">
        <f t="shared" si="6"/>
        <v>3.2516889</v>
      </c>
      <c r="L39" s="267">
        <v>3.2716889</v>
      </c>
    </row>
    <row r="40" spans="2:12">
      <c r="B40" s="272" t="s">
        <v>213</v>
      </c>
      <c r="C40" s="272" t="s">
        <v>232</v>
      </c>
      <c r="D40" s="273" t="s">
        <v>229</v>
      </c>
      <c r="E40" s="274">
        <v>3.1609923000000002</v>
      </c>
      <c r="F40" s="274">
        <v>0</v>
      </c>
      <c r="G40" s="274">
        <v>0</v>
      </c>
      <c r="H40" s="274">
        <v>3.16</v>
      </c>
      <c r="I40" s="274">
        <v>0</v>
      </c>
      <c r="J40" s="274">
        <v>0</v>
      </c>
      <c r="K40" s="274">
        <f t="shared" si="6"/>
        <v>9.9230000000005703E-4</v>
      </c>
      <c r="L40" s="267">
        <v>9.9230000000005703E-4</v>
      </c>
    </row>
    <row r="41" spans="2:12" ht="36">
      <c r="B41" s="272" t="s">
        <v>213</v>
      </c>
      <c r="C41" s="272" t="s">
        <v>233</v>
      </c>
      <c r="D41" s="273" t="s">
        <v>234</v>
      </c>
      <c r="E41" s="274">
        <v>0</v>
      </c>
      <c r="F41" s="274">
        <v>0</v>
      </c>
      <c r="G41" s="274">
        <v>0</v>
      </c>
      <c r="H41" s="274">
        <v>0</v>
      </c>
      <c r="I41" s="274">
        <v>0</v>
      </c>
      <c r="J41" s="274">
        <v>0</v>
      </c>
      <c r="K41" s="274">
        <f t="shared" si="6"/>
        <v>0</v>
      </c>
      <c r="L41" s="267">
        <v>0</v>
      </c>
    </row>
    <row r="42" spans="2:12" ht="24">
      <c r="B42" s="272" t="s">
        <v>213</v>
      </c>
      <c r="C42" s="272" t="s">
        <v>235</v>
      </c>
      <c r="D42" s="273" t="s">
        <v>236</v>
      </c>
      <c r="E42" s="274">
        <v>0</v>
      </c>
      <c r="F42" s="274">
        <v>0</v>
      </c>
      <c r="G42" s="274">
        <v>0</v>
      </c>
      <c r="H42" s="274">
        <v>0</v>
      </c>
      <c r="I42" s="274">
        <v>0</v>
      </c>
      <c r="J42" s="274">
        <v>0</v>
      </c>
      <c r="K42" s="274">
        <f t="shared" si="6"/>
        <v>0</v>
      </c>
      <c r="L42" s="267">
        <v>0</v>
      </c>
    </row>
    <row r="43" spans="2:12" ht="36">
      <c r="B43" s="272" t="s">
        <v>213</v>
      </c>
      <c r="C43" s="272" t="s">
        <v>237</v>
      </c>
      <c r="D43" s="273" t="s">
        <v>238</v>
      </c>
      <c r="E43" s="274">
        <v>0</v>
      </c>
      <c r="F43" s="274">
        <v>0</v>
      </c>
      <c r="G43" s="274">
        <v>0</v>
      </c>
      <c r="H43" s="274">
        <v>0</v>
      </c>
      <c r="I43" s="274">
        <v>0</v>
      </c>
      <c r="J43" s="274">
        <v>0</v>
      </c>
      <c r="K43" s="274">
        <f t="shared" si="6"/>
        <v>0</v>
      </c>
      <c r="L43" s="267">
        <v>0</v>
      </c>
    </row>
    <row r="44" spans="2:12">
      <c r="B44" s="272" t="s">
        <v>239</v>
      </c>
      <c r="C44" s="272" t="s">
        <v>240</v>
      </c>
      <c r="D44" s="273" t="s">
        <v>240</v>
      </c>
      <c r="E44" s="274">
        <v>0</v>
      </c>
      <c r="F44" s="274">
        <v>0</v>
      </c>
      <c r="G44" s="274">
        <v>0</v>
      </c>
      <c r="H44" s="274">
        <v>0</v>
      </c>
      <c r="I44" s="274">
        <v>0</v>
      </c>
      <c r="J44" s="274">
        <v>0</v>
      </c>
      <c r="K44" s="274">
        <f t="shared" si="6"/>
        <v>0</v>
      </c>
      <c r="L44" s="267">
        <v>0</v>
      </c>
    </row>
    <row r="45" spans="2:12">
      <c r="B45" s="272" t="s">
        <v>239</v>
      </c>
      <c r="C45" s="272" t="s">
        <v>241</v>
      </c>
      <c r="D45" s="273" t="s">
        <v>242</v>
      </c>
      <c r="E45" s="274">
        <v>1.4612157059999999</v>
      </c>
      <c r="F45" s="274">
        <v>0</v>
      </c>
      <c r="G45" s="274">
        <v>0</v>
      </c>
      <c r="H45" s="274">
        <v>0</v>
      </c>
      <c r="I45" s="274">
        <v>0</v>
      </c>
      <c r="J45" s="274">
        <v>0</v>
      </c>
      <c r="K45" s="274">
        <f t="shared" si="6"/>
        <v>1.4612157059999999</v>
      </c>
      <c r="L45" s="267">
        <v>1.4612157059999999</v>
      </c>
    </row>
    <row r="46" spans="2:12" ht="36">
      <c r="B46" s="272" t="s">
        <v>239</v>
      </c>
      <c r="C46" s="272" t="s">
        <v>243</v>
      </c>
      <c r="D46" s="273" t="s">
        <v>244</v>
      </c>
      <c r="E46" s="274">
        <v>3.0927340000000525E-2</v>
      </c>
      <c r="F46" s="274">
        <v>0</v>
      </c>
      <c r="G46" s="274">
        <v>0</v>
      </c>
      <c r="H46" s="274">
        <v>0</v>
      </c>
      <c r="I46" s="274">
        <v>0</v>
      </c>
      <c r="J46" s="274">
        <v>0</v>
      </c>
      <c r="K46" s="274">
        <f t="shared" si="6"/>
        <v>3.0927340000000525E-2</v>
      </c>
      <c r="L46" s="267">
        <v>3.0927340000000525E-2</v>
      </c>
    </row>
    <row r="47" spans="2:12">
      <c r="B47" s="272" t="s">
        <v>239</v>
      </c>
      <c r="C47" s="272" t="s">
        <v>245</v>
      </c>
      <c r="D47" s="273" t="s">
        <v>246</v>
      </c>
      <c r="E47" s="274">
        <v>31.786709812519998</v>
      </c>
      <c r="F47" s="274">
        <v>0</v>
      </c>
      <c r="G47" s="274">
        <v>5.7240099999999998</v>
      </c>
      <c r="H47" s="274">
        <v>0</v>
      </c>
      <c r="I47" s="274">
        <v>3.95</v>
      </c>
      <c r="J47" s="274">
        <v>3.73</v>
      </c>
      <c r="K47" s="274">
        <f t="shared" si="6"/>
        <v>18.382699812519999</v>
      </c>
      <c r="L47" s="267">
        <v>18.382699812519999</v>
      </c>
    </row>
    <row r="48" spans="2:12">
      <c r="B48" s="272" t="s">
        <v>239</v>
      </c>
      <c r="C48" s="272" t="s">
        <v>247</v>
      </c>
      <c r="D48" s="273" t="s">
        <v>248</v>
      </c>
      <c r="E48" s="274">
        <v>22.992446180000002</v>
      </c>
      <c r="F48" s="274">
        <v>1.35</v>
      </c>
      <c r="G48" s="274">
        <v>0.76</v>
      </c>
      <c r="H48" s="274">
        <v>0</v>
      </c>
      <c r="I48" s="274">
        <v>0</v>
      </c>
      <c r="J48" s="274">
        <v>0</v>
      </c>
      <c r="K48" s="274">
        <f t="shared" si="6"/>
        <v>20.882446179999999</v>
      </c>
      <c r="L48" s="267">
        <v>20.882446179999999</v>
      </c>
    </row>
    <row r="49" spans="2:12">
      <c r="B49" s="272" t="s">
        <v>239</v>
      </c>
      <c r="C49" s="272" t="s">
        <v>249</v>
      </c>
      <c r="D49" s="273" t="s">
        <v>250</v>
      </c>
      <c r="E49" s="274">
        <v>19.991443207704972</v>
      </c>
      <c r="F49" s="274">
        <v>0</v>
      </c>
      <c r="G49" s="274">
        <v>10.06</v>
      </c>
      <c r="H49" s="274">
        <v>9.0500000000000007</v>
      </c>
      <c r="I49" s="274">
        <v>0</v>
      </c>
      <c r="J49" s="274">
        <v>0</v>
      </c>
      <c r="K49" s="274">
        <f t="shared" si="6"/>
        <v>0.88144320770497053</v>
      </c>
      <c r="L49" s="267">
        <v>0.88144320770497053</v>
      </c>
    </row>
    <row r="50" spans="2:12">
      <c r="B50" s="272" t="s">
        <v>239</v>
      </c>
      <c r="C50" s="272" t="s">
        <v>251</v>
      </c>
      <c r="D50" s="273" t="s">
        <v>248</v>
      </c>
      <c r="E50" s="274">
        <v>14.554383926658174</v>
      </c>
      <c r="F50" s="274">
        <v>12.83</v>
      </c>
      <c r="G50" s="274">
        <v>1.72</v>
      </c>
      <c r="H50" s="274">
        <v>0</v>
      </c>
      <c r="I50" s="274">
        <v>0</v>
      </c>
      <c r="J50" s="274">
        <v>0</v>
      </c>
      <c r="K50" s="274">
        <f t="shared" si="6"/>
        <v>4.3839266581737757E-3</v>
      </c>
      <c r="L50" s="267">
        <v>4.3839266581737757E-3</v>
      </c>
    </row>
    <row r="51" spans="2:12">
      <c r="B51" s="272" t="s">
        <v>239</v>
      </c>
      <c r="C51" s="272" t="s">
        <v>252</v>
      </c>
      <c r="D51" s="273" t="s">
        <v>250</v>
      </c>
      <c r="E51" s="274">
        <v>30.536653699999999</v>
      </c>
      <c r="F51" s="274">
        <v>8.33</v>
      </c>
      <c r="G51" s="274">
        <v>1.95</v>
      </c>
      <c r="H51" s="274">
        <v>15.81</v>
      </c>
      <c r="I51" s="274">
        <v>3.08</v>
      </c>
      <c r="J51" s="274">
        <v>1.366653699999997</v>
      </c>
      <c r="K51" s="274">
        <f t="shared" si="6"/>
        <v>0</v>
      </c>
      <c r="L51" s="267">
        <v>0</v>
      </c>
    </row>
    <row r="52" spans="2:12">
      <c r="B52" s="272" t="s">
        <v>239</v>
      </c>
      <c r="C52" s="272" t="s">
        <v>253</v>
      </c>
      <c r="D52" s="273" t="s">
        <v>250</v>
      </c>
      <c r="E52" s="274">
        <v>11.381022570000001</v>
      </c>
      <c r="F52" s="274">
        <v>0.74666529999999998</v>
      </c>
      <c r="G52" s="274">
        <v>2.2635193999999998</v>
      </c>
      <c r="H52" s="274">
        <v>0.89694859999999998</v>
      </c>
      <c r="I52" s="274">
        <v>0</v>
      </c>
      <c r="J52" s="274">
        <v>0</v>
      </c>
      <c r="K52" s="274">
        <f t="shared" si="6"/>
        <v>7.4738892700000008</v>
      </c>
      <c r="L52" s="267">
        <v>7.4738892700000008</v>
      </c>
    </row>
    <row r="53" spans="2:12">
      <c r="B53" s="272" t="s">
        <v>239</v>
      </c>
      <c r="C53" s="272" t="s">
        <v>254</v>
      </c>
      <c r="D53" s="273" t="s">
        <v>246</v>
      </c>
      <c r="E53" s="274">
        <v>22.909640799999998</v>
      </c>
      <c r="F53" s="274">
        <v>8.5399999999999991</v>
      </c>
      <c r="G53" s="274">
        <v>14.37</v>
      </c>
      <c r="H53" s="274">
        <v>0</v>
      </c>
      <c r="I53" s="274">
        <v>0</v>
      </c>
      <c r="J53" s="274">
        <v>0</v>
      </c>
      <c r="K53" s="274">
        <f t="shared" si="6"/>
        <v>-3.5920000000011498E-4</v>
      </c>
      <c r="L53" s="267">
        <v>-3.5920000000011498E-4</v>
      </c>
    </row>
    <row r="54" spans="2:12" ht="48">
      <c r="B54" s="272" t="s">
        <v>239</v>
      </c>
      <c r="C54" s="272" t="s">
        <v>255</v>
      </c>
      <c r="D54" s="273" t="s">
        <v>256</v>
      </c>
      <c r="E54" s="274">
        <v>5.133212307</v>
      </c>
      <c r="F54" s="274">
        <v>5.13</v>
      </c>
      <c r="G54" s="274">
        <v>0</v>
      </c>
      <c r="H54" s="274">
        <v>0</v>
      </c>
      <c r="I54" s="274">
        <v>0</v>
      </c>
      <c r="J54" s="274">
        <v>0</v>
      </c>
      <c r="K54" s="274">
        <f t="shared" si="6"/>
        <v>3.2123070000000808E-3</v>
      </c>
      <c r="L54" s="267">
        <v>3.2123070000000808E-3</v>
      </c>
    </row>
    <row r="55" spans="2:12" ht="48">
      <c r="B55" s="272" t="s">
        <v>239</v>
      </c>
      <c r="C55" s="272" t="s">
        <v>257</v>
      </c>
      <c r="D55" s="273" t="s">
        <v>258</v>
      </c>
      <c r="E55" s="274">
        <v>5.0229968999999999</v>
      </c>
      <c r="F55" s="274">
        <v>2.6923597000000004</v>
      </c>
      <c r="G55" s="274">
        <v>1.5546319229999996</v>
      </c>
      <c r="H55" s="274">
        <v>0.77510447999999998</v>
      </c>
      <c r="I55" s="274">
        <v>0</v>
      </c>
      <c r="J55" s="274">
        <v>0</v>
      </c>
      <c r="K55" s="274">
        <f t="shared" si="6"/>
        <v>9.0079699999989771E-4</v>
      </c>
      <c r="L55" s="267">
        <v>9.0079699999989771E-4</v>
      </c>
    </row>
    <row r="56" spans="2:12">
      <c r="B56" s="272" t="s">
        <v>239</v>
      </c>
      <c r="C56" s="272" t="s">
        <v>259</v>
      </c>
      <c r="D56" s="273" t="s">
        <v>246</v>
      </c>
      <c r="E56" s="274">
        <v>20.466322399999999</v>
      </c>
      <c r="F56" s="274">
        <v>7.6566776000000001</v>
      </c>
      <c r="G56" s="274">
        <v>12.809644799999999</v>
      </c>
      <c r="H56" s="274">
        <v>0</v>
      </c>
      <c r="I56" s="274">
        <v>0</v>
      </c>
      <c r="J56" s="274">
        <v>0</v>
      </c>
      <c r="K56" s="274">
        <f t="shared" si="6"/>
        <v>0</v>
      </c>
      <c r="L56" s="267">
        <v>0</v>
      </c>
    </row>
    <row r="57" spans="2:12" ht="48">
      <c r="B57" s="272" t="s">
        <v>239</v>
      </c>
      <c r="C57" s="272" t="s">
        <v>260</v>
      </c>
      <c r="D57" s="273" t="s">
        <v>261</v>
      </c>
      <c r="E57" s="274">
        <v>10.08693098</v>
      </c>
      <c r="F57" s="274">
        <v>5.085</v>
      </c>
      <c r="G57" s="274">
        <v>2.27</v>
      </c>
      <c r="H57" s="274">
        <v>2.29</v>
      </c>
      <c r="I57" s="274">
        <v>0</v>
      </c>
      <c r="J57" s="274">
        <v>0</v>
      </c>
      <c r="K57" s="274">
        <f t="shared" si="6"/>
        <v>0.44193097999999997</v>
      </c>
      <c r="L57" s="267">
        <v>0.44193097999999997</v>
      </c>
    </row>
    <row r="58" spans="2:12" ht="48">
      <c r="B58" s="272" t="s">
        <v>239</v>
      </c>
      <c r="C58" s="272" t="s">
        <v>262</v>
      </c>
      <c r="D58" s="273" t="s">
        <v>261</v>
      </c>
      <c r="E58" s="274">
        <v>19.5040643</v>
      </c>
      <c r="F58" s="274">
        <v>6.73</v>
      </c>
      <c r="G58" s="274">
        <v>6.07</v>
      </c>
      <c r="H58" s="274">
        <v>4.59</v>
      </c>
      <c r="I58" s="274">
        <v>1.83</v>
      </c>
      <c r="J58" s="274">
        <v>0</v>
      </c>
      <c r="K58" s="274">
        <f t="shared" si="6"/>
        <v>0.28406429999999894</v>
      </c>
      <c r="L58" s="267">
        <v>0.28406429999999894</v>
      </c>
    </row>
    <row r="59" spans="2:12" ht="48">
      <c r="B59" s="272" t="s">
        <v>239</v>
      </c>
      <c r="C59" s="272" t="s">
        <v>263</v>
      </c>
      <c r="D59" s="273" t="s">
        <v>261</v>
      </c>
      <c r="E59" s="274">
        <v>18.475365400000001</v>
      </c>
      <c r="F59" s="274">
        <v>0</v>
      </c>
      <c r="G59" s="274">
        <v>2.95</v>
      </c>
      <c r="H59" s="274">
        <v>4.8099999999999996</v>
      </c>
      <c r="I59" s="274">
        <v>5.76</v>
      </c>
      <c r="J59" s="274">
        <v>0</v>
      </c>
      <c r="K59" s="274">
        <f t="shared" si="6"/>
        <v>4.9553654000000034</v>
      </c>
      <c r="L59" s="267">
        <v>4.9553654000000034</v>
      </c>
    </row>
    <row r="60" spans="2:12" ht="48">
      <c r="B60" s="272" t="s">
        <v>239</v>
      </c>
      <c r="C60" s="272" t="s">
        <v>264</v>
      </c>
      <c r="D60" s="273" t="s">
        <v>265</v>
      </c>
      <c r="E60" s="274">
        <v>15.2297049</v>
      </c>
      <c r="F60" s="274">
        <v>0</v>
      </c>
      <c r="G60" s="274">
        <v>0</v>
      </c>
      <c r="H60" s="274">
        <v>0</v>
      </c>
      <c r="I60" s="274">
        <v>0</v>
      </c>
      <c r="J60" s="274">
        <v>0</v>
      </c>
      <c r="K60" s="274">
        <f t="shared" si="6"/>
        <v>15.2297049</v>
      </c>
      <c r="L60" s="267">
        <v>15.2297049</v>
      </c>
    </row>
    <row r="61" spans="2:12" ht="48">
      <c r="B61" s="272" t="s">
        <v>239</v>
      </c>
      <c r="C61" s="272" t="s">
        <v>266</v>
      </c>
      <c r="D61" s="273" t="s">
        <v>265</v>
      </c>
      <c r="E61" s="274">
        <v>4.6772245999999997</v>
      </c>
      <c r="F61" s="274">
        <v>0</v>
      </c>
      <c r="G61" s="274">
        <v>0</v>
      </c>
      <c r="H61" s="274">
        <v>0</v>
      </c>
      <c r="I61" s="274">
        <v>0</v>
      </c>
      <c r="J61" s="274">
        <v>0</v>
      </c>
      <c r="K61" s="274">
        <f t="shared" si="6"/>
        <v>4.6772245999999997</v>
      </c>
      <c r="L61" s="267">
        <v>4.6772245999999997</v>
      </c>
    </row>
    <row r="62" spans="2:12" ht="48">
      <c r="B62" s="272" t="s">
        <v>239</v>
      </c>
      <c r="C62" s="272" t="s">
        <v>267</v>
      </c>
      <c r="D62" s="273" t="s">
        <v>265</v>
      </c>
      <c r="E62" s="274">
        <v>9.1696937999999992</v>
      </c>
      <c r="F62" s="274">
        <v>0</v>
      </c>
      <c r="G62" s="274">
        <v>0</v>
      </c>
      <c r="H62" s="274">
        <v>0</v>
      </c>
      <c r="I62" s="274">
        <v>0</v>
      </c>
      <c r="J62" s="274">
        <v>0</v>
      </c>
      <c r="K62" s="274">
        <f t="shared" si="6"/>
        <v>9.1696937999999992</v>
      </c>
      <c r="L62" s="267">
        <v>9.1696937999999992</v>
      </c>
    </row>
    <row r="63" spans="2:12" ht="48">
      <c r="B63" s="272" t="s">
        <v>239</v>
      </c>
      <c r="C63" s="272" t="s">
        <v>268</v>
      </c>
      <c r="D63" s="273" t="s">
        <v>265</v>
      </c>
      <c r="E63" s="274">
        <v>15.768838269999998</v>
      </c>
      <c r="F63" s="274">
        <v>0</v>
      </c>
      <c r="G63" s="274">
        <v>0</v>
      </c>
      <c r="H63" s="274">
        <v>0</v>
      </c>
      <c r="I63" s="274">
        <v>0</v>
      </c>
      <c r="J63" s="274">
        <v>0</v>
      </c>
      <c r="K63" s="274">
        <f t="shared" si="6"/>
        <v>15.768838269999998</v>
      </c>
      <c r="L63" s="267">
        <v>15.768838269999998</v>
      </c>
    </row>
    <row r="64" spans="2:12" ht="48">
      <c r="B64" s="272" t="s">
        <v>239</v>
      </c>
      <c r="C64" s="272" t="s">
        <v>269</v>
      </c>
      <c r="D64" s="273" t="s">
        <v>265</v>
      </c>
      <c r="E64" s="274">
        <v>5.9527369999999999</v>
      </c>
      <c r="F64" s="274">
        <v>0</v>
      </c>
      <c r="G64" s="274">
        <v>0</v>
      </c>
      <c r="H64" s="274">
        <v>0</v>
      </c>
      <c r="I64" s="274">
        <v>0</v>
      </c>
      <c r="J64" s="274">
        <v>0</v>
      </c>
      <c r="K64" s="274">
        <f t="shared" si="6"/>
        <v>5.9527369999999999</v>
      </c>
      <c r="L64" s="267">
        <v>5.9527369999999999</v>
      </c>
    </row>
    <row r="65" spans="2:12" ht="48">
      <c r="B65" s="272" t="s">
        <v>239</v>
      </c>
      <c r="C65" s="272" t="s">
        <v>270</v>
      </c>
      <c r="D65" s="273" t="s">
        <v>265</v>
      </c>
      <c r="E65" s="274">
        <v>5.8280719000000003</v>
      </c>
      <c r="F65" s="274">
        <v>0</v>
      </c>
      <c r="G65" s="274">
        <v>0</v>
      </c>
      <c r="H65" s="274">
        <v>0</v>
      </c>
      <c r="I65" s="274">
        <v>0</v>
      </c>
      <c r="J65" s="274">
        <v>0</v>
      </c>
      <c r="K65" s="274">
        <f t="shared" si="6"/>
        <v>5.8280719000000003</v>
      </c>
      <c r="L65" s="267">
        <v>5.8280719000000003</v>
      </c>
    </row>
    <row r="66" spans="2:12">
      <c r="B66" s="272" t="s">
        <v>271</v>
      </c>
      <c r="C66" s="272" t="s">
        <v>272</v>
      </c>
      <c r="D66" s="273" t="s">
        <v>273</v>
      </c>
      <c r="E66" s="274">
        <v>0</v>
      </c>
      <c r="F66" s="274">
        <v>0</v>
      </c>
      <c r="G66" s="274">
        <v>0</v>
      </c>
      <c r="H66" s="274">
        <v>0</v>
      </c>
      <c r="I66" s="274">
        <v>0</v>
      </c>
      <c r="J66" s="274">
        <v>0</v>
      </c>
      <c r="K66" s="274">
        <f t="shared" si="6"/>
        <v>0</v>
      </c>
      <c r="L66" s="267">
        <v>0</v>
      </c>
    </row>
    <row r="67" spans="2:12">
      <c r="B67" s="272" t="s">
        <v>271</v>
      </c>
      <c r="C67" s="272" t="s">
        <v>274</v>
      </c>
      <c r="D67" s="273" t="s">
        <v>274</v>
      </c>
      <c r="E67" s="274">
        <v>3.142245</v>
      </c>
      <c r="F67" s="274">
        <v>0</v>
      </c>
      <c r="G67" s="274">
        <v>0</v>
      </c>
      <c r="H67" s="274">
        <v>0</v>
      </c>
      <c r="I67" s="274">
        <v>0</v>
      </c>
      <c r="J67" s="274">
        <v>0</v>
      </c>
      <c r="K67" s="274">
        <f t="shared" si="6"/>
        <v>3.142245</v>
      </c>
      <c r="L67" s="267">
        <v>3.142245</v>
      </c>
    </row>
    <row r="68" spans="2:12" ht="24">
      <c r="B68" s="272" t="s">
        <v>271</v>
      </c>
      <c r="C68" s="272" t="s">
        <v>275</v>
      </c>
      <c r="D68" s="273" t="s">
        <v>276</v>
      </c>
      <c r="E68" s="274">
        <v>0.41546091000000002</v>
      </c>
      <c r="F68" s="274">
        <v>0</v>
      </c>
      <c r="G68" s="274">
        <v>0</v>
      </c>
      <c r="H68" s="274">
        <v>0</v>
      </c>
      <c r="I68" s="274">
        <v>0</v>
      </c>
      <c r="J68" s="274">
        <v>0</v>
      </c>
      <c r="K68" s="274">
        <f t="shared" si="6"/>
        <v>0.41546091000000002</v>
      </c>
      <c r="L68" s="267">
        <v>0.41546091000000002</v>
      </c>
    </row>
    <row r="69" spans="2:12">
      <c r="B69" s="272" t="s">
        <v>271</v>
      </c>
      <c r="C69" s="272" t="s">
        <v>277</v>
      </c>
      <c r="D69" s="273" t="s">
        <v>278</v>
      </c>
      <c r="E69" s="274">
        <v>0</v>
      </c>
      <c r="F69" s="274">
        <v>0</v>
      </c>
      <c r="G69" s="274">
        <v>0</v>
      </c>
      <c r="H69" s="274">
        <v>0</v>
      </c>
      <c r="I69" s="274">
        <v>0</v>
      </c>
      <c r="J69" s="274">
        <v>0</v>
      </c>
      <c r="K69" s="274">
        <f t="shared" si="6"/>
        <v>0</v>
      </c>
      <c r="L69" s="267">
        <v>0</v>
      </c>
    </row>
    <row r="70" spans="2:12">
      <c r="B70" s="272" t="s">
        <v>271</v>
      </c>
      <c r="C70" s="272" t="s">
        <v>279</v>
      </c>
      <c r="D70" s="273" t="s">
        <v>278</v>
      </c>
      <c r="E70" s="274">
        <v>4.8071460999999998</v>
      </c>
      <c r="F70" s="274">
        <v>0</v>
      </c>
      <c r="G70" s="274">
        <v>0</v>
      </c>
      <c r="H70" s="274">
        <v>0</v>
      </c>
      <c r="I70" s="274">
        <v>0</v>
      </c>
      <c r="J70" s="274">
        <v>0</v>
      </c>
      <c r="K70" s="274">
        <f t="shared" si="6"/>
        <v>4.8071460999999998</v>
      </c>
      <c r="L70" s="267">
        <v>4.8071460999999998</v>
      </c>
    </row>
    <row r="71" spans="2:12" ht="24">
      <c r="B71" s="272" t="s">
        <v>271</v>
      </c>
      <c r="C71" s="272" t="s">
        <v>280</v>
      </c>
      <c r="D71" s="273" t="s">
        <v>276</v>
      </c>
      <c r="E71" s="274">
        <v>0</v>
      </c>
      <c r="F71" s="274">
        <v>0</v>
      </c>
      <c r="G71" s="274">
        <v>0</v>
      </c>
      <c r="H71" s="274">
        <v>0</v>
      </c>
      <c r="I71" s="274">
        <v>0</v>
      </c>
      <c r="J71" s="274">
        <v>0</v>
      </c>
      <c r="K71" s="274">
        <f t="shared" si="6"/>
        <v>0</v>
      </c>
      <c r="L71" s="267">
        <v>0</v>
      </c>
    </row>
    <row r="72" spans="2:12" ht="24">
      <c r="B72" s="272" t="s">
        <v>271</v>
      </c>
      <c r="C72" s="272" t="s">
        <v>281</v>
      </c>
      <c r="D72" s="273" t="s">
        <v>276</v>
      </c>
      <c r="E72" s="274">
        <v>0.70516000000000001</v>
      </c>
      <c r="F72" s="274">
        <v>0</v>
      </c>
      <c r="G72" s="274">
        <v>0</v>
      </c>
      <c r="H72" s="274">
        <v>0</v>
      </c>
      <c r="I72" s="274">
        <v>0</v>
      </c>
      <c r="J72" s="274">
        <v>0</v>
      </c>
      <c r="K72" s="274">
        <f t="shared" si="6"/>
        <v>0.70516000000000001</v>
      </c>
      <c r="L72" s="267">
        <v>0.70516000000000001</v>
      </c>
    </row>
    <row r="73" spans="2:12">
      <c r="B73" s="272" t="s">
        <v>271</v>
      </c>
      <c r="C73" s="272" t="s">
        <v>282</v>
      </c>
      <c r="D73" s="273" t="s">
        <v>283</v>
      </c>
      <c r="E73" s="274">
        <v>0</v>
      </c>
      <c r="F73" s="274">
        <v>0</v>
      </c>
      <c r="G73" s="274">
        <v>0</v>
      </c>
      <c r="H73" s="274">
        <v>0</v>
      </c>
      <c r="I73" s="274">
        <v>0</v>
      </c>
      <c r="J73" s="274">
        <v>0</v>
      </c>
      <c r="K73" s="274">
        <f t="shared" si="6"/>
        <v>0</v>
      </c>
      <c r="L73" s="267">
        <v>0</v>
      </c>
    </row>
    <row r="74" spans="2:12" ht="24">
      <c r="B74" s="272" t="s">
        <v>271</v>
      </c>
      <c r="C74" s="272" t="s">
        <v>284</v>
      </c>
      <c r="D74" s="273" t="s">
        <v>285</v>
      </c>
      <c r="E74" s="274">
        <v>38.40722387687125</v>
      </c>
      <c r="F74" s="274">
        <v>0</v>
      </c>
      <c r="G74" s="274">
        <v>0</v>
      </c>
      <c r="H74" s="274">
        <v>0</v>
      </c>
      <c r="I74" s="274">
        <v>0</v>
      </c>
      <c r="J74" s="274">
        <v>0</v>
      </c>
      <c r="K74" s="274">
        <f t="shared" si="6"/>
        <v>38.40722387687125</v>
      </c>
      <c r="L74" s="267">
        <v>38.40722387687125</v>
      </c>
    </row>
    <row r="75" spans="2:12" ht="36">
      <c r="B75" s="272" t="s">
        <v>271</v>
      </c>
      <c r="C75" s="272" t="s">
        <v>286</v>
      </c>
      <c r="D75" s="273" t="s">
        <v>287</v>
      </c>
      <c r="E75" s="274">
        <v>18.144133400000001</v>
      </c>
      <c r="F75" s="274">
        <v>0</v>
      </c>
      <c r="G75" s="274">
        <v>0</v>
      </c>
      <c r="H75" s="274">
        <v>0</v>
      </c>
      <c r="I75" s="274">
        <v>0</v>
      </c>
      <c r="J75" s="274">
        <v>0</v>
      </c>
      <c r="K75" s="274">
        <f t="shared" si="6"/>
        <v>18.144133400000001</v>
      </c>
      <c r="L75" s="267">
        <v>18.144133400000001</v>
      </c>
    </row>
    <row r="76" spans="2:12" ht="24">
      <c r="B76" s="272" t="s">
        <v>271</v>
      </c>
      <c r="C76" s="272" t="s">
        <v>288</v>
      </c>
      <c r="D76" s="273" t="s">
        <v>289</v>
      </c>
      <c r="E76" s="274">
        <v>8.8958780999999991</v>
      </c>
      <c r="F76" s="274">
        <v>0</v>
      </c>
      <c r="G76" s="274">
        <v>0</v>
      </c>
      <c r="H76" s="274">
        <v>0</v>
      </c>
      <c r="I76" s="274">
        <v>0</v>
      </c>
      <c r="J76" s="274">
        <v>0</v>
      </c>
      <c r="K76" s="274">
        <f t="shared" si="6"/>
        <v>8.8958780999999991</v>
      </c>
      <c r="L76" s="267">
        <v>8.8958780999999991</v>
      </c>
    </row>
    <row r="77" spans="2:12" ht="24">
      <c r="B77" s="272" t="s">
        <v>271</v>
      </c>
      <c r="C77" s="272" t="s">
        <v>290</v>
      </c>
      <c r="D77" s="273" t="s">
        <v>291</v>
      </c>
      <c r="E77" s="274">
        <v>9.4098368000000008</v>
      </c>
      <c r="F77" s="274">
        <v>0</v>
      </c>
      <c r="G77" s="274">
        <v>0</v>
      </c>
      <c r="H77" s="274">
        <v>0</v>
      </c>
      <c r="I77" s="274">
        <v>0</v>
      </c>
      <c r="J77" s="274">
        <v>0</v>
      </c>
      <c r="K77" s="274">
        <f t="shared" si="6"/>
        <v>9.4098368000000008</v>
      </c>
      <c r="L77" s="267">
        <v>9.4098368000000008</v>
      </c>
    </row>
    <row r="78" spans="2:12" ht="24">
      <c r="B78" s="272" t="s">
        <v>271</v>
      </c>
      <c r="C78" s="272" t="s">
        <v>292</v>
      </c>
      <c r="D78" s="273" t="s">
        <v>293</v>
      </c>
      <c r="E78" s="274">
        <v>7.392532590000001</v>
      </c>
      <c r="F78" s="274">
        <v>0</v>
      </c>
      <c r="G78" s="274">
        <v>0</v>
      </c>
      <c r="H78" s="274">
        <v>0</v>
      </c>
      <c r="I78" s="274">
        <v>0</v>
      </c>
      <c r="J78" s="274">
        <v>0</v>
      </c>
      <c r="K78" s="274">
        <f t="shared" si="6"/>
        <v>7.392532590000001</v>
      </c>
      <c r="L78" s="267">
        <v>7.392532590000001</v>
      </c>
    </row>
    <row r="79" spans="2:12">
      <c r="B79" s="272" t="s">
        <v>271</v>
      </c>
      <c r="C79" s="272" t="s">
        <v>294</v>
      </c>
      <c r="D79" s="273" t="s">
        <v>278</v>
      </c>
      <c r="E79" s="274">
        <v>3.6050536000000002</v>
      </c>
      <c r="F79" s="274">
        <v>0</v>
      </c>
      <c r="G79" s="274">
        <v>0</v>
      </c>
      <c r="H79" s="274">
        <v>0</v>
      </c>
      <c r="I79" s="274">
        <v>0</v>
      </c>
      <c r="J79" s="274">
        <v>0</v>
      </c>
      <c r="K79" s="274">
        <f t="shared" si="6"/>
        <v>3.6050536000000002</v>
      </c>
      <c r="L79" s="267">
        <v>3.6050536000000002</v>
      </c>
    </row>
    <row r="80" spans="2:12" ht="24">
      <c r="B80" s="272" t="s">
        <v>271</v>
      </c>
      <c r="C80" s="272" t="s">
        <v>295</v>
      </c>
      <c r="D80" s="273" t="s">
        <v>296</v>
      </c>
      <c r="E80" s="274">
        <v>4.3594160000000004</v>
      </c>
      <c r="F80" s="274">
        <v>0</v>
      </c>
      <c r="G80" s="274">
        <v>0</v>
      </c>
      <c r="H80" s="274">
        <v>0</v>
      </c>
      <c r="I80" s="274">
        <v>3.8</v>
      </c>
      <c r="J80" s="274">
        <v>0</v>
      </c>
      <c r="K80" s="274">
        <f t="shared" si="6"/>
        <v>0.55941600000000058</v>
      </c>
      <c r="L80" s="267">
        <v>0.55941600000000058</v>
      </c>
    </row>
    <row r="81" spans="2:12">
      <c r="B81" s="272" t="s">
        <v>271</v>
      </c>
      <c r="C81" s="272" t="s">
        <v>297</v>
      </c>
      <c r="D81" s="273" t="s">
        <v>278</v>
      </c>
      <c r="E81" s="274">
        <v>4.0478845000000003</v>
      </c>
      <c r="F81" s="274">
        <v>0</v>
      </c>
      <c r="G81" s="274">
        <v>0</v>
      </c>
      <c r="H81" s="274">
        <v>0</v>
      </c>
      <c r="I81" s="274">
        <v>0</v>
      </c>
      <c r="J81" s="274">
        <v>0</v>
      </c>
      <c r="K81" s="274">
        <f t="shared" si="6"/>
        <v>4.0478845000000003</v>
      </c>
      <c r="L81" s="267">
        <v>4.0478845000000003</v>
      </c>
    </row>
    <row r="82" spans="2:12" ht="24">
      <c r="B82" s="272" t="s">
        <v>271</v>
      </c>
      <c r="C82" s="272" t="s">
        <v>298</v>
      </c>
      <c r="D82" s="273" t="s">
        <v>299</v>
      </c>
      <c r="E82" s="274">
        <v>1.6945048</v>
      </c>
      <c r="F82" s="274">
        <v>0</v>
      </c>
      <c r="G82" s="274">
        <v>0</v>
      </c>
      <c r="H82" s="274">
        <v>0</v>
      </c>
      <c r="I82" s="274">
        <v>0</v>
      </c>
      <c r="J82" s="274">
        <v>0</v>
      </c>
      <c r="K82" s="274">
        <f t="shared" si="6"/>
        <v>1.6945048</v>
      </c>
      <c r="L82" s="267">
        <v>1.6945048</v>
      </c>
    </row>
    <row r="83" spans="2:12" ht="24">
      <c r="B83" s="272" t="s">
        <v>271</v>
      </c>
      <c r="C83" s="272" t="s">
        <v>300</v>
      </c>
      <c r="D83" s="273" t="s">
        <v>301</v>
      </c>
      <c r="E83" s="274">
        <v>1.1024075</v>
      </c>
      <c r="F83" s="274">
        <v>0</v>
      </c>
      <c r="G83" s="274">
        <v>0</v>
      </c>
      <c r="H83" s="274">
        <v>0</v>
      </c>
      <c r="I83" s="274">
        <v>0</v>
      </c>
      <c r="J83" s="274">
        <v>0</v>
      </c>
      <c r="K83" s="274">
        <f t="shared" ref="K83:K146" si="10">E83-F83-G83-H83-I83-J83</f>
        <v>1.1024075</v>
      </c>
      <c r="L83" s="267">
        <v>1.1024075</v>
      </c>
    </row>
    <row r="84" spans="2:12" ht="36">
      <c r="B84" s="272" t="s">
        <v>271</v>
      </c>
      <c r="C84" s="272" t="s">
        <v>302</v>
      </c>
      <c r="D84" s="273" t="s">
        <v>303</v>
      </c>
      <c r="E84" s="274">
        <v>0.9570805</v>
      </c>
      <c r="F84" s="274">
        <v>0</v>
      </c>
      <c r="G84" s="274">
        <v>0</v>
      </c>
      <c r="H84" s="274">
        <v>0</v>
      </c>
      <c r="I84" s="274">
        <v>0</v>
      </c>
      <c r="J84" s="274">
        <v>0</v>
      </c>
      <c r="K84" s="274">
        <f t="shared" si="10"/>
        <v>0.9570805</v>
      </c>
      <c r="L84" s="267">
        <v>0.9570805</v>
      </c>
    </row>
    <row r="85" spans="2:12" ht="24">
      <c r="B85" s="272" t="s">
        <v>271</v>
      </c>
      <c r="C85" s="272" t="s">
        <v>304</v>
      </c>
      <c r="D85" s="273" t="s">
        <v>285</v>
      </c>
      <c r="E85" s="274">
        <v>0.78892949999999995</v>
      </c>
      <c r="F85" s="274">
        <v>0</v>
      </c>
      <c r="G85" s="274">
        <v>0</v>
      </c>
      <c r="H85" s="274">
        <v>0</v>
      </c>
      <c r="I85" s="274">
        <v>0</v>
      </c>
      <c r="J85" s="274">
        <v>0</v>
      </c>
      <c r="K85" s="274">
        <f t="shared" si="10"/>
        <v>0.78892949999999995</v>
      </c>
      <c r="L85" s="267">
        <v>0.78892949999999995</v>
      </c>
    </row>
    <row r="86" spans="2:12" ht="24">
      <c r="B86" s="272" t="s">
        <v>271</v>
      </c>
      <c r="C86" s="272" t="s">
        <v>305</v>
      </c>
      <c r="D86" s="273" t="s">
        <v>306</v>
      </c>
      <c r="E86" s="274">
        <v>0</v>
      </c>
      <c r="F86" s="274">
        <v>0</v>
      </c>
      <c r="G86" s="274">
        <v>0</v>
      </c>
      <c r="H86" s="274">
        <v>0</v>
      </c>
      <c r="I86" s="274">
        <v>0</v>
      </c>
      <c r="J86" s="274">
        <v>0</v>
      </c>
      <c r="K86" s="274">
        <f t="shared" si="10"/>
        <v>0</v>
      </c>
      <c r="L86" s="267">
        <v>0</v>
      </c>
    </row>
    <row r="87" spans="2:12" ht="24">
      <c r="B87" s="272" t="s">
        <v>271</v>
      </c>
      <c r="C87" s="272" t="s">
        <v>307</v>
      </c>
      <c r="D87" s="273" t="s">
        <v>308</v>
      </c>
      <c r="E87" s="274">
        <v>0.93541574999999999</v>
      </c>
      <c r="F87" s="274">
        <v>0</v>
      </c>
      <c r="G87" s="274">
        <v>0</v>
      </c>
      <c r="H87" s="274">
        <v>0</v>
      </c>
      <c r="I87" s="274">
        <v>0</v>
      </c>
      <c r="J87" s="274">
        <v>0</v>
      </c>
      <c r="K87" s="274">
        <f t="shared" si="10"/>
        <v>0.93541574999999999</v>
      </c>
      <c r="L87" s="267">
        <v>0.93541574999999999</v>
      </c>
    </row>
    <row r="88" spans="2:12" ht="24">
      <c r="B88" s="272" t="s">
        <v>271</v>
      </c>
      <c r="C88" s="272" t="s">
        <v>309</v>
      </c>
      <c r="D88" s="273" t="s">
        <v>289</v>
      </c>
      <c r="E88" s="274">
        <v>0.33853499999999997</v>
      </c>
      <c r="F88" s="274">
        <v>0</v>
      </c>
      <c r="G88" s="274">
        <v>0</v>
      </c>
      <c r="H88" s="274">
        <v>0</v>
      </c>
      <c r="I88" s="274">
        <v>0</v>
      </c>
      <c r="J88" s="274">
        <v>0</v>
      </c>
      <c r="K88" s="274">
        <f t="shared" si="10"/>
        <v>0.33853499999999997</v>
      </c>
      <c r="L88" s="267">
        <v>0.33853499999999997</v>
      </c>
    </row>
    <row r="89" spans="2:12" ht="36">
      <c r="B89" s="272" t="s">
        <v>271</v>
      </c>
      <c r="C89" s="272" t="s">
        <v>310</v>
      </c>
      <c r="D89" s="273" t="s">
        <v>311</v>
      </c>
      <c r="E89" s="274">
        <v>0</v>
      </c>
      <c r="F89" s="274">
        <v>0</v>
      </c>
      <c r="G89" s="274">
        <v>0</v>
      </c>
      <c r="H89" s="274">
        <v>0</v>
      </c>
      <c r="I89" s="274">
        <v>0</v>
      </c>
      <c r="J89" s="274">
        <v>0</v>
      </c>
      <c r="K89" s="274">
        <f t="shared" si="10"/>
        <v>0</v>
      </c>
      <c r="L89" s="267">
        <v>0</v>
      </c>
    </row>
    <row r="90" spans="2:12">
      <c r="B90" s="272" t="s">
        <v>271</v>
      </c>
      <c r="C90" s="272" t="s">
        <v>312</v>
      </c>
      <c r="D90" s="273" t="s">
        <v>313</v>
      </c>
      <c r="E90" s="274">
        <v>0</v>
      </c>
      <c r="F90" s="274">
        <v>0</v>
      </c>
      <c r="G90" s="274">
        <v>0</v>
      </c>
      <c r="H90" s="274">
        <v>0</v>
      </c>
      <c r="I90" s="274">
        <v>0</v>
      </c>
      <c r="J90" s="274">
        <v>0</v>
      </c>
      <c r="K90" s="274">
        <f t="shared" si="10"/>
        <v>0</v>
      </c>
      <c r="L90" s="267">
        <v>0</v>
      </c>
    </row>
    <row r="91" spans="2:12">
      <c r="B91" s="272" t="s">
        <v>271</v>
      </c>
      <c r="C91" s="272" t="s">
        <v>314</v>
      </c>
      <c r="D91" s="273" t="s">
        <v>313</v>
      </c>
      <c r="E91" s="274">
        <v>0</v>
      </c>
      <c r="F91" s="274">
        <v>0</v>
      </c>
      <c r="G91" s="274">
        <v>0</v>
      </c>
      <c r="H91" s="274">
        <v>0</v>
      </c>
      <c r="I91" s="274">
        <v>0</v>
      </c>
      <c r="J91" s="274">
        <v>0</v>
      </c>
      <c r="K91" s="274">
        <f t="shared" si="10"/>
        <v>0</v>
      </c>
      <c r="L91" s="267">
        <v>0</v>
      </c>
    </row>
    <row r="92" spans="2:12">
      <c r="B92" s="272" t="s">
        <v>271</v>
      </c>
      <c r="C92" s="272" t="s">
        <v>315</v>
      </c>
      <c r="D92" s="273" t="s">
        <v>313</v>
      </c>
      <c r="E92" s="274">
        <v>0</v>
      </c>
      <c r="F92" s="274">
        <v>0</v>
      </c>
      <c r="G92" s="274">
        <v>0</v>
      </c>
      <c r="H92" s="274">
        <v>0</v>
      </c>
      <c r="I92" s="274">
        <v>0</v>
      </c>
      <c r="J92" s="274">
        <v>0</v>
      </c>
      <c r="K92" s="274">
        <f t="shared" si="10"/>
        <v>0</v>
      </c>
      <c r="L92" s="267">
        <v>0</v>
      </c>
    </row>
    <row r="93" spans="2:12">
      <c r="B93" s="272" t="s">
        <v>271</v>
      </c>
      <c r="C93" s="272" t="s">
        <v>316</v>
      </c>
      <c r="D93" s="273" t="s">
        <v>313</v>
      </c>
      <c r="E93" s="274">
        <v>0</v>
      </c>
      <c r="F93" s="274">
        <v>0</v>
      </c>
      <c r="G93" s="274">
        <v>0</v>
      </c>
      <c r="H93" s="274">
        <v>0</v>
      </c>
      <c r="I93" s="274">
        <v>0</v>
      </c>
      <c r="J93" s="274">
        <v>0</v>
      </c>
      <c r="K93" s="274">
        <f t="shared" si="10"/>
        <v>0</v>
      </c>
      <c r="L93" s="267">
        <v>0</v>
      </c>
    </row>
    <row r="94" spans="2:12">
      <c r="B94" s="272" t="s">
        <v>271</v>
      </c>
      <c r="C94" s="272" t="s">
        <v>317</v>
      </c>
      <c r="D94" s="273" t="s">
        <v>313</v>
      </c>
      <c r="E94" s="274">
        <v>0</v>
      </c>
      <c r="F94" s="274">
        <v>0</v>
      </c>
      <c r="G94" s="274">
        <v>0</v>
      </c>
      <c r="H94" s="274">
        <v>0</v>
      </c>
      <c r="I94" s="274">
        <v>0</v>
      </c>
      <c r="J94" s="274">
        <v>0</v>
      </c>
      <c r="K94" s="274">
        <f t="shared" si="10"/>
        <v>0</v>
      </c>
      <c r="L94" s="267">
        <v>0</v>
      </c>
    </row>
    <row r="95" spans="2:12">
      <c r="B95" s="272" t="s">
        <v>271</v>
      </c>
      <c r="C95" s="272" t="s">
        <v>318</v>
      </c>
      <c r="D95" s="273" t="s">
        <v>313</v>
      </c>
      <c r="E95" s="274">
        <v>0</v>
      </c>
      <c r="F95" s="274">
        <v>0</v>
      </c>
      <c r="G95" s="274">
        <v>0</v>
      </c>
      <c r="H95" s="274">
        <v>0</v>
      </c>
      <c r="I95" s="274">
        <v>0</v>
      </c>
      <c r="J95" s="274">
        <v>0</v>
      </c>
      <c r="K95" s="274">
        <f t="shared" si="10"/>
        <v>0</v>
      </c>
      <c r="L95" s="267">
        <v>0</v>
      </c>
    </row>
    <row r="96" spans="2:12">
      <c r="B96" s="272" t="s">
        <v>271</v>
      </c>
      <c r="C96" s="272" t="s">
        <v>319</v>
      </c>
      <c r="D96" s="273" t="s">
        <v>313</v>
      </c>
      <c r="E96" s="274">
        <v>0</v>
      </c>
      <c r="F96" s="274">
        <v>0</v>
      </c>
      <c r="G96" s="274">
        <v>0</v>
      </c>
      <c r="H96" s="274">
        <v>0</v>
      </c>
      <c r="I96" s="274">
        <v>0</v>
      </c>
      <c r="J96" s="274">
        <v>0</v>
      </c>
      <c r="K96" s="274">
        <f t="shared" si="10"/>
        <v>0</v>
      </c>
      <c r="L96" s="267">
        <v>0</v>
      </c>
    </row>
    <row r="97" spans="2:12">
      <c r="B97" s="272" t="s">
        <v>271</v>
      </c>
      <c r="C97" s="272" t="s">
        <v>320</v>
      </c>
      <c r="D97" s="273" t="s">
        <v>313</v>
      </c>
      <c r="E97" s="274">
        <v>0</v>
      </c>
      <c r="F97" s="274">
        <v>0</v>
      </c>
      <c r="G97" s="274">
        <v>0</v>
      </c>
      <c r="H97" s="274">
        <v>0</v>
      </c>
      <c r="I97" s="274">
        <v>0</v>
      </c>
      <c r="J97" s="274">
        <v>0</v>
      </c>
      <c r="K97" s="274">
        <f t="shared" si="10"/>
        <v>0</v>
      </c>
      <c r="L97" s="267">
        <v>0</v>
      </c>
    </row>
    <row r="98" spans="2:12">
      <c r="B98" s="272" t="s">
        <v>271</v>
      </c>
      <c r="C98" s="272" t="s">
        <v>321</v>
      </c>
      <c r="D98" s="273" t="s">
        <v>313</v>
      </c>
      <c r="E98" s="274">
        <v>0</v>
      </c>
      <c r="F98" s="274">
        <v>0</v>
      </c>
      <c r="G98" s="274">
        <v>0</v>
      </c>
      <c r="H98" s="274">
        <v>0</v>
      </c>
      <c r="I98" s="274">
        <v>0</v>
      </c>
      <c r="J98" s="274">
        <v>0</v>
      </c>
      <c r="K98" s="274">
        <f t="shared" si="10"/>
        <v>0</v>
      </c>
      <c r="L98" s="267">
        <v>0</v>
      </c>
    </row>
    <row r="99" spans="2:12">
      <c r="B99" s="272" t="s">
        <v>271</v>
      </c>
      <c r="C99" s="272" t="s">
        <v>322</v>
      </c>
      <c r="D99" s="273" t="s">
        <v>313</v>
      </c>
      <c r="E99" s="274">
        <v>0</v>
      </c>
      <c r="F99" s="274">
        <v>0</v>
      </c>
      <c r="G99" s="274">
        <v>0</v>
      </c>
      <c r="H99" s="274">
        <v>0</v>
      </c>
      <c r="I99" s="274">
        <v>0</v>
      </c>
      <c r="J99" s="274">
        <v>0</v>
      </c>
      <c r="K99" s="274">
        <f t="shared" si="10"/>
        <v>0</v>
      </c>
      <c r="L99" s="267">
        <v>0</v>
      </c>
    </row>
    <row r="100" spans="2:12">
      <c r="B100" s="272" t="s">
        <v>271</v>
      </c>
      <c r="C100" s="272" t="s">
        <v>323</v>
      </c>
      <c r="D100" s="273" t="s">
        <v>313</v>
      </c>
      <c r="E100" s="274">
        <v>0</v>
      </c>
      <c r="F100" s="274">
        <v>0</v>
      </c>
      <c r="G100" s="274">
        <v>0</v>
      </c>
      <c r="H100" s="274">
        <v>0</v>
      </c>
      <c r="I100" s="274">
        <v>0</v>
      </c>
      <c r="J100" s="274">
        <v>0</v>
      </c>
      <c r="K100" s="274">
        <f t="shared" si="10"/>
        <v>0</v>
      </c>
      <c r="L100" s="267">
        <v>0</v>
      </c>
    </row>
    <row r="101" spans="2:12">
      <c r="B101" s="272" t="s">
        <v>271</v>
      </c>
      <c r="C101" s="272" t="s">
        <v>324</v>
      </c>
      <c r="D101" s="273" t="s">
        <v>313</v>
      </c>
      <c r="E101" s="274">
        <v>0</v>
      </c>
      <c r="F101" s="274">
        <v>0</v>
      </c>
      <c r="G101" s="274">
        <v>0</v>
      </c>
      <c r="H101" s="274">
        <v>0</v>
      </c>
      <c r="I101" s="274">
        <v>0</v>
      </c>
      <c r="J101" s="274">
        <v>0</v>
      </c>
      <c r="K101" s="274">
        <f t="shared" si="10"/>
        <v>0</v>
      </c>
      <c r="L101" s="267">
        <v>0</v>
      </c>
    </row>
    <row r="102" spans="2:12">
      <c r="B102" s="272" t="s">
        <v>271</v>
      </c>
      <c r="C102" s="272" t="s">
        <v>325</v>
      </c>
      <c r="D102" s="273" t="s">
        <v>313</v>
      </c>
      <c r="E102" s="274">
        <v>0</v>
      </c>
      <c r="F102" s="274">
        <v>0</v>
      </c>
      <c r="G102" s="274">
        <v>0</v>
      </c>
      <c r="H102" s="274">
        <v>0</v>
      </c>
      <c r="I102" s="274">
        <v>0</v>
      </c>
      <c r="J102" s="274">
        <v>0</v>
      </c>
      <c r="K102" s="274">
        <f t="shared" si="10"/>
        <v>0</v>
      </c>
      <c r="L102" s="267">
        <v>0</v>
      </c>
    </row>
    <row r="103" spans="2:12">
      <c r="B103" s="272" t="s">
        <v>271</v>
      </c>
      <c r="C103" s="272" t="s">
        <v>326</v>
      </c>
      <c r="D103" s="273" t="s">
        <v>313</v>
      </c>
      <c r="E103" s="274">
        <v>0</v>
      </c>
      <c r="F103" s="274">
        <v>0</v>
      </c>
      <c r="G103" s="274">
        <v>0</v>
      </c>
      <c r="H103" s="274">
        <v>0</v>
      </c>
      <c r="I103" s="274">
        <v>0</v>
      </c>
      <c r="J103" s="274">
        <v>0</v>
      </c>
      <c r="K103" s="274">
        <f t="shared" si="10"/>
        <v>0</v>
      </c>
      <c r="L103" s="267">
        <v>0</v>
      </c>
    </row>
    <row r="104" spans="2:12">
      <c r="B104" s="272" t="s">
        <v>271</v>
      </c>
      <c r="C104" s="272" t="s">
        <v>327</v>
      </c>
      <c r="D104" s="273" t="s">
        <v>313</v>
      </c>
      <c r="E104" s="274">
        <v>0</v>
      </c>
      <c r="F104" s="274">
        <v>0</v>
      </c>
      <c r="G104" s="274">
        <v>0</v>
      </c>
      <c r="H104" s="274">
        <v>0</v>
      </c>
      <c r="I104" s="274">
        <v>0</v>
      </c>
      <c r="J104" s="274">
        <v>0</v>
      </c>
      <c r="K104" s="274">
        <f t="shared" si="10"/>
        <v>0</v>
      </c>
      <c r="L104" s="267">
        <v>0</v>
      </c>
    </row>
    <row r="105" spans="2:12">
      <c r="B105" s="272" t="s">
        <v>271</v>
      </c>
      <c r="C105" s="272" t="s">
        <v>328</v>
      </c>
      <c r="D105" s="273" t="s">
        <v>313</v>
      </c>
      <c r="E105" s="274">
        <v>0</v>
      </c>
      <c r="F105" s="274">
        <v>0</v>
      </c>
      <c r="G105" s="274">
        <v>0</v>
      </c>
      <c r="H105" s="274">
        <v>0</v>
      </c>
      <c r="I105" s="274">
        <v>0</v>
      </c>
      <c r="J105" s="274">
        <v>0</v>
      </c>
      <c r="K105" s="274">
        <f t="shared" si="10"/>
        <v>0</v>
      </c>
      <c r="L105" s="267">
        <v>0</v>
      </c>
    </row>
    <row r="106" spans="2:12">
      <c r="B106" s="272" t="s">
        <v>271</v>
      </c>
      <c r="C106" s="272" t="s">
        <v>329</v>
      </c>
      <c r="D106" s="273" t="s">
        <v>313</v>
      </c>
      <c r="E106" s="274">
        <v>0</v>
      </c>
      <c r="F106" s="274">
        <v>0</v>
      </c>
      <c r="G106" s="274">
        <v>0</v>
      </c>
      <c r="H106" s="274">
        <v>0</v>
      </c>
      <c r="I106" s="274">
        <v>0</v>
      </c>
      <c r="J106" s="274">
        <v>0</v>
      </c>
      <c r="K106" s="274">
        <f t="shared" si="10"/>
        <v>0</v>
      </c>
      <c r="L106" s="267">
        <v>0</v>
      </c>
    </row>
    <row r="107" spans="2:12">
      <c r="B107" s="272" t="s">
        <v>271</v>
      </c>
      <c r="C107" s="272" t="s">
        <v>330</v>
      </c>
      <c r="D107" s="273" t="s">
        <v>313</v>
      </c>
      <c r="E107" s="274">
        <v>0</v>
      </c>
      <c r="F107" s="274">
        <v>0</v>
      </c>
      <c r="G107" s="274">
        <v>0</v>
      </c>
      <c r="H107" s="274">
        <v>0</v>
      </c>
      <c r="I107" s="274">
        <v>0</v>
      </c>
      <c r="J107" s="274">
        <v>0</v>
      </c>
      <c r="K107" s="274">
        <f t="shared" si="10"/>
        <v>0</v>
      </c>
      <c r="L107" s="267">
        <v>0</v>
      </c>
    </row>
    <row r="108" spans="2:12">
      <c r="B108" s="272" t="s">
        <v>271</v>
      </c>
      <c r="C108" s="272" t="s">
        <v>331</v>
      </c>
      <c r="D108" s="273" t="s">
        <v>313</v>
      </c>
      <c r="E108" s="274">
        <v>0</v>
      </c>
      <c r="F108" s="274">
        <v>0</v>
      </c>
      <c r="G108" s="274">
        <v>0</v>
      </c>
      <c r="H108" s="274">
        <v>0</v>
      </c>
      <c r="I108" s="274">
        <v>0</v>
      </c>
      <c r="J108" s="274">
        <v>0</v>
      </c>
      <c r="K108" s="274">
        <f t="shared" si="10"/>
        <v>0</v>
      </c>
      <c r="L108" s="267">
        <v>0</v>
      </c>
    </row>
    <row r="109" spans="2:12">
      <c r="B109" s="272" t="s">
        <v>271</v>
      </c>
      <c r="C109" s="272" t="s">
        <v>332</v>
      </c>
      <c r="D109" s="273" t="s">
        <v>313</v>
      </c>
      <c r="E109" s="274">
        <v>0</v>
      </c>
      <c r="F109" s="274">
        <v>0</v>
      </c>
      <c r="G109" s="274">
        <v>0</v>
      </c>
      <c r="H109" s="274">
        <v>0</v>
      </c>
      <c r="I109" s="274">
        <v>0</v>
      </c>
      <c r="J109" s="274">
        <v>0</v>
      </c>
      <c r="K109" s="274">
        <f t="shared" si="10"/>
        <v>0</v>
      </c>
      <c r="L109" s="267">
        <v>0</v>
      </c>
    </row>
    <row r="110" spans="2:12">
      <c r="B110" s="272" t="s">
        <v>271</v>
      </c>
      <c r="C110" s="272" t="s">
        <v>333</v>
      </c>
      <c r="D110" s="273" t="s">
        <v>313</v>
      </c>
      <c r="E110" s="274">
        <v>0</v>
      </c>
      <c r="F110" s="274">
        <v>0</v>
      </c>
      <c r="G110" s="274">
        <v>0</v>
      </c>
      <c r="H110" s="274">
        <v>0</v>
      </c>
      <c r="I110" s="274">
        <v>0</v>
      </c>
      <c r="J110" s="274">
        <v>0</v>
      </c>
      <c r="K110" s="274">
        <f t="shared" si="10"/>
        <v>0</v>
      </c>
      <c r="L110" s="267">
        <v>0</v>
      </c>
    </row>
    <row r="111" spans="2:12">
      <c r="B111" s="272" t="s">
        <v>271</v>
      </c>
      <c r="C111" s="272" t="s">
        <v>334</v>
      </c>
      <c r="D111" s="273" t="s">
        <v>313</v>
      </c>
      <c r="E111" s="274">
        <v>0</v>
      </c>
      <c r="F111" s="274">
        <v>0</v>
      </c>
      <c r="G111" s="274">
        <v>0</v>
      </c>
      <c r="H111" s="274">
        <v>0</v>
      </c>
      <c r="I111" s="274">
        <v>0</v>
      </c>
      <c r="J111" s="274">
        <v>0</v>
      </c>
      <c r="K111" s="274">
        <f t="shared" si="10"/>
        <v>0</v>
      </c>
      <c r="L111" s="267">
        <v>0</v>
      </c>
    </row>
    <row r="112" spans="2:12">
      <c r="B112" s="272" t="s">
        <v>271</v>
      </c>
      <c r="C112" s="272" t="s">
        <v>335</v>
      </c>
      <c r="D112" s="273" t="s">
        <v>313</v>
      </c>
      <c r="E112" s="274">
        <v>0</v>
      </c>
      <c r="F112" s="274">
        <v>0</v>
      </c>
      <c r="G112" s="274">
        <v>0</v>
      </c>
      <c r="H112" s="274">
        <v>0</v>
      </c>
      <c r="I112" s="274">
        <v>0</v>
      </c>
      <c r="J112" s="274">
        <v>0</v>
      </c>
      <c r="K112" s="274">
        <f t="shared" si="10"/>
        <v>0</v>
      </c>
      <c r="L112" s="267">
        <v>0</v>
      </c>
    </row>
    <row r="113" spans="2:12">
      <c r="B113" s="272" t="s">
        <v>271</v>
      </c>
      <c r="C113" s="272" t="s">
        <v>336</v>
      </c>
      <c r="D113" s="273" t="s">
        <v>313</v>
      </c>
      <c r="E113" s="274">
        <v>0</v>
      </c>
      <c r="F113" s="274">
        <v>0</v>
      </c>
      <c r="G113" s="274">
        <v>0</v>
      </c>
      <c r="H113" s="274">
        <v>0</v>
      </c>
      <c r="I113" s="274">
        <v>0</v>
      </c>
      <c r="J113" s="274">
        <v>0</v>
      </c>
      <c r="K113" s="274">
        <f t="shared" si="10"/>
        <v>0</v>
      </c>
      <c r="L113" s="267">
        <v>0</v>
      </c>
    </row>
    <row r="114" spans="2:12">
      <c r="B114" s="272" t="s">
        <v>271</v>
      </c>
      <c r="C114" s="272" t="s">
        <v>337</v>
      </c>
      <c r="D114" s="273" t="s">
        <v>313</v>
      </c>
      <c r="E114" s="274">
        <v>0</v>
      </c>
      <c r="F114" s="274">
        <v>0</v>
      </c>
      <c r="G114" s="274">
        <v>0</v>
      </c>
      <c r="H114" s="274">
        <v>0</v>
      </c>
      <c r="I114" s="274">
        <v>0</v>
      </c>
      <c r="J114" s="274">
        <v>0</v>
      </c>
      <c r="K114" s="274">
        <f t="shared" si="10"/>
        <v>0</v>
      </c>
      <c r="L114" s="267">
        <v>0</v>
      </c>
    </row>
    <row r="115" spans="2:12">
      <c r="B115" s="272" t="s">
        <v>271</v>
      </c>
      <c r="C115" s="272" t="s">
        <v>338</v>
      </c>
      <c r="D115" s="273" t="s">
        <v>313</v>
      </c>
      <c r="E115" s="274">
        <v>0</v>
      </c>
      <c r="F115" s="274">
        <v>0</v>
      </c>
      <c r="G115" s="274">
        <v>0</v>
      </c>
      <c r="H115" s="274">
        <v>0</v>
      </c>
      <c r="I115" s="274">
        <v>0</v>
      </c>
      <c r="J115" s="274">
        <v>0</v>
      </c>
      <c r="K115" s="274">
        <f t="shared" si="10"/>
        <v>0</v>
      </c>
      <c r="L115" s="267">
        <v>0</v>
      </c>
    </row>
    <row r="116" spans="2:12">
      <c r="B116" s="272" t="s">
        <v>271</v>
      </c>
      <c r="C116" s="272" t="s">
        <v>339</v>
      </c>
      <c r="D116" s="273" t="s">
        <v>313</v>
      </c>
      <c r="E116" s="274">
        <v>0</v>
      </c>
      <c r="F116" s="274">
        <v>0</v>
      </c>
      <c r="G116" s="274">
        <v>0</v>
      </c>
      <c r="H116" s="274">
        <v>0</v>
      </c>
      <c r="I116" s="274">
        <v>0</v>
      </c>
      <c r="J116" s="274">
        <v>0</v>
      </c>
      <c r="K116" s="274">
        <f t="shared" si="10"/>
        <v>0</v>
      </c>
      <c r="L116" s="267">
        <v>0</v>
      </c>
    </row>
    <row r="117" spans="2:12">
      <c r="B117" s="272" t="s">
        <v>271</v>
      </c>
      <c r="C117" s="272" t="s">
        <v>340</v>
      </c>
      <c r="D117" s="273" t="s">
        <v>341</v>
      </c>
      <c r="E117" s="274">
        <v>0</v>
      </c>
      <c r="F117" s="274">
        <v>0</v>
      </c>
      <c r="G117" s="274">
        <v>0</v>
      </c>
      <c r="H117" s="274">
        <v>0</v>
      </c>
      <c r="I117" s="274">
        <v>0</v>
      </c>
      <c r="J117" s="274">
        <v>0</v>
      </c>
      <c r="K117" s="274">
        <f t="shared" si="10"/>
        <v>0</v>
      </c>
      <c r="L117" s="267">
        <v>0</v>
      </c>
    </row>
    <row r="118" spans="2:12">
      <c r="B118" s="272" t="s">
        <v>342</v>
      </c>
      <c r="C118" s="272" t="s">
        <v>342</v>
      </c>
      <c r="D118" s="272" t="s">
        <v>343</v>
      </c>
      <c r="E118" s="274">
        <v>0</v>
      </c>
      <c r="F118" s="274">
        <v>0</v>
      </c>
      <c r="G118" s="274">
        <v>0</v>
      </c>
      <c r="H118" s="274">
        <v>0</v>
      </c>
      <c r="I118" s="274">
        <v>0</v>
      </c>
      <c r="J118" s="274">
        <v>0</v>
      </c>
      <c r="K118" s="274">
        <f t="shared" si="10"/>
        <v>0</v>
      </c>
      <c r="L118" s="267">
        <v>0</v>
      </c>
    </row>
    <row r="119" spans="2:12">
      <c r="B119" s="272" t="s">
        <v>342</v>
      </c>
      <c r="C119" s="272" t="s">
        <v>342</v>
      </c>
      <c r="D119" s="272" t="s">
        <v>344</v>
      </c>
      <c r="E119" s="274">
        <v>0</v>
      </c>
      <c r="F119" s="274">
        <v>0</v>
      </c>
      <c r="G119" s="274">
        <v>0</v>
      </c>
      <c r="H119" s="274">
        <v>0</v>
      </c>
      <c r="I119" s="274">
        <v>0</v>
      </c>
      <c r="J119" s="274">
        <v>0</v>
      </c>
      <c r="K119" s="274">
        <f t="shared" si="10"/>
        <v>0</v>
      </c>
      <c r="L119" s="267">
        <v>0</v>
      </c>
    </row>
    <row r="120" spans="2:12">
      <c r="B120" s="272" t="s">
        <v>342</v>
      </c>
      <c r="C120" s="272" t="s">
        <v>342</v>
      </c>
      <c r="D120" s="272" t="s">
        <v>345</v>
      </c>
      <c r="E120" s="274">
        <v>0</v>
      </c>
      <c r="F120" s="274">
        <v>0</v>
      </c>
      <c r="G120" s="274">
        <v>0</v>
      </c>
      <c r="H120" s="274">
        <v>0</v>
      </c>
      <c r="I120" s="274">
        <v>0</v>
      </c>
      <c r="J120" s="274">
        <v>0</v>
      </c>
      <c r="K120" s="274">
        <f t="shared" si="10"/>
        <v>0</v>
      </c>
      <c r="L120" s="267">
        <v>0</v>
      </c>
    </row>
    <row r="121" spans="2:12">
      <c r="B121" s="272" t="s">
        <v>342</v>
      </c>
      <c r="C121" s="272" t="s">
        <v>342</v>
      </c>
      <c r="D121" s="272" t="s">
        <v>346</v>
      </c>
      <c r="E121" s="274">
        <v>0</v>
      </c>
      <c r="F121" s="274">
        <v>0</v>
      </c>
      <c r="G121" s="274">
        <v>0</v>
      </c>
      <c r="H121" s="274">
        <v>0</v>
      </c>
      <c r="I121" s="274">
        <v>0</v>
      </c>
      <c r="J121" s="274">
        <v>0</v>
      </c>
      <c r="K121" s="274">
        <f t="shared" si="10"/>
        <v>0</v>
      </c>
      <c r="L121" s="267">
        <v>0</v>
      </c>
    </row>
    <row r="122" spans="2:12">
      <c r="B122" s="272" t="s">
        <v>342</v>
      </c>
      <c r="C122" s="272" t="s">
        <v>342</v>
      </c>
      <c r="D122" s="272" t="s">
        <v>199</v>
      </c>
      <c r="E122" s="274">
        <v>0</v>
      </c>
      <c r="F122" s="274">
        <v>0</v>
      </c>
      <c r="G122" s="274">
        <v>0</v>
      </c>
      <c r="H122" s="274">
        <v>0</v>
      </c>
      <c r="I122" s="274">
        <v>0</v>
      </c>
      <c r="J122" s="274">
        <v>0</v>
      </c>
      <c r="K122" s="274">
        <f t="shared" si="10"/>
        <v>0</v>
      </c>
      <c r="L122" s="267">
        <v>0</v>
      </c>
    </row>
    <row r="123" spans="2:12">
      <c r="B123" s="272" t="s">
        <v>342</v>
      </c>
      <c r="C123" s="272" t="s">
        <v>342</v>
      </c>
      <c r="D123" s="272" t="s">
        <v>347</v>
      </c>
      <c r="E123" s="274">
        <v>0</v>
      </c>
      <c r="F123" s="274">
        <v>0</v>
      </c>
      <c r="G123" s="274">
        <v>0</v>
      </c>
      <c r="H123" s="274">
        <v>0</v>
      </c>
      <c r="I123" s="274">
        <v>0</v>
      </c>
      <c r="J123" s="274">
        <v>0</v>
      </c>
      <c r="K123" s="274">
        <f t="shared" si="10"/>
        <v>0</v>
      </c>
      <c r="L123" s="267">
        <v>0</v>
      </c>
    </row>
    <row r="124" spans="2:12">
      <c r="B124" s="272" t="s">
        <v>342</v>
      </c>
      <c r="C124" s="272" t="s">
        <v>342</v>
      </c>
      <c r="D124" s="272" t="s">
        <v>348</v>
      </c>
      <c r="E124" s="274">
        <v>0</v>
      </c>
      <c r="F124" s="274">
        <v>0</v>
      </c>
      <c r="G124" s="274">
        <v>0</v>
      </c>
      <c r="H124" s="274">
        <v>0</v>
      </c>
      <c r="I124" s="274">
        <v>0</v>
      </c>
      <c r="J124" s="274">
        <v>0</v>
      </c>
      <c r="K124" s="274">
        <f t="shared" si="10"/>
        <v>0</v>
      </c>
      <c r="L124" s="267">
        <v>0</v>
      </c>
    </row>
    <row r="125" spans="2:12">
      <c r="B125" s="272" t="s">
        <v>349</v>
      </c>
      <c r="C125" s="272" t="s">
        <v>342</v>
      </c>
      <c r="D125" s="272" t="s">
        <v>350</v>
      </c>
      <c r="E125" s="274">
        <v>0</v>
      </c>
      <c r="F125" s="274">
        <v>0</v>
      </c>
      <c r="G125" s="274">
        <v>0</v>
      </c>
      <c r="H125" s="274">
        <v>0</v>
      </c>
      <c r="I125" s="274">
        <v>0</v>
      </c>
      <c r="J125" s="274">
        <v>0</v>
      </c>
      <c r="K125" s="274">
        <f t="shared" si="10"/>
        <v>0</v>
      </c>
      <c r="L125" s="267">
        <v>0</v>
      </c>
    </row>
    <row r="126" spans="2:12">
      <c r="B126" s="272" t="s">
        <v>342</v>
      </c>
      <c r="C126" s="272" t="s">
        <v>342</v>
      </c>
      <c r="D126" s="272" t="s">
        <v>351</v>
      </c>
      <c r="E126" s="274">
        <v>0</v>
      </c>
      <c r="F126" s="274">
        <v>0</v>
      </c>
      <c r="G126" s="274">
        <v>0</v>
      </c>
      <c r="H126" s="274">
        <v>0</v>
      </c>
      <c r="I126" s="274">
        <v>0</v>
      </c>
      <c r="J126" s="274">
        <v>0</v>
      </c>
      <c r="K126" s="274">
        <f t="shared" si="10"/>
        <v>0</v>
      </c>
      <c r="L126" s="267">
        <v>0</v>
      </c>
    </row>
    <row r="127" spans="2:12">
      <c r="B127" s="272" t="s">
        <v>342</v>
      </c>
      <c r="C127" s="272" t="s">
        <v>342</v>
      </c>
      <c r="D127" s="272" t="s">
        <v>352</v>
      </c>
      <c r="E127" s="274">
        <v>0</v>
      </c>
      <c r="F127" s="274">
        <v>0</v>
      </c>
      <c r="G127" s="274">
        <v>0</v>
      </c>
      <c r="H127" s="274">
        <v>0</v>
      </c>
      <c r="I127" s="274">
        <v>0</v>
      </c>
      <c r="J127" s="274">
        <v>0</v>
      </c>
      <c r="K127" s="274">
        <f t="shared" si="10"/>
        <v>0</v>
      </c>
      <c r="L127" s="267">
        <v>0</v>
      </c>
    </row>
    <row r="128" spans="2:12">
      <c r="B128" s="272" t="s">
        <v>342</v>
      </c>
      <c r="C128" s="272" t="s">
        <v>342</v>
      </c>
      <c r="D128" s="272" t="s">
        <v>353</v>
      </c>
      <c r="E128" s="274">
        <v>0</v>
      </c>
      <c r="F128" s="274">
        <v>0</v>
      </c>
      <c r="G128" s="274">
        <v>0</v>
      </c>
      <c r="H128" s="274">
        <v>0</v>
      </c>
      <c r="I128" s="274">
        <v>0</v>
      </c>
      <c r="J128" s="274">
        <v>0</v>
      </c>
      <c r="K128" s="274">
        <f t="shared" si="10"/>
        <v>0</v>
      </c>
      <c r="L128" s="267">
        <v>0</v>
      </c>
    </row>
    <row r="129" spans="2:12">
      <c r="B129" s="272" t="s">
        <v>342</v>
      </c>
      <c r="C129" s="272" t="s">
        <v>342</v>
      </c>
      <c r="D129" s="272" t="s">
        <v>354</v>
      </c>
      <c r="E129" s="274">
        <v>0</v>
      </c>
      <c r="F129" s="274">
        <v>0</v>
      </c>
      <c r="G129" s="274">
        <v>0</v>
      </c>
      <c r="H129" s="274">
        <v>0</v>
      </c>
      <c r="I129" s="274">
        <v>0</v>
      </c>
      <c r="J129" s="274">
        <v>0</v>
      </c>
      <c r="K129" s="274">
        <f t="shared" si="10"/>
        <v>0</v>
      </c>
      <c r="L129" s="267">
        <v>0</v>
      </c>
    </row>
    <row r="130" spans="2:12">
      <c r="B130" s="272" t="s">
        <v>342</v>
      </c>
      <c r="C130" s="272" t="s">
        <v>342</v>
      </c>
      <c r="D130" s="272" t="s">
        <v>355</v>
      </c>
      <c r="E130" s="274">
        <v>0</v>
      </c>
      <c r="F130" s="274">
        <v>0</v>
      </c>
      <c r="G130" s="274">
        <v>0</v>
      </c>
      <c r="H130" s="274">
        <v>0</v>
      </c>
      <c r="I130" s="274">
        <v>0</v>
      </c>
      <c r="J130" s="274">
        <v>0</v>
      </c>
      <c r="K130" s="274">
        <f t="shared" si="10"/>
        <v>0</v>
      </c>
      <c r="L130" s="267">
        <v>0</v>
      </c>
    </row>
    <row r="131" spans="2:12">
      <c r="B131" s="272" t="s">
        <v>342</v>
      </c>
      <c r="C131" s="272" t="s">
        <v>342</v>
      </c>
      <c r="D131" s="272" t="s">
        <v>350</v>
      </c>
      <c r="E131" s="274">
        <v>0</v>
      </c>
      <c r="F131" s="274">
        <v>0</v>
      </c>
      <c r="G131" s="274">
        <v>0</v>
      </c>
      <c r="H131" s="274">
        <v>0</v>
      </c>
      <c r="I131" s="274">
        <v>0</v>
      </c>
      <c r="J131" s="274">
        <v>0</v>
      </c>
      <c r="K131" s="274">
        <f t="shared" si="10"/>
        <v>0</v>
      </c>
      <c r="L131" s="267">
        <v>0</v>
      </c>
    </row>
    <row r="132" spans="2:12">
      <c r="B132" s="272" t="s">
        <v>342</v>
      </c>
      <c r="C132" s="272" t="s">
        <v>342</v>
      </c>
      <c r="D132" s="272" t="s">
        <v>356</v>
      </c>
      <c r="E132" s="274">
        <v>0</v>
      </c>
      <c r="F132" s="274">
        <v>0</v>
      </c>
      <c r="G132" s="274">
        <v>0</v>
      </c>
      <c r="H132" s="274">
        <v>0</v>
      </c>
      <c r="I132" s="274">
        <v>0</v>
      </c>
      <c r="J132" s="274">
        <v>0</v>
      </c>
      <c r="K132" s="274">
        <f t="shared" si="10"/>
        <v>0</v>
      </c>
      <c r="L132" s="267">
        <v>0</v>
      </c>
    </row>
    <row r="133" spans="2:12">
      <c r="B133" s="272" t="s">
        <v>342</v>
      </c>
      <c r="C133" s="272" t="s">
        <v>342</v>
      </c>
      <c r="D133" s="272" t="s">
        <v>357</v>
      </c>
      <c r="E133" s="274">
        <v>0</v>
      </c>
      <c r="F133" s="274">
        <v>0</v>
      </c>
      <c r="G133" s="274">
        <v>0</v>
      </c>
      <c r="H133" s="274">
        <v>0</v>
      </c>
      <c r="I133" s="274">
        <v>0</v>
      </c>
      <c r="J133" s="274">
        <v>0</v>
      </c>
      <c r="K133" s="274">
        <f t="shared" si="10"/>
        <v>0</v>
      </c>
      <c r="L133" s="267">
        <v>0</v>
      </c>
    </row>
    <row r="134" spans="2:12" ht="48">
      <c r="B134" s="272" t="s">
        <v>342</v>
      </c>
      <c r="C134" s="272" t="s">
        <v>342</v>
      </c>
      <c r="D134" s="273" t="s">
        <v>358</v>
      </c>
      <c r="E134" s="274">
        <v>0</v>
      </c>
      <c r="F134" s="274">
        <v>0</v>
      </c>
      <c r="G134" s="274">
        <v>0</v>
      </c>
      <c r="H134" s="274">
        <v>0</v>
      </c>
      <c r="I134" s="274">
        <v>0</v>
      </c>
      <c r="J134" s="274">
        <v>0</v>
      </c>
      <c r="K134" s="274">
        <f t="shared" si="10"/>
        <v>0</v>
      </c>
      <c r="L134" s="267">
        <v>0</v>
      </c>
    </row>
    <row r="135" spans="2:12">
      <c r="B135" s="272" t="s">
        <v>342</v>
      </c>
      <c r="C135" s="272" t="s">
        <v>342</v>
      </c>
      <c r="D135" s="272" t="s">
        <v>359</v>
      </c>
      <c r="E135" s="274">
        <v>0</v>
      </c>
      <c r="F135" s="274">
        <v>0</v>
      </c>
      <c r="G135" s="274">
        <v>0</v>
      </c>
      <c r="H135" s="274">
        <v>0</v>
      </c>
      <c r="I135" s="274">
        <v>0</v>
      </c>
      <c r="J135" s="274">
        <v>0</v>
      </c>
      <c r="K135" s="274">
        <f t="shared" si="10"/>
        <v>0</v>
      </c>
      <c r="L135" s="267">
        <v>0</v>
      </c>
    </row>
    <row r="136" spans="2:12">
      <c r="B136" s="272" t="s">
        <v>342</v>
      </c>
      <c r="C136" s="272" t="s">
        <v>342</v>
      </c>
      <c r="D136" s="272" t="s">
        <v>360</v>
      </c>
      <c r="E136" s="274">
        <v>0</v>
      </c>
      <c r="F136" s="274">
        <v>0</v>
      </c>
      <c r="G136" s="274">
        <v>0</v>
      </c>
      <c r="H136" s="274">
        <v>0</v>
      </c>
      <c r="I136" s="274">
        <v>0</v>
      </c>
      <c r="J136" s="274">
        <v>0</v>
      </c>
      <c r="K136" s="274">
        <f t="shared" si="10"/>
        <v>0</v>
      </c>
      <c r="L136" s="267">
        <v>0</v>
      </c>
    </row>
    <row r="137" spans="2:12">
      <c r="B137" s="272" t="s">
        <v>342</v>
      </c>
      <c r="C137" s="272" t="s">
        <v>342</v>
      </c>
      <c r="D137" s="272" t="s">
        <v>361</v>
      </c>
      <c r="E137" s="274">
        <v>0</v>
      </c>
      <c r="F137" s="274">
        <v>0</v>
      </c>
      <c r="G137" s="274">
        <v>0</v>
      </c>
      <c r="H137" s="274">
        <v>0</v>
      </c>
      <c r="I137" s="274">
        <v>0</v>
      </c>
      <c r="J137" s="274">
        <v>0</v>
      </c>
      <c r="K137" s="274">
        <f t="shared" si="10"/>
        <v>0</v>
      </c>
      <c r="L137" s="267">
        <v>0</v>
      </c>
    </row>
    <row r="138" spans="2:12">
      <c r="B138" s="272" t="s">
        <v>342</v>
      </c>
      <c r="C138" s="272" t="s">
        <v>342</v>
      </c>
      <c r="D138" s="272" t="s">
        <v>362</v>
      </c>
      <c r="E138" s="274">
        <v>0</v>
      </c>
      <c r="F138" s="274">
        <v>0</v>
      </c>
      <c r="G138" s="274">
        <v>0</v>
      </c>
      <c r="H138" s="274">
        <v>0</v>
      </c>
      <c r="I138" s="274">
        <v>0</v>
      </c>
      <c r="J138" s="274">
        <v>0</v>
      </c>
      <c r="K138" s="274">
        <f t="shared" si="10"/>
        <v>0</v>
      </c>
      <c r="L138" s="267">
        <v>0</v>
      </c>
    </row>
    <row r="139" spans="2:12" ht="24">
      <c r="B139" s="272" t="s">
        <v>363</v>
      </c>
      <c r="C139" s="272" t="s">
        <v>364</v>
      </c>
      <c r="D139" s="273" t="s">
        <v>365</v>
      </c>
      <c r="E139" s="274">
        <v>0</v>
      </c>
      <c r="F139" s="274">
        <v>0</v>
      </c>
      <c r="G139" s="274">
        <v>0</v>
      </c>
      <c r="H139" s="274">
        <v>0</v>
      </c>
      <c r="I139" s="274">
        <v>0</v>
      </c>
      <c r="J139" s="274">
        <v>0</v>
      </c>
      <c r="K139" s="274">
        <f t="shared" si="10"/>
        <v>0</v>
      </c>
      <c r="L139" s="267">
        <v>0</v>
      </c>
    </row>
    <row r="140" spans="2:12">
      <c r="B140" s="272" t="s">
        <v>363</v>
      </c>
      <c r="C140" s="272" t="s">
        <v>366</v>
      </c>
      <c r="D140" s="273" t="s">
        <v>367</v>
      </c>
      <c r="E140" s="274">
        <v>4.4482672000000001</v>
      </c>
      <c r="F140" s="274">
        <v>0</v>
      </c>
      <c r="G140" s="274">
        <v>0</v>
      </c>
      <c r="H140" s="274">
        <v>0</v>
      </c>
      <c r="I140" s="274">
        <v>0</v>
      </c>
      <c r="J140" s="274">
        <v>0</v>
      </c>
      <c r="K140" s="274">
        <f t="shared" si="10"/>
        <v>4.4482672000000001</v>
      </c>
      <c r="L140" s="267">
        <v>0</v>
      </c>
    </row>
    <row r="141" spans="2:12" ht="36">
      <c r="B141" s="272" t="s">
        <v>363</v>
      </c>
      <c r="C141" s="272" t="s">
        <v>368</v>
      </c>
      <c r="D141" s="273" t="s">
        <v>369</v>
      </c>
      <c r="E141" s="274">
        <v>5.6833575700000001</v>
      </c>
      <c r="F141" s="274">
        <v>5</v>
      </c>
      <c r="G141" s="274"/>
      <c r="H141" s="274">
        <v>0</v>
      </c>
      <c r="I141" s="274">
        <v>0</v>
      </c>
      <c r="J141" s="274">
        <v>0</v>
      </c>
      <c r="K141" s="274">
        <f t="shared" si="10"/>
        <v>0.68335757000000008</v>
      </c>
      <c r="L141" s="267">
        <v>3.3575700000000319E-3</v>
      </c>
    </row>
    <row r="142" spans="2:12">
      <c r="B142" s="272" t="s">
        <v>363</v>
      </c>
      <c r="C142" s="272" t="s">
        <v>370</v>
      </c>
      <c r="D142" s="273" t="s">
        <v>371</v>
      </c>
      <c r="E142" s="274">
        <v>5.4318524999999998</v>
      </c>
      <c r="F142" s="274">
        <v>0</v>
      </c>
      <c r="G142" s="274">
        <v>0</v>
      </c>
      <c r="H142" s="274">
        <v>0</v>
      </c>
      <c r="I142" s="274">
        <v>0</v>
      </c>
      <c r="J142" s="274">
        <v>0</v>
      </c>
      <c r="K142" s="274">
        <f t="shared" si="10"/>
        <v>5.4318524999999998</v>
      </c>
      <c r="L142" s="267">
        <v>4.3318525000000001</v>
      </c>
    </row>
    <row r="143" spans="2:12">
      <c r="B143" s="272" t="s">
        <v>363</v>
      </c>
      <c r="C143" s="272" t="s">
        <v>372</v>
      </c>
      <c r="D143" s="273" t="s">
        <v>373</v>
      </c>
      <c r="E143" s="274">
        <v>2.446291204</v>
      </c>
      <c r="F143" s="274">
        <v>0</v>
      </c>
      <c r="G143" s="274">
        <v>0</v>
      </c>
      <c r="H143" s="274">
        <v>0</v>
      </c>
      <c r="I143" s="274">
        <v>0</v>
      </c>
      <c r="J143" s="274"/>
      <c r="K143" s="274">
        <f t="shared" si="10"/>
        <v>2.446291204</v>
      </c>
      <c r="L143" s="267">
        <v>1.1062912039999999</v>
      </c>
    </row>
    <row r="144" spans="2:12" ht="24">
      <c r="B144" s="272" t="s">
        <v>363</v>
      </c>
      <c r="C144" s="272" t="s">
        <v>374</v>
      </c>
      <c r="D144" s="273" t="s">
        <v>375</v>
      </c>
      <c r="E144" s="274">
        <v>2.8012896</v>
      </c>
      <c r="F144" s="274">
        <v>0</v>
      </c>
      <c r="G144" s="274">
        <v>0</v>
      </c>
      <c r="H144" s="274">
        <v>0</v>
      </c>
      <c r="I144" s="274">
        <v>2.8</v>
      </c>
      <c r="J144" s="274">
        <v>0</v>
      </c>
      <c r="K144" s="274">
        <f t="shared" si="10"/>
        <v>1.2896000000002239E-3</v>
      </c>
      <c r="L144" s="267">
        <v>1.2896000000002239E-3</v>
      </c>
    </row>
    <row r="145" spans="2:12">
      <c r="B145" s="272" t="s">
        <v>363</v>
      </c>
      <c r="C145" s="272" t="s">
        <v>376</v>
      </c>
      <c r="D145" s="273"/>
      <c r="E145" s="274">
        <v>0</v>
      </c>
      <c r="F145" s="274">
        <v>0</v>
      </c>
      <c r="G145" s="274">
        <v>0</v>
      </c>
      <c r="H145" s="274">
        <v>0</v>
      </c>
      <c r="I145" s="274">
        <v>0</v>
      </c>
      <c r="J145" s="274">
        <v>0</v>
      </c>
      <c r="K145" s="274">
        <f t="shared" si="10"/>
        <v>0</v>
      </c>
      <c r="L145" s="267">
        <v>0</v>
      </c>
    </row>
    <row r="146" spans="2:12" ht="72">
      <c r="B146" s="272" t="s">
        <v>363</v>
      </c>
      <c r="C146" s="272" t="s">
        <v>377</v>
      </c>
      <c r="D146" s="273" t="s">
        <v>378</v>
      </c>
      <c r="E146" s="274">
        <v>0</v>
      </c>
      <c r="F146" s="274">
        <v>0</v>
      </c>
      <c r="G146" s="274">
        <v>0</v>
      </c>
      <c r="H146" s="274">
        <v>0</v>
      </c>
      <c r="I146" s="274">
        <v>0</v>
      </c>
      <c r="J146" s="274">
        <v>0</v>
      </c>
      <c r="K146" s="274">
        <f t="shared" si="10"/>
        <v>0</v>
      </c>
      <c r="L146" s="267">
        <v>0</v>
      </c>
    </row>
    <row r="147" spans="2:12" ht="24">
      <c r="B147" s="272" t="s">
        <v>363</v>
      </c>
      <c r="C147" s="272" t="s">
        <v>379</v>
      </c>
      <c r="D147" s="273" t="s">
        <v>365</v>
      </c>
      <c r="E147" s="274">
        <v>0</v>
      </c>
      <c r="F147" s="274">
        <v>0</v>
      </c>
      <c r="G147" s="274">
        <v>0</v>
      </c>
      <c r="H147" s="274">
        <v>0</v>
      </c>
      <c r="I147" s="274">
        <v>0</v>
      </c>
      <c r="J147" s="274">
        <v>0</v>
      </c>
      <c r="K147" s="274">
        <f t="shared" ref="K147:K173" si="11">E147-F147-G147-H147-I147-J147</f>
        <v>0</v>
      </c>
      <c r="L147" s="267">
        <v>0</v>
      </c>
    </row>
    <row r="148" spans="2:12" ht="24">
      <c r="B148" s="272" t="s">
        <v>363</v>
      </c>
      <c r="C148" s="272" t="s">
        <v>380</v>
      </c>
      <c r="D148" s="273" t="s">
        <v>381</v>
      </c>
      <c r="E148" s="274">
        <v>-9.3837E-3</v>
      </c>
      <c r="F148" s="274"/>
      <c r="G148" s="274">
        <v>0</v>
      </c>
      <c r="H148" s="274">
        <v>0</v>
      </c>
      <c r="I148" s="274">
        <v>0</v>
      </c>
      <c r="J148" s="274">
        <v>0</v>
      </c>
      <c r="K148" s="274">
        <f t="shared" si="11"/>
        <v>-9.3837E-3</v>
      </c>
      <c r="L148" s="267">
        <v>0</v>
      </c>
    </row>
    <row r="149" spans="2:12">
      <c r="B149" s="272" t="s">
        <v>363</v>
      </c>
      <c r="C149" s="272" t="s">
        <v>382</v>
      </c>
      <c r="D149" s="273" t="s">
        <v>373</v>
      </c>
      <c r="E149" s="274">
        <v>2.650078857</v>
      </c>
      <c r="F149" s="274">
        <v>0</v>
      </c>
      <c r="G149" s="274">
        <v>0</v>
      </c>
      <c r="H149" s="274">
        <v>0</v>
      </c>
      <c r="I149" s="274">
        <v>0</v>
      </c>
      <c r="J149" s="274"/>
      <c r="K149" s="274">
        <f t="shared" si="11"/>
        <v>2.650078857</v>
      </c>
      <c r="L149" s="267">
        <v>1.940078857</v>
      </c>
    </row>
    <row r="150" spans="2:12" ht="36">
      <c r="B150" s="272" t="s">
        <v>363</v>
      </c>
      <c r="C150" s="272" t="s">
        <v>383</v>
      </c>
      <c r="D150" s="273" t="s">
        <v>384</v>
      </c>
      <c r="E150" s="274">
        <v>0</v>
      </c>
      <c r="F150" s="274">
        <v>0</v>
      </c>
      <c r="G150" s="274">
        <v>0</v>
      </c>
      <c r="H150" s="274">
        <v>0</v>
      </c>
      <c r="I150" s="274">
        <v>0</v>
      </c>
      <c r="J150" s="274">
        <v>0</v>
      </c>
      <c r="K150" s="274">
        <f t="shared" si="11"/>
        <v>0</v>
      </c>
      <c r="L150" s="267">
        <v>0</v>
      </c>
    </row>
    <row r="151" spans="2:12" ht="48">
      <c r="B151" s="272" t="s">
        <v>363</v>
      </c>
      <c r="C151" s="272" t="s">
        <v>385</v>
      </c>
      <c r="D151" s="273" t="s">
        <v>386</v>
      </c>
      <c r="E151" s="274">
        <v>0</v>
      </c>
      <c r="F151" s="274">
        <v>0</v>
      </c>
      <c r="G151" s="274">
        <v>0</v>
      </c>
      <c r="H151" s="274">
        <v>0</v>
      </c>
      <c r="I151" s="274">
        <v>0</v>
      </c>
      <c r="J151" s="274">
        <v>0</v>
      </c>
      <c r="K151" s="274">
        <f t="shared" si="11"/>
        <v>0</v>
      </c>
      <c r="L151" s="267">
        <v>0</v>
      </c>
    </row>
    <row r="152" spans="2:12">
      <c r="B152" s="272" t="s">
        <v>363</v>
      </c>
      <c r="C152" s="272" t="s">
        <v>387</v>
      </c>
      <c r="D152" s="273" t="s">
        <v>388</v>
      </c>
      <c r="E152" s="274">
        <v>0</v>
      </c>
      <c r="F152" s="274">
        <v>0</v>
      </c>
      <c r="G152" s="274">
        <v>0</v>
      </c>
      <c r="H152" s="274">
        <v>0</v>
      </c>
      <c r="I152" s="274">
        <v>0</v>
      </c>
      <c r="J152" s="274">
        <v>0</v>
      </c>
      <c r="K152" s="274">
        <f t="shared" si="11"/>
        <v>0</v>
      </c>
      <c r="L152" s="267">
        <v>0</v>
      </c>
    </row>
    <row r="153" spans="2:12" ht="48">
      <c r="B153" s="272" t="s">
        <v>363</v>
      </c>
      <c r="C153" s="272" t="s">
        <v>389</v>
      </c>
      <c r="D153" s="273" t="s">
        <v>390</v>
      </c>
      <c r="E153" s="274">
        <v>0</v>
      </c>
      <c r="F153" s="274">
        <v>0</v>
      </c>
      <c r="G153" s="274">
        <v>0</v>
      </c>
      <c r="H153" s="274">
        <v>0</v>
      </c>
      <c r="I153" s="274">
        <v>0</v>
      </c>
      <c r="J153" s="274">
        <v>0</v>
      </c>
      <c r="K153" s="274">
        <f t="shared" si="11"/>
        <v>0</v>
      </c>
      <c r="L153" s="267">
        <v>0</v>
      </c>
    </row>
    <row r="154" spans="2:12" ht="24">
      <c r="B154" s="272" t="s">
        <v>363</v>
      </c>
      <c r="C154" s="272" t="s">
        <v>391</v>
      </c>
      <c r="D154" s="273" t="s">
        <v>392</v>
      </c>
      <c r="E154" s="274">
        <v>-1.2234500000000001E-2</v>
      </c>
      <c r="F154" s="274">
        <v>0</v>
      </c>
      <c r="G154" s="274">
        <v>0</v>
      </c>
      <c r="H154" s="274">
        <v>0</v>
      </c>
      <c r="I154" s="274">
        <v>0</v>
      </c>
      <c r="J154" s="274">
        <v>0</v>
      </c>
      <c r="K154" s="274">
        <f t="shared" si="11"/>
        <v>-1.2234500000000001E-2</v>
      </c>
      <c r="L154" s="267">
        <v>0</v>
      </c>
    </row>
    <row r="155" spans="2:12">
      <c r="B155" s="272" t="s">
        <v>363</v>
      </c>
      <c r="C155" s="272" t="s">
        <v>393</v>
      </c>
      <c r="D155" s="273" t="s">
        <v>388</v>
      </c>
      <c r="E155" s="274">
        <v>0</v>
      </c>
      <c r="F155" s="274">
        <v>0</v>
      </c>
      <c r="G155" s="274">
        <v>0</v>
      </c>
      <c r="H155" s="274">
        <v>0</v>
      </c>
      <c r="I155" s="274">
        <v>0</v>
      </c>
      <c r="J155" s="274">
        <v>0</v>
      </c>
      <c r="K155" s="274">
        <f t="shared" si="11"/>
        <v>0</v>
      </c>
      <c r="L155" s="267">
        <v>0</v>
      </c>
    </row>
    <row r="156" spans="2:12">
      <c r="B156" s="272" t="s">
        <v>363</v>
      </c>
      <c r="C156" s="272" t="s">
        <v>394</v>
      </c>
      <c r="D156" s="273" t="s">
        <v>395</v>
      </c>
      <c r="E156" s="274">
        <v>0</v>
      </c>
      <c r="F156" s="274">
        <v>0</v>
      </c>
      <c r="G156" s="274">
        <v>0</v>
      </c>
      <c r="H156" s="274">
        <v>0</v>
      </c>
      <c r="I156" s="274">
        <v>0</v>
      </c>
      <c r="J156" s="274">
        <v>0</v>
      </c>
      <c r="K156" s="274">
        <f t="shared" si="11"/>
        <v>0</v>
      </c>
      <c r="L156" s="267">
        <v>0</v>
      </c>
    </row>
    <row r="157" spans="2:12" ht="48">
      <c r="B157" s="272" t="s">
        <v>363</v>
      </c>
      <c r="C157" s="272" t="s">
        <v>396</v>
      </c>
      <c r="D157" s="273" t="s">
        <v>397</v>
      </c>
      <c r="E157" s="274">
        <v>0</v>
      </c>
      <c r="F157" s="274">
        <v>0</v>
      </c>
      <c r="G157" s="274">
        <v>0</v>
      </c>
      <c r="H157" s="274">
        <v>0</v>
      </c>
      <c r="I157" s="274">
        <v>0</v>
      </c>
      <c r="J157" s="274">
        <v>0</v>
      </c>
      <c r="K157" s="274">
        <f t="shared" si="11"/>
        <v>0</v>
      </c>
      <c r="L157" s="267">
        <v>0</v>
      </c>
    </row>
    <row r="158" spans="2:12">
      <c r="B158" s="272" t="s">
        <v>363</v>
      </c>
      <c r="C158" s="272" t="s">
        <v>398</v>
      </c>
      <c r="D158" s="273"/>
      <c r="E158" s="274">
        <v>0</v>
      </c>
      <c r="F158" s="274">
        <v>0</v>
      </c>
      <c r="G158" s="274">
        <v>0</v>
      </c>
      <c r="H158" s="274">
        <v>0</v>
      </c>
      <c r="I158" s="274">
        <v>0</v>
      </c>
      <c r="J158" s="274">
        <v>0</v>
      </c>
      <c r="K158" s="274">
        <f t="shared" si="11"/>
        <v>0</v>
      </c>
      <c r="L158" s="267">
        <v>0</v>
      </c>
    </row>
    <row r="159" spans="2:12">
      <c r="B159" s="272" t="s">
        <v>363</v>
      </c>
      <c r="C159" s="272" t="s">
        <v>399</v>
      </c>
      <c r="D159" s="273"/>
      <c r="E159" s="274">
        <v>0</v>
      </c>
      <c r="F159" s="274">
        <v>0</v>
      </c>
      <c r="G159" s="274">
        <v>0</v>
      </c>
      <c r="H159" s="274">
        <v>0</v>
      </c>
      <c r="I159" s="274">
        <v>0</v>
      </c>
      <c r="J159" s="274">
        <v>0</v>
      </c>
      <c r="K159" s="274">
        <f t="shared" si="11"/>
        <v>0</v>
      </c>
      <c r="L159" s="267">
        <v>0</v>
      </c>
    </row>
    <row r="160" spans="2:12">
      <c r="B160" s="272" t="s">
        <v>400</v>
      </c>
      <c r="C160" s="272" t="s">
        <v>401</v>
      </c>
      <c r="D160" s="268" t="s">
        <v>402</v>
      </c>
      <c r="E160" s="274">
        <v>0</v>
      </c>
      <c r="F160" s="274">
        <v>0</v>
      </c>
      <c r="G160" s="274">
        <v>0</v>
      </c>
      <c r="H160" s="274">
        <v>0</v>
      </c>
      <c r="I160" s="274">
        <v>0</v>
      </c>
      <c r="J160" s="274">
        <v>0</v>
      </c>
      <c r="K160" s="274">
        <f t="shared" si="11"/>
        <v>0</v>
      </c>
      <c r="L160" s="267">
        <v>0</v>
      </c>
    </row>
    <row r="161" spans="2:12">
      <c r="B161" s="272" t="s">
        <v>400</v>
      </c>
      <c r="C161" s="272" t="s">
        <v>403</v>
      </c>
      <c r="D161" s="268" t="s">
        <v>402</v>
      </c>
      <c r="E161" s="274">
        <v>0</v>
      </c>
      <c r="F161" s="274">
        <v>0</v>
      </c>
      <c r="G161" s="274">
        <v>0</v>
      </c>
      <c r="H161" s="274">
        <v>0</v>
      </c>
      <c r="I161" s="274">
        <v>0</v>
      </c>
      <c r="J161" s="274">
        <v>0</v>
      </c>
      <c r="K161" s="274">
        <f t="shared" si="11"/>
        <v>0</v>
      </c>
      <c r="L161" s="267">
        <v>0</v>
      </c>
    </row>
    <row r="162" spans="2:12">
      <c r="B162" s="272" t="s">
        <v>400</v>
      </c>
      <c r="C162" s="272" t="s">
        <v>404</v>
      </c>
      <c r="D162" s="268" t="s">
        <v>402</v>
      </c>
      <c r="E162" s="274">
        <v>0</v>
      </c>
      <c r="F162" s="274">
        <v>0</v>
      </c>
      <c r="G162" s="274">
        <v>0</v>
      </c>
      <c r="H162" s="274">
        <v>0</v>
      </c>
      <c r="I162" s="274">
        <v>0</v>
      </c>
      <c r="J162" s="274">
        <v>0</v>
      </c>
      <c r="K162" s="274">
        <f t="shared" si="11"/>
        <v>0</v>
      </c>
      <c r="L162" s="267">
        <v>0</v>
      </c>
    </row>
    <row r="163" spans="2:12">
      <c r="B163" s="272" t="s">
        <v>400</v>
      </c>
      <c r="C163" s="272" t="s">
        <v>405</v>
      </c>
      <c r="D163" s="268" t="s">
        <v>402</v>
      </c>
      <c r="E163" s="274">
        <v>0</v>
      </c>
      <c r="F163" s="274">
        <v>0</v>
      </c>
      <c r="G163" s="274">
        <v>0</v>
      </c>
      <c r="H163" s="274">
        <v>0</v>
      </c>
      <c r="I163" s="274">
        <v>0</v>
      </c>
      <c r="J163" s="274">
        <v>0</v>
      </c>
      <c r="K163" s="274">
        <f t="shared" si="11"/>
        <v>0</v>
      </c>
      <c r="L163" s="267">
        <v>0</v>
      </c>
    </row>
    <row r="164" spans="2:12">
      <c r="B164" s="272" t="s">
        <v>400</v>
      </c>
      <c r="C164" s="272" t="s">
        <v>406</v>
      </c>
      <c r="D164" s="268" t="s">
        <v>402</v>
      </c>
      <c r="E164" s="274">
        <v>0</v>
      </c>
      <c r="F164" s="274">
        <v>0</v>
      </c>
      <c r="G164" s="274">
        <v>0</v>
      </c>
      <c r="H164" s="274">
        <v>0</v>
      </c>
      <c r="I164" s="274">
        <v>0</v>
      </c>
      <c r="J164" s="274">
        <v>0</v>
      </c>
      <c r="K164" s="274">
        <f t="shared" si="11"/>
        <v>0</v>
      </c>
      <c r="L164" s="267">
        <v>0</v>
      </c>
    </row>
    <row r="165" spans="2:12">
      <c r="B165" s="272" t="s">
        <v>400</v>
      </c>
      <c r="C165" s="272" t="s">
        <v>407</v>
      </c>
      <c r="D165" s="268" t="s">
        <v>407</v>
      </c>
      <c r="E165" s="274">
        <v>0</v>
      </c>
      <c r="F165" s="274">
        <v>0</v>
      </c>
      <c r="G165" s="274">
        <v>0</v>
      </c>
      <c r="H165" s="274">
        <v>0</v>
      </c>
      <c r="I165" s="274">
        <v>0</v>
      </c>
      <c r="J165" s="274">
        <v>0</v>
      </c>
      <c r="K165" s="274">
        <f t="shared" si="11"/>
        <v>0</v>
      </c>
      <c r="L165" s="267">
        <v>0</v>
      </c>
    </row>
    <row r="166" spans="2:12">
      <c r="B166" s="272" t="s">
        <v>400</v>
      </c>
      <c r="C166" s="272" t="s">
        <v>408</v>
      </c>
      <c r="D166" s="268" t="s">
        <v>409</v>
      </c>
      <c r="E166" s="274">
        <v>-9.2899999959428214E-7</v>
      </c>
      <c r="F166" s="274">
        <v>0</v>
      </c>
      <c r="G166" s="274">
        <v>0</v>
      </c>
      <c r="H166" s="274">
        <v>0</v>
      </c>
      <c r="I166" s="274">
        <v>0</v>
      </c>
      <c r="J166" s="274">
        <v>0</v>
      </c>
      <c r="K166" s="274">
        <f t="shared" si="11"/>
        <v>-9.2899999959428214E-7</v>
      </c>
      <c r="L166" s="267">
        <v>-9.2899999959428214E-7</v>
      </c>
    </row>
    <row r="167" spans="2:12">
      <c r="B167" s="268" t="s">
        <v>410</v>
      </c>
      <c r="C167" s="268" t="s">
        <v>411</v>
      </c>
      <c r="D167" s="268" t="s">
        <v>412</v>
      </c>
      <c r="E167" s="274">
        <v>9.9291938999999996</v>
      </c>
      <c r="F167" s="274">
        <v>0</v>
      </c>
      <c r="G167" s="274">
        <v>0</v>
      </c>
      <c r="H167" s="274">
        <v>0</v>
      </c>
      <c r="I167" s="274">
        <v>0</v>
      </c>
      <c r="J167" s="274">
        <v>0</v>
      </c>
      <c r="K167" s="274">
        <f t="shared" si="11"/>
        <v>9.9291938999999996</v>
      </c>
      <c r="L167" s="267">
        <v>9.9291938999999996</v>
      </c>
    </row>
    <row r="168" spans="2:12">
      <c r="B168" s="268" t="s">
        <v>413</v>
      </c>
      <c r="C168" s="268" t="s">
        <v>413</v>
      </c>
      <c r="D168" s="268" t="s">
        <v>414</v>
      </c>
      <c r="E168" s="274">
        <v>0</v>
      </c>
      <c r="F168" s="274">
        <v>0</v>
      </c>
      <c r="G168" s="274">
        <v>0</v>
      </c>
      <c r="H168" s="274">
        <v>0</v>
      </c>
      <c r="I168" s="274">
        <v>0</v>
      </c>
      <c r="J168" s="274">
        <v>0</v>
      </c>
      <c r="K168" s="274">
        <f t="shared" si="11"/>
        <v>0</v>
      </c>
      <c r="L168" s="267">
        <v>0</v>
      </c>
    </row>
    <row r="169" spans="2:12">
      <c r="B169" s="268" t="s">
        <v>413</v>
      </c>
      <c r="C169" s="268" t="s">
        <v>413</v>
      </c>
      <c r="D169" s="268" t="s">
        <v>415</v>
      </c>
      <c r="E169" s="274">
        <v>0</v>
      </c>
      <c r="F169" s="274">
        <v>0</v>
      </c>
      <c r="G169" s="274">
        <v>0</v>
      </c>
      <c r="H169" s="274">
        <v>0</v>
      </c>
      <c r="I169" s="274">
        <v>0</v>
      </c>
      <c r="J169" s="274">
        <v>0</v>
      </c>
      <c r="K169" s="274">
        <f t="shared" si="11"/>
        <v>0</v>
      </c>
      <c r="L169" s="267">
        <v>0</v>
      </c>
    </row>
    <row r="170" spans="2:12">
      <c r="B170" s="268" t="s">
        <v>413</v>
      </c>
      <c r="C170" s="268" t="s">
        <v>413</v>
      </c>
      <c r="D170" s="268" t="s">
        <v>416</v>
      </c>
      <c r="E170" s="274">
        <v>0</v>
      </c>
      <c r="F170" s="274">
        <v>0</v>
      </c>
      <c r="G170" s="274">
        <v>0</v>
      </c>
      <c r="H170" s="274">
        <v>0</v>
      </c>
      <c r="I170" s="274">
        <v>0</v>
      </c>
      <c r="J170" s="274">
        <v>0</v>
      </c>
      <c r="K170" s="274">
        <f t="shared" si="11"/>
        <v>0</v>
      </c>
      <c r="L170" s="267">
        <v>0</v>
      </c>
    </row>
    <row r="171" spans="2:12">
      <c r="B171" s="268" t="s">
        <v>413</v>
      </c>
      <c r="C171" s="268" t="s">
        <v>413</v>
      </c>
      <c r="D171" s="268" t="s">
        <v>417</v>
      </c>
      <c r="E171" s="274">
        <v>0</v>
      </c>
      <c r="F171" s="274">
        <v>0</v>
      </c>
      <c r="G171" s="274">
        <v>0</v>
      </c>
      <c r="H171" s="274">
        <v>0</v>
      </c>
      <c r="I171" s="274">
        <v>0</v>
      </c>
      <c r="J171" s="274">
        <v>0</v>
      </c>
      <c r="K171" s="274">
        <f t="shared" si="11"/>
        <v>0</v>
      </c>
      <c r="L171" s="267">
        <v>0</v>
      </c>
    </row>
    <row r="172" spans="2:12">
      <c r="B172" s="268" t="s">
        <v>413</v>
      </c>
      <c r="C172" s="268" t="s">
        <v>413</v>
      </c>
      <c r="D172" s="268" t="s">
        <v>418</v>
      </c>
      <c r="E172" s="274">
        <v>0</v>
      </c>
      <c r="F172" s="274">
        <v>0</v>
      </c>
      <c r="G172" s="274">
        <v>0</v>
      </c>
      <c r="H172" s="274">
        <v>0</v>
      </c>
      <c r="I172" s="274">
        <v>0</v>
      </c>
      <c r="J172" s="274">
        <v>0</v>
      </c>
      <c r="K172" s="274">
        <f t="shared" si="11"/>
        <v>0</v>
      </c>
      <c r="L172" s="267">
        <v>0</v>
      </c>
    </row>
    <row r="173" spans="2:12">
      <c r="B173" s="268" t="s">
        <v>419</v>
      </c>
      <c r="C173" s="268" t="s">
        <v>419</v>
      </c>
      <c r="D173" s="268"/>
      <c r="E173" s="274">
        <v>0</v>
      </c>
      <c r="F173" s="274">
        <v>0</v>
      </c>
      <c r="G173" s="274">
        <v>0</v>
      </c>
      <c r="H173" s="274">
        <v>0</v>
      </c>
      <c r="I173" s="274">
        <v>0</v>
      </c>
      <c r="J173" s="274">
        <v>0</v>
      </c>
      <c r="K173" s="274">
        <f t="shared" si="11"/>
        <v>0</v>
      </c>
      <c r="L173" s="267">
        <v>0</v>
      </c>
    </row>
  </sheetData>
  <mergeCells count="10">
    <mergeCell ref="L16:L17"/>
    <mergeCell ref="B9:M9"/>
    <mergeCell ref="B2:M2"/>
    <mergeCell ref="B3:M3"/>
    <mergeCell ref="B5:M5"/>
    <mergeCell ref="B16:B17"/>
    <mergeCell ref="C16:C17"/>
    <mergeCell ref="D16:D17"/>
    <mergeCell ref="F16:J16"/>
    <mergeCell ref="K16:K1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10"/>
  <sheetViews>
    <sheetView topLeftCell="A4" workbookViewId="0">
      <selection activeCell="B6" sqref="B6:G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360" t="s">
        <v>69</v>
      </c>
      <c r="C2" s="361"/>
      <c r="D2" s="361"/>
      <c r="E2" s="361"/>
      <c r="F2" s="361"/>
      <c r="G2" s="362"/>
    </row>
    <row r="3" spans="2:9">
      <c r="B3" s="293" t="e">
        <f>SUMMARY!#REF!</f>
        <v>#REF!</v>
      </c>
      <c r="C3" s="294"/>
      <c r="D3" s="294"/>
      <c r="E3" s="294"/>
      <c r="F3" s="294"/>
      <c r="G3" s="295"/>
    </row>
    <row r="4" spans="2:9" ht="24">
      <c r="B4" s="24" t="s">
        <v>0</v>
      </c>
      <c r="C4" s="24" t="s">
        <v>70</v>
      </c>
      <c r="D4" s="33" t="s">
        <v>65</v>
      </c>
      <c r="E4" s="24" t="s">
        <v>29</v>
      </c>
      <c r="F4" s="24" t="s">
        <v>77</v>
      </c>
      <c r="G4" s="24" t="s">
        <v>22</v>
      </c>
    </row>
    <row r="5" spans="2:9">
      <c r="B5" s="293" t="e">
        <f>SUMMARY!#REF!</f>
        <v>#REF!</v>
      </c>
      <c r="C5" s="294"/>
      <c r="D5" s="294"/>
      <c r="E5" s="294"/>
      <c r="F5" s="294"/>
      <c r="G5" s="295"/>
    </row>
    <row r="6" spans="2:9" ht="148.19999999999999">
      <c r="B6" s="209">
        <v>1</v>
      </c>
      <c r="C6" s="210" t="s">
        <v>148</v>
      </c>
      <c r="D6" s="211">
        <v>10.14</v>
      </c>
      <c r="E6" s="211">
        <f t="shared" ref="E6:F7" si="0">D6*H6</f>
        <v>7.0979999999999999</v>
      </c>
      <c r="F6" s="211">
        <f t="shared" si="0"/>
        <v>3.5489999999999999</v>
      </c>
      <c r="G6" s="72" t="s">
        <v>180</v>
      </c>
      <c r="H6" s="39">
        <v>0.7</v>
      </c>
      <c r="I6" s="39">
        <v>0.5</v>
      </c>
    </row>
    <row r="7" spans="2:9" ht="73.2" customHeight="1">
      <c r="B7" s="209">
        <v>2</v>
      </c>
      <c r="C7" s="210" t="s">
        <v>138</v>
      </c>
      <c r="D7" s="211">
        <v>4.6900000000000004</v>
      </c>
      <c r="E7" s="211">
        <f t="shared" si="0"/>
        <v>3.2829999999999999</v>
      </c>
      <c r="F7" s="211">
        <f t="shared" si="0"/>
        <v>1.6415</v>
      </c>
      <c r="G7" s="212" t="s">
        <v>183</v>
      </c>
      <c r="H7" s="39">
        <v>0.7</v>
      </c>
      <c r="I7" s="39">
        <v>0.5</v>
      </c>
    </row>
    <row r="8" spans="2:9">
      <c r="B8" s="34"/>
      <c r="C8" s="32" t="s">
        <v>23</v>
      </c>
      <c r="D8" s="45">
        <f>SUM(D6:D7)</f>
        <v>14.830000000000002</v>
      </c>
      <c r="E8" s="45">
        <f>SUM(E6:E7)</f>
        <v>10.381</v>
      </c>
      <c r="F8" s="45">
        <f>SUM(F6:F7)</f>
        <v>5.1905000000000001</v>
      </c>
      <c r="G8" s="34"/>
    </row>
    <row r="9" spans="2:9">
      <c r="B9" s="381" t="s">
        <v>20</v>
      </c>
      <c r="C9" s="382"/>
      <c r="D9" s="382"/>
      <c r="E9" s="382"/>
      <c r="F9" s="382"/>
      <c r="G9" s="383"/>
    </row>
    <row r="10" spans="2:9" ht="108.75" customHeight="1">
      <c r="B10" s="299" t="s">
        <v>82</v>
      </c>
      <c r="C10" s="299"/>
      <c r="D10" s="299"/>
      <c r="E10" s="299"/>
      <c r="F10" s="299"/>
      <c r="G10" s="299"/>
    </row>
  </sheetData>
  <mergeCells count="5">
    <mergeCell ref="B2:G2"/>
    <mergeCell ref="B3:G3"/>
    <mergeCell ref="B5:G5"/>
    <mergeCell ref="B9:G9"/>
    <mergeCell ref="B10:G10"/>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13"/>
  <sheetViews>
    <sheetView workbookViewId="0">
      <selection activeCell="D7" sqref="D7"/>
    </sheetView>
  </sheetViews>
  <sheetFormatPr defaultRowHeight="14.4"/>
  <cols>
    <col min="3" max="3" width="11.109375" customWidth="1"/>
    <col min="7" max="7" width="32.33203125" customWidth="1"/>
  </cols>
  <sheetData>
    <row r="2" spans="2:11">
      <c r="B2" s="319" t="s">
        <v>102</v>
      </c>
      <c r="C2" s="319"/>
      <c r="D2" s="319"/>
      <c r="E2" s="319"/>
      <c r="F2" s="319"/>
      <c r="G2" s="319"/>
    </row>
    <row r="3" spans="2:11">
      <c r="B3" s="320" t="e">
        <f>SUMMARY!#REF!</f>
        <v>#REF!</v>
      </c>
      <c r="C3" s="320"/>
      <c r="D3" s="320"/>
      <c r="E3" s="320"/>
      <c r="F3" s="320"/>
      <c r="G3" s="320"/>
    </row>
    <row r="4" spans="2:11" ht="48">
      <c r="B4" s="66" t="s">
        <v>103</v>
      </c>
      <c r="C4" s="66" t="s">
        <v>1</v>
      </c>
      <c r="D4" s="33" t="s">
        <v>65</v>
      </c>
      <c r="E4" s="66" t="s">
        <v>97</v>
      </c>
      <c r="F4" s="66" t="s">
        <v>122</v>
      </c>
      <c r="G4" s="66" t="s">
        <v>22</v>
      </c>
    </row>
    <row r="5" spans="2:11">
      <c r="B5" s="385" t="e">
        <f>SUMMARY!#REF!</f>
        <v>#REF!</v>
      </c>
      <c r="C5" s="385"/>
      <c r="D5" s="385"/>
      <c r="E5" s="385"/>
      <c r="F5" s="385"/>
      <c r="G5" s="385"/>
    </row>
    <row r="6" spans="2:11" ht="100.8">
      <c r="B6" s="76">
        <v>1</v>
      </c>
      <c r="C6" s="73" t="s">
        <v>121</v>
      </c>
      <c r="D6" s="77">
        <v>111.66</v>
      </c>
      <c r="E6" s="77" t="s">
        <v>129</v>
      </c>
      <c r="F6" s="63" t="s">
        <v>129</v>
      </c>
      <c r="G6" s="85" t="s">
        <v>128</v>
      </c>
    </row>
    <row r="7" spans="2:11">
      <c r="B7" s="74"/>
      <c r="C7" s="75"/>
      <c r="D7" s="48">
        <f>SUM(D6)</f>
        <v>111.66</v>
      </c>
      <c r="E7" s="52">
        <f t="shared" ref="E7:F7" si="0">SUM(E6)</f>
        <v>0</v>
      </c>
      <c r="F7" s="52">
        <f t="shared" si="0"/>
        <v>0</v>
      </c>
      <c r="G7" s="49"/>
      <c r="K7" s="58"/>
    </row>
    <row r="8" spans="2:11">
      <c r="B8" s="386"/>
      <c r="C8" s="386"/>
      <c r="D8" s="386"/>
      <c r="E8" s="386"/>
      <c r="F8" s="386"/>
      <c r="G8" s="386"/>
    </row>
    <row r="9" spans="2:11">
      <c r="B9" s="387" t="s">
        <v>20</v>
      </c>
      <c r="C9" s="387"/>
      <c r="D9" s="387"/>
      <c r="E9" s="387"/>
      <c r="F9" s="387"/>
      <c r="G9" s="387"/>
    </row>
    <row r="10" spans="2:11" ht="39" customHeight="1">
      <c r="B10" s="384" t="s">
        <v>104</v>
      </c>
      <c r="C10" s="384"/>
      <c r="D10" s="384"/>
      <c r="E10" s="384"/>
      <c r="F10" s="384"/>
      <c r="G10" s="384"/>
    </row>
    <row r="11" spans="2:11" ht="49.5" customHeight="1">
      <c r="B11" s="384" t="s">
        <v>105</v>
      </c>
      <c r="C11" s="384"/>
      <c r="D11" s="384"/>
      <c r="E11" s="384"/>
      <c r="F11" s="384"/>
      <c r="G11" s="384"/>
    </row>
    <row r="12" spans="2:11" ht="60" customHeight="1">
      <c r="B12" s="384" t="s">
        <v>106</v>
      </c>
      <c r="C12" s="384"/>
      <c r="D12" s="384"/>
      <c r="E12" s="384"/>
      <c r="F12" s="384"/>
      <c r="G12" s="384"/>
    </row>
    <row r="13" spans="2:11" ht="91.5" customHeight="1">
      <c r="B13" s="384" t="s">
        <v>107</v>
      </c>
      <c r="C13" s="384"/>
      <c r="D13" s="384"/>
      <c r="E13" s="384"/>
      <c r="F13" s="384"/>
      <c r="G13" s="384"/>
    </row>
  </sheetData>
  <mergeCells count="9">
    <mergeCell ref="B13:G13"/>
    <mergeCell ref="B2:G2"/>
    <mergeCell ref="B3:G3"/>
    <mergeCell ref="B5:G5"/>
    <mergeCell ref="B8:G8"/>
    <mergeCell ref="B9:G9"/>
    <mergeCell ref="B10:G10"/>
    <mergeCell ref="B11:G11"/>
    <mergeCell ref="B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2:G22"/>
  <sheetViews>
    <sheetView topLeftCell="A12" workbookViewId="0">
      <selection activeCell="B12" sqref="B12:G12"/>
    </sheetView>
  </sheetViews>
  <sheetFormatPr defaultRowHeight="14.4"/>
  <cols>
    <col min="3" max="3" width="28.33203125" customWidth="1"/>
    <col min="4" max="4" width="13.33203125" customWidth="1"/>
    <col min="5" max="5" width="13" customWidth="1"/>
    <col min="6" max="6" width="12.6640625" customWidth="1"/>
    <col min="7" max="7" width="87.33203125" customWidth="1"/>
  </cols>
  <sheetData>
    <row r="2" spans="2:7">
      <c r="B2" s="397" t="s">
        <v>114</v>
      </c>
      <c r="C2" s="397"/>
      <c r="D2" s="397"/>
      <c r="E2" s="397"/>
      <c r="F2" s="397"/>
      <c r="G2" s="397"/>
    </row>
    <row r="3" spans="2:7">
      <c r="B3" s="320" t="s">
        <v>156</v>
      </c>
      <c r="C3" s="320"/>
      <c r="D3" s="320"/>
      <c r="E3" s="320"/>
      <c r="F3" s="320"/>
      <c r="G3" s="320"/>
    </row>
    <row r="4" spans="2:7" ht="42.6" customHeight="1">
      <c r="B4" s="48" t="s">
        <v>24</v>
      </c>
      <c r="C4" s="71" t="s">
        <v>1</v>
      </c>
      <c r="D4" s="66" t="s">
        <v>65</v>
      </c>
      <c r="E4" s="66" t="s">
        <v>97</v>
      </c>
      <c r="F4" s="66" t="s">
        <v>122</v>
      </c>
      <c r="G4" s="66" t="s">
        <v>22</v>
      </c>
    </row>
    <row r="5" spans="2:7">
      <c r="B5" s="322" t="s">
        <v>94</v>
      </c>
      <c r="C5" s="322"/>
      <c r="D5" s="322"/>
      <c r="E5" s="322"/>
      <c r="F5" s="322"/>
      <c r="G5" s="322"/>
    </row>
    <row r="6" spans="2:7">
      <c r="B6" s="404" t="s">
        <v>108</v>
      </c>
      <c r="C6" s="404"/>
      <c r="D6" s="404"/>
      <c r="E6" s="404"/>
      <c r="F6" s="404"/>
      <c r="G6" s="404"/>
    </row>
    <row r="7" spans="2:7" ht="79.5" customHeight="1">
      <c r="B7" s="63" t="s">
        <v>109</v>
      </c>
      <c r="C7" s="47" t="s">
        <v>123</v>
      </c>
      <c r="D7" s="64">
        <v>0.49</v>
      </c>
      <c r="E7" s="64">
        <f>D7</f>
        <v>0.49</v>
      </c>
      <c r="F7" s="47">
        <f>E7</f>
        <v>0.49</v>
      </c>
      <c r="G7" s="78" t="s">
        <v>145</v>
      </c>
    </row>
    <row r="8" spans="2:7" ht="67.5" customHeight="1">
      <c r="B8" s="63">
        <v>2</v>
      </c>
      <c r="C8" s="65" t="s">
        <v>124</v>
      </c>
      <c r="D8" s="64">
        <v>8.2100000000000009</v>
      </c>
      <c r="E8" s="64">
        <v>3.66</v>
      </c>
      <c r="F8" s="64">
        <v>3.66</v>
      </c>
      <c r="G8" s="78" t="s">
        <v>147</v>
      </c>
    </row>
    <row r="9" spans="2:7" ht="156" customHeight="1">
      <c r="B9" s="63">
        <v>3</v>
      </c>
      <c r="C9" s="65" t="s">
        <v>139</v>
      </c>
      <c r="D9" s="64">
        <v>13.96</v>
      </c>
      <c r="E9" s="64">
        <f>D9</f>
        <v>13.96</v>
      </c>
      <c r="F9" s="47">
        <f>E9</f>
        <v>13.96</v>
      </c>
      <c r="G9" s="78" t="s">
        <v>676</v>
      </c>
    </row>
    <row r="10" spans="2:7">
      <c r="B10" s="62"/>
      <c r="C10" s="66" t="s">
        <v>21</v>
      </c>
      <c r="D10" s="66">
        <f>SUM(D7:D9)</f>
        <v>22.660000000000004</v>
      </c>
      <c r="E10" s="67">
        <f t="shared" ref="E10:F10" si="0">SUM(E7:E9)</f>
        <v>18.11</v>
      </c>
      <c r="F10" s="67">
        <f t="shared" si="0"/>
        <v>18.11</v>
      </c>
      <c r="G10" s="68"/>
    </row>
    <row r="11" spans="2:7">
      <c r="B11" s="405" t="s">
        <v>678</v>
      </c>
      <c r="C11" s="405"/>
      <c r="D11" s="405"/>
      <c r="E11" s="405"/>
      <c r="F11" s="405"/>
      <c r="G11" s="405"/>
    </row>
    <row r="12" spans="2:7" ht="145.5" customHeight="1">
      <c r="B12" s="406" t="s">
        <v>677</v>
      </c>
      <c r="C12" s="399"/>
      <c r="D12" s="399"/>
      <c r="E12" s="399"/>
      <c r="F12" s="399"/>
      <c r="G12" s="400"/>
    </row>
    <row r="13" spans="2:7">
      <c r="B13" s="398"/>
      <c r="C13" s="399"/>
      <c r="D13" s="399"/>
      <c r="E13" s="399"/>
      <c r="F13" s="399"/>
      <c r="G13" s="400"/>
    </row>
    <row r="14" spans="2:7">
      <c r="B14" s="398"/>
      <c r="C14" s="399"/>
      <c r="D14" s="399"/>
      <c r="E14" s="399"/>
      <c r="F14" s="399"/>
      <c r="G14" s="400"/>
    </row>
    <row r="15" spans="2:7">
      <c r="B15" s="401"/>
      <c r="C15" s="402"/>
      <c r="D15" s="402"/>
      <c r="E15" s="402"/>
      <c r="F15" s="402"/>
      <c r="G15" s="403"/>
    </row>
    <row r="18" spans="5:7" ht="47.25" customHeight="1">
      <c r="E18" s="388" t="s">
        <v>110</v>
      </c>
      <c r="F18" s="389"/>
      <c r="G18" s="390"/>
    </row>
    <row r="19" spans="5:7" ht="31.5" customHeight="1">
      <c r="E19" s="391" t="s">
        <v>111</v>
      </c>
      <c r="F19" s="392"/>
      <c r="G19" s="393"/>
    </row>
    <row r="20" spans="5:7" ht="104.25" customHeight="1">
      <c r="E20" s="391" t="s">
        <v>112</v>
      </c>
      <c r="F20" s="392"/>
      <c r="G20" s="393"/>
    </row>
    <row r="21" spans="5:7">
      <c r="E21" s="69"/>
      <c r="G21" s="70"/>
    </row>
    <row r="22" spans="5:7" ht="92.25" customHeight="1">
      <c r="E22" s="394" t="s">
        <v>113</v>
      </c>
      <c r="F22" s="395"/>
      <c r="G22" s="396"/>
    </row>
  </sheetData>
  <mergeCells count="13">
    <mergeCell ref="E18:G18"/>
    <mergeCell ref="E19:G19"/>
    <mergeCell ref="E20:G20"/>
    <mergeCell ref="E22:G22"/>
    <mergeCell ref="B2:G2"/>
    <mergeCell ref="B3:G3"/>
    <mergeCell ref="B14:G14"/>
    <mergeCell ref="B15:G15"/>
    <mergeCell ref="B5:G5"/>
    <mergeCell ref="B6:G6"/>
    <mergeCell ref="B11:G11"/>
    <mergeCell ref="B12:G12"/>
    <mergeCell ref="B13:G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11"/>
  <sheetViews>
    <sheetView workbookViewId="0">
      <selection activeCell="B6" sqref="B6:G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360" t="s">
        <v>33</v>
      </c>
      <c r="C2" s="361"/>
      <c r="D2" s="361"/>
      <c r="E2" s="361"/>
      <c r="F2" s="361"/>
      <c r="G2" s="362"/>
    </row>
    <row r="3" spans="2:9">
      <c r="B3" s="293" t="e">
        <f>SUMMARY!#REF!</f>
        <v>#REF!</v>
      </c>
      <c r="C3" s="294"/>
      <c r="D3" s="294"/>
      <c r="E3" s="294"/>
      <c r="F3" s="294"/>
      <c r="G3" s="295"/>
    </row>
    <row r="4" spans="2:9" ht="24">
      <c r="B4" s="24" t="s">
        <v>0</v>
      </c>
      <c r="C4" s="24" t="s">
        <v>70</v>
      </c>
      <c r="D4" s="33" t="s">
        <v>64</v>
      </c>
      <c r="E4" s="24" t="s">
        <v>29</v>
      </c>
      <c r="F4" s="24" t="s">
        <v>77</v>
      </c>
      <c r="G4" s="24" t="s">
        <v>22</v>
      </c>
    </row>
    <row r="5" spans="2:9">
      <c r="B5" s="293" t="e">
        <f>SUMMARY!#REF!</f>
        <v>#REF!</v>
      </c>
      <c r="C5" s="294"/>
      <c r="D5" s="294"/>
      <c r="E5" s="294"/>
      <c r="F5" s="294"/>
      <c r="G5" s="295"/>
    </row>
    <row r="6" spans="2:9" ht="129.75" customHeight="1">
      <c r="B6" s="209">
        <v>1</v>
      </c>
      <c r="C6" s="210" t="s">
        <v>148</v>
      </c>
      <c r="D6" s="211">
        <v>106.08</v>
      </c>
      <c r="E6" s="211">
        <f t="shared" ref="E6:F8" si="0">D6*H6</f>
        <v>84.864000000000004</v>
      </c>
      <c r="F6" s="211">
        <f t="shared" si="0"/>
        <v>50.918399999999998</v>
      </c>
      <c r="G6" s="72" t="s">
        <v>181</v>
      </c>
      <c r="H6" s="39">
        <v>0.8</v>
      </c>
      <c r="I6" s="39">
        <v>0.6</v>
      </c>
    </row>
    <row r="7" spans="2:9" ht="91.2">
      <c r="B7" s="225">
        <v>2</v>
      </c>
      <c r="C7" s="227" t="s">
        <v>127</v>
      </c>
      <c r="D7" s="226">
        <v>-24.97</v>
      </c>
      <c r="E7" s="211">
        <f t="shared" si="0"/>
        <v>-24.97</v>
      </c>
      <c r="F7" s="211">
        <f t="shared" si="0"/>
        <v>-24.97</v>
      </c>
      <c r="G7" s="72" t="s">
        <v>149</v>
      </c>
      <c r="H7" s="39">
        <v>1</v>
      </c>
      <c r="I7" s="39">
        <v>1</v>
      </c>
    </row>
    <row r="8" spans="2:9" ht="250.8">
      <c r="B8" s="225">
        <v>3</v>
      </c>
      <c r="C8" s="210" t="s">
        <v>138</v>
      </c>
      <c r="D8" s="226">
        <v>877.39</v>
      </c>
      <c r="E8" s="226">
        <f t="shared" si="0"/>
        <v>701.91200000000003</v>
      </c>
      <c r="F8" s="226">
        <f t="shared" si="0"/>
        <v>421.1472</v>
      </c>
      <c r="G8" s="212" t="s">
        <v>182</v>
      </c>
      <c r="H8" s="39">
        <v>0.8</v>
      </c>
      <c r="I8" s="39">
        <v>0.6</v>
      </c>
    </row>
    <row r="9" spans="2:9">
      <c r="B9" s="34"/>
      <c r="C9" s="32" t="s">
        <v>23</v>
      </c>
      <c r="D9" s="45">
        <f>SUM(D6:D8)</f>
        <v>958.5</v>
      </c>
      <c r="E9" s="45">
        <f>SUM(E6:E8)</f>
        <v>761.80600000000004</v>
      </c>
      <c r="F9" s="45">
        <f>SUM(F6:F8)</f>
        <v>447.09559999999999</v>
      </c>
      <c r="G9" s="34"/>
    </row>
    <row r="10" spans="2:9">
      <c r="B10" s="381" t="str">
        <f>[1]SUMMARY!B16</f>
        <v>REMARKS &amp; NOTES:-</v>
      </c>
      <c r="C10" s="382"/>
      <c r="D10" s="382"/>
      <c r="E10" s="382"/>
      <c r="F10" s="382"/>
      <c r="G10" s="383"/>
    </row>
    <row r="11" spans="2:9" ht="124.5" customHeight="1">
      <c r="B11" s="299" t="s">
        <v>82</v>
      </c>
      <c r="C11" s="299"/>
      <c r="D11" s="299"/>
      <c r="E11" s="299"/>
      <c r="F11" s="299"/>
      <c r="G11" s="299"/>
    </row>
  </sheetData>
  <mergeCells count="5">
    <mergeCell ref="B2:G2"/>
    <mergeCell ref="B3:G3"/>
    <mergeCell ref="B5:G5"/>
    <mergeCell ref="B10:G10"/>
    <mergeCell ref="B11:G11"/>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G9"/>
  <sheetViews>
    <sheetView workbookViewId="0">
      <selection activeCell="B2" sqref="B2:G9"/>
    </sheetView>
  </sheetViews>
  <sheetFormatPr defaultRowHeight="14.4"/>
  <cols>
    <col min="3" max="3" width="15.6640625" customWidth="1"/>
    <col min="7" max="7" width="47.33203125" customWidth="1"/>
  </cols>
  <sheetData>
    <row r="2" spans="2:7">
      <c r="B2" s="348" t="s">
        <v>69</v>
      </c>
      <c r="C2" s="349"/>
      <c r="D2" s="349"/>
      <c r="E2" s="349"/>
      <c r="F2" s="349"/>
      <c r="G2" s="350"/>
    </row>
    <row r="3" spans="2:7" ht="14.4" customHeight="1">
      <c r="B3" s="293" t="e">
        <f>SUMMARY!#REF!</f>
        <v>#REF!</v>
      </c>
      <c r="C3" s="294"/>
      <c r="D3" s="294"/>
      <c r="E3" s="294"/>
      <c r="F3" s="294"/>
      <c r="G3" s="295"/>
    </row>
    <row r="4" spans="2:7" ht="48">
      <c r="B4" s="24" t="s">
        <v>0</v>
      </c>
      <c r="C4" s="24" t="s">
        <v>70</v>
      </c>
      <c r="D4" s="33" t="s">
        <v>65</v>
      </c>
      <c r="E4" s="24" t="s">
        <v>464</v>
      </c>
      <c r="F4" s="24" t="s">
        <v>465</v>
      </c>
      <c r="G4" s="24" t="s">
        <v>22</v>
      </c>
    </row>
    <row r="5" spans="2:7">
      <c r="B5" s="351" t="str">
        <f>[4]SUMMARY!B5</f>
        <v>Figures in INR Crores</v>
      </c>
      <c r="C5" s="352"/>
      <c r="D5" s="352"/>
      <c r="E5" s="352"/>
      <c r="F5" s="352"/>
      <c r="G5" s="353"/>
    </row>
    <row r="6" spans="2:7" ht="100.2" customHeight="1">
      <c r="B6" s="194">
        <v>1</v>
      </c>
      <c r="C6" s="60" t="s">
        <v>127</v>
      </c>
      <c r="D6" s="56">
        <v>-24.97</v>
      </c>
      <c r="E6" s="44">
        <f>D6</f>
        <v>-24.97</v>
      </c>
      <c r="F6" s="44">
        <f>E6</f>
        <v>-24.97</v>
      </c>
      <c r="G6" s="91" t="s">
        <v>149</v>
      </c>
    </row>
    <row r="7" spans="2:7">
      <c r="B7" s="34"/>
      <c r="C7" s="195" t="s">
        <v>23</v>
      </c>
      <c r="D7" s="45">
        <f>SUM(D3:D6)</f>
        <v>-24.97</v>
      </c>
      <c r="E7" s="45">
        <f>SUM(E3:E6)</f>
        <v>-24.97</v>
      </c>
      <c r="F7" s="45">
        <f>SUM(F3:F6)</f>
        <v>-24.97</v>
      </c>
      <c r="G7" s="34"/>
    </row>
    <row r="8" spans="2:7">
      <c r="B8" s="354" t="s">
        <v>20</v>
      </c>
      <c r="C8" s="355"/>
      <c r="D8" s="355"/>
      <c r="E8" s="355"/>
      <c r="F8" s="355"/>
      <c r="G8" s="356"/>
    </row>
    <row r="9" spans="2:7">
      <c r="B9" s="299" t="s">
        <v>82</v>
      </c>
      <c r="C9" s="299"/>
      <c r="D9" s="299"/>
      <c r="E9" s="299"/>
      <c r="F9" s="299"/>
      <c r="G9" s="299"/>
    </row>
  </sheetData>
  <mergeCells count="5">
    <mergeCell ref="B2:G2"/>
    <mergeCell ref="B3:G3"/>
    <mergeCell ref="B5:G5"/>
    <mergeCell ref="B8:G8"/>
    <mergeCell ref="B9:G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L47"/>
  <sheetViews>
    <sheetView topLeftCell="A28" workbookViewId="0">
      <selection activeCell="L11" sqref="L11"/>
    </sheetView>
  </sheetViews>
  <sheetFormatPr defaultRowHeight="14.4"/>
  <cols>
    <col min="2" max="2" width="22" customWidth="1"/>
    <col min="3" max="3" width="13.6640625" bestFit="1" customWidth="1"/>
    <col min="4" max="5" width="15.33203125" bestFit="1" customWidth="1"/>
    <col min="7" max="7" width="15.33203125" bestFit="1" customWidth="1"/>
    <col min="10" max="10" width="12" customWidth="1"/>
    <col min="11" max="11" width="14.5546875" customWidth="1"/>
    <col min="12" max="12" width="10.44140625" bestFit="1" customWidth="1"/>
  </cols>
  <sheetData>
    <row r="2" spans="2:12">
      <c r="B2" s="116" t="s">
        <v>158</v>
      </c>
      <c r="C2" s="117">
        <v>43388</v>
      </c>
    </row>
    <row r="3" spans="2:12">
      <c r="B3" s="116" t="s">
        <v>159</v>
      </c>
      <c r="C3" s="118">
        <f>D43/4</f>
        <v>3.48025E-2</v>
      </c>
    </row>
    <row r="5" spans="2:12">
      <c r="D5" s="119" t="s">
        <v>160</v>
      </c>
      <c r="E5" s="119" t="s">
        <v>161</v>
      </c>
      <c r="F5" s="119" t="s">
        <v>152</v>
      </c>
      <c r="G5" s="119" t="s">
        <v>162</v>
      </c>
    </row>
    <row r="6" spans="2:12">
      <c r="D6" s="120">
        <v>43465</v>
      </c>
      <c r="E6" s="121">
        <f>K43</f>
        <v>634.26575000000003</v>
      </c>
      <c r="F6" s="100">
        <f>(D6-$C$2)/91.25</f>
        <v>0.84383561643835614</v>
      </c>
      <c r="G6" s="122">
        <f>E6/(1+$C$3)^F6</f>
        <v>616.21745873677651</v>
      </c>
    </row>
    <row r="7" spans="2:12">
      <c r="D7" s="120">
        <f>EDATE(D6,3)</f>
        <v>43555</v>
      </c>
      <c r="E7" s="121">
        <f>E6</f>
        <v>634.26575000000003</v>
      </c>
      <c r="F7" s="100">
        <f t="shared" ref="F7:F37" si="0">(D7-$C$2)/91.25</f>
        <v>1.8301369863013699</v>
      </c>
      <c r="G7" s="122">
        <f t="shared" ref="G7:G37" si="1">E7/(1+$C$3)^F7</f>
        <v>595.77195594717068</v>
      </c>
    </row>
    <row r="8" spans="2:12">
      <c r="D8" s="120">
        <f>EDATE(D7,3)</f>
        <v>43646</v>
      </c>
      <c r="E8" s="121">
        <f t="shared" ref="E8:E36" si="2">E7</f>
        <v>634.26575000000003</v>
      </c>
      <c r="F8" s="100">
        <f t="shared" si="0"/>
        <v>2.8273972602739725</v>
      </c>
      <c r="G8" s="122">
        <f t="shared" si="1"/>
        <v>575.78890547843855</v>
      </c>
    </row>
    <row r="9" spans="2:12">
      <c r="D9" s="120">
        <f t="shared" ref="D9:D36" si="3">EDATE(D8,3)</f>
        <v>43738</v>
      </c>
      <c r="E9" s="121">
        <f t="shared" si="2"/>
        <v>634.26575000000003</v>
      </c>
      <c r="F9" s="100">
        <f t="shared" si="0"/>
        <v>3.8356164383561642</v>
      </c>
      <c r="G9" s="122">
        <f t="shared" si="1"/>
        <v>556.26752567661299</v>
      </c>
      <c r="K9" t="s">
        <v>158</v>
      </c>
      <c r="L9" s="123">
        <v>43388</v>
      </c>
    </row>
    <row r="10" spans="2:12">
      <c r="D10" s="120">
        <f t="shared" si="3"/>
        <v>43829</v>
      </c>
      <c r="E10" s="121">
        <f t="shared" si="2"/>
        <v>634.26575000000003</v>
      </c>
      <c r="F10" s="100">
        <f t="shared" si="0"/>
        <v>4.8328767123287673</v>
      </c>
      <c r="G10" s="122">
        <f t="shared" si="1"/>
        <v>537.6095107620971</v>
      </c>
      <c r="L10" s="123">
        <v>43465</v>
      </c>
    </row>
    <row r="11" spans="2:12">
      <c r="D11" s="120">
        <f t="shared" si="3"/>
        <v>43920</v>
      </c>
      <c r="E11" s="121">
        <f t="shared" si="2"/>
        <v>634.26575000000003</v>
      </c>
      <c r="F11" s="100">
        <f t="shared" si="0"/>
        <v>5.8301369863013699</v>
      </c>
      <c r="G11" s="122">
        <f t="shared" si="1"/>
        <v>519.57731257151613</v>
      </c>
      <c r="K11" t="s">
        <v>163</v>
      </c>
      <c r="L11" s="123">
        <v>46226</v>
      </c>
    </row>
    <row r="12" spans="2:12">
      <c r="D12" s="120">
        <f t="shared" si="3"/>
        <v>44012</v>
      </c>
      <c r="E12" s="121">
        <f t="shared" si="2"/>
        <v>634.26575000000003</v>
      </c>
      <c r="F12" s="100">
        <f t="shared" si="0"/>
        <v>6.838356164383562</v>
      </c>
      <c r="G12" s="122">
        <f t="shared" si="1"/>
        <v>501.96171428781463</v>
      </c>
      <c r="L12" s="123">
        <v>46203</v>
      </c>
    </row>
    <row r="13" spans="2:12">
      <c r="D13" s="120">
        <f t="shared" si="3"/>
        <v>44104</v>
      </c>
      <c r="E13" s="121">
        <f t="shared" si="2"/>
        <v>634.26575000000003</v>
      </c>
      <c r="F13" s="100">
        <f t="shared" si="0"/>
        <v>7.8465753424657532</v>
      </c>
      <c r="G13" s="122">
        <f t="shared" si="1"/>
        <v>484.94335013151738</v>
      </c>
      <c r="L13">
        <f>(L12-L10)/90</f>
        <v>30.422222222222221</v>
      </c>
    </row>
    <row r="14" spans="2:12">
      <c r="D14" s="120">
        <f t="shared" si="3"/>
        <v>44195</v>
      </c>
      <c r="E14" s="121">
        <f t="shared" si="2"/>
        <v>634.26575000000003</v>
      </c>
      <c r="F14" s="100">
        <f t="shared" si="0"/>
        <v>8.8438356164383567</v>
      </c>
      <c r="G14" s="122">
        <f t="shared" si="1"/>
        <v>468.67765090982806</v>
      </c>
    </row>
    <row r="15" spans="2:12">
      <c r="D15" s="120">
        <f t="shared" si="3"/>
        <v>44285</v>
      </c>
      <c r="E15" s="121">
        <f t="shared" si="2"/>
        <v>634.26575000000003</v>
      </c>
      <c r="F15" s="100">
        <f t="shared" si="0"/>
        <v>9.830136986301369</v>
      </c>
      <c r="G15" s="122">
        <f t="shared" si="1"/>
        <v>453.12737708482769</v>
      </c>
    </row>
    <row r="16" spans="2:12">
      <c r="D16" s="120">
        <f t="shared" si="3"/>
        <v>44377</v>
      </c>
      <c r="E16" s="121">
        <f t="shared" si="2"/>
        <v>634.26575000000003</v>
      </c>
      <c r="F16" s="100">
        <f t="shared" si="0"/>
        <v>10.838356164383562</v>
      </c>
      <c r="G16" s="122">
        <f t="shared" si="1"/>
        <v>437.76467811214115</v>
      </c>
    </row>
    <row r="17" spans="4:7">
      <c r="D17" s="120">
        <f t="shared" si="3"/>
        <v>44469</v>
      </c>
      <c r="E17" s="121">
        <f t="shared" si="2"/>
        <v>634.26575000000003</v>
      </c>
      <c r="F17" s="100">
        <f t="shared" si="0"/>
        <v>11.846575342465753</v>
      </c>
      <c r="G17" s="122">
        <f t="shared" si="1"/>
        <v>422.92283162301834</v>
      </c>
    </row>
    <row r="18" spans="4:7">
      <c r="D18" s="120">
        <f t="shared" si="3"/>
        <v>44560</v>
      </c>
      <c r="E18" s="121">
        <f t="shared" si="2"/>
        <v>634.26575000000003</v>
      </c>
      <c r="F18" s="100">
        <f t="shared" si="0"/>
        <v>12.843835616438357</v>
      </c>
      <c r="G18" s="122">
        <f t="shared" si="1"/>
        <v>408.73739002185084</v>
      </c>
    </row>
    <row r="19" spans="4:7">
      <c r="D19" s="120">
        <f t="shared" si="3"/>
        <v>44650</v>
      </c>
      <c r="E19" s="121">
        <f t="shared" si="2"/>
        <v>634.26575000000003</v>
      </c>
      <c r="F19" s="100">
        <f t="shared" si="0"/>
        <v>13.830136986301369</v>
      </c>
      <c r="G19" s="122">
        <f t="shared" si="1"/>
        <v>395.1758764207284</v>
      </c>
    </row>
    <row r="20" spans="4:7">
      <c r="D20" s="120">
        <f t="shared" si="3"/>
        <v>44742</v>
      </c>
      <c r="E20" s="121">
        <f t="shared" si="2"/>
        <v>634.26575000000003</v>
      </c>
      <c r="F20" s="100">
        <f t="shared" si="0"/>
        <v>14.838356164383562</v>
      </c>
      <c r="G20" s="122">
        <f t="shared" si="1"/>
        <v>381.77794829337375</v>
      </c>
    </row>
    <row r="21" spans="4:7">
      <c r="D21" s="120">
        <f t="shared" si="3"/>
        <v>44834</v>
      </c>
      <c r="E21" s="121">
        <f t="shared" si="2"/>
        <v>634.26575000000003</v>
      </c>
      <c r="F21" s="100">
        <f t="shared" si="0"/>
        <v>15.846575342465753</v>
      </c>
      <c r="G21" s="122">
        <f t="shared" si="1"/>
        <v>368.83425962955022</v>
      </c>
    </row>
    <row r="22" spans="4:7">
      <c r="D22" s="120">
        <f t="shared" si="3"/>
        <v>44925</v>
      </c>
      <c r="E22" s="121">
        <f t="shared" si="2"/>
        <v>634.26575000000003</v>
      </c>
      <c r="F22" s="100">
        <f t="shared" si="0"/>
        <v>16.843835616438355</v>
      </c>
      <c r="G22" s="122">
        <f t="shared" si="1"/>
        <v>356.46302672541469</v>
      </c>
    </row>
    <row r="23" spans="4:7">
      <c r="D23" s="120">
        <f t="shared" si="3"/>
        <v>45015</v>
      </c>
      <c r="E23" s="121">
        <f t="shared" si="2"/>
        <v>634.26575000000003</v>
      </c>
      <c r="F23" s="100">
        <f t="shared" si="0"/>
        <v>17.830136986301369</v>
      </c>
      <c r="G23" s="122">
        <f t="shared" si="1"/>
        <v>344.63592623682086</v>
      </c>
    </row>
    <row r="24" spans="4:7">
      <c r="D24" s="120">
        <f t="shared" si="3"/>
        <v>45107</v>
      </c>
      <c r="E24" s="121">
        <f t="shared" si="2"/>
        <v>634.26575000000003</v>
      </c>
      <c r="F24" s="100">
        <f t="shared" si="0"/>
        <v>18.838356164383562</v>
      </c>
      <c r="G24" s="122">
        <f t="shared" si="1"/>
        <v>332.9514899001523</v>
      </c>
    </row>
    <row r="25" spans="4:7">
      <c r="D25" s="120">
        <f t="shared" si="3"/>
        <v>45199</v>
      </c>
      <c r="E25" s="121">
        <f t="shared" si="2"/>
        <v>634.26575000000003</v>
      </c>
      <c r="F25" s="100">
        <f t="shared" si="0"/>
        <v>19.846575342465755</v>
      </c>
      <c r="G25" s="122">
        <f t="shared" si="1"/>
        <v>321.66319929906155</v>
      </c>
    </row>
    <row r="26" spans="4:7">
      <c r="D26" s="120">
        <f t="shared" si="3"/>
        <v>45290</v>
      </c>
      <c r="E26" s="121">
        <f t="shared" si="2"/>
        <v>634.26575000000003</v>
      </c>
      <c r="F26" s="100">
        <f t="shared" si="0"/>
        <v>20.843835616438355</v>
      </c>
      <c r="G26" s="122">
        <f t="shared" si="1"/>
        <v>310.87415177615833</v>
      </c>
    </row>
    <row r="27" spans="4:7">
      <c r="D27" s="120">
        <f t="shared" si="3"/>
        <v>45381</v>
      </c>
      <c r="E27" s="121">
        <f t="shared" si="2"/>
        <v>634.26575000000003</v>
      </c>
      <c r="F27" s="100">
        <f t="shared" si="0"/>
        <v>21.841095890410958</v>
      </c>
      <c r="G27" s="122">
        <f t="shared" si="1"/>
        <v>300.4469844643117</v>
      </c>
    </row>
    <row r="28" spans="4:7">
      <c r="D28" s="120">
        <f t="shared" si="3"/>
        <v>45473</v>
      </c>
      <c r="E28" s="121">
        <f t="shared" si="2"/>
        <v>634.26575000000003</v>
      </c>
      <c r="F28" s="100">
        <f t="shared" si="0"/>
        <v>22.849315068493151</v>
      </c>
      <c r="G28" s="122">
        <f t="shared" si="1"/>
        <v>290.26071717392767</v>
      </c>
    </row>
    <row r="29" spans="4:7">
      <c r="D29" s="120">
        <f t="shared" si="3"/>
        <v>45565</v>
      </c>
      <c r="E29" s="121">
        <f t="shared" si="2"/>
        <v>634.26575000000003</v>
      </c>
      <c r="F29" s="100">
        <f t="shared" si="0"/>
        <v>23.857534246575341</v>
      </c>
      <c r="G29" s="122">
        <f t="shared" si="1"/>
        <v>280.41980213094985</v>
      </c>
    </row>
    <row r="30" spans="4:7">
      <c r="D30" s="120">
        <f t="shared" si="3"/>
        <v>45656</v>
      </c>
      <c r="E30" s="121">
        <f t="shared" si="2"/>
        <v>634.26575000000003</v>
      </c>
      <c r="F30" s="100">
        <f t="shared" si="0"/>
        <v>24.854794520547944</v>
      </c>
      <c r="G30" s="122">
        <f t="shared" si="1"/>
        <v>271.01411761948964</v>
      </c>
    </row>
    <row r="31" spans="4:7">
      <c r="D31" s="120">
        <f t="shared" si="3"/>
        <v>45746</v>
      </c>
      <c r="E31" s="121">
        <f t="shared" si="2"/>
        <v>634.26575000000003</v>
      </c>
      <c r="F31" s="100">
        <f t="shared" si="0"/>
        <v>25.841095890410958</v>
      </c>
      <c r="G31" s="122">
        <f t="shared" si="1"/>
        <v>262.02212977615471</v>
      </c>
    </row>
    <row r="32" spans="4:7">
      <c r="D32" s="120">
        <f t="shared" si="3"/>
        <v>45838</v>
      </c>
      <c r="E32" s="121">
        <f t="shared" si="2"/>
        <v>634.26575000000003</v>
      </c>
      <c r="F32" s="100">
        <f t="shared" si="0"/>
        <v>26.849315068493151</v>
      </c>
      <c r="G32" s="122">
        <f t="shared" si="1"/>
        <v>253.13860759784302</v>
      </c>
    </row>
    <row r="33" spans="1:11">
      <c r="D33" s="120">
        <f t="shared" si="3"/>
        <v>45930</v>
      </c>
      <c r="E33" s="121">
        <f t="shared" si="2"/>
        <v>634.26575000000003</v>
      </c>
      <c r="F33" s="100">
        <f t="shared" si="0"/>
        <v>27.857534246575341</v>
      </c>
      <c r="G33" s="122">
        <f t="shared" si="1"/>
        <v>244.55626977506637</v>
      </c>
    </row>
    <row r="34" spans="1:11">
      <c r="D34" s="120">
        <f t="shared" si="3"/>
        <v>46021</v>
      </c>
      <c r="E34" s="121">
        <f t="shared" si="2"/>
        <v>634.26575000000003</v>
      </c>
      <c r="F34" s="100">
        <f t="shared" si="0"/>
        <v>28.854794520547944</v>
      </c>
      <c r="G34" s="122">
        <f t="shared" si="1"/>
        <v>236.35349985181506</v>
      </c>
    </row>
    <row r="35" spans="1:11">
      <c r="D35" s="120">
        <f t="shared" si="3"/>
        <v>46111</v>
      </c>
      <c r="E35" s="121">
        <f t="shared" si="2"/>
        <v>634.26575000000003</v>
      </c>
      <c r="F35" s="100">
        <f t="shared" si="0"/>
        <v>29.841095890410958</v>
      </c>
      <c r="G35" s="122">
        <f t="shared" si="1"/>
        <v>228.51151797992921</v>
      </c>
    </row>
    <row r="36" spans="1:11">
      <c r="D36" s="120">
        <f t="shared" si="3"/>
        <v>46203</v>
      </c>
      <c r="E36" s="121">
        <f t="shared" si="2"/>
        <v>634.26575000000003</v>
      </c>
      <c r="F36" s="100">
        <f t="shared" si="0"/>
        <v>30.849315068493151</v>
      </c>
      <c r="G36" s="122">
        <f t="shared" si="1"/>
        <v>220.76412985012277</v>
      </c>
    </row>
    <row r="37" spans="1:11">
      <c r="D37" s="120">
        <v>46226</v>
      </c>
      <c r="E37" s="121">
        <v>253706300</v>
      </c>
      <c r="F37" s="100">
        <f t="shared" si="0"/>
        <v>31.101369863013698</v>
      </c>
      <c r="G37" s="122">
        <f t="shared" si="1"/>
        <v>87547470.950813681</v>
      </c>
    </row>
    <row r="38" spans="1:11">
      <c r="D38" s="124"/>
      <c r="E38" s="125">
        <f>SUM(E6:E37)</f>
        <v>253725962.23824999</v>
      </c>
      <c r="F38" s="124"/>
      <c r="G38" s="126">
        <f>SUM(G6:G37)</f>
        <v>87559450.182129532</v>
      </c>
    </row>
    <row r="41" spans="1:11" ht="28.8">
      <c r="C41" s="78" t="s">
        <v>164</v>
      </c>
      <c r="D41" s="127">
        <v>7.9210000000000003E-2</v>
      </c>
      <c r="E41" t="s">
        <v>165</v>
      </c>
      <c r="J41" s="116" t="s">
        <v>166</v>
      </c>
      <c r="K41" s="116">
        <v>253706300</v>
      </c>
    </row>
    <row r="42" spans="1:11">
      <c r="B42" s="128" t="s">
        <v>167</v>
      </c>
      <c r="C42" s="129" t="s">
        <v>168</v>
      </c>
      <c r="D42" s="127">
        <v>0.06</v>
      </c>
      <c r="J42" s="116" t="s">
        <v>169</v>
      </c>
      <c r="K42" s="130">
        <f>(0.001/4)%</f>
        <v>2.5000000000000002E-6</v>
      </c>
    </row>
    <row r="43" spans="1:11">
      <c r="C43" s="131" t="s">
        <v>170</v>
      </c>
      <c r="D43" s="132">
        <f>SUM(D41:D42)</f>
        <v>0.13921</v>
      </c>
      <c r="J43" s="116"/>
      <c r="K43" s="116">
        <f>K41*K42</f>
        <v>634.26575000000003</v>
      </c>
    </row>
    <row r="45" spans="1:11">
      <c r="B45" s="116" t="s">
        <v>171</v>
      </c>
      <c r="C45" s="116"/>
      <c r="D45" s="133">
        <f>G38</f>
        <v>87559450.182129532</v>
      </c>
    </row>
    <row r="46" spans="1:11" ht="27.75" customHeight="1">
      <c r="A46" s="128" t="s">
        <v>172</v>
      </c>
      <c r="B46" s="87" t="s">
        <v>173</v>
      </c>
      <c r="C46" s="134">
        <v>0.75</v>
      </c>
      <c r="D46" s="133">
        <f>D45*C46</f>
        <v>65669587.636597149</v>
      </c>
    </row>
    <row r="47" spans="1:11">
      <c r="B47" s="135" t="s">
        <v>174</v>
      </c>
      <c r="C47" s="135"/>
      <c r="D47" s="136">
        <f>D45-D46</f>
        <v>21889862.545532383</v>
      </c>
      <c r="F47">
        <f>(SUM(E37:E37)/D47)^(1/15)-1</f>
        <v>0.17744116281252031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X41"/>
  <sheetViews>
    <sheetView topLeftCell="A28" workbookViewId="0">
      <selection activeCell="I40" sqref="I40"/>
    </sheetView>
  </sheetViews>
  <sheetFormatPr defaultRowHeight="14.4"/>
  <cols>
    <col min="2" max="2" width="22" customWidth="1"/>
    <col min="3" max="3" width="13.6640625" bestFit="1" customWidth="1"/>
    <col min="4" max="5" width="15.33203125" bestFit="1" customWidth="1"/>
    <col min="7" max="7" width="15.33203125" bestFit="1" customWidth="1"/>
    <col min="9" max="9" width="14.88671875" bestFit="1" customWidth="1"/>
    <col min="10" max="10" width="12" customWidth="1"/>
    <col min="11" max="11" width="14.5546875" customWidth="1"/>
    <col min="12" max="12" width="10.44140625" bestFit="1" customWidth="1"/>
    <col min="14" max="14" width="10.33203125" bestFit="1" customWidth="1"/>
    <col min="15" max="15" width="13.88671875" bestFit="1" customWidth="1"/>
    <col min="17" max="17" width="13.88671875" style="137" bestFit="1" customWidth="1"/>
    <col min="20" max="20" width="12" bestFit="1" customWidth="1"/>
    <col min="21" max="21" width="10.33203125" bestFit="1" customWidth="1"/>
    <col min="22" max="22" width="12.33203125" bestFit="1" customWidth="1"/>
    <col min="24" max="24" width="12.33203125" customWidth="1"/>
  </cols>
  <sheetData>
    <row r="2" spans="1:24">
      <c r="B2" s="116" t="s">
        <v>158</v>
      </c>
      <c r="C2" s="117">
        <v>43388</v>
      </c>
    </row>
    <row r="3" spans="1:24">
      <c r="B3" s="116" t="s">
        <v>159</v>
      </c>
      <c r="C3" s="118">
        <f>D34/4</f>
        <v>3.4999999999999996E-2</v>
      </c>
    </row>
    <row r="5" spans="1:24">
      <c r="D5" s="119" t="s">
        <v>160</v>
      </c>
      <c r="E5" s="119" t="s">
        <v>161</v>
      </c>
      <c r="F5" s="119" t="s">
        <v>152</v>
      </c>
      <c r="G5" s="119" t="s">
        <v>162</v>
      </c>
      <c r="N5" s="119" t="s">
        <v>160</v>
      </c>
      <c r="O5" s="119" t="s">
        <v>161</v>
      </c>
      <c r="P5" s="119" t="s">
        <v>152</v>
      </c>
      <c r="Q5" s="138" t="s">
        <v>162</v>
      </c>
      <c r="U5" s="119" t="s">
        <v>160</v>
      </c>
      <c r="V5" s="119" t="s">
        <v>161</v>
      </c>
      <c r="W5" s="119" t="s">
        <v>152</v>
      </c>
      <c r="X5" s="138" t="s">
        <v>162</v>
      </c>
    </row>
    <row r="6" spans="1:24">
      <c r="D6" s="120">
        <v>43465</v>
      </c>
      <c r="E6" s="139">
        <f>K34</f>
        <v>1831500</v>
      </c>
      <c r="F6" s="100">
        <f>(D6-$C$2)/91.25</f>
        <v>0.84383561643835614</v>
      </c>
      <c r="G6" s="122">
        <f>E6/(1+$C$3)^F6</f>
        <v>1779097.3947906287</v>
      </c>
      <c r="N6" s="120">
        <v>43465</v>
      </c>
      <c r="O6" s="121">
        <f>O39</f>
        <v>1831500</v>
      </c>
      <c r="P6" s="100">
        <f>(N6-$C$2)/91.25</f>
        <v>0.84383561643835614</v>
      </c>
      <c r="Q6" s="140">
        <f>O6/(1+$C$3)^P6</f>
        <v>1779097.3947906287</v>
      </c>
      <c r="U6" s="120">
        <v>43465</v>
      </c>
      <c r="V6" s="121">
        <f>V41</f>
        <v>1831500</v>
      </c>
      <c r="W6" s="100">
        <f>(U6-$C$2)/91.25</f>
        <v>0.84383561643835614</v>
      </c>
      <c r="X6" s="140">
        <f>V6/(1+$C$3)^W6</f>
        <v>1779097.3947906287</v>
      </c>
    </row>
    <row r="7" spans="1:24">
      <c r="D7" s="120">
        <f>EDATE(D6,3)</f>
        <v>43555</v>
      </c>
      <c r="E7" s="139">
        <f>E6</f>
        <v>1831500</v>
      </c>
      <c r="F7" s="100">
        <f t="shared" ref="F7:F28" si="0">(D7-$C$2)/91.25</f>
        <v>1.8301369863013699</v>
      </c>
      <c r="G7" s="122">
        <f t="shared" ref="G7:G28" si="1">E7/(1+$C$3)^F7</f>
        <v>1719744.9239862019</v>
      </c>
      <c r="N7" s="120">
        <f>EDATE(N6,3)</f>
        <v>43555</v>
      </c>
      <c r="O7" s="121">
        <f>O6</f>
        <v>1831500</v>
      </c>
      <c r="P7" s="100">
        <f t="shared" ref="P7:P31" si="2">(N7-$C$2)/91.25</f>
        <v>1.8301369863013699</v>
      </c>
      <c r="Q7" s="140">
        <f t="shared" ref="Q7:Q31" si="3">O7/(1+$C$3)^P7</f>
        <v>1719744.9239862019</v>
      </c>
      <c r="U7" s="120">
        <f>EDATE(U6,3)</f>
        <v>43555</v>
      </c>
      <c r="V7" s="121">
        <f>V6</f>
        <v>1831500</v>
      </c>
      <c r="W7" s="100">
        <f t="shared" ref="W7:W36" si="4">(U7-$C$2)/91.25</f>
        <v>1.8301369863013699</v>
      </c>
      <c r="X7" s="140">
        <f t="shared" ref="X7:X36" si="5">V7/(1+$C$3)^W7</f>
        <v>1719744.9239862019</v>
      </c>
    </row>
    <row r="8" spans="1:24">
      <c r="A8" t="s">
        <v>158</v>
      </c>
      <c r="B8" s="123">
        <v>43388</v>
      </c>
      <c r="D8" s="120">
        <f>EDATE(D7,3)</f>
        <v>43646</v>
      </c>
      <c r="E8" s="139">
        <f t="shared" ref="E8:E27" si="6">E7</f>
        <v>1831500</v>
      </c>
      <c r="F8" s="100">
        <f t="shared" si="0"/>
        <v>2.8273972602739725</v>
      </c>
      <c r="G8" s="122">
        <f t="shared" si="1"/>
        <v>1661745.9115135593</v>
      </c>
      <c r="K8" t="s">
        <v>158</v>
      </c>
      <c r="L8" s="123">
        <v>43388</v>
      </c>
      <c r="N8" s="120">
        <f>EDATE(N7,3)</f>
        <v>43646</v>
      </c>
      <c r="O8" s="121">
        <f t="shared" ref="O8:O31" si="7">O7</f>
        <v>1831500</v>
      </c>
      <c r="P8" s="100">
        <f t="shared" si="2"/>
        <v>2.8273972602739725</v>
      </c>
      <c r="Q8" s="140">
        <f t="shared" si="3"/>
        <v>1661745.9115135593</v>
      </c>
      <c r="S8" t="s">
        <v>158</v>
      </c>
      <c r="T8" s="123">
        <v>43388</v>
      </c>
      <c r="U8" s="120">
        <f>EDATE(U7,3)</f>
        <v>43646</v>
      </c>
      <c r="V8" s="121">
        <f t="shared" ref="V8:V35" si="8">V7</f>
        <v>1831500</v>
      </c>
      <c r="W8" s="100">
        <f t="shared" si="4"/>
        <v>2.8273972602739725</v>
      </c>
      <c r="X8" s="140">
        <f t="shared" si="5"/>
        <v>1661745.9115135593</v>
      </c>
    </row>
    <row r="9" spans="1:24">
      <c r="B9" s="123">
        <v>43465</v>
      </c>
      <c r="D9" s="120">
        <f t="shared" ref="D9:D27" si="9">EDATE(D8,3)</f>
        <v>43738</v>
      </c>
      <c r="E9" s="139">
        <f t="shared" si="6"/>
        <v>1831500</v>
      </c>
      <c r="F9" s="100">
        <f t="shared" si="0"/>
        <v>3.8356164383561642</v>
      </c>
      <c r="G9" s="122">
        <f t="shared" si="1"/>
        <v>1605097.697453266</v>
      </c>
      <c r="L9" s="123">
        <v>43465</v>
      </c>
      <c r="N9" s="120">
        <f t="shared" ref="N9:N31" si="10">EDATE(N8,3)</f>
        <v>43738</v>
      </c>
      <c r="O9" s="121">
        <f t="shared" si="7"/>
        <v>1831500</v>
      </c>
      <c r="P9" s="100">
        <f t="shared" si="2"/>
        <v>3.8356164383561642</v>
      </c>
      <c r="Q9" s="140">
        <f t="shared" si="3"/>
        <v>1605097.697453266</v>
      </c>
      <c r="T9" s="123">
        <v>43465</v>
      </c>
      <c r="U9" s="120">
        <f t="shared" ref="U9:U35" si="11">EDATE(U8,3)</f>
        <v>43738</v>
      </c>
      <c r="V9" s="121">
        <f t="shared" si="8"/>
        <v>1831500</v>
      </c>
      <c r="W9" s="100">
        <f t="shared" si="4"/>
        <v>3.8356164383561642</v>
      </c>
      <c r="X9" s="140">
        <f t="shared" si="5"/>
        <v>1605097.697453266</v>
      </c>
    </row>
    <row r="10" spans="1:24">
      <c r="A10" t="s">
        <v>163</v>
      </c>
      <c r="B10" s="123">
        <v>45382</v>
      </c>
      <c r="D10" s="120">
        <f t="shared" si="9"/>
        <v>43829</v>
      </c>
      <c r="E10" s="139">
        <f t="shared" si="6"/>
        <v>1831500</v>
      </c>
      <c r="F10" s="100">
        <f t="shared" si="0"/>
        <v>4.8328767123287673</v>
      </c>
      <c r="G10" s="122">
        <f t="shared" si="1"/>
        <v>1550965.2036886564</v>
      </c>
      <c r="K10" t="s">
        <v>163</v>
      </c>
      <c r="L10" s="123">
        <v>45747</v>
      </c>
      <c r="N10" s="120">
        <f t="shared" si="10"/>
        <v>43829</v>
      </c>
      <c r="O10" s="121">
        <f t="shared" si="7"/>
        <v>1831500</v>
      </c>
      <c r="P10" s="100">
        <f t="shared" si="2"/>
        <v>4.8328767123287673</v>
      </c>
      <c r="Q10" s="140">
        <f t="shared" si="3"/>
        <v>1550965.2036886564</v>
      </c>
      <c r="S10" t="s">
        <v>163</v>
      </c>
      <c r="T10" s="123">
        <v>46112</v>
      </c>
      <c r="U10" s="120">
        <f t="shared" si="11"/>
        <v>43829</v>
      </c>
      <c r="V10" s="121">
        <f t="shared" si="8"/>
        <v>1831500</v>
      </c>
      <c r="W10" s="100">
        <f t="shared" si="4"/>
        <v>4.8328767123287673</v>
      </c>
      <c r="X10" s="140">
        <f t="shared" si="5"/>
        <v>1550965.2036886564</v>
      </c>
    </row>
    <row r="11" spans="1:24">
      <c r="B11">
        <f>(B10-B9)/90</f>
        <v>21.3</v>
      </c>
      <c r="D11" s="120">
        <f t="shared" si="9"/>
        <v>43920</v>
      </c>
      <c r="E11" s="139">
        <f t="shared" si="6"/>
        <v>1831500</v>
      </c>
      <c r="F11" s="100">
        <f t="shared" si="0"/>
        <v>5.8301369863013699</v>
      </c>
      <c r="G11" s="122">
        <f t="shared" si="1"/>
        <v>1498658.347631848</v>
      </c>
      <c r="L11">
        <f>(L10-L9)/90</f>
        <v>25.355555555555554</v>
      </c>
      <c r="N11" s="120">
        <f t="shared" si="10"/>
        <v>43920</v>
      </c>
      <c r="O11" s="121">
        <f t="shared" si="7"/>
        <v>1831500</v>
      </c>
      <c r="P11" s="100">
        <f t="shared" si="2"/>
        <v>5.8301369863013699</v>
      </c>
      <c r="Q11" s="140">
        <f t="shared" si="3"/>
        <v>1498658.347631848</v>
      </c>
      <c r="T11">
        <f>(T10-T9)/90</f>
        <v>29.411111111111111</v>
      </c>
      <c r="U11" s="120">
        <f t="shared" si="11"/>
        <v>43920</v>
      </c>
      <c r="V11" s="121">
        <f t="shared" si="8"/>
        <v>1831500</v>
      </c>
      <c r="W11" s="100">
        <f t="shared" si="4"/>
        <v>5.8301369863013699</v>
      </c>
      <c r="X11" s="140">
        <f t="shared" si="5"/>
        <v>1498658.347631848</v>
      </c>
    </row>
    <row r="12" spans="1:24">
      <c r="D12" s="120">
        <f t="shared" si="9"/>
        <v>44012</v>
      </c>
      <c r="E12" s="139">
        <f t="shared" si="6"/>
        <v>1831500</v>
      </c>
      <c r="F12" s="100">
        <f t="shared" si="0"/>
        <v>6.838356164383562</v>
      </c>
      <c r="G12" s="122">
        <f t="shared" si="1"/>
        <v>1447569.7195259009</v>
      </c>
      <c r="N12" s="120">
        <f t="shared" si="10"/>
        <v>44012</v>
      </c>
      <c r="O12" s="121">
        <f t="shared" si="7"/>
        <v>1831500</v>
      </c>
      <c r="P12" s="100">
        <f t="shared" si="2"/>
        <v>6.838356164383562</v>
      </c>
      <c r="Q12" s="140">
        <f t="shared" si="3"/>
        <v>1447569.7195259009</v>
      </c>
      <c r="U12" s="120">
        <f t="shared" si="11"/>
        <v>44012</v>
      </c>
      <c r="V12" s="121">
        <f t="shared" si="8"/>
        <v>1831500</v>
      </c>
      <c r="W12" s="100">
        <f t="shared" si="4"/>
        <v>6.838356164383562</v>
      </c>
      <c r="X12" s="140">
        <f t="shared" si="5"/>
        <v>1447569.7195259009</v>
      </c>
    </row>
    <row r="13" spans="1:24">
      <c r="D13" s="120">
        <f t="shared" si="9"/>
        <v>44104</v>
      </c>
      <c r="E13" s="139">
        <f t="shared" si="6"/>
        <v>1831500</v>
      </c>
      <c r="F13" s="100">
        <f t="shared" si="0"/>
        <v>7.8465753424657532</v>
      </c>
      <c r="G13" s="122">
        <f t="shared" si="1"/>
        <v>1398222.6811064039</v>
      </c>
      <c r="N13" s="120">
        <f t="shared" si="10"/>
        <v>44104</v>
      </c>
      <c r="O13" s="121">
        <f t="shared" si="7"/>
        <v>1831500</v>
      </c>
      <c r="P13" s="100">
        <f t="shared" si="2"/>
        <v>7.8465753424657532</v>
      </c>
      <c r="Q13" s="140">
        <f t="shared" si="3"/>
        <v>1398222.6811064039</v>
      </c>
      <c r="U13" s="120">
        <f t="shared" si="11"/>
        <v>44104</v>
      </c>
      <c r="V13" s="121">
        <f t="shared" si="8"/>
        <v>1831500</v>
      </c>
      <c r="W13" s="100">
        <f t="shared" si="4"/>
        <v>7.8465753424657532</v>
      </c>
      <c r="X13" s="140">
        <f t="shared" si="5"/>
        <v>1398222.6811064039</v>
      </c>
    </row>
    <row r="14" spans="1:24">
      <c r="D14" s="120">
        <f t="shared" si="9"/>
        <v>44195</v>
      </c>
      <c r="E14" s="139">
        <f t="shared" si="6"/>
        <v>1831500</v>
      </c>
      <c r="F14" s="100">
        <f t="shared" si="0"/>
        <v>8.8438356164383567</v>
      </c>
      <c r="G14" s="122">
        <f t="shared" si="1"/>
        <v>1351067.1212382284</v>
      </c>
      <c r="N14" s="120">
        <f t="shared" si="10"/>
        <v>44195</v>
      </c>
      <c r="O14" s="121">
        <f t="shared" si="7"/>
        <v>1831500</v>
      </c>
      <c r="P14" s="100">
        <f t="shared" si="2"/>
        <v>8.8438356164383567</v>
      </c>
      <c r="Q14" s="140">
        <f t="shared" si="3"/>
        <v>1351067.1212382284</v>
      </c>
      <c r="U14" s="120">
        <f t="shared" si="11"/>
        <v>44195</v>
      </c>
      <c r="V14" s="121">
        <f t="shared" si="8"/>
        <v>1831500</v>
      </c>
      <c r="W14" s="100">
        <f t="shared" si="4"/>
        <v>8.8438356164383567</v>
      </c>
      <c r="X14" s="140">
        <f t="shared" si="5"/>
        <v>1351067.1212382284</v>
      </c>
    </row>
    <row r="15" spans="1:24">
      <c r="D15" s="120">
        <f t="shared" si="9"/>
        <v>44285</v>
      </c>
      <c r="E15" s="139">
        <f t="shared" si="6"/>
        <v>1831500</v>
      </c>
      <c r="F15" s="100">
        <f t="shared" si="0"/>
        <v>9.830136986301369</v>
      </c>
      <c r="G15" s="122">
        <f t="shared" si="1"/>
        <v>1305994.1690193592</v>
      </c>
      <c r="N15" s="120">
        <f t="shared" si="10"/>
        <v>44285</v>
      </c>
      <c r="O15" s="121">
        <f t="shared" si="7"/>
        <v>1831500</v>
      </c>
      <c r="P15" s="100">
        <f t="shared" si="2"/>
        <v>9.830136986301369</v>
      </c>
      <c r="Q15" s="140">
        <f t="shared" si="3"/>
        <v>1305994.1690193592</v>
      </c>
      <c r="U15" s="120">
        <f t="shared" si="11"/>
        <v>44285</v>
      </c>
      <c r="V15" s="121">
        <f t="shared" si="8"/>
        <v>1831500</v>
      </c>
      <c r="W15" s="100">
        <f t="shared" si="4"/>
        <v>9.830136986301369</v>
      </c>
      <c r="X15" s="140">
        <f t="shared" si="5"/>
        <v>1305994.1690193592</v>
      </c>
    </row>
    <row r="16" spans="1:24">
      <c r="D16" s="120">
        <f t="shared" si="9"/>
        <v>44377</v>
      </c>
      <c r="E16" s="139">
        <f t="shared" si="6"/>
        <v>1831500</v>
      </c>
      <c r="F16" s="100">
        <f t="shared" si="0"/>
        <v>10.838356164383562</v>
      </c>
      <c r="G16" s="122">
        <f t="shared" si="1"/>
        <v>1261473.3811326486</v>
      </c>
      <c r="N16" s="120">
        <f t="shared" si="10"/>
        <v>44377</v>
      </c>
      <c r="O16" s="121">
        <f t="shared" si="7"/>
        <v>1831500</v>
      </c>
      <c r="P16" s="100">
        <f t="shared" si="2"/>
        <v>10.838356164383562</v>
      </c>
      <c r="Q16" s="140">
        <f t="shared" si="3"/>
        <v>1261473.3811326486</v>
      </c>
      <c r="U16" s="120">
        <f t="shared" si="11"/>
        <v>44377</v>
      </c>
      <c r="V16" s="121">
        <f t="shared" si="8"/>
        <v>1831500</v>
      </c>
      <c r="W16" s="100">
        <f t="shared" si="4"/>
        <v>10.838356164383562</v>
      </c>
      <c r="X16" s="140">
        <f t="shared" si="5"/>
        <v>1261473.3811326486</v>
      </c>
    </row>
    <row r="17" spans="3:24">
      <c r="D17" s="120">
        <f t="shared" si="9"/>
        <v>44469</v>
      </c>
      <c r="E17" s="139">
        <f t="shared" si="6"/>
        <v>1831500</v>
      </c>
      <c r="F17" s="100">
        <f t="shared" si="0"/>
        <v>11.846575342465753</v>
      </c>
      <c r="G17" s="122">
        <f t="shared" si="1"/>
        <v>1218470.2880420354</v>
      </c>
      <c r="N17" s="120">
        <f t="shared" si="10"/>
        <v>44469</v>
      </c>
      <c r="O17" s="121">
        <f t="shared" si="7"/>
        <v>1831500</v>
      </c>
      <c r="P17" s="100">
        <f t="shared" si="2"/>
        <v>11.846575342465753</v>
      </c>
      <c r="Q17" s="140">
        <f t="shared" si="3"/>
        <v>1218470.2880420354</v>
      </c>
      <c r="U17" s="120">
        <f t="shared" si="11"/>
        <v>44469</v>
      </c>
      <c r="V17" s="121">
        <f t="shared" si="8"/>
        <v>1831500</v>
      </c>
      <c r="W17" s="100">
        <f t="shared" si="4"/>
        <v>11.846575342465753</v>
      </c>
      <c r="X17" s="140">
        <f t="shared" si="5"/>
        <v>1218470.2880420354</v>
      </c>
    </row>
    <row r="18" spans="3:24">
      <c r="D18" s="120">
        <f t="shared" si="9"/>
        <v>44560</v>
      </c>
      <c r="E18" s="139">
        <f t="shared" si="6"/>
        <v>1831500</v>
      </c>
      <c r="F18" s="100">
        <f t="shared" si="0"/>
        <v>12.843835616438357</v>
      </c>
      <c r="G18" s="122">
        <f t="shared" si="1"/>
        <v>1177376.941902139</v>
      </c>
      <c r="N18" s="120">
        <f t="shared" si="10"/>
        <v>44560</v>
      </c>
      <c r="O18" s="121">
        <f t="shared" si="7"/>
        <v>1831500</v>
      </c>
      <c r="P18" s="100">
        <f t="shared" si="2"/>
        <v>12.843835616438357</v>
      </c>
      <c r="Q18" s="140">
        <f t="shared" si="3"/>
        <v>1177376.941902139</v>
      </c>
      <c r="U18" s="120">
        <f t="shared" si="11"/>
        <v>44560</v>
      </c>
      <c r="V18" s="121">
        <f t="shared" si="8"/>
        <v>1831500</v>
      </c>
      <c r="W18" s="100">
        <f t="shared" si="4"/>
        <v>12.843835616438357</v>
      </c>
      <c r="X18" s="140">
        <f t="shared" si="5"/>
        <v>1177376.941902139</v>
      </c>
    </row>
    <row r="19" spans="3:24">
      <c r="D19" s="120">
        <f t="shared" si="9"/>
        <v>44650</v>
      </c>
      <c r="E19" s="139">
        <f t="shared" si="6"/>
        <v>1831500</v>
      </c>
      <c r="F19" s="100">
        <f t="shared" si="0"/>
        <v>13.830136986301369</v>
      </c>
      <c r="G19" s="122">
        <f t="shared" si="1"/>
        <v>1138098.4680115762</v>
      </c>
      <c r="N19" s="120">
        <f t="shared" si="10"/>
        <v>44650</v>
      </c>
      <c r="O19" s="121">
        <f t="shared" si="7"/>
        <v>1831500</v>
      </c>
      <c r="P19" s="100">
        <f t="shared" si="2"/>
        <v>13.830136986301369</v>
      </c>
      <c r="Q19" s="140">
        <f t="shared" si="3"/>
        <v>1138098.4680115762</v>
      </c>
      <c r="U19" s="120">
        <f t="shared" si="11"/>
        <v>44650</v>
      </c>
      <c r="V19" s="121">
        <f t="shared" si="8"/>
        <v>1831500</v>
      </c>
      <c r="W19" s="100">
        <f t="shared" si="4"/>
        <v>13.830136986301369</v>
      </c>
      <c r="X19" s="140">
        <f t="shared" si="5"/>
        <v>1138098.4680115762</v>
      </c>
    </row>
    <row r="20" spans="3:24">
      <c r="D20" s="120">
        <f t="shared" si="9"/>
        <v>44742</v>
      </c>
      <c r="E20" s="139">
        <f t="shared" si="6"/>
        <v>1831500</v>
      </c>
      <c r="F20" s="100">
        <f t="shared" si="0"/>
        <v>14.838356164383562</v>
      </c>
      <c r="G20" s="122">
        <f t="shared" si="1"/>
        <v>1099301.1734366859</v>
      </c>
      <c r="N20" s="120">
        <f t="shared" si="10"/>
        <v>44742</v>
      </c>
      <c r="O20" s="121">
        <f t="shared" si="7"/>
        <v>1831500</v>
      </c>
      <c r="P20" s="100">
        <f t="shared" si="2"/>
        <v>14.838356164383562</v>
      </c>
      <c r="Q20" s="140">
        <f t="shared" si="3"/>
        <v>1099301.1734366859</v>
      </c>
      <c r="U20" s="120">
        <f t="shared" si="11"/>
        <v>44742</v>
      </c>
      <c r="V20" s="121">
        <f t="shared" si="8"/>
        <v>1831500</v>
      </c>
      <c r="W20" s="100">
        <f t="shared" si="4"/>
        <v>14.838356164383562</v>
      </c>
      <c r="X20" s="140">
        <f t="shared" si="5"/>
        <v>1099301.1734366859</v>
      </c>
    </row>
    <row r="21" spans="3:24">
      <c r="D21" s="120">
        <f t="shared" si="9"/>
        <v>44834</v>
      </c>
      <c r="E21" s="139">
        <f t="shared" si="6"/>
        <v>1831500</v>
      </c>
      <c r="F21" s="100">
        <f t="shared" si="0"/>
        <v>15.846575342465753</v>
      </c>
      <c r="G21" s="122">
        <f t="shared" si="1"/>
        <v>1061826.4621958726</v>
      </c>
      <c r="N21" s="120">
        <f t="shared" si="10"/>
        <v>44834</v>
      </c>
      <c r="O21" s="121">
        <f t="shared" si="7"/>
        <v>1831500</v>
      </c>
      <c r="P21" s="100">
        <f t="shared" si="2"/>
        <v>15.846575342465753</v>
      </c>
      <c r="Q21" s="140">
        <f t="shared" si="3"/>
        <v>1061826.4621958726</v>
      </c>
      <c r="U21" s="120">
        <f t="shared" si="11"/>
        <v>44834</v>
      </c>
      <c r="V21" s="121">
        <f t="shared" si="8"/>
        <v>1831500</v>
      </c>
      <c r="W21" s="100">
        <f t="shared" si="4"/>
        <v>15.846575342465753</v>
      </c>
      <c r="X21" s="140">
        <f t="shared" si="5"/>
        <v>1061826.4621958726</v>
      </c>
    </row>
    <row r="22" spans="3:24">
      <c r="D22" s="120">
        <f t="shared" si="9"/>
        <v>44925</v>
      </c>
      <c r="E22" s="139">
        <f t="shared" si="6"/>
        <v>1831500</v>
      </c>
      <c r="F22" s="100">
        <f t="shared" si="0"/>
        <v>16.843835616438355</v>
      </c>
      <c r="G22" s="122">
        <f t="shared" si="1"/>
        <v>1026015.9850921327</v>
      </c>
      <c r="N22" s="120">
        <f t="shared" si="10"/>
        <v>44925</v>
      </c>
      <c r="O22" s="121">
        <f t="shared" si="7"/>
        <v>1831500</v>
      </c>
      <c r="P22" s="100">
        <f t="shared" si="2"/>
        <v>16.843835616438355</v>
      </c>
      <c r="Q22" s="140">
        <f t="shared" si="3"/>
        <v>1026015.9850921327</v>
      </c>
      <c r="U22" s="120">
        <f t="shared" si="11"/>
        <v>44925</v>
      </c>
      <c r="V22" s="121">
        <f t="shared" si="8"/>
        <v>1831500</v>
      </c>
      <c r="W22" s="100">
        <f t="shared" si="4"/>
        <v>16.843835616438355</v>
      </c>
      <c r="X22" s="140">
        <f t="shared" si="5"/>
        <v>1026015.9850921327</v>
      </c>
    </row>
    <row r="23" spans="3:24">
      <c r="D23" s="120">
        <f t="shared" si="9"/>
        <v>45015</v>
      </c>
      <c r="E23" s="139">
        <f t="shared" si="6"/>
        <v>1831500</v>
      </c>
      <c r="F23" s="100">
        <f t="shared" si="0"/>
        <v>17.830136986301369</v>
      </c>
      <c r="G23" s="122">
        <f t="shared" si="1"/>
        <v>991787.0643043404</v>
      </c>
      <c r="N23" s="120">
        <f t="shared" si="10"/>
        <v>45015</v>
      </c>
      <c r="O23" s="121">
        <f t="shared" si="7"/>
        <v>1831500</v>
      </c>
      <c r="P23" s="100">
        <f t="shared" si="2"/>
        <v>17.830136986301369</v>
      </c>
      <c r="Q23" s="140">
        <f t="shared" si="3"/>
        <v>991787.0643043404</v>
      </c>
      <c r="U23" s="120">
        <f t="shared" si="11"/>
        <v>45015</v>
      </c>
      <c r="V23" s="121">
        <f t="shared" si="8"/>
        <v>1831500</v>
      </c>
      <c r="W23" s="100">
        <f t="shared" si="4"/>
        <v>17.830136986301369</v>
      </c>
      <c r="X23" s="140">
        <f t="shared" si="5"/>
        <v>991787.0643043404</v>
      </c>
    </row>
    <row r="24" spans="3:24">
      <c r="D24" s="120">
        <f t="shared" si="9"/>
        <v>45107</v>
      </c>
      <c r="E24" s="139">
        <f t="shared" si="6"/>
        <v>1831500</v>
      </c>
      <c r="F24" s="100">
        <f t="shared" si="0"/>
        <v>18.838356164383562</v>
      </c>
      <c r="G24" s="122">
        <f t="shared" si="1"/>
        <v>957977.46349132014</v>
      </c>
      <c r="N24" s="120">
        <f t="shared" si="10"/>
        <v>45107</v>
      </c>
      <c r="O24" s="121">
        <f t="shared" si="7"/>
        <v>1831500</v>
      </c>
      <c r="P24" s="100">
        <f t="shared" si="2"/>
        <v>18.838356164383562</v>
      </c>
      <c r="Q24" s="140">
        <f t="shared" si="3"/>
        <v>957977.46349132014</v>
      </c>
      <c r="U24" s="120">
        <f t="shared" si="11"/>
        <v>45107</v>
      </c>
      <c r="V24" s="121">
        <f t="shared" si="8"/>
        <v>1831500</v>
      </c>
      <c r="W24" s="100">
        <f t="shared" si="4"/>
        <v>18.838356164383562</v>
      </c>
      <c r="X24" s="140">
        <f t="shared" si="5"/>
        <v>957977.46349132014</v>
      </c>
    </row>
    <row r="25" spans="3:24">
      <c r="D25" s="120">
        <f t="shared" si="9"/>
        <v>45199</v>
      </c>
      <c r="E25" s="139">
        <f t="shared" si="6"/>
        <v>1831500</v>
      </c>
      <c r="F25" s="100">
        <f t="shared" si="0"/>
        <v>19.846575342465755</v>
      </c>
      <c r="G25" s="122">
        <f t="shared" si="1"/>
        <v>925320.417645265</v>
      </c>
      <c r="N25" s="120">
        <f t="shared" si="10"/>
        <v>45199</v>
      </c>
      <c r="O25" s="121">
        <f t="shared" si="7"/>
        <v>1831500</v>
      </c>
      <c r="P25" s="100">
        <f t="shared" si="2"/>
        <v>19.846575342465755</v>
      </c>
      <c r="Q25" s="140">
        <f t="shared" si="3"/>
        <v>925320.417645265</v>
      </c>
      <c r="U25" s="120">
        <f t="shared" si="11"/>
        <v>45199</v>
      </c>
      <c r="V25" s="121">
        <f t="shared" si="8"/>
        <v>1831500</v>
      </c>
      <c r="W25" s="100">
        <f t="shared" si="4"/>
        <v>19.846575342465755</v>
      </c>
      <c r="X25" s="140">
        <f t="shared" si="5"/>
        <v>925320.417645265</v>
      </c>
    </row>
    <row r="26" spans="3:24">
      <c r="D26" s="120">
        <f t="shared" si="9"/>
        <v>45290</v>
      </c>
      <c r="E26" s="139">
        <f t="shared" si="6"/>
        <v>1831500</v>
      </c>
      <c r="F26" s="100">
        <f t="shared" si="0"/>
        <v>20.843835616438355</v>
      </c>
      <c r="G26" s="122">
        <f t="shared" si="1"/>
        <v>894113.65570303344</v>
      </c>
      <c r="N26" s="120">
        <f t="shared" si="10"/>
        <v>45290</v>
      </c>
      <c r="O26" s="121">
        <f t="shared" si="7"/>
        <v>1831500</v>
      </c>
      <c r="P26" s="100">
        <f t="shared" si="2"/>
        <v>20.843835616438355</v>
      </c>
      <c r="Q26" s="140">
        <f t="shared" si="3"/>
        <v>894113.65570303344</v>
      </c>
      <c r="U26" s="120">
        <f t="shared" si="11"/>
        <v>45290</v>
      </c>
      <c r="V26" s="121">
        <f t="shared" si="8"/>
        <v>1831500</v>
      </c>
      <c r="W26" s="100">
        <f t="shared" si="4"/>
        <v>20.843835616438355</v>
      </c>
      <c r="X26" s="140">
        <f t="shared" si="5"/>
        <v>894113.65570303344</v>
      </c>
    </row>
    <row r="27" spans="3:24">
      <c r="D27" s="120">
        <f t="shared" si="9"/>
        <v>45381</v>
      </c>
      <c r="E27" s="139">
        <f t="shared" si="6"/>
        <v>1831500</v>
      </c>
      <c r="F27" s="100">
        <f t="shared" si="0"/>
        <v>21.841095890410958</v>
      </c>
      <c r="G27" s="122">
        <f t="shared" si="1"/>
        <v>863959.3529655789</v>
      </c>
      <c r="N27" s="120">
        <f t="shared" si="10"/>
        <v>45381</v>
      </c>
      <c r="O27" s="121">
        <f t="shared" si="7"/>
        <v>1831500</v>
      </c>
      <c r="P27" s="100">
        <f t="shared" si="2"/>
        <v>21.841095890410958</v>
      </c>
      <c r="Q27" s="140">
        <f t="shared" si="3"/>
        <v>863959.3529655789</v>
      </c>
      <c r="U27" s="120">
        <f t="shared" si="11"/>
        <v>45381</v>
      </c>
      <c r="V27" s="121">
        <f t="shared" si="8"/>
        <v>1831500</v>
      </c>
      <c r="W27" s="100">
        <f t="shared" si="4"/>
        <v>21.841095890410958</v>
      </c>
      <c r="X27" s="140">
        <f t="shared" si="5"/>
        <v>863959.3529655789</v>
      </c>
    </row>
    <row r="28" spans="3:24">
      <c r="D28" s="120">
        <v>45382</v>
      </c>
      <c r="E28" s="141">
        <v>81400000</v>
      </c>
      <c r="F28" s="100">
        <f t="shared" si="0"/>
        <v>21.852054794520548</v>
      </c>
      <c r="G28" s="122">
        <f t="shared" si="1"/>
        <v>38383720.00027103</v>
      </c>
      <c r="N28" s="120">
        <f t="shared" si="10"/>
        <v>45473</v>
      </c>
      <c r="O28" s="121">
        <f t="shared" si="7"/>
        <v>1831500</v>
      </c>
      <c r="P28" s="100">
        <f t="shared" si="2"/>
        <v>22.849315068493151</v>
      </c>
      <c r="Q28" s="140">
        <f t="shared" si="3"/>
        <v>834507.3446729217</v>
      </c>
      <c r="U28" s="120">
        <f t="shared" si="11"/>
        <v>45473</v>
      </c>
      <c r="V28" s="121">
        <f t="shared" si="8"/>
        <v>1831500</v>
      </c>
      <c r="W28" s="100">
        <f t="shared" si="4"/>
        <v>22.849315068493151</v>
      </c>
      <c r="X28" s="140">
        <f t="shared" si="5"/>
        <v>834507.3446729217</v>
      </c>
    </row>
    <row r="29" spans="3:24">
      <c r="D29" s="124"/>
      <c r="E29" s="125">
        <f>SUM(E6:E28)</f>
        <v>121693000</v>
      </c>
      <c r="F29" s="124"/>
      <c r="G29" s="126">
        <f>SUM(G6:G28)</f>
        <v>66317603.824147716</v>
      </c>
      <c r="N29" s="120">
        <f t="shared" si="10"/>
        <v>45565</v>
      </c>
      <c r="O29" s="121">
        <f t="shared" si="7"/>
        <v>1831500</v>
      </c>
      <c r="P29" s="100">
        <f t="shared" si="2"/>
        <v>23.857534246575341</v>
      </c>
      <c r="Q29" s="140">
        <f t="shared" si="3"/>
        <v>806059.34286447417</v>
      </c>
      <c r="U29" s="120">
        <f t="shared" si="11"/>
        <v>45565</v>
      </c>
      <c r="V29" s="121">
        <f t="shared" si="8"/>
        <v>1831500</v>
      </c>
      <c r="W29" s="100">
        <f t="shared" si="4"/>
        <v>23.857534246575341</v>
      </c>
      <c r="X29" s="140">
        <f t="shared" si="5"/>
        <v>806059.34286447417</v>
      </c>
    </row>
    <row r="30" spans="3:24">
      <c r="N30" s="120">
        <f t="shared" si="10"/>
        <v>45656</v>
      </c>
      <c r="O30" s="121">
        <f t="shared" si="7"/>
        <v>1831500</v>
      </c>
      <c r="P30" s="100">
        <f t="shared" si="2"/>
        <v>24.854794520547944</v>
      </c>
      <c r="Q30" s="140">
        <f t="shared" si="3"/>
        <v>778874.70331215987</v>
      </c>
      <c r="U30" s="120">
        <f t="shared" si="11"/>
        <v>45656</v>
      </c>
      <c r="V30" s="121">
        <f t="shared" si="8"/>
        <v>1831500</v>
      </c>
      <c r="W30" s="100">
        <f t="shared" si="4"/>
        <v>24.854794520547944</v>
      </c>
      <c r="X30" s="140">
        <f t="shared" si="5"/>
        <v>778874.70331215987</v>
      </c>
    </row>
    <row r="31" spans="3:24">
      <c r="N31" s="120">
        <f t="shared" si="10"/>
        <v>45746</v>
      </c>
      <c r="O31" s="121">
        <f t="shared" si="7"/>
        <v>1831500</v>
      </c>
      <c r="P31" s="100">
        <f t="shared" si="2"/>
        <v>25.841095890410958</v>
      </c>
      <c r="Q31" s="140">
        <f t="shared" si="3"/>
        <v>752890.66318934131</v>
      </c>
      <c r="U31" s="120">
        <f t="shared" si="11"/>
        <v>45746</v>
      </c>
      <c r="V31" s="121">
        <f t="shared" si="8"/>
        <v>1831500</v>
      </c>
      <c r="W31" s="100">
        <f t="shared" si="4"/>
        <v>25.841095890410958</v>
      </c>
      <c r="X31" s="140">
        <f t="shared" si="5"/>
        <v>752890.66318934131</v>
      </c>
    </row>
    <row r="32" spans="3:24" ht="28.8">
      <c r="C32" s="78" t="s">
        <v>175</v>
      </c>
      <c r="D32" s="127">
        <v>0.12</v>
      </c>
      <c r="E32" t="s">
        <v>165</v>
      </c>
      <c r="J32" s="116" t="s">
        <v>166</v>
      </c>
      <c r="K32" s="141">
        <v>81400000</v>
      </c>
      <c r="N32" s="120">
        <v>45747</v>
      </c>
      <c r="O32" s="141">
        <v>81400000</v>
      </c>
      <c r="P32" s="100">
        <f>(N32-$C$2)/91.25</f>
        <v>25.852054794520548</v>
      </c>
      <c r="Q32" s="140">
        <f>O32/(1+$C$3)^P32</f>
        <v>33449194.464394428</v>
      </c>
      <c r="U32" s="120">
        <f t="shared" si="11"/>
        <v>45838</v>
      </c>
      <c r="V32" s="121">
        <f t="shared" si="8"/>
        <v>1831500</v>
      </c>
      <c r="W32" s="100">
        <f t="shared" si="4"/>
        <v>26.849315068493151</v>
      </c>
      <c r="X32" s="140">
        <f t="shared" si="5"/>
        <v>727224.93947259139</v>
      </c>
    </row>
    <row r="33" spans="1:24">
      <c r="B33" s="128" t="s">
        <v>167</v>
      </c>
      <c r="C33" s="129" t="s">
        <v>168</v>
      </c>
      <c r="D33" s="127">
        <v>0.02</v>
      </c>
      <c r="J33" s="116" t="s">
        <v>169</v>
      </c>
      <c r="K33" s="130">
        <f>(9/4)%</f>
        <v>2.2499999999999999E-2</v>
      </c>
      <c r="N33" s="124"/>
      <c r="O33" s="142">
        <f>SUM(O6:O32)</f>
        <v>129019000</v>
      </c>
      <c r="P33" s="124"/>
      <c r="Q33" s="143">
        <f>SUM(Q6:Q32)</f>
        <v>64555410.342310004</v>
      </c>
      <c r="U33" s="120">
        <f t="shared" si="11"/>
        <v>45930</v>
      </c>
      <c r="V33" s="121">
        <f t="shared" si="8"/>
        <v>1831500</v>
      </c>
      <c r="W33" s="100">
        <f t="shared" si="4"/>
        <v>27.857534246575341</v>
      </c>
      <c r="X33" s="140">
        <f t="shared" si="5"/>
        <v>702434.14940306474</v>
      </c>
    </row>
    <row r="34" spans="1:24">
      <c r="C34" s="131" t="s">
        <v>170</v>
      </c>
      <c r="D34" s="132">
        <f>SUM(D32:D33)</f>
        <v>0.13999999999999999</v>
      </c>
      <c r="J34" s="116"/>
      <c r="K34" s="116">
        <f>K32*K33</f>
        <v>1831500</v>
      </c>
      <c r="U34" s="120">
        <f t="shared" si="11"/>
        <v>46021</v>
      </c>
      <c r="V34" s="121">
        <f t="shared" si="8"/>
        <v>1831500</v>
      </c>
      <c r="W34" s="100">
        <f t="shared" si="4"/>
        <v>28.854794520547944</v>
      </c>
      <c r="X34" s="140">
        <f t="shared" si="5"/>
        <v>678744.30655241327</v>
      </c>
    </row>
    <row r="35" spans="1:24">
      <c r="U35" s="120">
        <f t="shared" si="11"/>
        <v>46111</v>
      </c>
      <c r="V35" s="121">
        <f t="shared" si="8"/>
        <v>1831500</v>
      </c>
      <c r="W35" s="100">
        <f t="shared" si="4"/>
        <v>29.841095890410958</v>
      </c>
      <c r="X35" s="140">
        <f t="shared" si="5"/>
        <v>656100.71674317506</v>
      </c>
    </row>
    <row r="36" spans="1:24">
      <c r="B36" s="116" t="s">
        <v>171</v>
      </c>
      <c r="C36" s="116"/>
      <c r="D36" s="133">
        <f>G29</f>
        <v>66317603.824147716</v>
      </c>
      <c r="U36" s="120">
        <v>46112</v>
      </c>
      <c r="V36" s="141">
        <v>81400000</v>
      </c>
      <c r="W36" s="100">
        <f t="shared" si="4"/>
        <v>29.852054794520548</v>
      </c>
      <c r="X36" s="140">
        <f t="shared" si="5"/>
        <v>29149040.538774639</v>
      </c>
    </row>
    <row r="37" spans="1:24" ht="27.75" customHeight="1">
      <c r="A37" s="128" t="s">
        <v>172</v>
      </c>
      <c r="B37" s="87" t="s">
        <v>173</v>
      </c>
      <c r="C37" s="134">
        <v>0.75</v>
      </c>
      <c r="D37" s="133">
        <f>D36*C37</f>
        <v>49738202.868110791</v>
      </c>
      <c r="N37" s="116" t="s">
        <v>166</v>
      </c>
      <c r="O37" s="141">
        <v>81400000</v>
      </c>
      <c r="U37" s="124"/>
      <c r="V37" s="142">
        <f>SUM(V6:V36)</f>
        <v>136345000</v>
      </c>
      <c r="W37" s="124"/>
      <c r="X37" s="143">
        <f>SUM(X6:X36)</f>
        <v>63019760.528861463</v>
      </c>
    </row>
    <row r="38" spans="1:24">
      <c r="B38" s="135" t="s">
        <v>174</v>
      </c>
      <c r="C38" s="135"/>
      <c r="D38" s="136">
        <f>D36-D37</f>
        <v>16579400.956036925</v>
      </c>
      <c r="F38">
        <f>(SUM(E28:E28)/D38)^(1/15)-1</f>
        <v>0.11191188246175221</v>
      </c>
      <c r="N38" s="116" t="s">
        <v>169</v>
      </c>
      <c r="O38" s="130">
        <f>(9/4)%</f>
        <v>2.2499999999999999E-2</v>
      </c>
    </row>
    <row r="39" spans="1:24">
      <c r="N39" s="116"/>
      <c r="O39" s="116">
        <f>O37*O38</f>
        <v>1831500</v>
      </c>
      <c r="U39" s="116" t="s">
        <v>166</v>
      </c>
      <c r="V39" s="141">
        <v>81400000</v>
      </c>
    </row>
    <row r="40" spans="1:24">
      <c r="H40" t="s">
        <v>176</v>
      </c>
      <c r="I40" s="144">
        <f>G29+Q33+X37</f>
        <v>193892774.69531918</v>
      </c>
      <c r="U40" s="116" t="s">
        <v>169</v>
      </c>
      <c r="V40" s="130">
        <f>(9/4)%</f>
        <v>2.2499999999999999E-2</v>
      </c>
    </row>
    <row r="41" spans="1:24">
      <c r="U41" s="116"/>
      <c r="V41" s="116">
        <f>V39*V40</f>
        <v>1831500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34</v>
      </c>
      <c r="C3" t="e">
        <f>SUM(#REF!)</f>
        <v>#REF!</v>
      </c>
    </row>
    <row r="4" spans="2:3">
      <c r="B4" t="s">
        <v>35</v>
      </c>
      <c r="C4" t="e">
        <f>#REF!</f>
        <v>#REF!</v>
      </c>
    </row>
    <row r="6" spans="2:3">
      <c r="B6" t="s">
        <v>21</v>
      </c>
      <c r="C6" t="e">
        <f>SUM(C2:C4)</f>
        <v>#REF!</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33</v>
      </c>
      <c r="D2" s="20" t="e">
        <f>#REF!</f>
        <v>#REF!</v>
      </c>
    </row>
    <row r="3" spans="2:4">
      <c r="B3" t="s">
        <v>63</v>
      </c>
      <c r="D3" t="e">
        <f>+#REF!+#REF!</f>
        <v>#REF!</v>
      </c>
    </row>
    <row r="5" spans="2:4">
      <c r="D5" s="21" t="e">
        <f>SUM(D2:D3)</f>
        <v>#REF!</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36</v>
      </c>
      <c r="C2" s="20">
        <v>50414099.780000001</v>
      </c>
    </row>
    <row r="5" spans="2:3">
      <c r="C5" s="21" t="e">
        <f>C2+'SECL Assets'!D2</f>
        <v>#REF!</v>
      </c>
    </row>
    <row r="8" spans="2:3">
      <c r="C8">
        <v>892500000</v>
      </c>
    </row>
    <row r="11" spans="2:3">
      <c r="C11" s="21" t="e">
        <f>+C5-C8</f>
        <v>#REF!</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37</v>
      </c>
    </row>
    <row r="3" spans="2:4">
      <c r="C3" t="s">
        <v>38</v>
      </c>
    </row>
    <row r="4" spans="2:4">
      <c r="B4" t="s">
        <v>39</v>
      </c>
      <c r="C4" t="s">
        <v>40</v>
      </c>
      <c r="D4" t="s">
        <v>41</v>
      </c>
    </row>
    <row r="5" spans="2:4">
      <c r="B5" t="s">
        <v>42</v>
      </c>
      <c r="D5">
        <v>955</v>
      </c>
    </row>
    <row r="6" spans="2:4">
      <c r="B6" t="s">
        <v>43</v>
      </c>
      <c r="C6">
        <v>0.14000000000000001</v>
      </c>
      <c r="D6">
        <v>133.70000000000002</v>
      </c>
    </row>
    <row r="7" spans="2:4">
      <c r="B7" t="s">
        <v>44</v>
      </c>
      <c r="C7">
        <v>0</v>
      </c>
      <c r="D7">
        <v>0</v>
      </c>
    </row>
    <row r="8" spans="2:4">
      <c r="B8" t="s">
        <v>45</v>
      </c>
      <c r="C8">
        <v>87</v>
      </c>
      <c r="D8">
        <v>87</v>
      </c>
    </row>
    <row r="9" spans="2:4">
      <c r="B9" t="s">
        <v>46</v>
      </c>
      <c r="C9">
        <v>0.3</v>
      </c>
      <c r="D9">
        <v>40.110000000000007</v>
      </c>
    </row>
    <row r="10" spans="2:4">
      <c r="B10" t="s">
        <v>47</v>
      </c>
      <c r="C10">
        <v>0.02</v>
      </c>
      <c r="D10">
        <v>2.6740000000000004</v>
      </c>
    </row>
    <row r="11" spans="2:4">
      <c r="B11" t="s">
        <v>48</v>
      </c>
      <c r="C11">
        <v>7.5</v>
      </c>
      <c r="D11">
        <v>7.5</v>
      </c>
    </row>
    <row r="12" spans="2:4">
      <c r="B12" t="s">
        <v>49</v>
      </c>
      <c r="C12">
        <v>7.5</v>
      </c>
      <c r="D12">
        <v>7.5</v>
      </c>
    </row>
    <row r="13" spans="2:4">
      <c r="B13" t="s">
        <v>50</v>
      </c>
      <c r="C13">
        <v>0</v>
      </c>
      <c r="D13">
        <v>0</v>
      </c>
    </row>
    <row r="14" spans="2:4">
      <c r="B14" t="s">
        <v>51</v>
      </c>
      <c r="C14">
        <v>400</v>
      </c>
      <c r="D14">
        <v>400</v>
      </c>
    </row>
    <row r="15" spans="2:4">
      <c r="B15" t="s">
        <v>52</v>
      </c>
      <c r="C15">
        <v>1.04</v>
      </c>
      <c r="D15">
        <v>1.04</v>
      </c>
    </row>
    <row r="16" spans="2:4">
      <c r="B16" t="s">
        <v>53</v>
      </c>
      <c r="C16">
        <v>0.05</v>
      </c>
      <c r="D16">
        <v>65.5762</v>
      </c>
    </row>
    <row r="17" spans="2:5">
      <c r="B17" t="s">
        <v>54</v>
      </c>
      <c r="D17">
        <v>77</v>
      </c>
    </row>
    <row r="18" spans="2:5">
      <c r="B18" t="s">
        <v>21</v>
      </c>
      <c r="D18">
        <v>1777.1001999999999</v>
      </c>
    </row>
    <row r="20" spans="2:5">
      <c r="B20" t="s">
        <v>55</v>
      </c>
      <c r="C20">
        <v>1537</v>
      </c>
      <c r="D20">
        <v>1537</v>
      </c>
    </row>
    <row r="21" spans="2:5">
      <c r="B21" t="s">
        <v>56</v>
      </c>
      <c r="D21">
        <v>0</v>
      </c>
    </row>
    <row r="22" spans="2:5">
      <c r="B22" t="s">
        <v>57</v>
      </c>
      <c r="D22">
        <v>0</v>
      </c>
    </row>
    <row r="23" spans="2:5">
      <c r="B23" t="s">
        <v>58</v>
      </c>
      <c r="C23">
        <v>0</v>
      </c>
      <c r="D23">
        <v>0</v>
      </c>
    </row>
    <row r="24" spans="2:5">
      <c r="B24" t="s">
        <v>59</v>
      </c>
      <c r="C24">
        <v>0</v>
      </c>
      <c r="D24">
        <v>0</v>
      </c>
    </row>
    <row r="25" spans="2:5">
      <c r="B25" t="s">
        <v>53</v>
      </c>
      <c r="C25">
        <v>0.05</v>
      </c>
      <c r="D25">
        <v>76.850000000000009</v>
      </c>
    </row>
    <row r="26" spans="2:5">
      <c r="B26" t="s">
        <v>60</v>
      </c>
      <c r="D26">
        <v>1613.85</v>
      </c>
      <c r="E26">
        <f>D26/D30</f>
        <v>0.43191919835968068</v>
      </c>
    </row>
    <row r="28" spans="2:5">
      <c r="B28" t="s">
        <v>61</v>
      </c>
      <c r="C28">
        <v>345.51256000000001</v>
      </c>
      <c r="D28">
        <v>345.51256000000001</v>
      </c>
    </row>
    <row r="30" spans="2:5">
      <c r="B30" t="s">
        <v>62</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General</vt:lpstr>
      <vt:lpstr>SUMMARY</vt:lpstr>
      <vt:lpstr>Intangible Assets</vt:lpstr>
      <vt:lpstr>NCI-I</vt:lpstr>
      <vt:lpstr>Provisions TR 2018</vt:lpstr>
      <vt:lpstr>Trade Receivable-II</vt:lpstr>
      <vt:lpstr>Provision-2018</vt:lpstr>
      <vt:lpstr>Loans-III</vt:lpstr>
      <vt:lpstr>Loan-Deposits</vt:lpstr>
      <vt:lpstr>Loans and Other Assets-III</vt:lpstr>
      <vt:lpstr>Interest Accrued-IV</vt:lpstr>
      <vt:lpstr>Claim for PBG-V</vt:lpstr>
      <vt:lpstr>Other Receivables-VI</vt:lpstr>
      <vt:lpstr>Margin Money-VII</vt:lpstr>
      <vt:lpstr>Tax Assets-VIII</vt:lpstr>
      <vt:lpstr>Non-Current Inventories-IX</vt:lpstr>
      <vt:lpstr>Retention Money-X</vt:lpstr>
      <vt:lpstr>ONCA-VI</vt:lpstr>
      <vt:lpstr>INVENTORY-VII</vt:lpstr>
      <vt:lpstr>Cash &amp; Cash Equivalents-XI</vt:lpstr>
      <vt:lpstr>OCA-XI</vt:lpstr>
      <vt:lpstr>Balances statutory Athority</vt:lpstr>
      <vt:lpstr>Debenture-2018</vt:lpstr>
      <vt:lpstr>Preferred - 2018</vt:lpstr>
      <vt:lpstr>MSEDCL Assets</vt:lpstr>
      <vt:lpstr>SECL Assets</vt:lpstr>
      <vt:lpstr>WCL Assets</vt:lpstr>
      <vt:lpstr>Sheet4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2020-09-30T11:24:21Z</cp:lastPrinted>
  <dcterms:created xsi:type="dcterms:W3CDTF">2017-12-18T06:17:30Z</dcterms:created>
  <dcterms:modified xsi:type="dcterms:W3CDTF">2024-03-15T06:25:19Z</dcterms:modified>
</cp:coreProperties>
</file>