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welcome\Desktop\IL&amp;FS\IL&amp;FS Presentation\"/>
    </mc:Choice>
  </mc:AlternateContent>
  <xr:revisionPtr revIDLastSave="0" documentId="13_ncr:1_{F598F99A-A239-4D76-BD08-E4AFC3E3BC8A}" xr6:coauthVersionLast="47" xr6:coauthVersionMax="47" xr10:uidLastSave="{00000000-0000-0000-0000-000000000000}"/>
  <bookViews>
    <workbookView xWindow="-108" yWindow="-108" windowWidth="23256" windowHeight="12576" tabRatio="948" firstSheet="1" activeTab="9" xr2:uid="{00000000-000D-0000-FFFF-FFFF00000000}"/>
  </bookViews>
  <sheets>
    <sheet name="General" sheetId="3" state="hidden" r:id="rId1"/>
    <sheet name="SUMMARY" sheetId="12" r:id="rId2"/>
    <sheet name="Intangible Assets" sheetId="73" state="hidden" r:id="rId3"/>
    <sheet name="NCI-I" sheetId="59" r:id="rId4"/>
    <sheet name="Provisions TR 2018" sheetId="77" state="hidden" r:id="rId5"/>
    <sheet name="Trade Receivable-II" sheetId="63" r:id="rId6"/>
    <sheet name="Provision-2018" sheetId="78" state="hidden" r:id="rId7"/>
    <sheet name="Loans-III" sheetId="56" state="hidden" r:id="rId8"/>
    <sheet name="Loan-Deposits" sheetId="80" state="hidden" r:id="rId9"/>
    <sheet name="Loans and Other Assets-III" sheetId="81" r:id="rId10"/>
    <sheet name="Interest Accrued-IV" sheetId="70" r:id="rId11"/>
    <sheet name="Claim for PBG-V" sheetId="84" r:id="rId12"/>
    <sheet name="Other Receivables-VI" sheetId="83" r:id="rId13"/>
    <sheet name="Margin Money-VII" sheetId="64" r:id="rId14"/>
    <sheet name="Tax Assets-VIII" sheetId="71" r:id="rId15"/>
    <sheet name="Non-Current Inventories-IX" sheetId="79" r:id="rId16"/>
    <sheet name="Retention Money-X" sheetId="76" r:id="rId17"/>
    <sheet name="ONCA-VI" sheetId="58" state="hidden" r:id="rId18"/>
    <sheet name="INVENTORY-VII" sheetId="67" state="hidden" r:id="rId19"/>
    <sheet name="Cash &amp; Cash Equivalents-XI" sheetId="69" r:id="rId20"/>
    <sheet name="OCA-XI" sheetId="66" state="hidden" r:id="rId21"/>
    <sheet name="Balances statutory Athority" sheetId="82" state="hidden" r:id="rId22"/>
    <sheet name="Debenture-2018" sheetId="74" state="hidden" r:id="rId23"/>
    <sheet name="Preferred - 2018" sheetId="75" state="hidden" r:id="rId24"/>
    <sheet name="MSEDCL Assets" sheetId="33" state="hidden" r:id="rId25"/>
    <sheet name="SECL Assets" sheetId="34" state="hidden" r:id="rId26"/>
    <sheet name="WCL Assets" sheetId="35" state="hidden" r:id="rId27"/>
    <sheet name="Sheet4" sheetId="36" state="hidden" r:id="rId28"/>
  </sheets>
  <externalReferences>
    <externalReference r:id="rId29"/>
    <externalReference r:id="rId30"/>
    <externalReference r:id="rId31"/>
    <externalReference r:id="rId32"/>
  </externalReferences>
  <definedNames>
    <definedName name="_xlnm.Print_Area" localSheetId="1">SUMMARY!#REF!</definedName>
  </definedNames>
  <calcPr calcId="191029" iterate="1"/>
</workbook>
</file>

<file path=xl/calcChain.xml><?xml version="1.0" encoding="utf-8"?>
<calcChain xmlns="http://schemas.openxmlformats.org/spreadsheetml/2006/main">
  <c r="J12" i="81" l="1"/>
  <c r="I12" i="81"/>
  <c r="H12" i="81"/>
  <c r="G12" i="81"/>
  <c r="F12" i="81"/>
  <c r="E12" i="81"/>
  <c r="H7" i="59"/>
  <c r="L7" i="81" l="1"/>
  <c r="D7" i="71"/>
  <c r="D15" i="12"/>
  <c r="E6" i="84"/>
  <c r="F6" i="84" s="1"/>
  <c r="F7" i="84" s="1"/>
  <c r="D7" i="84"/>
  <c r="E7" i="84"/>
  <c r="B5" i="84"/>
  <c r="O17" i="70"/>
  <c r="S15" i="70"/>
  <c r="I6" i="70" s="1"/>
  <c r="P16" i="70"/>
  <c r="Q16" i="70" s="1"/>
  <c r="Q17" i="70" s="1"/>
  <c r="P13" i="70"/>
  <c r="Q13" i="70" s="1"/>
  <c r="R13" i="70" s="1"/>
  <c r="S13" i="70" s="1"/>
  <c r="T13" i="70" s="1"/>
  <c r="K16" i="70"/>
  <c r="K17" i="70"/>
  <c r="K19" i="70"/>
  <c r="K20" i="70"/>
  <c r="K21" i="70"/>
  <c r="K23" i="70"/>
  <c r="K24" i="70"/>
  <c r="K25" i="70"/>
  <c r="K26" i="70"/>
  <c r="K15" i="70"/>
  <c r="I27" i="70"/>
  <c r="G27" i="70"/>
  <c r="Q15" i="70" s="1"/>
  <c r="G6" i="70" s="1"/>
  <c r="E27" i="70"/>
  <c r="O15" i="70" s="1"/>
  <c r="F25" i="70"/>
  <c r="J24" i="70"/>
  <c r="D23" i="70"/>
  <c r="F23" i="70" s="1"/>
  <c r="F22" i="70"/>
  <c r="F27" i="70" s="1"/>
  <c r="P15" i="70" s="1"/>
  <c r="H18" i="70"/>
  <c r="K18" i="70" s="1"/>
  <c r="F6" i="70" l="1"/>
  <c r="O21" i="70"/>
  <c r="L6" i="70" s="1"/>
  <c r="E6" i="70"/>
  <c r="P17" i="70"/>
  <c r="P19" i="70" s="1"/>
  <c r="J18" i="70"/>
  <c r="J27" i="70" s="1"/>
  <c r="E15" i="12"/>
  <c r="H27" i="70"/>
  <c r="R15" i="70" s="1"/>
  <c r="H6" i="70" s="1"/>
  <c r="K22" i="70"/>
  <c r="K27" i="70" s="1"/>
  <c r="T15" i="70" s="1"/>
  <c r="J6" i="70" s="1"/>
  <c r="F15" i="12"/>
  <c r="O19" i="70"/>
  <c r="R16" i="70"/>
  <c r="R17" i="70" s="1"/>
  <c r="Q19" i="70"/>
  <c r="D27" i="70"/>
  <c r="D6" i="70" l="1"/>
  <c r="O14" i="70"/>
  <c r="R19" i="70"/>
  <c r="S16" i="70"/>
  <c r="S17" i="70" s="1"/>
  <c r="S19" i="70" l="1"/>
  <c r="T16" i="70"/>
  <c r="T19" i="70" s="1"/>
  <c r="O20" i="70" s="1"/>
  <c r="K6" i="70" s="1"/>
  <c r="F14" i="12" l="1"/>
  <c r="E14" i="12"/>
  <c r="F6" i="12"/>
  <c r="E6" i="12"/>
  <c r="F6" i="83"/>
  <c r="E6" i="83"/>
  <c r="E7" i="83" s="1"/>
  <c r="P17" i="83"/>
  <c r="K16" i="83"/>
  <c r="K17" i="83"/>
  <c r="K18" i="83"/>
  <c r="K19" i="83"/>
  <c r="K15" i="83"/>
  <c r="K20" i="83" s="1"/>
  <c r="U15" i="83" s="1"/>
  <c r="J6" i="83" s="1"/>
  <c r="J7" i="83" s="1"/>
  <c r="R15" i="83"/>
  <c r="G6" i="83" s="1"/>
  <c r="Q15" i="83"/>
  <c r="S15" i="83"/>
  <c r="H6" i="83" s="1"/>
  <c r="T15" i="83"/>
  <c r="I6" i="83" s="1"/>
  <c r="P15" i="83"/>
  <c r="Q16" i="83"/>
  <c r="Q17" i="83" s="1"/>
  <c r="Q19" i="83" s="1"/>
  <c r="R13" i="83"/>
  <c r="S13" i="83" s="1"/>
  <c r="T13" i="83" s="1"/>
  <c r="U13" i="83" s="1"/>
  <c r="Q13" i="83"/>
  <c r="D6" i="83"/>
  <c r="D7" i="83" s="1"/>
  <c r="D16" i="12" s="1"/>
  <c r="L7" i="83"/>
  <c r="F16" i="12" s="1"/>
  <c r="N105" i="81"/>
  <c r="N118" i="81"/>
  <c r="P117" i="81"/>
  <c r="P118" i="81" s="1"/>
  <c r="O117" i="81"/>
  <c r="O118" i="81" s="1"/>
  <c r="O114" i="81"/>
  <c r="P114" i="81" s="1"/>
  <c r="Q114" i="81" s="1"/>
  <c r="R114" i="81" s="1"/>
  <c r="S114" i="81" s="1"/>
  <c r="E197" i="81"/>
  <c r="K197" i="81" s="1"/>
  <c r="E196" i="81"/>
  <c r="K196" i="81" s="1"/>
  <c r="E195" i="81"/>
  <c r="K195" i="81" s="1"/>
  <c r="K194" i="81"/>
  <c r="E194" i="81"/>
  <c r="K193" i="81"/>
  <c r="K192" i="81"/>
  <c r="K191" i="81"/>
  <c r="K190" i="81"/>
  <c r="K189" i="81"/>
  <c r="K188" i="81"/>
  <c r="K187" i="81"/>
  <c r="K186" i="81"/>
  <c r="K185" i="81"/>
  <c r="K184" i="81"/>
  <c r="K183" i="81"/>
  <c r="K182" i="81"/>
  <c r="K181" i="81"/>
  <c r="K180" i="81"/>
  <c r="K179" i="81"/>
  <c r="K178" i="81"/>
  <c r="K177" i="81"/>
  <c r="K176" i="81"/>
  <c r="K175" i="81"/>
  <c r="K174" i="81"/>
  <c r="K173" i="81"/>
  <c r="K172" i="81"/>
  <c r="K171" i="81"/>
  <c r="K170" i="81"/>
  <c r="K169" i="81"/>
  <c r="K168" i="81"/>
  <c r="K167" i="81"/>
  <c r="K166" i="81"/>
  <c r="K165" i="81"/>
  <c r="K164" i="81"/>
  <c r="K163" i="81"/>
  <c r="K162" i="81"/>
  <c r="K161" i="81"/>
  <c r="K160" i="81"/>
  <c r="K159" i="81"/>
  <c r="K158" i="81"/>
  <c r="K157" i="81"/>
  <c r="K156" i="81"/>
  <c r="K155" i="81"/>
  <c r="K154" i="81"/>
  <c r="K153" i="81"/>
  <c r="K152" i="81"/>
  <c r="K151" i="81"/>
  <c r="K150" i="81"/>
  <c r="K149" i="81"/>
  <c r="K148" i="81"/>
  <c r="K147" i="81"/>
  <c r="K146" i="81"/>
  <c r="K145" i="81"/>
  <c r="K144" i="81"/>
  <c r="K143" i="81"/>
  <c r="K142" i="81"/>
  <c r="K141" i="81"/>
  <c r="K140" i="81"/>
  <c r="K139" i="81"/>
  <c r="K138" i="81"/>
  <c r="K137" i="81"/>
  <c r="K136" i="81"/>
  <c r="K135" i="81"/>
  <c r="K134" i="81"/>
  <c r="K133" i="81"/>
  <c r="K132" i="81"/>
  <c r="K131" i="81"/>
  <c r="K130" i="81"/>
  <c r="K129" i="81"/>
  <c r="K128" i="81"/>
  <c r="K127" i="81"/>
  <c r="K126" i="81"/>
  <c r="K125" i="81"/>
  <c r="K124" i="81"/>
  <c r="K123" i="81"/>
  <c r="K122" i="81"/>
  <c r="K121" i="81"/>
  <c r="K120" i="81"/>
  <c r="K119" i="81"/>
  <c r="K118" i="81"/>
  <c r="K117" i="81"/>
  <c r="K116" i="81"/>
  <c r="K115" i="81"/>
  <c r="K114" i="81"/>
  <c r="K113" i="81"/>
  <c r="J111" i="81"/>
  <c r="I111" i="81"/>
  <c r="I10" i="81" s="1"/>
  <c r="H111" i="81"/>
  <c r="H10" i="81" s="1"/>
  <c r="G111" i="81"/>
  <c r="G10" i="81" s="1"/>
  <c r="F111" i="81"/>
  <c r="F10" i="81" s="1"/>
  <c r="E111" i="81"/>
  <c r="E10" i="81" s="1"/>
  <c r="D111" i="81"/>
  <c r="N115" i="81" s="1"/>
  <c r="L9" i="81"/>
  <c r="H8" i="81"/>
  <c r="I8" i="81"/>
  <c r="O103" i="81"/>
  <c r="O107" i="81" s="1"/>
  <c r="P103" i="81"/>
  <c r="G8" i="81" s="1"/>
  <c r="Q103" i="81"/>
  <c r="R103" i="81"/>
  <c r="S103" i="81"/>
  <c r="J8" i="81" s="1"/>
  <c r="N103" i="81"/>
  <c r="N102" i="81"/>
  <c r="O104" i="81"/>
  <c r="O105" i="81" s="1"/>
  <c r="P101" i="81"/>
  <c r="Q101" i="81" s="1"/>
  <c r="R101" i="81" s="1"/>
  <c r="S101" i="81" s="1"/>
  <c r="O101" i="81"/>
  <c r="I22" i="81"/>
  <c r="H22" i="81"/>
  <c r="R22" i="81" s="1"/>
  <c r="G22" i="81"/>
  <c r="Q22" i="81" s="1"/>
  <c r="F22" i="81"/>
  <c r="G6" i="81" s="1"/>
  <c r="C22" i="81"/>
  <c r="D6" i="81" s="1"/>
  <c r="E22" i="81"/>
  <c r="O22" i="81" s="1"/>
  <c r="D8" i="81"/>
  <c r="K7" i="81"/>
  <c r="D7" i="81"/>
  <c r="N24" i="81"/>
  <c r="J97" i="81"/>
  <c r="J96" i="81"/>
  <c r="J95" i="81"/>
  <c r="J94" i="81"/>
  <c r="J93" i="81"/>
  <c r="J92" i="81"/>
  <c r="J91" i="81"/>
  <c r="J90" i="81"/>
  <c r="J89" i="81"/>
  <c r="J88" i="81"/>
  <c r="J87" i="81"/>
  <c r="J86" i="81"/>
  <c r="J85" i="81"/>
  <c r="J84" i="81"/>
  <c r="J83" i="81"/>
  <c r="J82" i="81"/>
  <c r="J81" i="81"/>
  <c r="J80" i="81"/>
  <c r="J79" i="81"/>
  <c r="J78" i="81"/>
  <c r="J77" i="81"/>
  <c r="J76" i="81"/>
  <c r="J75" i="81"/>
  <c r="J74" i="81"/>
  <c r="J73" i="81"/>
  <c r="J72" i="81"/>
  <c r="J71" i="81"/>
  <c r="J70" i="81"/>
  <c r="J69" i="81"/>
  <c r="J68" i="81"/>
  <c r="J67" i="81"/>
  <c r="J66" i="81"/>
  <c r="J65" i="81"/>
  <c r="J64" i="81"/>
  <c r="J63" i="81"/>
  <c r="J62" i="81"/>
  <c r="J61" i="81"/>
  <c r="J60" i="81"/>
  <c r="J59" i="81"/>
  <c r="J58" i="81"/>
  <c r="J57" i="81"/>
  <c r="J56" i="81"/>
  <c r="J55" i="81"/>
  <c r="J54" i="81"/>
  <c r="J53" i="81"/>
  <c r="J52" i="81"/>
  <c r="J51" i="81"/>
  <c r="J50" i="81"/>
  <c r="J49" i="81"/>
  <c r="J48" i="81"/>
  <c r="J47" i="81"/>
  <c r="J46" i="81"/>
  <c r="J45" i="81"/>
  <c r="J44" i="81"/>
  <c r="J43" i="81"/>
  <c r="J42" i="81"/>
  <c r="J41" i="81"/>
  <c r="J40" i="81"/>
  <c r="J39" i="81"/>
  <c r="J38" i="81"/>
  <c r="J37" i="81"/>
  <c r="J36" i="81"/>
  <c r="J35" i="81"/>
  <c r="J34" i="81"/>
  <c r="J33" i="81"/>
  <c r="J32" i="81"/>
  <c r="J31" i="81"/>
  <c r="J30" i="81"/>
  <c r="J29" i="81"/>
  <c r="J28" i="81"/>
  <c r="J27" i="81"/>
  <c r="J26" i="81"/>
  <c r="J25" i="81"/>
  <c r="J24" i="81"/>
  <c r="O23" i="81"/>
  <c r="O24" i="81" s="1"/>
  <c r="N22" i="81"/>
  <c r="O20" i="81"/>
  <c r="P20" i="81" s="1"/>
  <c r="Q20" i="81" s="1"/>
  <c r="R20" i="81" s="1"/>
  <c r="S20" i="81" s="1"/>
  <c r="K11" i="81"/>
  <c r="B5" i="81"/>
  <c r="X15" i="81"/>
  <c r="X14" i="81"/>
  <c r="X12" i="81"/>
  <c r="X5" i="81"/>
  <c r="X4" i="81"/>
  <c r="X3" i="81"/>
  <c r="N116" i="81" l="1"/>
  <c r="O116" i="81"/>
  <c r="O120" i="81" s="1"/>
  <c r="D10" i="81"/>
  <c r="D12" i="81"/>
  <c r="D13" i="12" s="1"/>
  <c r="F8" i="81"/>
  <c r="P104" i="81"/>
  <c r="N109" i="81"/>
  <c r="L8" i="81" s="1"/>
  <c r="K111" i="81"/>
  <c r="Q117" i="81"/>
  <c r="Q118" i="81" s="1"/>
  <c r="R116" i="81"/>
  <c r="R16" i="83"/>
  <c r="Q116" i="81"/>
  <c r="N120" i="81"/>
  <c r="P14" i="83"/>
  <c r="N28" i="81"/>
  <c r="L6" i="81" s="1"/>
  <c r="E8" i="81"/>
  <c r="P116" i="81"/>
  <c r="N107" i="81"/>
  <c r="P19" i="83"/>
  <c r="J22" i="81"/>
  <c r="S22" i="81" s="1"/>
  <c r="P120" i="81"/>
  <c r="R117" i="81"/>
  <c r="F6" i="81"/>
  <c r="E6" i="81"/>
  <c r="N21" i="81"/>
  <c r="H6" i="81"/>
  <c r="I6" i="81"/>
  <c r="P22" i="81"/>
  <c r="N26" i="81"/>
  <c r="O26" i="81"/>
  <c r="P23" i="81"/>
  <c r="P24" i="81" s="1"/>
  <c r="L11" i="81"/>
  <c r="J10" i="81" l="1"/>
  <c r="S116" i="81"/>
  <c r="S16" i="83"/>
  <c r="R17" i="83"/>
  <c r="R19" i="83" s="1"/>
  <c r="P105" i="81"/>
  <c r="P107" i="81" s="1"/>
  <c r="Q104" i="81"/>
  <c r="Q120" i="81"/>
  <c r="N122" i="81"/>
  <c r="L10" i="81" s="1"/>
  <c r="J6" i="81"/>
  <c r="R118" i="81"/>
  <c r="R120" i="81" s="1"/>
  <c r="S117" i="81"/>
  <c r="S120" i="81" s="1"/>
  <c r="Q23" i="81"/>
  <c r="Q24" i="81" s="1"/>
  <c r="P26" i="81"/>
  <c r="S17" i="83" l="1"/>
  <c r="S19" i="83" s="1"/>
  <c r="T16" i="83"/>
  <c r="Q105" i="81"/>
  <c r="Q107" i="81" s="1"/>
  <c r="R104" i="81"/>
  <c r="N121" i="81"/>
  <c r="K10" i="81"/>
  <c r="R23" i="81"/>
  <c r="R24" i="81" s="1"/>
  <c r="Q26" i="81"/>
  <c r="R105" i="81" l="1"/>
  <c r="R107" i="81" s="1"/>
  <c r="S104" i="81"/>
  <c r="S107" i="81" s="1"/>
  <c r="T17" i="83"/>
  <c r="T19" i="83" s="1"/>
  <c r="P20" i="83" s="1"/>
  <c r="K6" i="83" s="1"/>
  <c r="K7" i="83" s="1"/>
  <c r="E16" i="12" s="1"/>
  <c r="U16" i="83"/>
  <c r="U19" i="83" s="1"/>
  <c r="R26" i="81"/>
  <c r="S23" i="81"/>
  <c r="S26" i="81" s="1"/>
  <c r="N108" i="81" l="1"/>
  <c r="K8" i="81" s="1"/>
  <c r="N27" i="81"/>
  <c r="K6" i="81" s="1"/>
  <c r="K12" i="81" s="1"/>
  <c r="E13" i="12" s="1"/>
  <c r="L12" i="81" l="1"/>
  <c r="F13" i="12" s="1"/>
  <c r="F11" i="80" l="1"/>
  <c r="B3" i="82" l="1"/>
  <c r="E6" i="82"/>
  <c r="E7" i="82"/>
  <c r="D7" i="82"/>
  <c r="B5" i="82"/>
  <c r="S15" i="80"/>
  <c r="O17" i="80"/>
  <c r="P16" i="80"/>
  <c r="Q16" i="80" s="1"/>
  <c r="P13" i="80"/>
  <c r="Q13" i="80" s="1"/>
  <c r="R13" i="80" s="1"/>
  <c r="S13" i="80" s="1"/>
  <c r="T13" i="80" s="1"/>
  <c r="F6" i="80"/>
  <c r="F7" i="80" s="1"/>
  <c r="E6" i="80"/>
  <c r="E7" i="80" s="1"/>
  <c r="K18" i="80"/>
  <c r="K19" i="80"/>
  <c r="K20" i="80"/>
  <c r="K21" i="80"/>
  <c r="K22" i="80"/>
  <c r="K23" i="80"/>
  <c r="K24" i="80"/>
  <c r="K25" i="80"/>
  <c r="K26" i="80"/>
  <c r="K27" i="80"/>
  <c r="K28" i="80"/>
  <c r="K29" i="80"/>
  <c r="K30" i="80"/>
  <c r="K31" i="80"/>
  <c r="K32" i="80"/>
  <c r="K33" i="80"/>
  <c r="K34" i="80"/>
  <c r="K35" i="80"/>
  <c r="K36" i="80"/>
  <c r="K37" i="80"/>
  <c r="K38" i="80"/>
  <c r="K39" i="80"/>
  <c r="K40" i="80"/>
  <c r="K41" i="80"/>
  <c r="K42" i="80"/>
  <c r="K43" i="80"/>
  <c r="K44" i="80"/>
  <c r="K45" i="80"/>
  <c r="K46" i="80"/>
  <c r="K47" i="80"/>
  <c r="K48" i="80"/>
  <c r="K49" i="80"/>
  <c r="K50" i="80"/>
  <c r="K51" i="80"/>
  <c r="K52" i="80"/>
  <c r="K53" i="80"/>
  <c r="K54" i="80"/>
  <c r="K55" i="80"/>
  <c r="K56" i="80"/>
  <c r="K57" i="80"/>
  <c r="K58" i="80"/>
  <c r="K59" i="80"/>
  <c r="K60" i="80"/>
  <c r="K61" i="80"/>
  <c r="K62" i="80"/>
  <c r="K63" i="80"/>
  <c r="K64" i="80"/>
  <c r="K65" i="80"/>
  <c r="K66" i="80"/>
  <c r="K67" i="80"/>
  <c r="K68" i="80"/>
  <c r="K69" i="80"/>
  <c r="K70" i="80"/>
  <c r="K71" i="80"/>
  <c r="K72" i="80"/>
  <c r="K73" i="80"/>
  <c r="K74" i="80"/>
  <c r="K75" i="80"/>
  <c r="K76" i="80"/>
  <c r="K77" i="80"/>
  <c r="K78" i="80"/>
  <c r="K79" i="80"/>
  <c r="K80" i="80"/>
  <c r="K81" i="80"/>
  <c r="K82" i="80"/>
  <c r="K83" i="80"/>
  <c r="K84" i="80"/>
  <c r="K85" i="80"/>
  <c r="K86" i="80"/>
  <c r="K87" i="80"/>
  <c r="K88" i="80"/>
  <c r="K89" i="80"/>
  <c r="K90" i="80"/>
  <c r="K17" i="80"/>
  <c r="K15" i="80" s="1"/>
  <c r="J15" i="80"/>
  <c r="I15" i="80"/>
  <c r="I6" i="80" s="1"/>
  <c r="I7" i="80" s="1"/>
  <c r="H15" i="80"/>
  <c r="H6" i="80" s="1"/>
  <c r="H7" i="80" s="1"/>
  <c r="G15" i="80"/>
  <c r="G6" i="80" s="1"/>
  <c r="G7" i="80" s="1"/>
  <c r="F15" i="80"/>
  <c r="P15" i="80" s="1"/>
  <c r="E15" i="80"/>
  <c r="O15" i="80" s="1"/>
  <c r="O19" i="80" s="1"/>
  <c r="D15" i="80"/>
  <c r="D6" i="80" s="1"/>
  <c r="T15" i="80" l="1"/>
  <c r="J6" i="80"/>
  <c r="J7" i="80" s="1"/>
  <c r="R15" i="80"/>
  <c r="F6" i="82"/>
  <c r="F7" i="82" s="1"/>
  <c r="Q15" i="80"/>
  <c r="Q19" i="80" s="1"/>
  <c r="P17" i="80"/>
  <c r="P19" i="80" s="1"/>
  <c r="Q17" i="80"/>
  <c r="R16" i="80"/>
  <c r="R17" i="80" l="1"/>
  <c r="R19" i="80" s="1"/>
  <c r="S16" i="80"/>
  <c r="S17" i="80" l="1"/>
  <c r="S19" i="80" s="1"/>
  <c r="T16" i="80"/>
  <c r="T17" i="80" s="1"/>
  <c r="T19" i="80" s="1"/>
  <c r="O20" i="80" l="1"/>
  <c r="K6" i="80" s="1"/>
  <c r="K7" i="80" s="1"/>
  <c r="D7" i="80" l="1"/>
  <c r="O14" i="80" s="1"/>
  <c r="B5" i="80"/>
  <c r="B3" i="80"/>
  <c r="P17" i="79"/>
  <c r="Q17" i="79"/>
  <c r="Q19" i="79" s="1"/>
  <c r="O17" i="79"/>
  <c r="Q15" i="79"/>
  <c r="P15" i="79"/>
  <c r="Q16" i="79"/>
  <c r="R16" i="79" s="1"/>
  <c r="P16" i="79"/>
  <c r="P13" i="79"/>
  <c r="Q13" i="79" s="1"/>
  <c r="R13" i="79" s="1"/>
  <c r="S13" i="79" s="1"/>
  <c r="T13" i="79" s="1"/>
  <c r="H6" i="79"/>
  <c r="G6" i="79"/>
  <c r="G7" i="79" s="1"/>
  <c r="D6" i="79"/>
  <c r="I15" i="79"/>
  <c r="I16" i="79"/>
  <c r="I17" i="79"/>
  <c r="I18" i="79"/>
  <c r="I19" i="79"/>
  <c r="I20" i="79"/>
  <c r="I21" i="79"/>
  <c r="I22" i="79"/>
  <c r="I23" i="79"/>
  <c r="I24" i="79"/>
  <c r="I25" i="79"/>
  <c r="I26" i="79"/>
  <c r="I27" i="79"/>
  <c r="I28" i="79"/>
  <c r="I29" i="79"/>
  <c r="I30" i="79"/>
  <c r="I31" i="79"/>
  <c r="I32" i="79"/>
  <c r="I33" i="79"/>
  <c r="I34" i="79"/>
  <c r="I35" i="79"/>
  <c r="I36" i="79"/>
  <c r="I37" i="79"/>
  <c r="I38" i="79"/>
  <c r="I39" i="79"/>
  <c r="I40" i="79"/>
  <c r="I41" i="79"/>
  <c r="I42" i="79"/>
  <c r="I43" i="79"/>
  <c r="I44" i="79"/>
  <c r="I45" i="79"/>
  <c r="I46" i="79"/>
  <c r="I47" i="79"/>
  <c r="I48" i="79"/>
  <c r="I50" i="79"/>
  <c r="I52" i="79"/>
  <c r="I53" i="79"/>
  <c r="I54" i="79"/>
  <c r="I55" i="79"/>
  <c r="I56" i="79"/>
  <c r="I57" i="79"/>
  <c r="I14" i="79"/>
  <c r="C51" i="79"/>
  <c r="C12" i="79" s="1"/>
  <c r="O14" i="79" s="1"/>
  <c r="E49" i="79"/>
  <c r="I49" i="79" s="1"/>
  <c r="E47" i="79"/>
  <c r="J12" i="79"/>
  <c r="H12" i="79"/>
  <c r="S15" i="79" s="1"/>
  <c r="G12" i="79"/>
  <c r="R15" i="79" s="1"/>
  <c r="F12" i="79"/>
  <c r="E12" i="79"/>
  <c r="F6" i="79" s="1"/>
  <c r="D12" i="79"/>
  <c r="O15" i="79" s="1"/>
  <c r="O21" i="79" s="1"/>
  <c r="L6" i="79" s="1"/>
  <c r="D7" i="79"/>
  <c r="D19" i="12" s="1"/>
  <c r="B5" i="79"/>
  <c r="S16" i="79" l="1"/>
  <c r="S17" i="79" s="1"/>
  <c r="R17" i="79"/>
  <c r="I51" i="79"/>
  <c r="I12" i="79" s="1"/>
  <c r="P19" i="79"/>
  <c r="E6" i="79"/>
  <c r="I6" i="79"/>
  <c r="I7" i="79" s="1"/>
  <c r="O19" i="79"/>
  <c r="S19" i="79"/>
  <c r="T16" i="79"/>
  <c r="R19" i="79"/>
  <c r="J6" i="79" l="1"/>
  <c r="J7" i="79" s="1"/>
  <c r="T15" i="79"/>
  <c r="T19" i="79"/>
  <c r="O20" i="79"/>
  <c r="K6" i="79" s="1"/>
  <c r="L7" i="79" s="1"/>
  <c r="F19" i="12" s="1"/>
  <c r="L6" i="80"/>
  <c r="L7" i="80" s="1"/>
  <c r="H7" i="79"/>
  <c r="E7" i="79"/>
  <c r="F7" i="79"/>
  <c r="K7" i="79" l="1"/>
  <c r="E19" i="12" s="1"/>
  <c r="O20" i="76"/>
  <c r="P19" i="76"/>
  <c r="P20" i="76" s="1"/>
  <c r="P16" i="76"/>
  <c r="Q16" i="76" s="1"/>
  <c r="R16" i="76" s="1"/>
  <c r="S16" i="76" s="1"/>
  <c r="T16" i="76" s="1"/>
  <c r="G6" i="76"/>
  <c r="G7" i="76" s="1"/>
  <c r="E39" i="76"/>
  <c r="K19" i="76"/>
  <c r="K20" i="76"/>
  <c r="K21" i="76"/>
  <c r="K22" i="76"/>
  <c r="K23" i="76"/>
  <c r="K24" i="76"/>
  <c r="K25" i="76"/>
  <c r="K26" i="76"/>
  <c r="K27" i="76"/>
  <c r="K28" i="76"/>
  <c r="K29" i="76"/>
  <c r="K30" i="76"/>
  <c r="K31" i="76"/>
  <c r="K32" i="76"/>
  <c r="K33" i="76"/>
  <c r="K34" i="76"/>
  <c r="K35" i="76"/>
  <c r="K36" i="76"/>
  <c r="K37" i="76"/>
  <c r="K38" i="76"/>
  <c r="K39" i="76"/>
  <c r="K40" i="76"/>
  <c r="K41" i="76"/>
  <c r="K42" i="76"/>
  <c r="K43" i="76"/>
  <c r="K44" i="76"/>
  <c r="K45" i="76"/>
  <c r="K46" i="76"/>
  <c r="K47" i="76"/>
  <c r="K48" i="76"/>
  <c r="K49" i="76"/>
  <c r="K50" i="76"/>
  <c r="K51" i="76"/>
  <c r="K52" i="76"/>
  <c r="K53" i="76"/>
  <c r="K54" i="76"/>
  <c r="K55" i="76"/>
  <c r="K56" i="76"/>
  <c r="K57" i="76"/>
  <c r="K58" i="76"/>
  <c r="K59" i="76"/>
  <c r="K60" i="76"/>
  <c r="K61" i="76"/>
  <c r="K62" i="76"/>
  <c r="K63" i="76"/>
  <c r="K64" i="76"/>
  <c r="K65" i="76"/>
  <c r="K66" i="76"/>
  <c r="K67" i="76"/>
  <c r="K68" i="76"/>
  <c r="K69" i="76"/>
  <c r="K70" i="76"/>
  <c r="K71" i="76"/>
  <c r="K72" i="76"/>
  <c r="K73" i="76"/>
  <c r="K74" i="76"/>
  <c r="K75" i="76"/>
  <c r="K76" i="76"/>
  <c r="K77" i="76"/>
  <c r="K78" i="76"/>
  <c r="K79" i="76"/>
  <c r="K80" i="76"/>
  <c r="K81" i="76"/>
  <c r="K82" i="76"/>
  <c r="K83" i="76"/>
  <c r="K84" i="76"/>
  <c r="K85" i="76"/>
  <c r="K86" i="76"/>
  <c r="K87" i="76"/>
  <c r="K88" i="76"/>
  <c r="K89" i="76"/>
  <c r="K90" i="76"/>
  <c r="K91" i="76"/>
  <c r="K92" i="76"/>
  <c r="K93" i="76"/>
  <c r="K94" i="76"/>
  <c r="K95" i="76"/>
  <c r="K96" i="76"/>
  <c r="K97" i="76"/>
  <c r="K98" i="76"/>
  <c r="K99" i="76"/>
  <c r="K100" i="76"/>
  <c r="K101" i="76"/>
  <c r="K102" i="76"/>
  <c r="K103" i="76"/>
  <c r="K104" i="76"/>
  <c r="K105" i="76"/>
  <c r="K106" i="76"/>
  <c r="K107" i="76"/>
  <c r="K108" i="76"/>
  <c r="K109" i="76"/>
  <c r="K110" i="76"/>
  <c r="K111" i="76"/>
  <c r="K112" i="76"/>
  <c r="K113" i="76"/>
  <c r="K114" i="76"/>
  <c r="K115" i="76"/>
  <c r="K116" i="76"/>
  <c r="K117" i="76"/>
  <c r="K118" i="76"/>
  <c r="K119" i="76"/>
  <c r="K120" i="76"/>
  <c r="K121" i="76"/>
  <c r="K122" i="76"/>
  <c r="K123" i="76"/>
  <c r="K124" i="76"/>
  <c r="K125" i="76"/>
  <c r="K126" i="76"/>
  <c r="K127" i="76"/>
  <c r="K128" i="76"/>
  <c r="K129" i="76"/>
  <c r="K130" i="76"/>
  <c r="K131" i="76"/>
  <c r="K132" i="76"/>
  <c r="K133" i="76"/>
  <c r="K134" i="76"/>
  <c r="K135" i="76"/>
  <c r="K136" i="76"/>
  <c r="K137" i="76"/>
  <c r="K138" i="76"/>
  <c r="K139" i="76"/>
  <c r="K140" i="76"/>
  <c r="K141" i="76"/>
  <c r="K142" i="76"/>
  <c r="K143" i="76"/>
  <c r="K144" i="76"/>
  <c r="K145" i="76"/>
  <c r="K146" i="76"/>
  <c r="K147" i="76"/>
  <c r="K148" i="76"/>
  <c r="K149" i="76"/>
  <c r="K150" i="76"/>
  <c r="K151" i="76"/>
  <c r="K152" i="76"/>
  <c r="K153" i="76"/>
  <c r="K154" i="76"/>
  <c r="K155" i="76"/>
  <c r="K156" i="76"/>
  <c r="K157" i="76"/>
  <c r="K158" i="76"/>
  <c r="K159" i="76"/>
  <c r="K160" i="76"/>
  <c r="K161" i="76"/>
  <c r="K162" i="76"/>
  <c r="K163" i="76"/>
  <c r="K164" i="76"/>
  <c r="K165" i="76"/>
  <c r="K166" i="76"/>
  <c r="K167" i="76"/>
  <c r="K168" i="76"/>
  <c r="K169" i="76"/>
  <c r="K170" i="76"/>
  <c r="K171" i="76"/>
  <c r="K172" i="76"/>
  <c r="K173" i="76"/>
  <c r="K18" i="76"/>
  <c r="L15" i="76"/>
  <c r="E15" i="76"/>
  <c r="O17" i="76" s="1"/>
  <c r="J15" i="76"/>
  <c r="S18" i="76" s="1"/>
  <c r="I15" i="76"/>
  <c r="R18" i="76" s="1"/>
  <c r="H15" i="76"/>
  <c r="Q18" i="76" s="1"/>
  <c r="G15" i="76"/>
  <c r="F6" i="76" s="1"/>
  <c r="F15" i="76"/>
  <c r="O18" i="76" s="1"/>
  <c r="H6" i="76" l="1"/>
  <c r="H7" i="76" s="1"/>
  <c r="Q19" i="76"/>
  <c r="O22" i="76"/>
  <c r="P18" i="76"/>
  <c r="P22" i="76" s="1"/>
  <c r="E6" i="76"/>
  <c r="I6" i="76"/>
  <c r="K15" i="76"/>
  <c r="I7" i="76"/>
  <c r="R19" i="76" l="1"/>
  <c r="Q20" i="76"/>
  <c r="Q22" i="76" s="1"/>
  <c r="J6" i="76"/>
  <c r="J7" i="76" s="1"/>
  <c r="T18" i="76"/>
  <c r="T22" i="76" s="1"/>
  <c r="O24" i="76"/>
  <c r="L6" i="76" s="1"/>
  <c r="J6" i="56"/>
  <c r="R20" i="76" l="1"/>
  <c r="R22" i="76" s="1"/>
  <c r="S19" i="76"/>
  <c r="D7" i="78"/>
  <c r="I6" i="56"/>
  <c r="S20" i="76" l="1"/>
  <c r="S22" i="76" s="1"/>
  <c r="O23" i="76" s="1"/>
  <c r="K6" i="76" s="1"/>
  <c r="T19" i="76"/>
  <c r="L7" i="76"/>
  <c r="F20" i="12" s="1"/>
  <c r="K7" i="76"/>
  <c r="E20" i="12" s="1"/>
  <c r="F6" i="78"/>
  <c r="E6" i="78"/>
  <c r="E10" i="78" s="1"/>
  <c r="D6" i="78"/>
  <c r="D10" i="78" s="1"/>
  <c r="F7" i="78"/>
  <c r="F10" i="78" s="1"/>
  <c r="E7" i="78"/>
  <c r="B5" i="78"/>
  <c r="H6" i="77" l="1"/>
  <c r="H7" i="77"/>
  <c r="H8" i="77"/>
  <c r="H9" i="77"/>
  <c r="H11" i="77"/>
  <c r="H12" i="77"/>
  <c r="H14" i="77"/>
  <c r="H15" i="77"/>
  <c r="H16" i="77"/>
  <c r="H17" i="77"/>
  <c r="H18" i="77"/>
  <c r="H20" i="77"/>
  <c r="H21" i="77"/>
  <c r="H22" i="77"/>
  <c r="G23" i="77"/>
  <c r="H23" i="77"/>
  <c r="I23" i="77" s="1"/>
  <c r="J25" i="77" s="1"/>
  <c r="G185" i="63"/>
  <c r="H184" i="63"/>
  <c r="H185" i="63" s="1"/>
  <c r="H181" i="63"/>
  <c r="I181" i="63" s="1"/>
  <c r="J181" i="63" s="1"/>
  <c r="K181" i="63" s="1"/>
  <c r="L181" i="63" s="1"/>
  <c r="I184" i="63" l="1"/>
  <c r="J184" i="63" s="1"/>
  <c r="J185" i="63" s="1"/>
  <c r="I185" i="63"/>
  <c r="K184" i="63" l="1"/>
  <c r="K185" i="63" s="1"/>
  <c r="L184" i="63" l="1"/>
  <c r="K178" i="63" l="1"/>
  <c r="J178" i="63"/>
  <c r="F177" i="63"/>
  <c r="L177" i="63" s="1"/>
  <c r="F176" i="63"/>
  <c r="L176" i="63" s="1"/>
  <c r="F175" i="63"/>
  <c r="F174" i="63"/>
  <c r="F173" i="63"/>
  <c r="F172" i="63"/>
  <c r="L172" i="63" s="1"/>
  <c r="F171" i="63"/>
  <c r="L171" i="63" s="1"/>
  <c r="F170" i="63"/>
  <c r="F169" i="63"/>
  <c r="L169" i="63" s="1"/>
  <c r="F168" i="63"/>
  <c r="L168" i="63" s="1"/>
  <c r="F167" i="63"/>
  <c r="L167" i="63" s="1"/>
  <c r="F166" i="63"/>
  <c r="L166" i="63" s="1"/>
  <c r="F165" i="63"/>
  <c r="L165" i="63" s="1"/>
  <c r="F164" i="63"/>
  <c r="L164" i="63" s="1"/>
  <c r="F163" i="63"/>
  <c r="L163" i="63" s="1"/>
  <c r="F162" i="63"/>
  <c r="L162" i="63" s="1"/>
  <c r="F161" i="63"/>
  <c r="F160" i="63"/>
  <c r="F159" i="63"/>
  <c r="F158" i="63"/>
  <c r="L158" i="63" s="1"/>
  <c r="F157" i="63"/>
  <c r="F156" i="63"/>
  <c r="F155" i="63"/>
  <c r="F154" i="63"/>
  <c r="L154" i="63" s="1"/>
  <c r="F153" i="63"/>
  <c r="L153" i="63" s="1"/>
  <c r="F152" i="63"/>
  <c r="F151" i="63"/>
  <c r="F150" i="63"/>
  <c r="F149" i="63"/>
  <c r="F148" i="63"/>
  <c r="F147" i="63"/>
  <c r="L147" i="63" s="1"/>
  <c r="F146" i="63"/>
  <c r="L146" i="63" s="1"/>
  <c r="F145" i="63"/>
  <c r="L145" i="63" s="1"/>
  <c r="F144" i="63"/>
  <c r="L144" i="63" s="1"/>
  <c r="F143" i="63"/>
  <c r="L143" i="63" s="1"/>
  <c r="F142" i="63"/>
  <c r="F141" i="63"/>
  <c r="F140" i="63"/>
  <c r="F139" i="63"/>
  <c r="F138" i="63"/>
  <c r="F137" i="63"/>
  <c r="F136" i="63"/>
  <c r="F135" i="63"/>
  <c r="F134" i="63"/>
  <c r="F133" i="63"/>
  <c r="F132" i="63"/>
  <c r="F131" i="63"/>
  <c r="F130" i="63"/>
  <c r="L130" i="63" s="1"/>
  <c r="F129" i="63"/>
  <c r="L129" i="63" s="1"/>
  <c r="F128" i="63"/>
  <c r="F127" i="63"/>
  <c r="L127" i="63" s="1"/>
  <c r="F126" i="63"/>
  <c r="L126" i="63" s="1"/>
  <c r="F125" i="63"/>
  <c r="F124" i="63"/>
  <c r="F123" i="63"/>
  <c r="F122" i="63"/>
  <c r="L122" i="63" s="1"/>
  <c r="F121" i="63"/>
  <c r="L121" i="63" s="1"/>
  <c r="F120" i="63"/>
  <c r="F119" i="63"/>
  <c r="F118" i="63"/>
  <c r="F117" i="63"/>
  <c r="F116" i="63"/>
  <c r="F115" i="63"/>
  <c r="F114" i="63"/>
  <c r="F113" i="63"/>
  <c r="F112" i="63"/>
  <c r="F111" i="63"/>
  <c r="F110" i="63"/>
  <c r="F109" i="63"/>
  <c r="F108" i="63"/>
  <c r="F107" i="63"/>
  <c r="F106" i="63"/>
  <c r="F105" i="63"/>
  <c r="F104" i="63"/>
  <c r="F103" i="63"/>
  <c r="F102" i="63"/>
  <c r="F101" i="63"/>
  <c r="F100" i="63"/>
  <c r="F99" i="63"/>
  <c r="F98" i="63"/>
  <c r="F97" i="63"/>
  <c r="F96" i="63"/>
  <c r="F95" i="63"/>
  <c r="F94" i="63"/>
  <c r="F93" i="63"/>
  <c r="F92" i="63"/>
  <c r="F91" i="63"/>
  <c r="F90" i="63"/>
  <c r="F89" i="63"/>
  <c r="F88" i="63"/>
  <c r="F87" i="63"/>
  <c r="F86" i="63"/>
  <c r="F85" i="63"/>
  <c r="F84" i="63"/>
  <c r="L84" i="63" s="1"/>
  <c r="F83" i="63"/>
  <c r="F82" i="63"/>
  <c r="F81" i="63"/>
  <c r="F80" i="63"/>
  <c r="F79" i="63"/>
  <c r="F78" i="63"/>
  <c r="F77" i="63"/>
  <c r="F76" i="63"/>
  <c r="F75" i="63"/>
  <c r="F74" i="63"/>
  <c r="F73" i="63"/>
  <c r="F72" i="63"/>
  <c r="F71" i="63"/>
  <c r="F70" i="63"/>
  <c r="F69" i="63"/>
  <c r="F68" i="63"/>
  <c r="F67" i="63"/>
  <c r="F66" i="63"/>
  <c r="F65" i="63"/>
  <c r="F64" i="63"/>
  <c r="F63" i="63"/>
  <c r="F62" i="63"/>
  <c r="F61" i="63"/>
  <c r="L61" i="63" s="1"/>
  <c r="I60" i="63"/>
  <c r="F60" i="63"/>
  <c r="F59" i="63"/>
  <c r="G59" i="63" s="1"/>
  <c r="F58" i="63"/>
  <c r="L58" i="63" s="1"/>
  <c r="F57" i="63"/>
  <c r="F56" i="63"/>
  <c r="H55" i="63"/>
  <c r="F55" i="63"/>
  <c r="F54" i="63"/>
  <c r="L54" i="63" s="1"/>
  <c r="F53" i="63"/>
  <c r="L53" i="63" s="1"/>
  <c r="F52" i="63"/>
  <c r="L52" i="63" s="1"/>
  <c r="F51" i="63"/>
  <c r="L51" i="63" s="1"/>
  <c r="F50" i="63"/>
  <c r="F49" i="63"/>
  <c r="F48" i="63"/>
  <c r="F47" i="63"/>
  <c r="F46" i="63"/>
  <c r="F45" i="63"/>
  <c r="F44" i="63"/>
  <c r="L44" i="63" s="1"/>
  <c r="F43" i="63"/>
  <c r="L43" i="63" s="1"/>
  <c r="F42" i="63"/>
  <c r="F41" i="63"/>
  <c r="H41" i="63" s="1"/>
  <c r="F40" i="63"/>
  <c r="L40" i="63" s="1"/>
  <c r="F39" i="63"/>
  <c r="L39" i="63" s="1"/>
  <c r="F38" i="63"/>
  <c r="F37" i="63"/>
  <c r="F36" i="63"/>
  <c r="F35" i="63"/>
  <c r="L35" i="63" s="1"/>
  <c r="F34" i="63"/>
  <c r="L34" i="63" s="1"/>
  <c r="F33" i="63"/>
  <c r="F32" i="63"/>
  <c r="G32" i="63" s="1"/>
  <c r="G178" i="63" s="1"/>
  <c r="F31" i="63"/>
  <c r="L31" i="63" s="1"/>
  <c r="F30" i="63"/>
  <c r="F29" i="63"/>
  <c r="L29" i="63" s="1"/>
  <c r="F28" i="63"/>
  <c r="F27" i="63"/>
  <c r="L27" i="63" s="1"/>
  <c r="F26" i="63"/>
  <c r="L26" i="63" s="1"/>
  <c r="F25" i="63"/>
  <c r="F24" i="63"/>
  <c r="F23" i="63"/>
  <c r="L23" i="63" s="1"/>
  <c r="F22" i="63"/>
  <c r="L22" i="63" s="1"/>
  <c r="M19" i="63"/>
  <c r="G183" i="63" l="1"/>
  <c r="E7" i="63"/>
  <c r="J183" i="63"/>
  <c r="J187" i="63" s="1"/>
  <c r="H7" i="63"/>
  <c r="K183" i="63"/>
  <c r="K187" i="63" s="1"/>
  <c r="I7" i="63"/>
  <c r="L55" i="63"/>
  <c r="L178" i="63" s="1"/>
  <c r="J7" i="63" s="1"/>
  <c r="J8" i="63" s="1"/>
  <c r="H178" i="63"/>
  <c r="F178" i="63"/>
  <c r="L60" i="63"/>
  <c r="I178" i="63"/>
  <c r="G187" i="63" l="1"/>
  <c r="I183" i="63"/>
  <c r="I187" i="63" s="1"/>
  <c r="G7" i="63"/>
  <c r="H183" i="63"/>
  <c r="H187" i="63" s="1"/>
  <c r="F7" i="63"/>
  <c r="G182" i="63"/>
  <c r="D7" i="63"/>
  <c r="G189" i="63" l="1"/>
  <c r="L7" i="63" s="1"/>
  <c r="L183" i="63"/>
  <c r="F351" i="63"/>
  <c r="G351" i="63"/>
  <c r="H351" i="63"/>
  <c r="I351" i="63"/>
  <c r="E351" i="63"/>
  <c r="G188" i="63" l="1"/>
  <c r="K7" i="63" s="1"/>
  <c r="L187" i="63"/>
  <c r="D6" i="76"/>
  <c r="D7" i="76" l="1"/>
  <c r="D20" i="12" s="1"/>
  <c r="F7" i="76" l="1"/>
  <c r="E7" i="76"/>
  <c r="Q5" i="70" l="1"/>
  <c r="V40" i="75"/>
  <c r="V41" i="75" s="1"/>
  <c r="V6" i="75" s="1"/>
  <c r="O38" i="75"/>
  <c r="O39" i="75" s="1"/>
  <c r="O6" i="75" s="1"/>
  <c r="W36" i="75"/>
  <c r="D34" i="75"/>
  <c r="K33" i="75"/>
  <c r="K34" i="75" s="1"/>
  <c r="P32" i="75"/>
  <c r="F28" i="75"/>
  <c r="T11" i="75"/>
  <c r="L11" i="75"/>
  <c r="B11" i="75"/>
  <c r="U7" i="75"/>
  <c r="W7" i="75" s="1"/>
  <c r="N7" i="75"/>
  <c r="P7" i="75" s="1"/>
  <c r="D7" i="75"/>
  <c r="F7" i="75" s="1"/>
  <c r="W6" i="75"/>
  <c r="P6" i="75"/>
  <c r="F6" i="75"/>
  <c r="E6" i="75"/>
  <c r="C3" i="75"/>
  <c r="X36" i="75" s="1"/>
  <c r="K43" i="74"/>
  <c r="E6" i="74" s="1"/>
  <c r="D43" i="74"/>
  <c r="C3" i="74" s="1"/>
  <c r="G37" i="74" s="1"/>
  <c r="K42" i="74"/>
  <c r="F37" i="74"/>
  <c r="L13" i="74"/>
  <c r="D7" i="74"/>
  <c r="F7" i="74" s="1"/>
  <c r="F6" i="74"/>
  <c r="X6" i="75" l="1"/>
  <c r="O7" i="75"/>
  <c r="Q6" i="75"/>
  <c r="E7" i="75"/>
  <c r="G6" i="75"/>
  <c r="V7" i="75"/>
  <c r="D8" i="75"/>
  <c r="N8" i="75"/>
  <c r="U8" i="75"/>
  <c r="G28" i="75"/>
  <c r="Q32" i="75"/>
  <c r="D8" i="74"/>
  <c r="E7" i="74"/>
  <c r="G6" i="74"/>
  <c r="W8" i="75" l="1"/>
  <c r="U9" i="75"/>
  <c r="P8" i="75"/>
  <c r="N9" i="75"/>
  <c r="O8" i="75"/>
  <c r="Q7" i="75"/>
  <c r="F8" i="75"/>
  <c r="D9" i="75"/>
  <c r="E8" i="75"/>
  <c r="G7" i="75"/>
  <c r="V8" i="75"/>
  <c r="X7" i="75"/>
  <c r="F8" i="74"/>
  <c r="D9" i="74"/>
  <c r="G7" i="74"/>
  <c r="E8" i="74"/>
  <c r="E9" i="75" l="1"/>
  <c r="G8" i="75"/>
  <c r="O9" i="75"/>
  <c r="Q8" i="75"/>
  <c r="V9" i="75"/>
  <c r="X8" i="75"/>
  <c r="W9" i="75"/>
  <c r="U10" i="75"/>
  <c r="F9" i="75"/>
  <c r="D10" i="75"/>
  <c r="P9" i="75"/>
  <c r="N10" i="75"/>
  <c r="F9" i="74"/>
  <c r="D10" i="74"/>
  <c r="G8" i="74"/>
  <c r="E9" i="74"/>
  <c r="E10" i="75" l="1"/>
  <c r="G9" i="75"/>
  <c r="W10" i="75"/>
  <c r="U11" i="75"/>
  <c r="F10" i="75"/>
  <c r="D11" i="75"/>
  <c r="O10" i="75"/>
  <c r="Q9" i="75"/>
  <c r="N11" i="75"/>
  <c r="P10" i="75"/>
  <c r="V10" i="75"/>
  <c r="X9" i="75"/>
  <c r="F10" i="74"/>
  <c r="D11" i="74"/>
  <c r="G9" i="74"/>
  <c r="E10" i="74"/>
  <c r="D12" i="75" l="1"/>
  <c r="F11" i="75"/>
  <c r="P11" i="75"/>
  <c r="N12" i="75"/>
  <c r="O11" i="75"/>
  <c r="Q10" i="75"/>
  <c r="V11" i="75"/>
  <c r="X10" i="75"/>
  <c r="W11" i="75"/>
  <c r="U12" i="75"/>
  <c r="E11" i="75"/>
  <c r="G10" i="75"/>
  <c r="G10" i="74"/>
  <c r="E11" i="74"/>
  <c r="F11" i="74"/>
  <c r="D12" i="74"/>
  <c r="W12" i="75" l="1"/>
  <c r="U13" i="75"/>
  <c r="E12" i="75"/>
  <c r="G11" i="75"/>
  <c r="X11" i="75"/>
  <c r="V12" i="75"/>
  <c r="Q11" i="75"/>
  <c r="O12" i="75"/>
  <c r="F12" i="75"/>
  <c r="D13" i="75"/>
  <c r="P12" i="75"/>
  <c r="N13" i="75"/>
  <c r="G11" i="74"/>
  <c r="E12" i="74"/>
  <c r="F12" i="74"/>
  <c r="D13" i="74"/>
  <c r="F13" i="75" l="1"/>
  <c r="D14" i="75"/>
  <c r="X12" i="75"/>
  <c r="V13" i="75"/>
  <c r="G12" i="75"/>
  <c r="E13" i="75"/>
  <c r="P13" i="75"/>
  <c r="N14" i="75"/>
  <c r="Q12" i="75"/>
  <c r="O13" i="75"/>
  <c r="W13" i="75"/>
  <c r="U14" i="75"/>
  <c r="D14" i="74"/>
  <c r="F13" i="74"/>
  <c r="G12" i="74"/>
  <c r="E13" i="74"/>
  <c r="P14" i="75" l="1"/>
  <c r="N15" i="75"/>
  <c r="Q13" i="75"/>
  <c r="O14" i="75"/>
  <c r="G13" i="75"/>
  <c r="E14" i="75"/>
  <c r="F14" i="75"/>
  <c r="D15" i="75"/>
  <c r="W14" i="75"/>
  <c r="U15" i="75"/>
  <c r="X13" i="75"/>
  <c r="V14" i="75"/>
  <c r="G13" i="74"/>
  <c r="E14" i="74"/>
  <c r="F14" i="74"/>
  <c r="D15" i="74"/>
  <c r="X14" i="75" l="1"/>
  <c r="V15" i="75"/>
  <c r="F15" i="75"/>
  <c r="D16" i="75"/>
  <c r="Q14" i="75"/>
  <c r="O15" i="75"/>
  <c r="G14" i="75"/>
  <c r="E15" i="75"/>
  <c r="P15" i="75"/>
  <c r="N16" i="75"/>
  <c r="W15" i="75"/>
  <c r="U16" i="75"/>
  <c r="F15" i="74"/>
  <c r="D16" i="74"/>
  <c r="E15" i="74"/>
  <c r="G14" i="74"/>
  <c r="F16" i="75" l="1"/>
  <c r="D17" i="75"/>
  <c r="G15" i="75"/>
  <c r="E16" i="75"/>
  <c r="P16" i="75"/>
  <c r="N17" i="75"/>
  <c r="Q15" i="75"/>
  <c r="O16" i="75"/>
  <c r="X15" i="75"/>
  <c r="V16" i="75"/>
  <c r="W16" i="75"/>
  <c r="U17" i="75"/>
  <c r="E16" i="74"/>
  <c r="G15" i="74"/>
  <c r="F16" i="74"/>
  <c r="D17" i="74"/>
  <c r="Q16" i="75" l="1"/>
  <c r="O17" i="75"/>
  <c r="G16" i="75"/>
  <c r="E17" i="75"/>
  <c r="P17" i="75"/>
  <c r="N18" i="75"/>
  <c r="W17" i="75"/>
  <c r="U18" i="75"/>
  <c r="X16" i="75"/>
  <c r="V17" i="75"/>
  <c r="F17" i="75"/>
  <c r="D18" i="75"/>
  <c r="F17" i="74"/>
  <c r="D18" i="74"/>
  <c r="E17" i="74"/>
  <c r="G16" i="74"/>
  <c r="W18" i="75" l="1"/>
  <c r="U19" i="75"/>
  <c r="F18" i="75"/>
  <c r="D19" i="75"/>
  <c r="G17" i="75"/>
  <c r="E18" i="75"/>
  <c r="P18" i="75"/>
  <c r="N19" i="75"/>
  <c r="Q17" i="75"/>
  <c r="O18" i="75"/>
  <c r="X17" i="75"/>
  <c r="V18" i="75"/>
  <c r="F18" i="74"/>
  <c r="D19" i="74"/>
  <c r="E18" i="74"/>
  <c r="G17" i="74"/>
  <c r="X18" i="75" l="1"/>
  <c r="V19" i="75"/>
  <c r="P19" i="75"/>
  <c r="N20" i="75"/>
  <c r="G18" i="75"/>
  <c r="E19" i="75"/>
  <c r="W19" i="75"/>
  <c r="U20" i="75"/>
  <c r="F19" i="75"/>
  <c r="D20" i="75"/>
  <c r="Q18" i="75"/>
  <c r="O19" i="75"/>
  <c r="F19" i="74"/>
  <c r="D20" i="74"/>
  <c r="E19" i="74"/>
  <c r="G18" i="74"/>
  <c r="Q19" i="75" l="1"/>
  <c r="O20" i="75"/>
  <c r="W20" i="75"/>
  <c r="U21" i="75"/>
  <c r="F20" i="75"/>
  <c r="D21" i="75"/>
  <c r="G19" i="75"/>
  <c r="E20" i="75"/>
  <c r="X19" i="75"/>
  <c r="V20" i="75"/>
  <c r="P20" i="75"/>
  <c r="N21" i="75"/>
  <c r="E20" i="74"/>
  <c r="G19" i="74"/>
  <c r="F20" i="74"/>
  <c r="D21" i="74"/>
  <c r="P21" i="75" l="1"/>
  <c r="N22" i="75"/>
  <c r="G20" i="75"/>
  <c r="E21" i="75"/>
  <c r="F21" i="75"/>
  <c r="D22" i="75"/>
  <c r="Q20" i="75"/>
  <c r="O21" i="75"/>
  <c r="W21" i="75"/>
  <c r="U22" i="75"/>
  <c r="X20" i="75"/>
  <c r="V21" i="75"/>
  <c r="F21" i="74"/>
  <c r="D22" i="74"/>
  <c r="E21" i="74"/>
  <c r="G20" i="74"/>
  <c r="W22" i="75" l="1"/>
  <c r="U23" i="75"/>
  <c r="X21" i="75"/>
  <c r="V22" i="75"/>
  <c r="Q21" i="75"/>
  <c r="O22" i="75"/>
  <c r="G21" i="75"/>
  <c r="E22" i="75"/>
  <c r="F22" i="75"/>
  <c r="D23" i="75"/>
  <c r="P22" i="75"/>
  <c r="N23" i="75"/>
  <c r="E22" i="74"/>
  <c r="G21" i="74"/>
  <c r="F22" i="74"/>
  <c r="D23" i="74"/>
  <c r="F23" i="75" l="1"/>
  <c r="D24" i="75"/>
  <c r="P23" i="75"/>
  <c r="N24" i="75"/>
  <c r="G22" i="75"/>
  <c r="E23" i="75"/>
  <c r="X22" i="75"/>
  <c r="V23" i="75"/>
  <c r="Q22" i="75"/>
  <c r="O23" i="75"/>
  <c r="W23" i="75"/>
  <c r="U24" i="75"/>
  <c r="F23" i="74"/>
  <c r="D24" i="74"/>
  <c r="E23" i="74"/>
  <c r="G22" i="74"/>
  <c r="W24" i="75" l="1"/>
  <c r="U25" i="75"/>
  <c r="X23" i="75"/>
  <c r="V24" i="75"/>
  <c r="Q23" i="75"/>
  <c r="O24" i="75"/>
  <c r="G23" i="75"/>
  <c r="E24" i="75"/>
  <c r="F24" i="75"/>
  <c r="D25" i="75"/>
  <c r="P24" i="75"/>
  <c r="N25" i="75"/>
  <c r="E24" i="74"/>
  <c r="G23" i="74"/>
  <c r="F24" i="74"/>
  <c r="D25" i="74"/>
  <c r="P25" i="75" l="1"/>
  <c r="N26" i="75"/>
  <c r="X24" i="75"/>
  <c r="V25" i="75"/>
  <c r="F25" i="75"/>
  <c r="D26" i="75"/>
  <c r="Q24" i="75"/>
  <c r="O25" i="75"/>
  <c r="W25" i="75"/>
  <c r="U26" i="75"/>
  <c r="G24" i="75"/>
  <c r="E25" i="75"/>
  <c r="F25" i="74"/>
  <c r="D26" i="74"/>
  <c r="E25" i="74"/>
  <c r="G24" i="74"/>
  <c r="Q25" i="75" l="1"/>
  <c r="O26" i="75"/>
  <c r="X25" i="75"/>
  <c r="V26" i="75"/>
  <c r="F26" i="75"/>
  <c r="D27" i="75"/>
  <c r="F27" i="75" s="1"/>
  <c r="P26" i="75"/>
  <c r="N27" i="75"/>
  <c r="G25" i="75"/>
  <c r="E26" i="75"/>
  <c r="W26" i="75"/>
  <c r="U27" i="75"/>
  <c r="E26" i="74"/>
  <c r="G25" i="74"/>
  <c r="F26" i="74"/>
  <c r="D27" i="74"/>
  <c r="U28" i="75" l="1"/>
  <c r="W27" i="75"/>
  <c r="Q26" i="75"/>
  <c r="O27" i="75"/>
  <c r="N28" i="75"/>
  <c r="P27" i="75"/>
  <c r="X26" i="75"/>
  <c r="V27" i="75"/>
  <c r="G26" i="75"/>
  <c r="E27" i="75"/>
  <c r="F27" i="74"/>
  <c r="D28" i="74"/>
  <c r="E27" i="74"/>
  <c r="G26" i="74"/>
  <c r="V28" i="75" l="1"/>
  <c r="X27" i="75"/>
  <c r="O28" i="75"/>
  <c r="Q27" i="75"/>
  <c r="G27" i="75"/>
  <c r="G29" i="75" s="1"/>
  <c r="E29" i="75"/>
  <c r="N29" i="75"/>
  <c r="P28" i="75"/>
  <c r="U29" i="75"/>
  <c r="W28" i="75"/>
  <c r="E28" i="74"/>
  <c r="G27" i="74"/>
  <c r="F28" i="74"/>
  <c r="D29" i="74"/>
  <c r="P29" i="75" l="1"/>
  <c r="N30" i="75"/>
  <c r="O29" i="75"/>
  <c r="Q28" i="75"/>
  <c r="W29" i="75"/>
  <c r="U30" i="75"/>
  <c r="D36" i="75"/>
  <c r="V29" i="75"/>
  <c r="X28" i="75"/>
  <c r="E29" i="74"/>
  <c r="G28" i="74"/>
  <c r="F29" i="74"/>
  <c r="D30" i="74"/>
  <c r="Q29" i="75" l="1"/>
  <c r="O30" i="75"/>
  <c r="N31" i="75"/>
  <c r="P31" i="75" s="1"/>
  <c r="P30" i="75"/>
  <c r="D37" i="75"/>
  <c r="D38" i="75"/>
  <c r="F38" i="75" s="1"/>
  <c r="W30" i="75"/>
  <c r="U31" i="75"/>
  <c r="X29" i="75"/>
  <c r="V30" i="75"/>
  <c r="E30" i="74"/>
  <c r="G29" i="74"/>
  <c r="F30" i="74"/>
  <c r="D31" i="74"/>
  <c r="U32" i="75" l="1"/>
  <c r="W31" i="75"/>
  <c r="Q30" i="75"/>
  <c r="O31" i="75"/>
  <c r="X30" i="75"/>
  <c r="V31" i="75"/>
  <c r="F31" i="74"/>
  <c r="D32" i="74"/>
  <c r="E31" i="74"/>
  <c r="G30" i="74"/>
  <c r="Q31" i="75" l="1"/>
  <c r="Q33" i="75" s="1"/>
  <c r="O33" i="75"/>
  <c r="V32" i="75"/>
  <c r="X31" i="75"/>
  <c r="W32" i="75"/>
  <c r="U33" i="75"/>
  <c r="E32" i="74"/>
  <c r="G31" i="74"/>
  <c r="F32" i="74"/>
  <c r="D33" i="74"/>
  <c r="V33" i="75" l="1"/>
  <c r="X32" i="75"/>
  <c r="U34" i="75"/>
  <c r="W33" i="75"/>
  <c r="F33" i="74"/>
  <c r="D34" i="74"/>
  <c r="E33" i="74"/>
  <c r="G32" i="74"/>
  <c r="U35" i="75" l="1"/>
  <c r="W35" i="75" s="1"/>
  <c r="W34" i="75"/>
  <c r="V34" i="75"/>
  <c r="X33" i="75"/>
  <c r="F34" i="74"/>
  <c r="D35" i="74"/>
  <c r="E34" i="74"/>
  <c r="G33" i="74"/>
  <c r="X34" i="75" l="1"/>
  <c r="V35" i="75"/>
  <c r="F35" i="74"/>
  <c r="D36" i="74"/>
  <c r="F36" i="74" s="1"/>
  <c r="E35" i="74"/>
  <c r="G34" i="74"/>
  <c r="X35" i="75" l="1"/>
  <c r="X37" i="75" s="1"/>
  <c r="I40" i="75" s="1"/>
  <c r="H8" i="59" s="1"/>
  <c r="V37" i="75"/>
  <c r="E36" i="74"/>
  <c r="G35" i="74"/>
  <c r="G36" i="74" l="1"/>
  <c r="G38" i="74" s="1"/>
  <c r="E38" i="74"/>
  <c r="D45" i="74" l="1"/>
  <c r="H9" i="59"/>
  <c r="D46" i="74"/>
  <c r="D47" i="74" s="1"/>
  <c r="F47" i="74" s="1"/>
  <c r="H6" i="59" l="1"/>
  <c r="I23" i="59" l="1"/>
  <c r="I7" i="59" l="1"/>
  <c r="I6" i="59"/>
  <c r="I24" i="59"/>
  <c r="I26" i="59" l="1"/>
  <c r="I25" i="59"/>
  <c r="E6" i="66" l="1"/>
  <c r="F6" i="66" s="1"/>
  <c r="E6" i="58"/>
  <c r="F6" i="58" s="1"/>
  <c r="J7" i="56"/>
  <c r="I7" i="56"/>
  <c r="E8" i="66" l="1"/>
  <c r="F8" i="66" s="1"/>
  <c r="E7" i="58"/>
  <c r="F7" i="58" s="1"/>
  <c r="E7" i="66"/>
  <c r="F7" i="66" s="1"/>
  <c r="E9" i="69" l="1"/>
  <c r="F9" i="69" s="1"/>
  <c r="F7" i="69"/>
  <c r="E7" i="69"/>
  <c r="E7" i="71"/>
  <c r="E6" i="64" l="1"/>
  <c r="F6" i="64" s="1"/>
  <c r="I9" i="59" l="1"/>
  <c r="H10" i="59"/>
  <c r="E11" i="12" s="1"/>
  <c r="I8" i="59" l="1"/>
  <c r="I10" i="59" s="1"/>
  <c r="F11" i="12" s="1"/>
  <c r="B9" i="73" l="1"/>
  <c r="H8" i="73"/>
  <c r="G8" i="73"/>
  <c r="F8" i="73"/>
  <c r="E8" i="73"/>
  <c r="J7" i="73"/>
  <c r="J8" i="73" s="1"/>
  <c r="I7" i="73"/>
  <c r="I8" i="73" s="1"/>
  <c r="B5" i="73"/>
  <c r="B3" i="73"/>
  <c r="D10" i="69" l="1"/>
  <c r="D21" i="12" s="1"/>
  <c r="D8" i="71"/>
  <c r="D18" i="12" s="1"/>
  <c r="E8" i="63" l="1"/>
  <c r="F6" i="71" l="1"/>
  <c r="F8" i="71" s="1"/>
  <c r="F18" i="12" s="1"/>
  <c r="E6" i="71"/>
  <c r="E8" i="71" s="1"/>
  <c r="E18" i="12" s="1"/>
  <c r="E8" i="58" l="1"/>
  <c r="F8" i="58"/>
  <c r="D8" i="58"/>
  <c r="D9" i="66"/>
  <c r="B5" i="66"/>
  <c r="K7" i="70"/>
  <c r="L7" i="70"/>
  <c r="D7" i="70"/>
  <c r="B3" i="84"/>
  <c r="E10" i="69"/>
  <c r="E21" i="12" s="1"/>
  <c r="F10" i="69"/>
  <c r="F21" i="12" s="1"/>
  <c r="B3" i="67"/>
  <c r="B5" i="67"/>
  <c r="B5" i="58"/>
  <c r="B5" i="56"/>
  <c r="E7" i="67"/>
  <c r="F7" i="67"/>
  <c r="D7" i="67"/>
  <c r="D14" i="12" l="1"/>
  <c r="D7" i="64"/>
  <c r="F8" i="56"/>
  <c r="G8" i="56"/>
  <c r="H8" i="56"/>
  <c r="I8" i="56"/>
  <c r="J8" i="56"/>
  <c r="E8" i="56"/>
  <c r="L8" i="63"/>
  <c r="K8" i="63"/>
  <c r="D8" i="63"/>
  <c r="D12" i="12" l="1"/>
  <c r="D9" i="63"/>
  <c r="D17" i="12"/>
  <c r="E12" i="12"/>
  <c r="F12" i="12"/>
  <c r="B10" i="66"/>
  <c r="F9" i="66"/>
  <c r="E9" i="66"/>
  <c r="B3" i="66"/>
  <c r="E7" i="64" l="1"/>
  <c r="F7" i="64"/>
  <c r="E17" i="12" l="1"/>
  <c r="E22" i="12" s="1"/>
  <c r="F17" i="12"/>
  <c r="F22" i="12" s="1"/>
  <c r="D10" i="59" l="1"/>
  <c r="D11" i="12" s="1"/>
  <c r="D22" i="12" s="1"/>
  <c r="F9" i="59" l="1"/>
  <c r="F8" i="59"/>
  <c r="F7" i="59"/>
  <c r="F6" i="59"/>
  <c r="B3" i="56" l="1"/>
  <c r="B3" i="58"/>
  <c r="B11" i="59" l="1"/>
  <c r="D3" i="34" l="1"/>
  <c r="E26" i="36" l="1"/>
  <c r="D2" i="34" l="1"/>
  <c r="C4" i="33"/>
  <c r="C3" i="33"/>
  <c r="C5" i="35" l="1"/>
  <c r="C11" i="35" s="1"/>
  <c r="D5" i="34"/>
  <c r="C2" i="33" l="1"/>
  <c r="C6" i="33" s="1"/>
  <c r="D14" i="3" l="1"/>
  <c r="C14" i="3" l="1"/>
  <c r="C12" i="3" l="1"/>
  <c r="D11" i="3"/>
  <c r="C10" i="3"/>
  <c r="C8" i="3" l="1"/>
  <c r="C11" i="3"/>
  <c r="C9" i="3"/>
  <c r="C7" i="3"/>
  <c r="C16" i="3" s="1"/>
  <c r="D10" i="3"/>
  <c r="D7" i="3"/>
  <c r="D16" i="3" l="1"/>
  <c r="C17" i="3" s="1"/>
  <c r="C20" i="3" s="1"/>
  <c r="F8" i="63"/>
  <c r="G8" i="63"/>
  <c r="H8" i="63"/>
  <c r="I8" i="63"/>
</calcChain>
</file>

<file path=xl/sharedStrings.xml><?xml version="1.0" encoding="utf-8"?>
<sst xmlns="http://schemas.openxmlformats.org/spreadsheetml/2006/main" count="2849" uniqueCount="681">
  <si>
    <t>S.No.</t>
  </si>
  <si>
    <t>Items</t>
  </si>
  <si>
    <t>Particulars</t>
  </si>
  <si>
    <t>RECOVERABLE</t>
  </si>
  <si>
    <t>Investments</t>
  </si>
  <si>
    <t>Summary  of Current Assets:-</t>
  </si>
  <si>
    <t>Trade Receivables</t>
  </si>
  <si>
    <t>Advances</t>
  </si>
  <si>
    <t>Short Term Loans &amp; advances</t>
  </si>
  <si>
    <t>Long Term Loans &amp; Advances</t>
  </si>
  <si>
    <t>Inventories</t>
  </si>
  <si>
    <t>Cash &amp; Bank Balance</t>
  </si>
  <si>
    <t>Security Deposit</t>
  </si>
  <si>
    <t>NON-RECOVERABLE</t>
  </si>
  <si>
    <t>Total ( Recoverable+Non-Recoverable)</t>
  </si>
  <si>
    <t>[ Reconciled with audited Balance Sheet ]</t>
  </si>
  <si>
    <t>VALUATION OF CURRENT ASSETS AS ON 7TH NOV' 2017 :-</t>
  </si>
  <si>
    <t>DETAILS</t>
  </si>
  <si>
    <t>SL</t>
  </si>
  <si>
    <t>Potential valuation of current assets in % of total current assets</t>
  </si>
  <si>
    <t>REMARKS &amp; NOTES:-</t>
  </si>
  <si>
    <t>Total</t>
  </si>
  <si>
    <t>Remarks</t>
  </si>
  <si>
    <t>TOTAL:</t>
  </si>
  <si>
    <t>S. No.</t>
  </si>
  <si>
    <t>Annexure</t>
  </si>
  <si>
    <t>Party Name</t>
  </si>
  <si>
    <t>Expected Date of realization/ settlement</t>
  </si>
  <si>
    <t>Fair Valuation Assessment</t>
  </si>
  <si>
    <t>Fair Value Assessment</t>
  </si>
  <si>
    <t>Advance Date</t>
  </si>
  <si>
    <t>I</t>
  </si>
  <si>
    <t>IV</t>
  </si>
  <si>
    <t>OTHER CURRENT ASSETS</t>
  </si>
  <si>
    <t>OCFA</t>
  </si>
  <si>
    <t>LT L&amp;A (Sec. Deposit Other)</t>
  </si>
  <si>
    <t>OCA</t>
  </si>
  <si>
    <t>FSA coal from SECL</t>
  </si>
  <si>
    <t>Current Invoice</t>
  </si>
  <si>
    <t>Per Tonne</t>
  </si>
  <si>
    <t>Rates</t>
  </si>
  <si>
    <t>Rs. per tonne</t>
  </si>
  <si>
    <t>ROM</t>
  </si>
  <si>
    <t>Royalty</t>
  </si>
  <si>
    <t>Stowing excise duty per tonne</t>
  </si>
  <si>
    <t>Sizing charges</t>
  </si>
  <si>
    <t>NMET</t>
  </si>
  <si>
    <t xml:space="preserve">DMF contribution </t>
  </si>
  <si>
    <t>CG Dev. Tax per tonne (Paryavaran Upkar)</t>
  </si>
  <si>
    <t>CG Env. Tax per tonne (Vikas Upkar)</t>
  </si>
  <si>
    <t>Excise Duty</t>
  </si>
  <si>
    <t>Energy Cess</t>
  </si>
  <si>
    <t>Terminal tax</t>
  </si>
  <si>
    <t>GST</t>
  </si>
  <si>
    <t>Surface transportation charge &amp; Evacuation Charge</t>
  </si>
  <si>
    <t>Railway Freight</t>
  </si>
  <si>
    <t>DCTS</t>
  </si>
  <si>
    <t>OCTS</t>
  </si>
  <si>
    <t>Development Surcharge on Coal Transportation</t>
  </si>
  <si>
    <t>Busy season Surcharge on Coal Transportaion (for 9 months)</t>
  </si>
  <si>
    <t>Total Freight</t>
  </si>
  <si>
    <t>Washery Charges</t>
  </si>
  <si>
    <t>Landed cost</t>
  </si>
  <si>
    <t>Coal</t>
  </si>
  <si>
    <t>Asset Amount</t>
  </si>
  <si>
    <t>Amount as per Balance Sheet</t>
  </si>
  <si>
    <t>SUMMARY OF VALUATION ASSESSMENT OF CURRENT ASSETS</t>
  </si>
  <si>
    <t>Nature/ Purpose of Advance</t>
  </si>
  <si>
    <t>Status of Advance</t>
  </si>
  <si>
    <t>OTHER NON-CURRENT ASSETS</t>
  </si>
  <si>
    <t>Item Details</t>
  </si>
  <si>
    <t>NON CURRENT INVESTMENT</t>
  </si>
  <si>
    <t>Nature of Investment</t>
  </si>
  <si>
    <t>Number of shares</t>
  </si>
  <si>
    <t>II</t>
  </si>
  <si>
    <t>III</t>
  </si>
  <si>
    <t>Chance of Recoverability</t>
  </si>
  <si>
    <t>Realization Value Assessment</t>
  </si>
  <si>
    <t>Data Not Provided</t>
  </si>
  <si>
    <t>Cost per Share</t>
  </si>
  <si>
    <t>Capital Advance</t>
  </si>
  <si>
    <t>1. Assessment is done based on the details which the lender could provided to us on our queries.
2. The complete list of counter-parties are taken from the data provided by the lender. Status &amp; Outstanding amount are provided by the lender.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Current Assets.</t>
  </si>
  <si>
    <t>1. Assessment is done based on the details which the lender provided to us on our queries.
2.  No list of counter-parties  is provided by the lender. Status &amp; Outstanding amount are provided by the lenders.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Securities or Current Assets.</t>
  </si>
  <si>
    <t xml:space="preserve">We have not received any details regarding current status of Advance Tax. Also, as per the information received from the lender, the Company is a non- operational company and hence it is hard to generate any revenue in the near future and therefore no tax liability will occur against which such advance tax should be realised.
Hence, in this scenario, we have considered the Fair Value and Realization value, both to be NIL. </t>
  </si>
  <si>
    <t xml:space="preserve">We have not received any document/data/information and bank statement regarding the verification of bank balances as on valuation date i.e., 26th April 2023. Thus, in this scenario, we have considered the fair market value and realizable value equals to the latest audited trial balance after considering the facts that this is a non-operational unit and the nature of the asset.
Hence the fair market value and realizable value are INR 254.24 Lakhs subject to the condition "No transactions in the said bank account/accounts" post 31st March 2022.
All the data provided by the company are considered in good faith. If any inconsistency is found between the books and the actual amount, the given figures will be null and void.
</t>
  </si>
  <si>
    <t>We have not received any information/ documents from the Company/ lender regarding the nature of advance, terms and conditions, period of pendency, reason of pendency, status of the recovery procedures etc. We have considered, that the amount paid as advance to vendors, is paid in the normal course of business and will be duly recoverable, but the company is a non- operational company and hence it is hard to generate any revenue in the near future. 
So, we have considered the fair Market value and Realizable value to be 50% and 30% respectively.</t>
  </si>
  <si>
    <t>V</t>
  </si>
  <si>
    <t>VI</t>
  </si>
  <si>
    <t>Non-Current Investment</t>
  </si>
  <si>
    <t>Cash and Cash Equivalents</t>
  </si>
  <si>
    <t>VII</t>
  </si>
  <si>
    <t>VIII</t>
  </si>
  <si>
    <t>IX</t>
  </si>
  <si>
    <t>X</t>
  </si>
  <si>
    <t>Figures in INR Crores</t>
  </si>
  <si>
    <t>Maytas NCC JV</t>
  </si>
  <si>
    <t>NCC – Maytas – ZVS (JV)</t>
  </si>
  <si>
    <t xml:space="preserve">Fair Market Value </t>
  </si>
  <si>
    <t>More than 3 years</t>
  </si>
  <si>
    <t>2-3 years</t>
  </si>
  <si>
    <t>Trade Receivable</t>
  </si>
  <si>
    <t>Liquidation value</t>
  </si>
  <si>
    <t>INVENTORY</t>
  </si>
  <si>
    <t>S. No</t>
  </si>
  <si>
    <r>
      <t>1.</t>
    </r>
    <r>
      <rPr>
        <b/>
        <i/>
        <sz val="7"/>
        <color rgb="FF000000"/>
        <rFont val="Times New Roman"/>
        <family val="1"/>
      </rPr>
      <t xml:space="preserve">      </t>
    </r>
    <r>
      <rPr>
        <i/>
        <sz val="11"/>
        <color rgb="FF000000"/>
        <rFont val="Calibri"/>
        <family val="2"/>
      </rPr>
      <t>Assessment is done based on the discussions done with the Liquidator/ RP/ Corporate Debtor and the details which they could provide to us on our queries.</t>
    </r>
  </si>
  <si>
    <r>
      <t>2.</t>
    </r>
    <r>
      <rPr>
        <b/>
        <i/>
        <sz val="7"/>
        <color rgb="FF000000"/>
        <rFont val="Times New Roman"/>
        <family val="1"/>
      </rPr>
      <t xml:space="preserve">      </t>
    </r>
    <r>
      <rPr>
        <i/>
        <sz val="11"/>
        <color rgb="FF000000"/>
        <rFont val="Calibri"/>
        <family val="2"/>
      </rPr>
      <t>This is just a general assessment on the basis of general Industry practice, based on the details which the Liquidator/ RP/ Corporate Debtor provided to us as per our queries &amp; discussions with the Liquidator/ RP/ Corporate Debtor.</t>
    </r>
  </si>
  <si>
    <r>
      <t>3.</t>
    </r>
    <r>
      <rPr>
        <b/>
        <i/>
        <sz val="7"/>
        <color rgb="FF000000"/>
        <rFont val="Times New Roman"/>
        <family val="1"/>
      </rPr>
      <t xml:space="preserve">      </t>
    </r>
    <r>
      <rPr>
        <i/>
        <sz val="11"/>
        <color rgb="FF000000"/>
        <rFont val="Calibri"/>
        <family val="2"/>
      </rPr>
      <t>No audit of any kind is performed by us for the books of account or ledger statements and all this data/ information/ input/ details provided to us by the Liquidator/ RP/ Corporate Debtor are taken as is it on good faith that these are factually correct information.</t>
    </r>
  </si>
  <si>
    <r>
      <t>4.</t>
    </r>
    <r>
      <rPr>
        <b/>
        <i/>
        <sz val="7"/>
        <color rgb="FF000000"/>
        <rFont val="Times New Roman"/>
        <family val="1"/>
      </rPr>
      <t xml:space="preserve">      </t>
    </r>
    <r>
      <rPr>
        <i/>
        <sz val="11"/>
        <color rgb="FF000000"/>
        <rFont val="Calibri"/>
        <family val="2"/>
      </rPr>
      <t>There is no fixed criteria, formula or norm for the Valuation of Securities or Financial Assets. It is purely based on the individual assessment and may differ from valuer to valuer based on the practicality he/she analyses in recoveries of outstanding dues. Ultimate recovery depends on efforts, extensive follow-ups, and close scrutiny of individual case made by the Liquidator / RP / Corporate Debtor. So, our values should not be regarded as any judgment in regard to the recoverability of Securities or Financial Assets.</t>
    </r>
  </si>
  <si>
    <r>
      <t>Cash &amp; Cash Equivalent</t>
    </r>
    <r>
      <rPr>
        <i/>
        <sz val="11"/>
        <color rgb="FF000000"/>
        <rFont val="Calibri"/>
        <family val="2"/>
      </rPr>
      <t>  </t>
    </r>
  </si>
  <si>
    <t>1 </t>
  </si>
  <si>
    <t xml:space="preserve">Margin money deposits means that while issuing the guarantee bank asks the client to deposit some money by way of fixed deposit as a counter security. </t>
  </si>
  <si>
    <t>Hence we have consider fair market value, Going Concern Value and piecemeal value to be at 100% of the book value.</t>
  </si>
  <si>
    <r>
      <t>1.</t>
    </r>
    <r>
      <rPr>
        <sz val="7"/>
        <color rgb="FF000000"/>
        <rFont val="Times New Roman"/>
        <family val="1"/>
      </rPr>
      <t xml:space="preserve">      </t>
    </r>
    <r>
      <rPr>
        <sz val="11"/>
        <color rgb="FF000000"/>
        <rFont val="Calibri"/>
        <family val="2"/>
      </rPr>
      <t>An arbitration award was given against the company by a London Court of international arbitration for breach of contract in favor of a foreign supplier, M/s Key Trade. The Hon’ble High Court of Telangana directed to earmark an amount of Rs 20 Crores. Accordingly, the banks IDBI and SBI (Rs 14 crores and Rs 6 crores respectively) have to pay Rs 20 Crores amounts in favor of Key trade. Hence fair market value would be 0.17 Crs.</t>
    </r>
  </si>
  <si>
    <r>
      <t>2.</t>
    </r>
    <r>
      <rPr>
        <sz val="7"/>
        <color rgb="FF000000"/>
        <rFont val="Times New Roman"/>
        <family val="1"/>
      </rPr>
      <t xml:space="preserve">      </t>
    </r>
    <r>
      <rPr>
        <sz val="11"/>
        <color rgb="FF000000"/>
        <rFont val="Calibri"/>
        <family val="2"/>
      </rPr>
      <t>And for 0.17 Crs, we have not received any document/ supporting regarding the said bank balance. This bank balance will be the same in both the cases i.e. liquidation on going concern basis and liquidation on piecemeal basis. Therefore we have consider Going Concern Value and piecemeal value to be at 100% of the adjusted value.</t>
    </r>
  </si>
  <si>
    <t>CASH AND CASH EQUIVALENTS</t>
  </si>
  <si>
    <t>Liquidation Value Assessment</t>
  </si>
  <si>
    <t>LOANS</t>
  </si>
  <si>
    <t>Liquidation  Value Assessment</t>
  </si>
  <si>
    <t>Interest Accrued on Deposits and Others</t>
  </si>
  <si>
    <t>Claim for Performance Bank Guarantee</t>
  </si>
  <si>
    <t>Other Receivables</t>
  </si>
  <si>
    <t>Project Materials</t>
  </si>
  <si>
    <t xml:space="preserve">Liquidation value </t>
  </si>
  <si>
    <t>Cash on Hand</t>
  </si>
  <si>
    <r>
      <rPr>
        <b/>
        <sz val="11"/>
        <color rgb="FF000000"/>
        <rFont val="Calibri"/>
        <family val="2"/>
      </rPr>
      <t>Balances with Banks:</t>
    </r>
    <r>
      <rPr>
        <sz val="11"/>
        <color rgb="FF000000"/>
        <rFont val="Calibri"/>
        <family val="2"/>
      </rPr>
      <t xml:space="preserve">
On Current Accounts</t>
    </r>
  </si>
  <si>
    <t>TOTAL</t>
  </si>
  <si>
    <r>
      <rPr>
        <b/>
        <sz val="10"/>
        <rFont val="Arial"/>
        <family val="2"/>
      </rPr>
      <t>Contract Assets</t>
    </r>
    <r>
      <rPr>
        <sz val="10"/>
        <rFont val="Arial"/>
        <family val="2"/>
      </rPr>
      <t xml:space="preserve"> - Retention Money</t>
    </r>
  </si>
  <si>
    <t>Balances with statutory/government authorities</t>
  </si>
  <si>
    <t>Project Materials is valued in our land and building valuation report and is already considered in the valuation of the same. 
Hence, we have considered Fair Value and Liquidation Value in this case to be NIL.</t>
  </si>
  <si>
    <t>NIL</t>
  </si>
  <si>
    <t>Details as on 30th September 2018</t>
  </si>
  <si>
    <t>In debentures (fully paid-up) 25,370,630  (March 31, 2017 and April 1, 2016: Nil) 0.001% Non-convertible debentures of Rs. 10 each in Bangalore Elevated Tollway Private Limited</t>
  </si>
  <si>
    <t xml:space="preserve"> In preference shares (fully paid-up) 2,441,850 (March 31, 2017 and April 1, 2016: 2,441,850) 9% cumulative optionally convertible redeemable preference shares of Rs. 100 each in Bangalore Elevated Tollway Private Limited</t>
  </si>
  <si>
    <t>Trade Receivable (Current &amp; Non-Current)</t>
  </si>
  <si>
    <t>Non-Current Loans</t>
  </si>
  <si>
    <t>Current Loans</t>
  </si>
  <si>
    <t>Deferred tax assets, Net</t>
  </si>
  <si>
    <t>Income tax Assets, Net</t>
  </si>
  <si>
    <t>Non-Current Inventories</t>
  </si>
  <si>
    <r>
      <rPr>
        <b/>
        <sz val="11"/>
        <color rgb="FF000000"/>
        <rFont val="Calibri"/>
        <family val="2"/>
      </rPr>
      <t>Other Bank Balances:</t>
    </r>
    <r>
      <rPr>
        <sz val="11"/>
        <color rgb="FF000000"/>
        <rFont val="Calibri"/>
        <family val="2"/>
      </rPr>
      <t xml:space="preserve">
Deposits account due to mature of within or more than 12 months of reporting date &amp; margin money deposits</t>
    </r>
  </si>
  <si>
    <t>Intangible Assets</t>
  </si>
  <si>
    <t>Minining Rights</t>
  </si>
  <si>
    <t>Computer Software</t>
  </si>
  <si>
    <t>Mining rights – Mining rights are amortized in the proportion of material extracted during a year that bears to total estimated extraction over the contractual period.</t>
  </si>
  <si>
    <t>Software - Computer software license cost is expensed in the year of purchase as there is no expected future economic benefit, except for enterprise wide/project based software license cost which is amortized over the period of license or six years, whichever is lower.</t>
  </si>
  <si>
    <t>As per the cash certificates provided by the company, the amount given under the head cash on hand is matched. Hence we have consider fair market value and liquidation value to be at 100% of the book value.</t>
  </si>
  <si>
    <t>Margin Money Deposits</t>
  </si>
  <si>
    <t>As per the Bank statement provided by the company, the amount given under the head balance with Banks: on current accounts comes out 3.66 Crs. Hence we have consider fair market value and liquidation value to be 3.66 Crs.</t>
  </si>
  <si>
    <t>Advances Other than Capital Advances: Unsecured, Considered Good</t>
  </si>
  <si>
    <t xml:space="preserve">We have not received any supporting documents / information regarding this head. In the financials of IECCL, balances with statutory/government authorities is a negetive balance as on 30th March 2018. Therefore, in the general cercumstanses, it is a liability of the company to pay to the statutory/government authorities. Hence we have consider fair market value and liquidation Value to be at 100% of the book value. </t>
  </si>
  <si>
    <t>Net Worth</t>
  </si>
  <si>
    <t>Discount Rate (WACC)</t>
  </si>
  <si>
    <t>Period</t>
  </si>
  <si>
    <t>Discount Factor</t>
  </si>
  <si>
    <t>Present Value (PV) of Maytas NCC JV</t>
  </si>
  <si>
    <t>Present Value (PV) of NCC – Maytas – ZVS (JV)</t>
  </si>
  <si>
    <t>Details as on 30th September, 2018</t>
  </si>
  <si>
    <t xml:space="preserve">1. Assessment is done based on the discussions done with the lender and the details which they could provide to us on our queries.
2. All the notes on the current status of amount recovery are given by the lender. Notes and data provided by the lender has been relied upon in good faith on the basis of which independent potential value assessment of the current Assets has been carried out.
3. For the basis of arriving at the Value of each Currents Assets, please refer to the specific annexure.
4. This is just a general assessment on the basis of general Industry practice based on the details which the lender provided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lender that what is the minimum amount can be recovered out of the receivables, loans &amp; advances, etc.
6. No audit of any kind is performed by us from the books of account or ledger statements and all this data/ information/ input/ details provided to us by the lender and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 So our values should not be regarded as any judgment in regard to the recoverability of Current Assets.
8. As all these companies are non-operational and lack of information regarding the investments made, loans and advances, pendency, terms and conditions, legality between party and counter party and current status of the investees / related parties / venders and other various factors / scenarios have been considered during the assesment of fair market value and relizable value at our level best. Also the valuation is limited to the scope of work only. </t>
  </si>
  <si>
    <t>Valuation Date</t>
  </si>
  <si>
    <t>Periodic Rate</t>
  </si>
  <si>
    <t>Date</t>
  </si>
  <si>
    <t>Cash Flow</t>
  </si>
  <si>
    <t>PV</t>
  </si>
  <si>
    <t>Repayment Date</t>
  </si>
  <si>
    <t>Govt 10-year Yield</t>
  </si>
  <si>
    <t>(On 15-10-2018)</t>
  </si>
  <si>
    <t>Debenture Face Value</t>
  </si>
  <si>
    <t>Add:</t>
  </si>
  <si>
    <t>Spread</t>
  </si>
  <si>
    <t>Coupon Rate</t>
  </si>
  <si>
    <t>Required Rate</t>
  </si>
  <si>
    <t>PV of Bond</t>
  </si>
  <si>
    <t>Less:</t>
  </si>
  <si>
    <t>Lack of Marketability Discount</t>
  </si>
  <si>
    <t>Expected Value</t>
  </si>
  <si>
    <t>Nifty Return 10 Years</t>
  </si>
  <si>
    <t>Value as on 15th October 2018</t>
  </si>
  <si>
    <t>i.	As per information/documents provided by the company the terms and conditions of non-convertible debentures (NCD) are:
NCD's having a term of 20 Years from the date of allotment i.e., 30th March, 2017, at a face value of Rs. 10/- each.
NCD's carries a coupon rate of 0.001% and rate of return is considered at 13.92%. NCD's shall be redeemable at such amount which provides the NCD holder an Internal rate of approx. 14%, considering the payment made on the NCDs till maturity.
ii.	For repayment schedule, the total amount 253706300/- will be repaid by 23rd July 2026.
Hence based on all the terms and conditions, present value of the debenture shares calculated, as on 30th September, 2018, is 8.76 Crs.
Therefore fair market value and Liquidation value of this asset would be same i.e., 8.76 Crs, because of the nature of this asset or the terms and conditions of this asset.</t>
  </si>
  <si>
    <t>i.	As per information / documents provided by the company the terms and conditions of preference shares are: 
As per the financials of Bangalore Elevated Toll way Private Limited (BETL), the company is duly constituted and authorized to issue and allot 24, 41,850 preference shares in one or more tranches of Rs. 10/- each at a premium of Rs. 90/- per share for an amount aggregating to Rs. 24, 41, 85,000/-, preference shares carry a dividend of 9% on face value, rate of return is considered at 14%. 
The company has the right to redeem the preference shares allotted any time after the expiry of 3 years from the date of allotment. The redemption can be in one or more tranches at price of Rs. 100/- and or at a price as decided by the board at the time of redemption which shall not be less than the issue price.
ii.	In case if Preference share holder wish to convert their holding in to equity shares of the company before redemption, then the conversion price would be the issue price or at a price as decided by the board.
iii.	For repayment schedule, the total amount 24, 41, 85,000/- is divided into three same amounts i.e., 1831500, and there are three repayment dates i.e. 31st March 2024, 31st March 2025 and 31st March 2026.
Hence based on all the terms and conditions, present value of the preference shares calculated, as on 30th September, 2018, is 19.39 Crs.
Therefore fair market value and Liquidation value of this asset would be same i.e., 19.39 Crs, because of the nature of this asset or the terms and conditions of this asset.</t>
  </si>
  <si>
    <t xml:space="preserve"> -</t>
  </si>
  <si>
    <t>The advances other than capital adances, shown in financial statements is 10.14 Crs. As per information provided by company for these advances, company had made these advances to government and trust worthy organizations. However, recoverability of these advances will depend upon factors like terms and condition of the contract, ageing of the advances, legality of the same. Therefore, we are considering its fair market value as 70% of the book value. During Liquidation, the recovery of it will be insurmountable task and will be subject to the contract condition, legality issues and dues of the authority. Hence in this case we are considering liquidation value as 50% of fair market value.</t>
  </si>
  <si>
    <t>The advances other than capital adances, shown in financial statements is 106.08 Crs. As per information provided by company for these advances, company had made these advances to government and trust worthy organizations. However, recoverability of these advances will depend upon factors like terms and condition of the contract, legality of the same. Therefore, we are considering its fair market value as 80% of the book value. During Liquidation, the recovery of it will be insurmountable task and will be subject to the contract condition, legality issues and dues of the authority. Hence in this case we are considering liquidation value as 60% of fair market value.</t>
  </si>
  <si>
    <t>In the absence of accessible contract documentation and ongoing project status updates, we have determined that for current projects, 80% of the book value will be the fair market value. This choice is the result of a thorough analysis that considers the nature of project completion and contract billing. As the project comes to a close, the contractor's work will be meticulously examined, taking into account all necessary corrections to precisely estimate the final billing amount. Additionally, the post-contract period may introduce shifts in the perception of the overall situation, potentially influencing the valuation. Because of these several factors, we have decided to apply a 20% discount to the book value. With this strategy, the genuine market value is reflected while taking into consideration any complexities that may develop over the course of the project's lifecycle.
For liquidation value, we are considering 60% of the fair market value, because at the time of liquidation there can be dispute between parties and legality can be arises and breach of contract regarding any terms and conditions can be possible. Therefore, after considering all the facts, we are giving 40% discount to the fair market value.</t>
  </si>
  <si>
    <t>In the absence of accessible contract documentation and ongoing project status updates, we have determined that for non-current projects, 70% of the book value will be the fair market value. This choice is the result of a thorough analysis that considers the nature of project completion and contract billing. As the project comes to a close, the contractor's work will be meticulously examined, taking into account all necessary corrections to precisely estimate the final billing amount. Additionally, the post-contract period may introduce shifts in the perception of the overall situation, potentially influencing the valuation. Because of these several factors, we have decided to apply a 30% discount to the book value. With this strategy, the genuine market value is reflected while taking into consideration any complexities that may develop over the course of the project's lifecycle.
For liquidation value, we are considering 50% of the fair market value, because at the time of liquidation there can be dispute between parties and legality can be arises and breach of contract regarding any terms and conditions can be possible. Therefore, after considering all the facts, we are giving 50% discount to the fair market value.</t>
  </si>
  <si>
    <t>Retention Money</t>
  </si>
  <si>
    <t>XI</t>
  </si>
  <si>
    <t>Sector</t>
  </si>
  <si>
    <t>Project</t>
  </si>
  <si>
    <t>Name of Customer</t>
  </si>
  <si>
    <t>Trade Receivable Aging (Net)</t>
  </si>
  <si>
    <t xml:space="preserve">Less than 6 months </t>
  </si>
  <si>
    <t xml:space="preserve">6 months - 1 year </t>
  </si>
  <si>
    <t>1-2 years</t>
  </si>
  <si>
    <t>Railways</t>
  </si>
  <si>
    <t>DFCCI</t>
  </si>
  <si>
    <t>ILFS- GPT JV</t>
  </si>
  <si>
    <t>BMP-Sholapur</t>
  </si>
  <si>
    <t>ILFA-Kalindee JV</t>
  </si>
  <si>
    <t>Railways - HO</t>
  </si>
  <si>
    <t>Sarala Projects Works Pvt Ltd</t>
  </si>
  <si>
    <t>RMRG-II - Stations</t>
  </si>
  <si>
    <t>ILFS Transportation Networks Ltd</t>
  </si>
  <si>
    <t>BMRCL - II</t>
  </si>
  <si>
    <t>Bagalore Metro Rail Limited</t>
  </si>
  <si>
    <t>KMR</t>
  </si>
  <si>
    <t>Rail Vikas Nigam Limited</t>
  </si>
  <si>
    <t>RMRG-II-Viaduct</t>
  </si>
  <si>
    <t>NMR</t>
  </si>
  <si>
    <t>Nagpur Metro Rail Limited</t>
  </si>
  <si>
    <t>CMR</t>
  </si>
  <si>
    <t>ITNL - KMB JV</t>
  </si>
  <si>
    <t>MEGA</t>
  </si>
  <si>
    <t>Metro Link Express for Gandhinagar and Ahmedabad (MEGA) Company Limited</t>
  </si>
  <si>
    <t>Roads</t>
  </si>
  <si>
    <t>Assam-19</t>
  </si>
  <si>
    <t>National Highway Authority of India Limited</t>
  </si>
  <si>
    <t>Kiratpur</t>
  </si>
  <si>
    <t>ILFS Transportation and Networks Limited</t>
  </si>
  <si>
    <t>DLF</t>
  </si>
  <si>
    <t>DLF Limited</t>
  </si>
  <si>
    <t>Nagaland</t>
  </si>
  <si>
    <t>Maytas -Gayatri Jv,  PWD (NH) Nagaland</t>
  </si>
  <si>
    <t>Assam-25</t>
  </si>
  <si>
    <t>ORR -HYD</t>
  </si>
  <si>
    <t>Cyberabad Expressway Limited</t>
  </si>
  <si>
    <t>Assam-17</t>
  </si>
  <si>
    <t>Patna-Gaya</t>
  </si>
  <si>
    <t>IIDC</t>
  </si>
  <si>
    <t>Birpur</t>
  </si>
  <si>
    <t>MoRTH</t>
  </si>
  <si>
    <t>PSRP</t>
  </si>
  <si>
    <t>Amaravathi</t>
  </si>
  <si>
    <t>Bidar</t>
  </si>
  <si>
    <t>BDA</t>
  </si>
  <si>
    <t>Bangalore Development Authority</t>
  </si>
  <si>
    <t>Trichy</t>
  </si>
  <si>
    <t>Indu Projects Limited</t>
  </si>
  <si>
    <t>CG-1</t>
  </si>
  <si>
    <t>Nagarjuna Construction company limited</t>
  </si>
  <si>
    <t>Power</t>
  </si>
  <si>
    <t>Closed Projects</t>
  </si>
  <si>
    <t>AP TRANSCO- 28-33</t>
  </si>
  <si>
    <t>AP TRANSCO</t>
  </si>
  <si>
    <t>HVPNL -2 - PW060</t>
  </si>
  <si>
    <t>32 KV  Substation and Bays-IEINPW060</t>
  </si>
  <si>
    <t>Ambedkarnagar -PW061</t>
  </si>
  <si>
    <t>MVVNL</t>
  </si>
  <si>
    <t>WBSEDCL- PW57-59</t>
  </si>
  <si>
    <t>WBSEDCL</t>
  </si>
  <si>
    <t>Bulandshahr - PW062</t>
  </si>
  <si>
    <t>PVVNL</t>
  </si>
  <si>
    <t>WBSEDCL NORTH - PW063
(North 24 Paraganas)</t>
  </si>
  <si>
    <t>Moradabad- PW64</t>
  </si>
  <si>
    <t>Amroha- PW065</t>
  </si>
  <si>
    <t>Shahjahampur- PW066</t>
  </si>
  <si>
    <t>Bhuj - PW067</t>
  </si>
  <si>
    <t>PGCIL - (Bhuj Bhanaskanta Transmission Line - TW02)</t>
  </si>
  <si>
    <t>Bhuj_2 - PW068</t>
  </si>
  <si>
    <t>PGCIL - (Bhuj Bhanaskanta Transmission Line - TW05)</t>
  </si>
  <si>
    <t>Gonda - PW069</t>
  </si>
  <si>
    <t>IPDS South 24 Paraganas- PW070</t>
  </si>
  <si>
    <t>West Bengal State Electricity Distribution Co. Ltd.</t>
  </si>
  <si>
    <t>DDUGJY-South paragnas - PW071</t>
  </si>
  <si>
    <t>Paschim Midnapur- PW072</t>
  </si>
  <si>
    <t>sahibganj - PW073</t>
  </si>
  <si>
    <t>JHARKAND BIJLI VITARAN NIGAM LIMITED</t>
  </si>
  <si>
    <t xml:space="preserve">Jamshedpur -PW074  </t>
  </si>
  <si>
    <t>East Singhbhum Project - PW075</t>
  </si>
  <si>
    <t>West Singhbhum Project - PW076</t>
  </si>
  <si>
    <t>PW077 Dumka-Sahibganj IPDS</t>
  </si>
  <si>
    <t xml:space="preserve">PW078 Dhanbad </t>
  </si>
  <si>
    <t xml:space="preserve">Irrigation </t>
  </si>
  <si>
    <t>Annupur</t>
  </si>
  <si>
    <t>MOSERBEAR</t>
  </si>
  <si>
    <t>GVMC</t>
  </si>
  <si>
    <t>Polavaram</t>
  </si>
  <si>
    <t>MAYTAS - NCC JV</t>
  </si>
  <si>
    <t>Bhupathipalem</t>
  </si>
  <si>
    <t>I &amp; CAD AP</t>
  </si>
  <si>
    <t>Tadipudi</t>
  </si>
  <si>
    <t>Gandikota</t>
  </si>
  <si>
    <t>Lingala</t>
  </si>
  <si>
    <t>HO Irrigation Sector</t>
  </si>
  <si>
    <t>IL&amp;FS ECC Ltd</t>
  </si>
  <si>
    <t>Pranahita package - 7</t>
  </si>
  <si>
    <t>MAYTAS - MEIL-ABB-AAG JV</t>
  </si>
  <si>
    <t>Pranahita Package 8</t>
  </si>
  <si>
    <t>MEIL-SEW-MAYTAS-BHEIL Consortium</t>
  </si>
  <si>
    <t>Pranahita Package 5</t>
  </si>
  <si>
    <t>MEIL-MAYTAS-ABB-AAG JV</t>
  </si>
  <si>
    <t>HMWSS-Water works</t>
  </si>
  <si>
    <t>L&amp;T - KBL - MAYTAS JV</t>
  </si>
  <si>
    <t xml:space="preserve">HNSS Madanapally </t>
  </si>
  <si>
    <t>MEIL-MAYTAS - KBL JV</t>
  </si>
  <si>
    <t>Pogonda Project</t>
  </si>
  <si>
    <t>Udayasamudram</t>
  </si>
  <si>
    <t>MAYTAS - MEIL - KBL JV</t>
  </si>
  <si>
    <t>Anampally</t>
  </si>
  <si>
    <t>GNSS Package LI - 03</t>
  </si>
  <si>
    <t>MAYTAS - KBL JV</t>
  </si>
  <si>
    <t>Dummugudem Pkg 5</t>
  </si>
  <si>
    <t>MEIL - MAYTAS - AAG JV</t>
  </si>
  <si>
    <t xml:space="preserve">Korisapadu Project </t>
  </si>
  <si>
    <t>MAYTAS - KCCPL- FLOWMORE JV</t>
  </si>
  <si>
    <t>Dummugudem Pkg 4</t>
  </si>
  <si>
    <t>NEF Railways T-12</t>
  </si>
  <si>
    <t>MAYTAS - SUSHEE JV</t>
  </si>
  <si>
    <t>Muchumarri</t>
  </si>
  <si>
    <t>MEIL - MAYTAS - WIPL  JV</t>
  </si>
  <si>
    <t>Dummugudem Pkg 1</t>
  </si>
  <si>
    <t>Indira Dummugudem</t>
  </si>
  <si>
    <t>Megha Engineering &amp; Infrastructures Ltd</t>
  </si>
  <si>
    <t>HNSS Phase - I</t>
  </si>
  <si>
    <t xml:space="preserve">-  do - </t>
  </si>
  <si>
    <t>Rajiv Dummugudem</t>
  </si>
  <si>
    <t>Sirisilla</t>
  </si>
  <si>
    <t>HNSS Phase - II</t>
  </si>
  <si>
    <t>PMIS  LI - 02 (Pipe Line)</t>
  </si>
  <si>
    <t>Gandikota Pack  -2</t>
  </si>
  <si>
    <t>HNSS Pump House - 3</t>
  </si>
  <si>
    <t>HNSS Pump House - 2</t>
  </si>
  <si>
    <t>HNSS Pump House - 5</t>
  </si>
  <si>
    <t>HNSS Pump House - 1</t>
  </si>
  <si>
    <t>PMIS  LI - 02</t>
  </si>
  <si>
    <t>HNSS Pump House - 4</t>
  </si>
  <si>
    <t>PMIS  LI - 01</t>
  </si>
  <si>
    <t>PMIS  LI - 05</t>
  </si>
  <si>
    <t>PMIS  LI - 05 (Hard rock)</t>
  </si>
  <si>
    <t>HNSS Pump House - 8</t>
  </si>
  <si>
    <t>HNSS Pump House - 7</t>
  </si>
  <si>
    <t>HNSS Pump House - 6</t>
  </si>
  <si>
    <t>Indira Dummugudem - II</t>
  </si>
  <si>
    <t>Anupanur &amp; Koppanur</t>
  </si>
  <si>
    <t>Kakatiya Thermal</t>
  </si>
  <si>
    <t>Driving Pit Tunnel</t>
  </si>
  <si>
    <t>Pumping sump</t>
  </si>
  <si>
    <t xml:space="preserve">Hydernagar Pump House </t>
  </si>
  <si>
    <t>Zaheerabad water supply</t>
  </si>
  <si>
    <t>NSRDWS Phase - I</t>
  </si>
  <si>
    <t>NSRDWS Phase - II</t>
  </si>
  <si>
    <t>NEF Railway - 8&amp;9</t>
  </si>
  <si>
    <t>NF Railways</t>
  </si>
  <si>
    <t>PMHO</t>
  </si>
  <si>
    <t>Terra Infra Development (P) Ltd-ORR</t>
  </si>
  <si>
    <t>Terra Infra Development (P) Ltd-PTTL</t>
  </si>
  <si>
    <t>Ratna Infrastructures projects Pvt ltd</t>
  </si>
  <si>
    <t>ELSAMEX MAINTENANCE SERVICES LTD</t>
  </si>
  <si>
    <t>SHIVAM INFRA-TECH PRIVATE LIMITED</t>
  </si>
  <si>
    <t>Vasishta Constructions Pvt ltd</t>
  </si>
  <si>
    <t>PES</t>
  </si>
  <si>
    <t>SDM Projects (P) Ltd</t>
  </si>
  <si>
    <t>Sivakumar Bavineni</t>
  </si>
  <si>
    <t>Goyals Timber Technicks Ltd</t>
  </si>
  <si>
    <t>JMC Projects (india) Ltd</t>
  </si>
  <si>
    <t>PMR Infra India (P) Ltd</t>
  </si>
  <si>
    <t>DHARANI ENTERPRISES</t>
  </si>
  <si>
    <t>Rockmore Aggregates</t>
  </si>
  <si>
    <t>PRAPURNA TRADING PVT. LTD</t>
  </si>
  <si>
    <t xml:space="preserve">HIRANANDANI PALACE GARDENS PVT LTD .   </t>
  </si>
  <si>
    <t>Gayatri Projects</t>
  </si>
  <si>
    <t>Advance stimul Engineering pvt Ltd</t>
  </si>
  <si>
    <t>KK Infrastructure</t>
  </si>
  <si>
    <t>EXEMPLAR INFRACON PVT.LTD.</t>
  </si>
  <si>
    <t>Buildings</t>
  </si>
  <si>
    <t>Hillcounty-3039</t>
  </si>
  <si>
    <t>Maytas Properties Limited</t>
  </si>
  <si>
    <t>Marbella</t>
  </si>
  <si>
    <t>EMMAR</t>
  </si>
  <si>
    <t>Mahendra-ASHVITA Project</t>
  </si>
  <si>
    <t>Mahendra Life Space Developers Limited</t>
  </si>
  <si>
    <t>Gurgaon Hills</t>
  </si>
  <si>
    <t>IREO</t>
  </si>
  <si>
    <t>Palm Garden</t>
  </si>
  <si>
    <t xml:space="preserve">EMMAR MGF </t>
  </si>
  <si>
    <t>Aanand Vilas</t>
  </si>
  <si>
    <t>Puri Inter national p ltd.</t>
  </si>
  <si>
    <t>Lodha</t>
  </si>
  <si>
    <t>CMT Jammu</t>
  </si>
  <si>
    <t>Government of Jammu &amp; Kashmir Office of the Relief Commissioner (M)  Jammu</t>
  </si>
  <si>
    <t>Hillcounty</t>
  </si>
  <si>
    <t>Gift</t>
  </si>
  <si>
    <t>ANC Contracting India Pvt Ltd</t>
  </si>
  <si>
    <t>Palm Terrace</t>
  </si>
  <si>
    <t>Orchid Heights</t>
  </si>
  <si>
    <t>Neelkamal Realtors Towers  Pvt Ltd.</t>
  </si>
  <si>
    <t>La-Tropicana</t>
  </si>
  <si>
    <t>PARSVNATH LANDMARK DEVELOPERS PVT LTD</t>
  </si>
  <si>
    <t>NAVAC - Hospital</t>
  </si>
  <si>
    <t xml:space="preserve">Naval Academy </t>
  </si>
  <si>
    <t>Aquapolis</t>
  </si>
  <si>
    <t>ANSAL URBAN CONDOMINIUMS PRIVATE LIMITED</t>
  </si>
  <si>
    <t>Ludhyana</t>
  </si>
  <si>
    <t>Emerald lands India Pvt ltd.</t>
  </si>
  <si>
    <t>NAVAC - FR</t>
  </si>
  <si>
    <t>Rites Kanpur</t>
  </si>
  <si>
    <t>Rites</t>
  </si>
  <si>
    <t>IT Park</t>
  </si>
  <si>
    <t>PARSVNATH LANDMARK DEVELOPERS  LTD</t>
  </si>
  <si>
    <t>DG MAP Lucknow</t>
  </si>
  <si>
    <t>Cranin</t>
  </si>
  <si>
    <t>Oil &amp; Gas</t>
  </si>
  <si>
    <t>Gail, Durgapur</t>
  </si>
  <si>
    <t>Gas Authority of India Limited</t>
  </si>
  <si>
    <t>KKBMPL- IVA</t>
  </si>
  <si>
    <t>Gail, Bihar</t>
  </si>
  <si>
    <t>Gail, Kochi</t>
  </si>
  <si>
    <t>Gail, Gujarat</t>
  </si>
  <si>
    <t>ISPRL</t>
  </si>
  <si>
    <t>GSPL, Godhra</t>
  </si>
  <si>
    <t>Gujarat State Petro net Limited</t>
  </si>
  <si>
    <t>Ports</t>
  </si>
  <si>
    <t>Dighi Port</t>
  </si>
  <si>
    <t>DBM</t>
  </si>
  <si>
    <t>Head Office</t>
  </si>
  <si>
    <t>J.Kumar Infra Projects Limited</t>
  </si>
  <si>
    <t>IL&amp;FS Financail Services Limited</t>
  </si>
  <si>
    <t>Vistra ITCL (India) Limited</t>
  </si>
  <si>
    <t>Bindavan Infrastructure</t>
  </si>
  <si>
    <t>Others</t>
  </si>
  <si>
    <t>CWH</t>
  </si>
  <si>
    <t>Schedule of Trade Receivable - Sep-18</t>
  </si>
  <si>
    <t>Subsequent realization- or adjustments</t>
  </si>
  <si>
    <t>Outstanding as on Mar-23</t>
  </si>
  <si>
    <t>Gross TR</t>
  </si>
  <si>
    <t>Total Provisions</t>
  </si>
  <si>
    <t>Net TR</t>
  </si>
  <si>
    <t>FY 2019</t>
  </si>
  <si>
    <t>FY 2020</t>
  </si>
  <si>
    <t>FY 2021</t>
  </si>
  <si>
    <t>FY 2022</t>
  </si>
  <si>
    <t>FY 2023</t>
  </si>
  <si>
    <t>FY 2025</t>
  </si>
  <si>
    <t>FY 2024</t>
  </si>
  <si>
    <t>Will adjust with client payable</t>
  </si>
  <si>
    <t>Beyond FY 2026</t>
  </si>
  <si>
    <t>Will adjust with payable of B2B Contractor</t>
  </si>
  <si>
    <t>Year</t>
  </si>
  <si>
    <t>Net Recovery</t>
  </si>
  <si>
    <t>Yearly Recovery</t>
  </si>
  <si>
    <t>Discount period</t>
  </si>
  <si>
    <t>Discount Rate</t>
  </si>
  <si>
    <t>Present Value</t>
  </si>
  <si>
    <t>Net Present Value (NPV)</t>
  </si>
  <si>
    <t>BBB; Stable (Triple B; Outlook: Stable) and Withdrawn</t>
  </si>
  <si>
    <t>State Govt company - CARE AA+; Stable' rating on the long-term bank facilities of the company worth Rs 500 crore.</t>
  </si>
  <si>
    <t>CRISIL D (ISSUER NOT COOPERATING)</t>
  </si>
  <si>
    <t>Company Status: Strike Off</t>
  </si>
  <si>
    <t>A+/Stable</t>
  </si>
  <si>
    <t>CARE B-; Stable / CARE A4; 
ISSUER NOT COOPERATING*</t>
  </si>
  <si>
    <t>JV of IL&amp;FS - In profit - 7.25 Crs as on 31st March 20203</t>
  </si>
  <si>
    <t>Bankruptcy; assets liquidated</t>
  </si>
  <si>
    <t>AP TRANSCO (Transmission Corporation of Andhra Pradesh Limited)</t>
  </si>
  <si>
    <t>CARE B; Stable; ISSUER NOT COOPERATING</t>
  </si>
  <si>
    <t>Governmental Organization</t>
  </si>
  <si>
    <t>AAA/Stable</t>
  </si>
  <si>
    <t>CARE D; ISSUER NOT COOPERATING</t>
  </si>
  <si>
    <t>After Discount</t>
  </si>
  <si>
    <t>Trade Receivable Realization</t>
  </si>
  <si>
    <t>FY19</t>
  </si>
  <si>
    <t>FY20</t>
  </si>
  <si>
    <t>FY21</t>
  </si>
  <si>
    <t>FY22</t>
  </si>
  <si>
    <t>FY23</t>
  </si>
  <si>
    <t>Outstanding as on March 2023</t>
  </si>
  <si>
    <t>Fair Market Value</t>
  </si>
  <si>
    <t>Liquidation Value</t>
  </si>
  <si>
    <t>Provisions For Trade Receivables</t>
  </si>
  <si>
    <t xml:space="preserve">As per financials of the company, company has made provisions for doubtful financial assets to the extent that there is no realistic prospect of recovery. The company failed to provide adequate justification for implementing these provisions. As the company considered that the project company does not have assets or sources of income that could generate sufficient cash flow to repay the amount subject to the provisions. Hence, by conducting secondary research on the top 20 project companies involved, we have gathered information from existing sources such as credit ratings, financials, Annual reports, published articles, and online databases. Based on this information, we get an idea of credit worthiness of the project company and given the discount accordingly. 
We have calculated the total amount for top 20 project companies, after discount. And also calculated the percentage of the after-discount amount against the provisions made for the same.
To calculate the fair market value, we have considered the product of the total provisions made for doubtful financial assets and the said percentage. 
In case of liquidation value, we have considered only those project companies who’s credit ratings are AAA/AA/A or stable and Government or State Government companies. </t>
  </si>
  <si>
    <t xml:space="preserve"> In preference shares (fully paid-up) 2,441,850 (March 31, 2021: 2,441,850)dividend @ of 9% cumulative optionally convertible redeemable preference shares of Rs. 100 each in Bangalore Elevated Tollway Private Limited*</t>
  </si>
  <si>
    <t>In debentures (fully paid-up) 25,370,630 (March 31, 2021: 25,370,630) 0.001% Non-convertible debentures of Rs. 10 each in Bangalore Elevated Tollway Private Limited</t>
  </si>
  <si>
    <t>PROVISIONS - 2018</t>
  </si>
  <si>
    <t>i.	The Deposits shown in financial statements under the head of loan i.e. 20.73 Crs. which represents rent, electricity and other deposits. As per list provided by the company for the deposits, these deposits include deposits with Govt authorities and corporates, towards various facilities like electricity deposit, rent deposit and other payables. 
ii.	These deposits will be adjusted with the corresponding rent, electricity and other payables. Hence, we have considered 100% as fair market value because company is ongoing concern and all these facilities have economic value to the company in its operation.
iii.	Although all these security deposits carry 100% economic value to the business in operation but in case of liquidation on going concern basis, we are giving 25% discount on sentimental grounds buyer would like to take advantage of the situation and would expect some discount since the negotiation power of buyer will be more than the seller in liquidation.
iv.          The loan shown in financial statements under the head loan to related parties is 0.01 Crs. Due to unavailability of supporting documents and information about this head. We cannot assign any value. Hence  the Fair Value and Liquidation Value is considered to be NIL.
v.           The mobilization advance shown in financial statements under the this head is 37.23 Crs. As per list provided by company for mobilization advances to subcontractors, company had made these advances to government and trust worthy organizations. However, recoverability of these advances will depend upon factors like terms and condition of the contract, legality of the same. Therefore, we are considering its fair market value as 80% of the book value. During Liquidation, the recovery of it will be insurmountable task and will be subject to the contract condition, legality issues and dues of the authority. Hence in this case we are considering liquidation value as 50% of fair market value.</t>
  </si>
  <si>
    <t>Provision for Loans</t>
  </si>
  <si>
    <t>As per financial of the company, provision for doubtful loans include two types of provisions. First provision i.e., 192.95 Crs, is made for Related Parties.  We have conducted secondary research on the top 80% related parties involved and gathered information from existing sources such as credit ratings, financials, Annual reports, published articles, and online databases. One of the related parties is Hill County properties Private Limited. HCPL is a subsidiary of IL&amp;FS and considered provision for it is 131.56 crs., which is approximately 68% of total provision for related parties. HCPL is under resolution under the aegis of National Company Law Tribunal -Mumbai Bench (NCLT). Hence, we cannot consider recoverability of this provision. In the same way we get an idea of credit worthiness of all the related parties. Most of the related parties are not in good financial situation / not earning operating revenue. Hence, we cannot consider any recoverability from the first provision. Hence, we will consider fair market value and liquidation value to be NIL.
The other provision i.e., 324.01 Crs. is made for Inter Corporate Deposits (ICD) to various companies and for other companies. For amount 323.78 Crs. ICD had given to Satyam Computers Services Limited (SCSL). SCSL had merged into Tech Mahindra Limited (TML) Pursuant to a scheme of the companies act, 1956. TML in its audited financials as on 31st March 2023, continue to disclose as “Suspense Account (Net) Rs. 1230.40” as disclosed by SCSL earlier. Management if IL&amp;FS is of the opinion that the claim made by the company on SCSL is included in the aforesaid amount disclosed by TML in its audited financials. 
IL&amp;FS is confident of recovering the said ICDs together with the compensation due thereon from SCSL/TML, as the company had documentary evidence of these ICDs. Company had filed a case against the TML for recovery of ICD amounts and the matter is yet to listed for response from other sides. Hence for fair market value we have consider the whole amount of ICD and for liquidation value, we cannot consider this amount. 
Rest amount is approx. 0.23 crs. This provision is for other companies. And we don't have any other information about these companies. Hence, we have considered the fair market value and liquidation value as NIL.</t>
  </si>
  <si>
    <t xml:space="preserve">i.	The Deposits shown in financial statements under the head of loan i.e. 3.33 Crs. which represents rent, electricity and other deposits. As per list provided by the company for the deposits, these deposits include deposits with Govt authorities and corporates, towards various facilities like electricity deposit, rent deposit and other payables. 
ii.	These deposits will be adjusted with the corresponding rent, electricity and other payables. Hence, we have considered 100% as fair market value because company is ongoing concern and all these facilities have economic value to the company in its operation.
iii.	Although all these security deposits carry 100% economic value to the business in operation but in case of liquidation on going concern basis, we are giving 10% discount on sentimental grounds buyer would like to take advantage of the situation and would expect some discount since the negotiation power of buyer will be more than the seller in liquidation.
iv.          The loan shown in financial statements under the this head is 10.69 Crs. As per information provided by company, this loan is paid to Maytas NCC JV for running its expenses. As per audited financials of Maytas NCC JV, as on 30th September 2018, it is earning revenue from operations, it means company have open running projects. Therefore, the chances of recoverability of the loan is high. Hence, we have considered the fair market value to be at 100% of the book value and liquidation value to be at 80% of the fair market value.
v.           The mobilization advance shown in financial statements under the this head is 23.65 Crs. As per list provided by company for mobilizatrion advances to subcontractors, company had made these advances to government and trust worthy organizations. However, recoverability of these advances will depend upon factors like terms and condition of the contract, ageing of the advances, legality of the same. Therefore, we are considering its fair market value as 70% of the book value. During Liquidation, the recovery of it will be insurmountable task and will be subject to the contract condition, legality issues and dues of the authority. Hence in this case we are considering liquidation value as 40% of fair market value.
vi.          As per information provided by the company inter-corporate deposits of 323.78 Crs has been given to Satyam Computer Services Limited (SCSL), The company is confidant of recovering the said ICD's together with the compansation due thereon from SCSL / TML (SCSL was mearged with Tech Mahindra Limited (TML)). Based on the internal evaluation and legal openion, documentory evidences available with the company and in view of the observations of the special court in its verdict dated April 9, 2015 confirmining that an amount of Rs. 1425 Crs was transferred to SCSL through the intermediary companies. Hence we have considered 100% of book value as fair market value and liquidation value.
vii.       We have not received any information/supporting documents regarding the loan to other companies i.e., 124.72. As per realization plan provided by the management, 60.17 Crs will be realized in FY 2019, after that 10.03 Crs will be outstanding in FY 2023. Therefore, we are considering the fair market value 60.17 Crs and for liquidation value we have given 10% discount on Fair market value.
</t>
  </si>
  <si>
    <t>Annad Vilas-3054</t>
  </si>
  <si>
    <t>CMT-JV1</t>
  </si>
  <si>
    <t>Gurgaon Hills-3055</t>
  </si>
  <si>
    <t>Palm-3047</t>
  </si>
  <si>
    <t>Villas Marbella -3052</t>
  </si>
  <si>
    <t>Net RM</t>
  </si>
  <si>
    <t>Outstanding Amount after FY23</t>
  </si>
  <si>
    <t>Projects</t>
  </si>
  <si>
    <t>Amount in Cr</t>
  </si>
  <si>
    <t>RD043/ Birpur</t>
  </si>
  <si>
    <t>EMMAR MGF</t>
  </si>
  <si>
    <t xml:space="preserve">Villas Marbella </t>
  </si>
  <si>
    <t>Hillcounty (3039)</t>
  </si>
  <si>
    <t>Kolkata Metro Rail</t>
  </si>
  <si>
    <t>BMP Sholapur</t>
  </si>
  <si>
    <t>OG010-KKMBL-2</t>
  </si>
  <si>
    <t>OG008-Bihar</t>
  </si>
  <si>
    <t>WBSEDCL IEINPW0 57-59</t>
  </si>
  <si>
    <t>Irrigation</t>
  </si>
  <si>
    <t>Lingala - MIL</t>
  </si>
  <si>
    <t>Orchid heights</t>
  </si>
  <si>
    <t>Port</t>
  </si>
  <si>
    <t>DIGI Port</t>
  </si>
  <si>
    <t>JAMSHEDPUR</t>
  </si>
  <si>
    <t>Dumka - (PW077)</t>
  </si>
  <si>
    <t>Dhanbad - (PW078)</t>
  </si>
  <si>
    <t>Outstanding Amount Beyond FY23</t>
  </si>
  <si>
    <t>Project work in progress break up - Sep2018</t>
  </si>
  <si>
    <t>Anand Villas</t>
  </si>
  <si>
    <t>Mahindra 3048</t>
  </si>
  <si>
    <t>BMRCL-2</t>
  </si>
  <si>
    <t>OG009-KKMBL-1</t>
  </si>
  <si>
    <t>GAIL - Gujarat -OG 006</t>
  </si>
  <si>
    <t>OG007-Kochi</t>
  </si>
  <si>
    <t>Durgapur</t>
  </si>
  <si>
    <t>BAPL Angul - OG012</t>
  </si>
  <si>
    <t>Anupur</t>
  </si>
  <si>
    <t>Pranahita Pack-8</t>
  </si>
  <si>
    <t>West Singhbhum - 076</t>
  </si>
  <si>
    <t>Moradabad -  064</t>
  </si>
  <si>
    <t>WB N - 063</t>
  </si>
  <si>
    <t>Bhulandshahar 062</t>
  </si>
  <si>
    <t>Ambedkarnagar - 061</t>
  </si>
  <si>
    <t>APTRANSCO - 028-33</t>
  </si>
  <si>
    <t>IPDS - S24 PGNS (PW070)</t>
  </si>
  <si>
    <t>East singhbhum</t>
  </si>
  <si>
    <t>Deposits (Others) - Unsecured, Considered Good</t>
  </si>
  <si>
    <t>As per list of projects, provided by the company for the deposits, these deposits are made towards various facilities like electricity deposit, rent deposit and other payables. It is also informed by company, that these deposits will be adjusted with the corresponding rent, electricity and other payables. 
As per the recoverability plan provided by management of the company, Rs. 0.57 Crs. will be recovered from deposits in FY24, Rs. 2.17 Crs. will be recovered from deposits in FY25 and rest amount i.e., Rs. 0.59 Crs. will be recovered from deposits in FY26. To calculate the present value of the realizable amount, we have considered year on year 10% discount rate as a litigation / Dispute discount between parties. Therefore, the present value of realizable amount i.e. fair market value of deposits will be 2.75 Crs.
For liquidation value, we have considered 10% discount in the fair market value as a liquidation discount.</t>
  </si>
  <si>
    <t xml:space="preserve">AMBEDKARNAGAR </t>
  </si>
  <si>
    <t>AMROHA</t>
  </si>
  <si>
    <t>Anuppur</t>
  </si>
  <si>
    <t xml:space="preserve">BHUJ TW02 </t>
  </si>
  <si>
    <t>BMP</t>
  </si>
  <si>
    <t>BMR</t>
  </si>
  <si>
    <t>BRGF-SOUTH</t>
  </si>
  <si>
    <t>Corporate</t>
  </si>
  <si>
    <t>DDUGJUY</t>
  </si>
  <si>
    <t>DHUMKA</t>
  </si>
  <si>
    <t xml:space="preserve">GONDA </t>
  </si>
  <si>
    <t>Gurgaon</t>
  </si>
  <si>
    <t>IPDS 24 PARAGANAS</t>
  </si>
  <si>
    <t>KKBMPL IVA</t>
  </si>
  <si>
    <t>KKBMPL IVB</t>
  </si>
  <si>
    <t>KKBMPL SEC-1</t>
  </si>
  <si>
    <t xml:space="preserve">Mangalore Pipeline Project </t>
  </si>
  <si>
    <t>NEF Railway 8 &amp; 9</t>
  </si>
  <si>
    <t xml:space="preserve">PASCHIM MIDNAPORE </t>
  </si>
  <si>
    <t>PHPL</t>
  </si>
  <si>
    <t xml:space="preserve">SAHIBGANJ </t>
  </si>
  <si>
    <t>SHAHJAHANPUR</t>
  </si>
  <si>
    <t>SMP</t>
  </si>
  <si>
    <t>WB-N (IEINPW063)</t>
  </si>
  <si>
    <t>Deposits realization</t>
  </si>
  <si>
    <t>As on Sep-2018</t>
  </si>
  <si>
    <t>Completed projects</t>
  </si>
  <si>
    <t>PLRP- Gujarat</t>
  </si>
  <si>
    <t>DDPL- Durgapur</t>
  </si>
  <si>
    <t>BAPL-Angole</t>
  </si>
  <si>
    <t>Assam 19</t>
  </si>
  <si>
    <t>Assam 25</t>
  </si>
  <si>
    <t>KNC</t>
  </si>
  <si>
    <t>Patna</t>
  </si>
  <si>
    <t>Aquapolis-3042</t>
  </si>
  <si>
    <t>Cranin-3049</t>
  </si>
  <si>
    <t>Gift-3040</t>
  </si>
  <si>
    <t>Hil County-3039</t>
  </si>
  <si>
    <t>IT PARK - 3044</t>
  </si>
  <si>
    <t>La-Tropicana-3043</t>
  </si>
  <si>
    <t>Lodha-3056</t>
  </si>
  <si>
    <t>Mahindra-3048</t>
  </si>
  <si>
    <t>NAVAC Firerange-3031</t>
  </si>
  <si>
    <t>NAVAC Hospital-3020</t>
  </si>
  <si>
    <t>Orchid heights-3053</t>
  </si>
  <si>
    <t>DFC</t>
  </si>
  <si>
    <t>RMRG-II</t>
  </si>
  <si>
    <t>RMRG-II-Stations</t>
  </si>
  <si>
    <t>Pranahita Package - 7</t>
  </si>
  <si>
    <t>Sitapally Vagu</t>
  </si>
  <si>
    <t>Bulandshashar</t>
  </si>
  <si>
    <t>Moradabad</t>
  </si>
  <si>
    <t>BHUJ TW05</t>
  </si>
  <si>
    <t>Dhanbad</t>
  </si>
  <si>
    <t>Sector Ho</t>
  </si>
  <si>
    <t>Plant &amp; Machinery</t>
  </si>
  <si>
    <t xml:space="preserve">We have not received any document/supporting regarding the status of the Income Tax. In general circumstances this income asset belongs to TDS receivables. Company can claim this amount as income tax return. Hence it is fully recoverable. Therefore, we have consider fair market value to be at 100% of the book value. In case of liquidation, business will come to an end and distributing its assets to claimants. Hence its liquidation value will be NIL.
</t>
  </si>
  <si>
    <t>Loan - Deposits</t>
  </si>
  <si>
    <t>Loans to related Parties</t>
  </si>
  <si>
    <t>Loan to other companies - Secured (considered good), Unsecured (considered good)</t>
  </si>
  <si>
    <t>Loans - Mobilisation advances to subcontractor &amp; Other Assets - Advances other than capital advances</t>
  </si>
  <si>
    <t>Loan to other companies - Inter Corporate Deposits</t>
  </si>
  <si>
    <t>Balances with statutory Authorities</t>
  </si>
  <si>
    <t>Retention money</t>
  </si>
  <si>
    <t>Non-current inventories</t>
  </si>
  <si>
    <t xml:space="preserve">Subsequent Realization/adjusted </t>
  </si>
  <si>
    <t>Description</t>
  </si>
  <si>
    <t>Sum of As on      Sep-2018</t>
  </si>
  <si>
    <t>Intercorporate deposits</t>
  </si>
  <si>
    <t>Loan to other companies</t>
  </si>
  <si>
    <t>Loan to related parties</t>
  </si>
  <si>
    <t>Vendor advances realization</t>
  </si>
  <si>
    <t>BULANDSHAR</t>
  </si>
  <si>
    <t>Amroha</t>
  </si>
  <si>
    <t>Shahjahanpur</t>
  </si>
  <si>
    <t>IPDS 24 Paraganas</t>
  </si>
  <si>
    <t>Jamshedpur</t>
  </si>
  <si>
    <t>East Singhbhum</t>
  </si>
  <si>
    <t>West Singhbhum</t>
  </si>
  <si>
    <t>Dhumka</t>
  </si>
  <si>
    <t>Sector Accounts- PWCHO</t>
  </si>
  <si>
    <t>BAPL</t>
  </si>
  <si>
    <t>DDPL</t>
  </si>
  <si>
    <t>PLRP</t>
  </si>
  <si>
    <t xml:space="preserve"> Kochi Kootanad Bangalore Mangalore Pipeline Project </t>
  </si>
  <si>
    <t>ORR</t>
  </si>
  <si>
    <t>Pondey</t>
  </si>
  <si>
    <t>Sector Accounts</t>
  </si>
  <si>
    <t>DG MAP Chennai-3021</t>
  </si>
  <si>
    <t>EMMAR - 3045</t>
  </si>
  <si>
    <t>Hill County-3011</t>
  </si>
  <si>
    <t>Hirco-3034</t>
  </si>
  <si>
    <t>IIT Chennai-3022</t>
  </si>
  <si>
    <t>JSW-Bellar-3023</t>
  </si>
  <si>
    <t>Lucknow-3014</t>
  </si>
  <si>
    <t>Ludhiyana-3041</t>
  </si>
  <si>
    <t>Unitech-3051</t>
  </si>
  <si>
    <t>IEINPMCWS</t>
  </si>
  <si>
    <t>IEINPMCHO</t>
  </si>
  <si>
    <t>OTHER RECEIVABLES</t>
  </si>
  <si>
    <t>Schedule of  Other Receivable</t>
  </si>
  <si>
    <t>Other receivables</t>
  </si>
  <si>
    <t>JV TDS receivables</t>
  </si>
  <si>
    <t>Other than JV TDS receivable</t>
  </si>
  <si>
    <t>Neuland</t>
  </si>
  <si>
    <t>Gross Total</t>
  </si>
  <si>
    <t>Land</t>
  </si>
  <si>
    <t>Capital work-in-progress</t>
  </si>
  <si>
    <t>Loans and Other Assets</t>
  </si>
  <si>
    <t>Schedule of Interest Accrued</t>
  </si>
  <si>
    <t>As on      Sep-2018</t>
  </si>
  <si>
    <t>Interest on hire income dues from Terra</t>
  </si>
  <si>
    <t>Interest on other advance to Terra</t>
  </si>
  <si>
    <t>HO</t>
  </si>
  <si>
    <t>Interest Others- ORR</t>
  </si>
  <si>
    <t>Interest accrued on advance to CEL</t>
  </si>
  <si>
    <t>Interest accrued on advance to PTTL</t>
  </si>
  <si>
    <t>Interest on margin money and fixed deposits</t>
  </si>
  <si>
    <t>Interest accrued on advances to subcontractors and deposits</t>
  </si>
  <si>
    <t>Interest accrued on AS 19 claim</t>
  </si>
  <si>
    <t>Interest accrued on Nagaland claim</t>
  </si>
  <si>
    <t>Interest accrued on AS 17 claim</t>
  </si>
  <si>
    <t>Interest accrued on Security deposit with il&amp;fs</t>
  </si>
  <si>
    <t>Claim for PBG</t>
  </si>
  <si>
    <t>Tax Assets</t>
  </si>
  <si>
    <t>The loan shown in financial statements under the non-current head is 10.69 Crs. As per information provided by company, this loan is paid to Maytas NCC JV for running its expenses. As per audited financials of Maytas NCC JV, as on 30th September 2018, it is earning revenue from operations, it means company have open running projects. Therefore, the chances of recoverability of the loan are high. Hence, we have considered the fair market value to be at 100% of the book value and liquidation value to be at 90% of the fair market value.
The loan shown in financial statements under the head current loan to related parties is 0.01 Crs. Due to unavailability of supporting documents and information about this head. We cannot assign any value. Hence, the Fair Value and Liquidation Value is considered to be NIL.</t>
  </si>
  <si>
    <t>LOANS AND OTHER ASSETS</t>
  </si>
  <si>
    <t>1.	Assessment is done based on the discussions done with the banker/ company and the details which they could provide to us on our queries.
2.	All the notes on the current status of amount recovery are given by company/ banker. Notes and data provided by company/ banker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t>
  </si>
  <si>
    <t>Schedule of Loans</t>
  </si>
  <si>
    <t>1. Assessment is done based on the discussions done with the banker/ company and the details which they could provide to us on our queries.
2. All the notes on the current status of amount recovery are given by company/ banker. Notes and data provided by company/ banker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t>
  </si>
  <si>
    <t>INTEREST ACCRUED</t>
  </si>
  <si>
    <t xml:space="preserve">Liquidation Value </t>
  </si>
  <si>
    <t>TAX ASSETS</t>
  </si>
  <si>
    <t>OTHER NON-CURRENT INVENTORIES</t>
  </si>
  <si>
    <t>RETENTION MONEY</t>
  </si>
  <si>
    <t>i.	For the recoverability of the trade receivables, company has prepared a comprehensive “Realization Plan” on year-on-year basis upto period of FY26. Based on this “Realization Plan” we have calculated the Project wise Present value of Trade Receivables. This has become the prime and sole basis of our assessment of Trade Receivables.
ii.	We have been given ageing also for Trade Receivables along with the Realization Plan but we have relied upon Realization Plan to calculate the value of Trade Receivables since this shows actionable plan for realization of the amount as it is presumed that the company have a better understanding about the creditworthiness of the debtor and their ability or inability to recover the amount from them.
vi.	As per trade receivable realization plan, Rs 69.51 Crs. will be realized in FY19, Rs 44.05 Crs. will be realized in FY20, Rs 21.43 Crs. will be realized in FY21, Rs 10.21 Crs. will be realized in FY22, Rs 0.38 Crs. will be realized in FY23 and beyond that 118.85 Crs will be outstanding Amount. The Realization Plan as provided by the company Management is shown in Table xxxx of the report for reference.
vii.	To calculate the present value of the future realizable amount, for first 5 years, we have considered year on year 17% (Nifty 50 Returns (CAGR) in the Last 15 Years) discount rate. For the outstanding amount after FY23, as management is not sure that when this amount will be recovered. Hence, we have given a separate discount on this amount which is 50% of outstanding amount after FY23.  Thus, the fair market value will be 170.02 Crs.
viii.	For liquidation, we have only considered the amount of trade receivable for which the company has the realization plan (except outstanding amount after FY23, as company don’t have recoverability plan for this). Here, the effect of ageing, duration of the contract, litigation, dispute between parties are material, thus we have considered annually expected realization as 70%, 55%, 40%, 30% and 20% of the expected realized value in FY19, FY20, FY21, FY22 and FY23 respectively, therefore, the liquidation value would be 84.59 Crs.</t>
  </si>
  <si>
    <t>i.	As per list of projects, provided by the company for the deposits, these deposits are made towards various facilities like electricity deposit, rent deposit and other payables. It is also informed by company, that these deposits will be adjusted with the corresponding rent, electricity and other payables.
ii.	As per the recoverability plan provided by management of the company, Rs. 0.33 Crs. will be recovered from deposits in FY19, Rs. 0.38 Crs. will be recovered from deposits in FY20, Rs. 0.17 Crs. will be recovered from deposits in FY21, Rs. 0.09 Crs. will be recovered from deposits in FY22, Rs. 0.16 Crs. will be recovered from deposits in FY23 and rest amount i.e., Rs. 22.92 Crs. will be outstanding from deposits beyond FY23. The Realization Plan as provided by the company Management is shown in Table xxxx of the report for reference.
iii.	To calculate the present value of the future realizable amount, for first 5 years, we have considered year on year 17% (Nifty 50 Returns (CAGR) in the Last 15 Years) discount rate. For the outstanding amount after FY23, as management is not sure that when this amount will be recovered. Hence, we have given a separate discount on this amount which is 30% of outstanding amount after FY23.  Thus, the fair market value will be 7.66 Crs.
iv.	For liquidation, we have only considered the amount of loan for which the company has the realization plan (except outstanding amount after FY23, as company don’t have recoverability plan for this). Here, the effect of ageing, duration of the contract, litigation, dispute between parties are material, thus we have considered annually expected realization as 50%, 40%, 30%, 20% and 10% of the expected realized value in FY19, FY20, FY21, FY22 and FY23 respectively, therefore, the liquidation value would be 0.40 Crs.</t>
  </si>
  <si>
    <t>i.	We have not received any information/supporting documents regarding the loan to other companies i.e., 124.72. However, as per realization plan provided by the management, 60.17 Crs will be realized in FY 2019, after that 10.03 Crs will be outstanding after FY 2023. The Realization Plan as provided by the company Management is shown in Table xxxx of the report for reference.
ii.	To calculate the present value of the future realizable amount, for first 5 years, we have considered year on year 17% (Nifty 50 Returns (CAGR) in the Last 15 Years) discount rate. For the outstanding amount after FY23, as management is not sure that when this amount will be recovered. Hence, we have given a separate discount on this amount which is 30% of outstanding amount after FY23.  Thus, the fair market value will be 54.44 Crs.
iii.	For liquidation, we have only considered the amount of loan for which the company has the realization plan (except outstanding amount after FY23, as company don’t have recoverability plan for this). Here, the effect of ageing, duration of the contract, litigation, dispute between parties are material, thus we have considered annually expected realization as 50% of the expected realized value in FY19, therefore, the liquidation value would be 30.09 Crs.</t>
  </si>
  <si>
    <t>i.	As per discussion and data / information shared by the client / company with us, we have calculated the Present value based on project wise advances realization plan provided by the management of the company. As per realization plan, Rs 45.14 Crs. will be realized in FY19, Rs 17.39 Crs. will be realized in FY20, Rs 33.67 Crs. will be realized in FY21, Rs 7.15 Crs. will be realized in FY22, Rs 2.46 Crs. will be realized in FY23 and beyond that 71.29 Crs will be outstanding Amount. The Realization Plan as provided by the company Management is shown in Table xxxx of the report for reference.
ii.	To calculate the present value of the future realizable amount, for first 5 years, we have considered year on year 17% (Nifty 50 Returns (CAGR) in the Last 15 Years) discount rate. For the outstanding amount after FY23, as management is not sure that when this amount will be recovered. Hence, we have given a separate discount on this amount which is 30% of outstanding amount after FY23.  Thus, the fair market value will be 98.63 Crs.
iii.	For liquidation, we have only considered the amount of advances for which the company has the realization plan (except outstanding amount after FY23, as company don’t have recoverability plan for this). Here, the effect of ageing, duration of the contract, litigation, dispute between parties are material, thus we have considered annually expected realization as 50%, 40%, 30%, 20% and 10% of the expected realized value in FY19, FY20, FY21, FY22 and FY23 respectively, therefore, the liquidation value would be 41.30 Crs.</t>
  </si>
  <si>
    <t>i.	Accrued interest refers to the amount of interest that has been earned or incurred on a loan or other financial obligation but has not yet been paid. As on 30th September, 2018, total of interest accrued is 285.84 Crs. As per discussion and data / information shared by the client / company with us, we have calculated the Present value based on realization plan provided by the management of the company. 
ii.	As per realization plan, nothing will be realized from interest accrued in FY19, Rs. 53.92 Crs. will be realized from interest accrued in FY20, Rs. 7.75 Crs. will be realized from interest accrued in FY21, Rs. 10.09 Crs. will be realized from interest accrued in FY22, nothing will be realized from interest accrued in FY23, and beyond FY23, Rs. 213.89 Crs. The Realization Plan as provided by the company Management is shown in Table xxxx of the report for reference.
iii.	To calculate the present value of the future realizable amount, for first 5 years, we have considered year on year 17% (Nifty 50 Returns (CAGR) in the Last 15 Years) discount rate. For the outstanding amount after FY23, as management is not sure that when this amount will be recovered. Hence, we have given a separate discount on this amount which is 30% of outstanding amount after FY23.  Thus, the fair market value will be 113.77 Crs.
iv.	For liquidation, we have only considered the amount of interest accrued for which the company has the realization plan (except outstanding amount after FY23, as company don’t have recoverability plan for this). Here, the effect of ageing, duration of the contract, litigation, dispute between parties are material, thus we have considered annually expected realization as 50%, 40%, 30%, 20% and 10% of the expected realized value in FY19, FY20, FY21, FY22 and FY23 respectively, therefore, the liquidation value would be 25.91 Crs.</t>
  </si>
  <si>
    <t>As per information provided by company, this claim for bank guarantee represents the amount receivable towards encashment of Performance Bank Guarantee (PBG) of one of the Moradabad project, which belongs to Paschim Vidyut Vitaran Nigam Ltd. Paschim Vidyut Vitaran Nigam Ltd. is a government company, hence these claims can be considered good. As per audited financials of IECCL these claims are considered good by the auditor.
Also, we have not received any document/data/information and bank guarantee statement regarding the verification of these claims. Thus, in this scenario, we have considered the fair market value as 80% of the book value and Liquidation value as 50% of the fair market value after considering the facts that this is a operational unit and the nature of the asset.</t>
  </si>
  <si>
    <t>i.	As per information shared by company these other receivables i.e., 30.37 Crs. belongs to Tax Deducted at Source (TDS) receivables. TDS receivable is the amount of income tax, which is deducted by the receiver of the service from the total payable amount and deposited to the IT department on behalf of the provider of the service. The provider of the service can claim this amount in the income tax return. 
ii.	As per realization plan provided by the management of the company, nothing will be realized in FY19, Rs 5.42 Crs. will be realized in FY20, Rs 16.67 Crs. will be realized in FY21, nothing will be realized in FY22 and FY23 and beyond that 8.28 Crs will be outstanding Amount. The Realization Plan as provided by the company Management is shown in Table xxxx of the report for reference.
iii.	To calculate the present value of the future realizable amount, for first 5 years, we have considered year on year 17% (Nifty 50 Returns (CAGR) in the Last 15 Years) discount rate. For the outstanding amount after FY23, as management is not sure that when this amount will be recovered. Hence, we have given a separate discount on this amount which is 30% of outstanding amount after FY23.  Thus, the fair market value will be 16.85 Crs.
iv.	For liquidation value on piecemeal basis, these TDS receivables does not hold any benefit to the company. Therefore, we have considered liquidation value to be NIL.</t>
  </si>
  <si>
    <t>As per audited financial statements these money market deposits are lodged with authorities and these deposits were deposited with banks towards the security against BGs issued, which has also been communicated and confirmed by Bank / Client. Hence we have considered fair market value and liquidation value as 100%.</t>
  </si>
  <si>
    <t>As per information provided by the company inter-corporate deposits of 323.78 Crs has been given to Satyam Computer Services Limited (SCSL), The company is confidant of recovering the said ICD's together with the compensation due thereon from SCSL / TML (SCSL was merged with Tech Mahindra Limited (TML)). Based on the internal evaluation and legal opinion, documentary evidences available with the company and in view of the observations of the special court in its verdict dated April 9, 2015 confirming that an amount of Rs. 1425 Crs was transferred to SCSL / TML through the intermediary companies. Hence we have considered 100% of book value as fair market value and for liquidation value we have given 10% discount on Fair market value as a liquidation discount considering the factors such as duration of recoverability, legality and other expected contingencies occurrence.</t>
  </si>
  <si>
    <t>i.	As per discussion and data / information shared by the client / company with us, we have calculated the Present value based on project wise details of Non-Current Inventories / contract assets - WIP, realization plan provided by the management of the company. 
ii.	As per the realization plan, Rs 36.05 Crs. will be realized in FY19, Rs 144.60 Crs. will be realized in FY20, Rs 135.69 Crs. will be realized in FY21, Rs 11.47 Crs. will be realized in FY22, Rs 30.69 Crs. will be realized in FY23, and beyond FY23, 523.58 Crs will be outstanding Amount. The Realization Plan as provided by the company Management is shown in Table xxxx of the report for reference. 
iii.	To calculate the present value of the future realizable amount, for first 5 years, we have considered year on year 17% (Nifty 50 Returns (CAGR) in the Last 15 Years) discount rate. For the outstanding amount after FY23, as management is not sure that when this amount will be recovered. Hence, we have given a separate discount on this amount which is 30% of outstanding amount after FY23.  Thus, the fair market value will be 398.36 Crs.
iv.	For liquidation, we have only considered the amount of assets for which the company has the realization plan (except outstanding amount after FY23, as company don’t have recoverability plan for this). Here, the effect of ageing, duration of the contract, litigation, dispute between parties are material, thus we have considered annually expected realization as 70%, 55%, 40%, 30% and 20% of the expected realized value in FY19, FY20, FY21, FY22 and FY23 respectively, therefore, the liquidation value would be 168.62 Crs.</t>
  </si>
  <si>
    <t>i.	As per financials of the company, retention money is the amount, which is retain by the customer till the completion of the defect liability period (DLP). As per information shared by the company, a realization plan had been prepared by the company for retention money, which is based on DLP period. 
ii.	This asset includes Rs 68.89 Crs of retention money realized in FY19, Rs 70.63 Crs of retention money realized in FY 20, Rs 41.38 Crs of retention money realized in FY21, Rs 21.47 Crs of retention money realized in FY22, Rs 5.10 Crs of retention money realized in FY23 and 277.71 Crs of retention money will be outstanding after FY23. The Realization Plan as provided by the company Management is shown in Table xxxx of the report for reference. 
iii.	To calculate the present value of the future realizable amount, for first 5 years, we have considered year on year 17% (Nifty 50 Returns (CAGR) in the Last 15 Years) discount rate. For the outstanding amount after FY23, as management is not sure that when this amount will be recovered. Hence, we have given a separate discount on this amount which is 30% of outstanding amount after FY23.  Thus, the fair market value will be 233.41 Crs.
iv.	For liquidation, we have only considered the amount of assets for which the company has the realization plan (except outstanding amount after FY23, as company don’t have recoverability plan for this). Here, the effect of ageing, duration of the contract, litigation, dispute between parties are material, thus we have considered annually expected realization as 70%, 55%, 40%, 30% and 20% of the expected realized value in FY19, FY20, FY21, FY22 and FY23 respectively, therefore, the liquidation value would be 111.08 Crs.</t>
  </si>
  <si>
    <t>Due to unavailability of financials of Maytas NCC JV as on 30th September, 2018 we have considered the financials as on 31st March, 2018. As per financials of Maytas NCC JV as on 31st March, 2018, Net worth of the company is 65.2278 Crs. As per accounting policy of the Maytas NCC JV, IL&amp;FS Engineering and construction Company Limited have 50 percentage share in profit margin of the entity. Hence the fair market value and liquidation value of this investment will be 50% of the networth of Maytas NCC JV, which is 32.61 Crs.</t>
  </si>
  <si>
    <t>Due to unavailability of financials of NCC – Maytas – ZVS (JV) as on 30th September, 2018, we have considered the financials as on 31st March, 2018. As per financials of Maytas NCC JV as on 31st March, 2018, Net worth of the company is 0.6003 Crs. As per accounting policy of the NCC – Maytas – ZVS (JV), IL&amp;FS Engineering and construction Company Limited have 39.69 percentage share in profit margin of the entity. Hence the fair market value and liquidation value of this investment will be 39.69% of the Present value of the networth of NCC – Maytas – ZVS (JV), which is 0.24 Crs.</t>
  </si>
  <si>
    <t>1. Assessment is done based on the details which the lender could provided to us on our queries.
2. Status &amp; Outstanding amount are provided by the lender.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Current Assets.</t>
  </si>
  <si>
    <t>1. Assessment is done based on the discussions done with the Banker/ Company and the details which they could provide to us on our queries.
2. The outstanding are taken from the data provided by the company standing as on 31st March 2023.
3. Based on the reason for pendency and comments on recoverability, we have arrived at the valuation based on the assumption that in present situation what is the maximum recoverability can come subject to proper follow-up with the counter parties.
4. The recoverability assessed in the potential valuation is subject to rigorous follow-up with individual debtor.
5. This is just a general assessment on the basis of general Industry practice, based on the details which the company/ Banker could provide to us as per our queries &amp; discussions with the Company officials/ Banker.
6. No audit of any kind is performed by us from the books of account or ledger statements and all this data/ information/ input/ details provided to us by the company/ Banker are taken as is it on good faith that these are factually correct information.
7. There is no fixed criteria, formula or norm for the Valuation of Current assets. It is purely based on the individual assessment and may differ from valuer to valuer based on the practicality he analyzes in recoveries of outstanding dues. Ultimate recovery depends on efforts, extensive follow-ups and close scrutiny of individual case made by the company. So, our values should not be regarded as any judgment in regard to the recoverability of Current assets.</t>
  </si>
  <si>
    <t>1. Assessment is done based on the discussions done with the banker/ company and the details which they could provide to us on our queries.
2. All the notes on the current status of amount recovery are given by company/ banker. Notes and data provided by company/ banker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
7. There is no fixed criteria, formula or norm for the Valuation of Current assets It is purely based on the individual assessment and may differ from valuer to valuer based on the practicality he analyse in recoveries of outstanding dues. Ultimate recovery depends on efforts, extensive follow-ups and close scrutiny of individual case made by the company/ RP. So our values should not be regarded as any judgment in regard to the recoverability of Current assets</t>
  </si>
  <si>
    <t>1. Assessment is done based on the details which the lender provided to us on our queries.
2. Basis of the assessment is mentioned against each line item based on the information provided to us by the lender.
3. No audit of any kind is performed by us from the books of account or ledger statements and all the data/ information/ input/ details provided to us by the lender are taken as is it on good faith that these are factually correct information.
4.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Securities or Current Assets.</t>
  </si>
  <si>
    <t>1. Assessment is done based on the details which the lender provided to us on our queries.
2.  Status &amp; Outstanding amount are provided by the lenders.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Securities or Current Assets.</t>
  </si>
  <si>
    <r>
      <t xml:space="preserve">Other bank balance includes two heads: </t>
    </r>
    <r>
      <rPr>
        <b/>
        <sz val="11"/>
        <color theme="1"/>
        <rFont val="Calibri"/>
        <family val="2"/>
        <scheme val="minor"/>
      </rPr>
      <t>Margin money deposit</t>
    </r>
    <r>
      <rPr>
        <sz val="11"/>
        <color theme="1"/>
        <rFont val="Calibri"/>
        <family val="2"/>
        <scheme val="minor"/>
      </rPr>
      <t xml:space="preserve"> and </t>
    </r>
    <r>
      <rPr>
        <b/>
        <sz val="11"/>
        <color theme="1"/>
        <rFont val="Calibri"/>
        <family val="2"/>
        <scheme val="minor"/>
      </rPr>
      <t>Fixed Deposit</t>
    </r>
    <r>
      <rPr>
        <sz val="11"/>
        <color theme="1"/>
        <rFont val="Calibri"/>
        <family val="2"/>
        <scheme val="minor"/>
      </rPr>
      <t>. As per information provided by company, these money market deposits are lodged with authorities and these deposits were deposited with banks towards the security against BGs issued. Hence we have considered fair market value and liquidation value as 100% of book value i.e. 13.37.
We have considered the Fair Market Value and Liquidation Value as per the documents/data/information/bank statements provided by the Client/Company. After the analysis of documents/data/information/bank statements, Fixed deposits bank balance comes out 0.59 Crs. Hence we have consider Fair Market Value and Liquidation Value to be at 0.59 Crs.</t>
    </r>
  </si>
  <si>
    <t>1. Assessment is done based on the details which the lender provided to us on our queries.
2.Status &amp; Outstanding amount are provided by the lenders.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Securities or Current Assets.</t>
  </si>
  <si>
    <t>REMARKS &amp; NOTES:</t>
  </si>
  <si>
    <t>1. Assessment is done based on the details which the lender provided to us on our queries.
2. Status &amp; Outstanding amount are provided by the lenders.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Securities or Current Assets.</t>
  </si>
  <si>
    <r>
      <t>As per information provided by company, these deffered tax assets, as per assessed income, belongs to depreciation on fixed assets, unabsorbed depreciation, provision for liquidated damages, provisions for future loss, provisions for doubtfut advances, provision for doubtful interest, provision for bank gurantee, provision for doubtful receivable, prov</t>
    </r>
    <r>
      <rPr>
        <sz val="11"/>
        <rFont val="Calibri"/>
        <family val="2"/>
        <scheme val="minor"/>
      </rPr>
      <t xml:space="preserve">ision for </t>
    </r>
    <r>
      <rPr>
        <sz val="11"/>
        <color theme="1"/>
        <rFont val="Calibri"/>
        <family val="2"/>
        <scheme val="minor"/>
      </rPr>
      <t>doubtful deposit and other adjustments. As company is running its operations hence it will get the economic benefit of these assets. Therefore the fair market value of these assets will 100% of book value.
In case of liquidation, business will come to an end and distributing its assets to claimants. Hence its liquidation value will be NIL.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</si>
</sst>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4" formatCode="_ &quot;₹&quot;\ * #,##0.00_ ;_ &quot;₹&quot;\ * \-#,##0.00_ ;_ &quot;₹&quot;\ * &quot;-&quot;??_ ;_ @_ "/>
    <numFmt numFmtId="43" formatCode="_ * #,##0.00_ ;_ * \-#,##0.00_ ;_ * &quot;-&quot;??_ ;_ @_ "/>
    <numFmt numFmtId="164" formatCode="_(&quot;$&quot;* #,##0_);_(&quot;$&quot;* \(#,##0\);_(&quot;$&quot;* &quot;-&quot;_);_(@_)"/>
    <numFmt numFmtId="165" formatCode="_(&quot;$&quot;* #,##0.00_);_(&quot;$&quot;* \(#,##0.00\);_(&quot;$&quot;* &quot;-&quot;??_);_(@_)"/>
    <numFmt numFmtId="166" formatCode="_(* #,##0.00_);_(* \(#,##0.00\);_(* &quot;-&quot;??_);_(@_)"/>
    <numFmt numFmtId="167" formatCode="_ &quot;Rs.&quot;\ * #,##0.00_ ;_ &quot;Rs.&quot;\ * \-#,##0.00_ ;_ &quot;Rs.&quot;\ * &quot;-&quot;??_ ;_ @_ "/>
    <numFmt numFmtId="168" formatCode="_(* #,##0_);_(* \(#,##0\);_(* &quot;-&quot;??_);_(@_)"/>
    <numFmt numFmtId="169" formatCode="_-* #,##0_-;\-* #,##0_-;_-* &quot;-&quot;_-;_-@_-"/>
    <numFmt numFmtId="170" formatCode="_-* #,##0.00_-;\-* #,##0.00_-;_-* &quot;-&quot;??_-;_-@_-"/>
    <numFmt numFmtId="171" formatCode="_(* #,##0.00_);_(* \(#,##0.00\);_(* \-??_);_(@_)"/>
    <numFmt numFmtId="172" formatCode="0.00_)"/>
    <numFmt numFmtId="173" formatCode="0.000"/>
    <numFmt numFmtId="174" formatCode="&quot;$&quot;#,##0.0_);\(&quot;$&quot;#,##0.0\)"/>
    <numFmt numFmtId="175" formatCode="General_)"/>
    <numFmt numFmtId="176" formatCode="0.0%;\(0.0%\)"/>
    <numFmt numFmtId="177" formatCode="&quot;$&quot;#,##0.0"/>
    <numFmt numFmtId="178" formatCode="0.00000000"/>
    <numFmt numFmtId="179" formatCode="_-* #,##0\ _D_M_-;\-* #,##0\ _D_M_-;_-* &quot;-&quot;\ _D_M_-;_-@_-"/>
    <numFmt numFmtId="180" formatCode="_-* #,##0.00\ _D_M_-;\-* #,##0.00\ _D_M_-;_-* &quot;-&quot;??\ _D_M_-;_-@_-"/>
    <numFmt numFmtId="181" formatCode="#,##0\ &quot;F&quot;;[Red]\-#,##0\ &quot;F&quot;"/>
    <numFmt numFmtId="182" formatCode="mm/dd/yy"/>
    <numFmt numFmtId="183" formatCode="#,##0&quot;£&quot;_);\(#,##0&quot;£&quot;\)"/>
    <numFmt numFmtId="184" formatCode="#,##0&quot;£&quot;_);[Red]\(#,##0&quot;£&quot;\)"/>
    <numFmt numFmtId="185" formatCode="_-&quot;$&quot;* #,##0_-;\-&quot;$&quot;* #,##0_-;_-&quot;$&quot;* &quot;-&quot;_-;_-@_-"/>
    <numFmt numFmtId="186" formatCode="_-&quot;$&quot;* #,##0.00_-;\-&quot;$&quot;* #,##0.00_-;_-&quot;$&quot;* &quot;-&quot;??_-;_-@_-"/>
    <numFmt numFmtId="187" formatCode="0.000%"/>
    <numFmt numFmtId="188" formatCode="_ * #,##0_ ;_ * \-#,##0_ ;_ * &quot;-&quot;??_ ;_ @_ "/>
    <numFmt numFmtId="189" formatCode="[$-409]mmm\-yy;@"/>
    <numFmt numFmtId="190" formatCode="_(* #,##0_);_(* \(#,##0\);_(* &quot;-&quot;_);_(@_)"/>
  </numFmts>
  <fonts count="79">
    <font>
      <sz val="11"/>
      <color theme="1"/>
      <name val="Calibri"/>
      <family val="2"/>
      <scheme val="minor"/>
    </font>
    <font>
      <b/>
      <sz val="11"/>
      <color theme="1"/>
      <name val="Calibri"/>
      <family val="2"/>
      <scheme val="minor"/>
    </font>
    <font>
      <b/>
      <sz val="12"/>
      <color theme="0"/>
      <name val="Calibri"/>
      <family val="2"/>
      <scheme val="minor"/>
    </font>
    <font>
      <sz val="11"/>
      <color theme="1"/>
      <name val="Calibri"/>
      <family val="2"/>
      <scheme val="minor"/>
    </font>
    <font>
      <b/>
      <sz val="14"/>
      <color theme="1"/>
      <name val="Calibri"/>
      <family val="2"/>
      <scheme val="minor"/>
    </font>
    <font>
      <sz val="10"/>
      <name val="Arial"/>
      <family val="2"/>
    </font>
    <font>
      <i/>
      <sz val="9"/>
      <color theme="1"/>
      <name val="Arial"/>
      <family val="2"/>
    </font>
    <font>
      <b/>
      <sz val="9"/>
      <color theme="0"/>
      <name val="Arial"/>
      <family val="2"/>
    </font>
    <font>
      <sz val="9"/>
      <color theme="1"/>
      <name val="Arial"/>
      <family val="2"/>
    </font>
    <font>
      <b/>
      <sz val="9"/>
      <color theme="1"/>
      <name val="Arial"/>
      <family val="2"/>
    </font>
    <font>
      <b/>
      <i/>
      <sz val="9"/>
      <color theme="0"/>
      <name val="Arial"/>
      <family val="2"/>
    </font>
    <font>
      <b/>
      <i/>
      <sz val="9"/>
      <color theme="1"/>
      <name val="Arial"/>
      <family val="2"/>
    </font>
    <font>
      <sz val="9"/>
      <name val="Arial"/>
      <family val="2"/>
    </font>
    <font>
      <sz val="10"/>
      <name val="Arial"/>
      <family val="2"/>
      <charset val="134"/>
    </font>
    <font>
      <sz val="12"/>
      <name val="Times New Roman"/>
      <family val="1"/>
    </font>
    <font>
      <sz val="10"/>
      <color indexed="8"/>
      <name val="Arial"/>
      <family val="2"/>
    </font>
    <font>
      <sz val="10"/>
      <color indexed="8"/>
      <name val="Arial"/>
      <family val="2"/>
    </font>
    <font>
      <b/>
      <sz val="10"/>
      <color indexed="8"/>
      <name val="ARIAL"/>
      <family val="2"/>
    </font>
    <font>
      <b/>
      <sz val="11"/>
      <name val="Arial"/>
      <family val="2"/>
    </font>
    <font>
      <b/>
      <sz val="10"/>
      <name val="Arial"/>
      <family val="2"/>
    </font>
    <font>
      <sz val="11"/>
      <color indexed="8"/>
      <name val="Calibri"/>
      <family val="2"/>
    </font>
    <font>
      <b/>
      <sz val="12"/>
      <name val="Arial"/>
      <family val="2"/>
    </font>
    <font>
      <b/>
      <sz val="10"/>
      <name val="Helv"/>
    </font>
    <font>
      <sz val="8"/>
      <name val="Arial"/>
      <family val="2"/>
    </font>
    <font>
      <b/>
      <sz val="12"/>
      <name val="Helv"/>
    </font>
    <font>
      <b/>
      <sz val="11"/>
      <name val="Helv"/>
    </font>
    <font>
      <b/>
      <i/>
      <sz val="16"/>
      <name val="Helv"/>
    </font>
    <font>
      <sz val="12"/>
      <name val="Tms Rmn"/>
    </font>
    <font>
      <sz val="9"/>
      <name val="Times New Roman"/>
      <family val="1"/>
    </font>
    <font>
      <sz val="10"/>
      <name val="MS Serif"/>
      <family val="1"/>
    </font>
    <font>
      <sz val="10"/>
      <name val="MS Sans Serif"/>
      <family val="2"/>
    </font>
    <font>
      <sz val="10"/>
      <color indexed="16"/>
      <name val="MS Serif"/>
      <family val="1"/>
    </font>
    <font>
      <sz val="7"/>
      <name val="Small Fonts"/>
      <family val="2"/>
    </font>
    <font>
      <b/>
      <i/>
      <sz val="10"/>
      <color indexed="8"/>
      <name val="Arial"/>
      <family val="2"/>
    </font>
    <font>
      <b/>
      <sz val="10"/>
      <color indexed="56"/>
      <name val="Arial"/>
      <family val="2"/>
    </font>
    <font>
      <b/>
      <sz val="16"/>
      <color indexed="8"/>
      <name val="Arial"/>
      <family val="2"/>
    </font>
    <font>
      <sz val="8"/>
      <name val="Helv"/>
    </font>
    <font>
      <b/>
      <sz val="8"/>
      <color indexed="8"/>
      <name val="Helv"/>
    </font>
    <font>
      <b/>
      <sz val="11"/>
      <name val="Times New Roman"/>
      <family val="1"/>
    </font>
    <font>
      <b/>
      <i/>
      <sz val="16"/>
      <name val="Arial"/>
      <family val="2"/>
    </font>
    <font>
      <u/>
      <sz val="10"/>
      <color indexed="12"/>
      <name val="Arial"/>
      <family val="2"/>
    </font>
    <font>
      <sz val="10"/>
      <name val="Arial"/>
      <family val="2"/>
      <charset val="1"/>
    </font>
    <font>
      <i/>
      <sz val="10"/>
      <color theme="1"/>
      <name val="Arial"/>
      <family val="2"/>
    </font>
    <font>
      <sz val="10"/>
      <color theme="1"/>
      <name val="Arial"/>
      <family val="2"/>
    </font>
    <font>
      <b/>
      <sz val="10"/>
      <color theme="1"/>
      <name val="Arial"/>
      <family val="2"/>
    </font>
    <font>
      <b/>
      <sz val="10"/>
      <color theme="0"/>
      <name val="Arial"/>
      <family val="2"/>
    </font>
    <font>
      <b/>
      <i/>
      <sz val="10"/>
      <color theme="0"/>
      <name val="Arial"/>
      <family val="2"/>
    </font>
    <font>
      <i/>
      <sz val="10"/>
      <name val="Arial"/>
      <family val="2"/>
    </font>
    <font>
      <b/>
      <sz val="11"/>
      <color rgb="FFFFFFFF"/>
      <name val="Calibri"/>
      <family val="2"/>
    </font>
    <font>
      <i/>
      <sz val="11"/>
      <color rgb="FF000000"/>
      <name val="Calibri"/>
      <family val="2"/>
    </font>
    <font>
      <b/>
      <sz val="11"/>
      <color rgb="FF000000"/>
      <name val="Calibri"/>
      <family val="2"/>
    </font>
    <font>
      <sz val="11"/>
      <color rgb="FF000000"/>
      <name val="Calibri"/>
      <family val="2"/>
    </font>
    <font>
      <sz val="11"/>
      <color theme="1"/>
      <name val="Calibri"/>
      <family val="2"/>
    </font>
    <font>
      <b/>
      <i/>
      <sz val="11"/>
      <color rgb="FF000000"/>
      <name val="Calibri"/>
      <family val="2"/>
    </font>
    <font>
      <b/>
      <i/>
      <sz val="7"/>
      <color rgb="FF000000"/>
      <name val="Times New Roman"/>
      <family val="1"/>
    </font>
    <font>
      <sz val="7"/>
      <color rgb="FF000000"/>
      <name val="Times New Roman"/>
      <family val="1"/>
    </font>
    <font>
      <sz val="10"/>
      <color theme="1"/>
      <name val="Book Antiqua"/>
      <family val="2"/>
    </font>
    <font>
      <sz val="11"/>
      <color rgb="FF000000"/>
      <name val="Calibri"/>
      <family val="2"/>
      <scheme val="minor"/>
    </font>
    <font>
      <sz val="11"/>
      <name val="Garamond"/>
      <family val="1"/>
    </font>
    <font>
      <b/>
      <i/>
      <sz val="11"/>
      <color theme="0"/>
      <name val="Calibri"/>
      <family val="2"/>
    </font>
    <font>
      <b/>
      <sz val="11"/>
      <color theme="0"/>
      <name val="Calibri"/>
      <family val="2"/>
      <scheme val="minor"/>
    </font>
    <font>
      <sz val="11"/>
      <name val="Calibri"/>
      <family val="2"/>
      <scheme val="minor"/>
    </font>
    <font>
      <i/>
      <sz val="11"/>
      <color theme="1"/>
      <name val="Calibri"/>
      <family val="2"/>
      <scheme val="minor"/>
    </font>
    <font>
      <b/>
      <i/>
      <sz val="11"/>
      <color theme="1"/>
      <name val="Calibri"/>
      <family val="2"/>
      <scheme val="minor"/>
    </font>
    <font>
      <b/>
      <i/>
      <sz val="11"/>
      <color theme="0"/>
      <name val="Calibri"/>
      <family val="2"/>
      <scheme val="minor"/>
    </font>
    <font>
      <sz val="11"/>
      <color theme="0"/>
      <name val="Calibri"/>
      <family val="2"/>
      <scheme val="minor"/>
    </font>
    <font>
      <b/>
      <sz val="11"/>
      <name val="Calibri"/>
      <family val="2"/>
    </font>
    <font>
      <b/>
      <sz val="11"/>
      <color theme="0"/>
      <name val="Calibri"/>
      <family val="2"/>
    </font>
    <font>
      <sz val="11"/>
      <name val="Calibri"/>
      <family val="2"/>
    </font>
    <font>
      <sz val="9"/>
      <color theme="1"/>
      <name val="Garamond"/>
      <family val="1"/>
    </font>
    <font>
      <b/>
      <sz val="9"/>
      <name val="Garamond"/>
      <family val="1"/>
    </font>
    <font>
      <b/>
      <sz val="11"/>
      <name val="Calibri"/>
      <family val="2"/>
      <scheme val="minor"/>
    </font>
    <font>
      <b/>
      <sz val="9"/>
      <name val="Times New Roman"/>
      <family val="1"/>
    </font>
    <font>
      <sz val="8"/>
      <name val="Calibri"/>
      <family val="2"/>
      <scheme val="minor"/>
    </font>
    <font>
      <sz val="11"/>
      <color theme="1"/>
      <name val="Garamond"/>
      <family val="1"/>
    </font>
    <font>
      <b/>
      <sz val="11"/>
      <color theme="1"/>
      <name val="Garamond"/>
      <family val="1"/>
    </font>
    <font>
      <sz val="9"/>
      <name val="Garamond"/>
      <family val="1"/>
    </font>
    <font>
      <b/>
      <sz val="11"/>
      <name val="Garamond"/>
      <family val="1"/>
    </font>
    <font>
      <b/>
      <sz val="11"/>
      <color theme="0"/>
      <name val="Garamond"/>
      <family val="1"/>
    </font>
  </fonts>
  <fills count="30">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theme="0"/>
        <bgColor indexed="64"/>
      </patternFill>
    </fill>
    <fill>
      <patternFill patternType="solid">
        <fgColor rgb="FFFFFFCC"/>
      </patternFill>
    </fill>
    <fill>
      <patternFill patternType="solid">
        <fgColor indexed="9"/>
        <bgColor indexed="64"/>
      </patternFill>
    </fill>
    <fill>
      <patternFill patternType="solid">
        <fgColor indexed="43"/>
        <bgColor indexed="64"/>
      </patternFill>
    </fill>
    <fill>
      <patternFill patternType="solid">
        <fgColor indexed="27"/>
      </patternFill>
    </fill>
    <fill>
      <patternFill patternType="solid">
        <fgColor indexed="9"/>
      </patternFill>
    </fill>
    <fill>
      <patternFill patternType="solid">
        <fgColor indexed="4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24"/>
      </patternFill>
    </fill>
    <fill>
      <patternFill patternType="solid">
        <fgColor indexed="40"/>
        <bgColor indexed="64"/>
      </patternFill>
    </fill>
    <fill>
      <patternFill patternType="solid">
        <fgColor indexed="41"/>
      </patternFill>
    </fill>
    <fill>
      <patternFill patternType="solid">
        <fgColor indexed="40"/>
      </patternFill>
    </fill>
    <fill>
      <patternFill patternType="solid">
        <fgColor rgb="FF002060"/>
        <bgColor indexed="64"/>
      </patternFill>
    </fill>
    <fill>
      <patternFill patternType="solid">
        <fgColor rgb="FFB8CCE4"/>
        <bgColor indexed="64"/>
      </patternFill>
    </fill>
    <fill>
      <patternFill patternType="solid">
        <fgColor rgb="FFFFFFFF"/>
        <bgColor indexed="64"/>
      </patternFill>
    </fill>
    <fill>
      <patternFill patternType="solid">
        <fgColor rgb="FFFFFF00"/>
        <bgColor indexed="64"/>
      </patternFill>
    </fill>
    <fill>
      <patternFill patternType="solid">
        <fgColor theme="4" tint="0.59999389629810485"/>
        <bgColor indexed="64"/>
      </patternFill>
    </fill>
    <fill>
      <patternFill patternType="solid">
        <fgColor rgb="FF002060"/>
        <bgColor rgb="FF000000"/>
      </patternFill>
    </fill>
    <fill>
      <patternFill patternType="solid">
        <fgColor theme="0" tint="-0.14999847407452621"/>
        <bgColor indexed="64"/>
      </patternFill>
    </fill>
    <fill>
      <patternFill patternType="solid">
        <fgColor rgb="FF92D050"/>
        <bgColor indexed="64"/>
      </patternFill>
    </fill>
    <fill>
      <patternFill patternType="solid">
        <fgColor theme="0" tint="-0.249977111117893"/>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3" tint="0.5999938962981048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double">
        <color indexed="64"/>
      </top>
      <bottom style="double">
        <color indexed="64"/>
      </bottom>
      <diagonal/>
    </border>
    <border>
      <left/>
      <right/>
      <top style="medium">
        <color indexed="64"/>
      </top>
      <bottom style="medium">
        <color indexed="64"/>
      </bottom>
      <diagonal/>
    </border>
    <border>
      <left/>
      <right/>
      <top/>
      <bottom style="medium">
        <color indexed="8"/>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medium">
        <color indexed="64"/>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thin">
        <color auto="1"/>
      </left>
      <right style="thin">
        <color auto="1"/>
      </right>
      <top/>
      <bottom/>
      <diagonal/>
    </border>
  </borders>
  <cellStyleXfs count="5102">
    <xf numFmtId="0" fontId="0"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5" fillId="0" borderId="0"/>
    <xf numFmtId="43" fontId="5" fillId="0" borderId="0" applyFont="0" applyFill="0" applyBorder="0" applyAlignment="0" applyProtection="0"/>
    <xf numFmtId="166"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0" fontId="13" fillId="0" borderId="0">
      <alignment vertical="center"/>
    </xf>
    <xf numFmtId="43" fontId="14" fillId="0" borderId="0" applyFont="0" applyFill="0" applyBorder="0" applyAlignment="0" applyProtection="0">
      <alignment vertical="center"/>
    </xf>
    <xf numFmtId="43" fontId="3" fillId="0" borderId="0" applyFont="0" applyFill="0" applyBorder="0" applyAlignment="0" applyProtection="0"/>
    <xf numFmtId="0" fontId="5" fillId="0" borderId="0" applyNumberFormat="0" applyFill="0" applyBorder="0" applyAlignment="0" applyProtection="0"/>
    <xf numFmtId="9" fontId="5" fillId="0" borderId="0" applyFont="0" applyFill="0" applyBorder="0" applyAlignment="0" applyProtection="0"/>
    <xf numFmtId="0" fontId="15" fillId="0" borderId="0">
      <alignment vertical="top"/>
    </xf>
    <xf numFmtId="0" fontId="16" fillId="0" borderId="0">
      <alignment vertical="top"/>
    </xf>
    <xf numFmtId="0" fontId="15" fillId="0" borderId="0">
      <alignment vertical="top"/>
    </xf>
    <xf numFmtId="0" fontId="15" fillId="0" borderId="0">
      <alignment vertical="top"/>
    </xf>
    <xf numFmtId="0" fontId="15" fillId="0" borderId="0">
      <alignment vertical="top"/>
    </xf>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4" fontId="5" fillId="0" borderId="0" applyFont="0" applyFill="0" applyBorder="0" applyAlignment="0" applyProtection="0"/>
    <xf numFmtId="0" fontId="14" fillId="0" borderId="0" applyFill="0" applyBorder="0"/>
    <xf numFmtId="0" fontId="27" fillId="0" borderId="0" applyNumberFormat="0" applyFill="0" applyBorder="0" applyAlignment="0" applyProtection="0"/>
    <xf numFmtId="174" fontId="5" fillId="0" borderId="0" applyFill="0" applyBorder="0" applyAlignment="0"/>
    <xf numFmtId="175" fontId="28" fillId="0" borderId="0" applyFill="0" applyBorder="0" applyAlignment="0"/>
    <xf numFmtId="173" fontId="28" fillId="0" borderId="0" applyFill="0" applyBorder="0" applyAlignment="0"/>
    <xf numFmtId="176" fontId="5" fillId="0" borderId="0" applyFill="0" applyBorder="0" applyAlignment="0"/>
    <xf numFmtId="177" fontId="5" fillId="0" borderId="0" applyFill="0" applyBorder="0" applyAlignment="0"/>
    <xf numFmtId="174" fontId="5" fillId="0" borderId="0" applyFill="0" applyBorder="0" applyAlignment="0"/>
    <xf numFmtId="178" fontId="5" fillId="0" borderId="0" applyFill="0" applyBorder="0" applyAlignment="0"/>
    <xf numFmtId="175" fontId="28" fillId="0" borderId="0" applyFill="0" applyBorder="0" applyAlignment="0"/>
    <xf numFmtId="0" fontId="22" fillId="0" borderId="0"/>
    <xf numFmtId="0" fontId="19" fillId="0" borderId="0"/>
    <xf numFmtId="43" fontId="15" fillId="0" borderId="0" applyFont="0" applyFill="0" applyBorder="0" applyAlignment="0" applyProtection="0">
      <alignment vertical="top"/>
    </xf>
    <xf numFmtId="174" fontId="5" fillId="0" borderId="0" applyFont="0" applyFill="0" applyBorder="0" applyAlignment="0" applyProtection="0"/>
    <xf numFmtId="43" fontId="15" fillId="0" borderId="0" applyFont="0" applyFill="0" applyBorder="0" applyAlignment="0" applyProtection="0">
      <alignment vertical="top"/>
    </xf>
    <xf numFmtId="171" fontId="5" fillId="0" borderId="0" applyFill="0" applyBorder="0" applyAlignment="0" applyProtection="0"/>
    <xf numFmtId="43" fontId="15" fillId="0" borderId="0" applyFont="0" applyFill="0" applyBorder="0" applyAlignment="0" applyProtection="0">
      <alignment vertical="top"/>
    </xf>
    <xf numFmtId="171" fontId="5"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ill="0" applyBorder="0" applyAlignment="0" applyProtection="0"/>
    <xf numFmtId="0"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171" fontId="5" fillId="0" borderId="0" applyFill="0" applyBorder="0" applyAlignment="0" applyProtection="0"/>
    <xf numFmtId="171" fontId="5" fillId="0" borderId="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9" fillId="0" borderId="0" applyNumberFormat="0" applyAlignment="0">
      <alignment horizontal="left"/>
    </xf>
    <xf numFmtId="165" fontId="15" fillId="0" borderId="0" applyFont="0" applyFill="0" applyBorder="0" applyAlignment="0" applyProtection="0">
      <alignment vertical="top"/>
    </xf>
    <xf numFmtId="175" fontId="28"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4" fontId="15" fillId="0" borderId="0" applyFill="0" applyBorder="0" applyAlignment="0"/>
    <xf numFmtId="38" fontId="30" fillId="0" borderId="17">
      <alignment vertical="center"/>
    </xf>
    <xf numFmtId="179" fontId="5" fillId="0" borderId="0" applyFont="0" applyFill="0" applyBorder="0" applyAlignment="0" applyProtection="0"/>
    <xf numFmtId="180" fontId="5" fillId="0" borderId="0" applyFont="0" applyFill="0" applyBorder="0" applyAlignment="0" applyProtection="0"/>
    <xf numFmtId="174" fontId="5" fillId="0" borderId="0" applyFill="0" applyBorder="0" applyAlignment="0"/>
    <xf numFmtId="175" fontId="28" fillId="0" borderId="0" applyFill="0" applyBorder="0" applyAlignment="0"/>
    <xf numFmtId="174" fontId="5" fillId="0" borderId="0" applyFill="0" applyBorder="0" applyAlignment="0"/>
    <xf numFmtId="178" fontId="5" fillId="0" borderId="0" applyFill="0" applyBorder="0" applyAlignment="0"/>
    <xf numFmtId="175" fontId="28" fillId="0" borderId="0" applyFill="0" applyBorder="0" applyAlignment="0"/>
    <xf numFmtId="0" fontId="31" fillId="0" borderId="0" applyNumberFormat="0" applyAlignment="0">
      <alignment horizontal="left"/>
    </xf>
    <xf numFmtId="0" fontId="5" fillId="0" borderId="0" applyFont="0" applyFill="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11"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0" fontId="23" fillId="12"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0" fontId="24" fillId="0" borderId="0">
      <alignment horizontal="left"/>
    </xf>
    <xf numFmtId="0" fontId="21" fillId="0" borderId="0">
      <alignment horizontal="left"/>
    </xf>
    <xf numFmtId="0" fontId="21" fillId="0" borderId="18" applyNumberFormat="0" applyAlignment="0" applyProtection="0">
      <alignment horizontal="left" vertical="center"/>
    </xf>
    <xf numFmtId="0" fontId="21" fillId="0" borderId="14">
      <alignment horizontal="left" vertical="center"/>
    </xf>
    <xf numFmtId="0" fontId="40" fillId="0" borderId="0" applyNumberFormat="0" applyFill="0" applyBorder="0" applyAlignment="0" applyProtection="0">
      <alignment vertical="top"/>
      <protection locked="0"/>
    </xf>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13"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0" fontId="23" fillId="12" borderId="0"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0" fontId="23" fillId="6" borderId="15" applyNumberFormat="0" applyBorder="0" applyAlignment="0" applyProtection="0"/>
    <xf numFmtId="174" fontId="5" fillId="0" borderId="0" applyFill="0" applyBorder="0" applyAlignment="0"/>
    <xf numFmtId="175" fontId="28" fillId="0" borderId="0" applyFill="0" applyBorder="0" applyAlignment="0"/>
    <xf numFmtId="174" fontId="5" fillId="0" borderId="0" applyFill="0" applyBorder="0" applyAlignment="0"/>
    <xf numFmtId="178" fontId="5" fillId="0" borderId="0" applyFill="0" applyBorder="0" applyAlignment="0"/>
    <xf numFmtId="175" fontId="28" fillId="0" borderId="0" applyFill="0" applyBorder="0" applyAlignment="0"/>
    <xf numFmtId="0" fontId="25" fillId="0" borderId="5"/>
    <xf numFmtId="0" fontId="18" fillId="0" borderId="19"/>
    <xf numFmtId="37" fontId="32" fillId="0" borderId="0"/>
    <xf numFmtId="172" fontId="26" fillId="0" borderId="0"/>
    <xf numFmtId="172" fontId="39"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15" fillId="0" borderId="0">
      <alignment vertical="top"/>
    </xf>
    <xf numFmtId="0" fontId="5" fillId="0" borderId="0"/>
    <xf numFmtId="0" fontId="3" fillId="0" borderId="0"/>
    <xf numFmtId="0" fontId="3" fillId="0" borderId="0"/>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alignment vertical="top"/>
    </xf>
    <xf numFmtId="0" fontId="15" fillId="0" borderId="0">
      <alignment vertical="top"/>
    </xf>
    <xf numFmtId="0" fontId="15" fillId="0" borderId="0">
      <alignment vertical="top"/>
    </xf>
    <xf numFmtId="0" fontId="5"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5" fillId="0" borderId="0"/>
    <xf numFmtId="0" fontId="15" fillId="0" borderId="0">
      <alignment vertical="top"/>
    </xf>
    <xf numFmtId="0" fontId="15"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3" fillId="0" borderId="0"/>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5" fillId="0" borderId="0"/>
    <xf numFmtId="0" fontId="5" fillId="0" borderId="0"/>
    <xf numFmtId="0" fontId="3" fillId="0" borderId="0"/>
    <xf numFmtId="0" fontId="5" fillId="0" borderId="0"/>
    <xf numFmtId="0" fontId="5" fillId="0" borderId="0"/>
    <xf numFmtId="0" fontId="3" fillId="0" borderId="0"/>
    <xf numFmtId="0" fontId="5" fillId="0" borderId="0"/>
    <xf numFmtId="0" fontId="12" fillId="0" borderId="0"/>
    <xf numFmtId="0" fontId="12" fillId="0" borderId="0"/>
    <xf numFmtId="0" fontId="12" fillId="0" borderId="0"/>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5" fillId="5" borderId="16" applyNumberFormat="0" applyFont="0" applyAlignment="0" applyProtection="0"/>
    <xf numFmtId="40" fontId="15" fillId="9" borderId="0">
      <alignment horizontal="right"/>
    </xf>
    <xf numFmtId="0" fontId="33" fillId="8" borderId="0">
      <alignment horizontal="center"/>
    </xf>
    <xf numFmtId="0" fontId="17" fillId="10" borderId="0"/>
    <xf numFmtId="0" fontId="34" fillId="9" borderId="0" applyBorder="0">
      <alignment horizontal="centerContinuous"/>
    </xf>
    <xf numFmtId="0" fontId="35" fillId="14" borderId="0" applyBorder="0">
      <alignment horizontal="centerContinuous"/>
    </xf>
    <xf numFmtId="177" fontId="5" fillId="0" borderId="0" applyFont="0" applyFill="0" applyBorder="0" applyAlignment="0" applyProtection="0"/>
    <xf numFmtId="181" fontId="5" fillId="0" borderId="0" applyFont="0" applyFill="0" applyBorder="0" applyAlignment="0" applyProtection="0"/>
    <xf numFmtId="10" fontId="5" fillId="0" borderId="0" applyFont="0" applyFill="0" applyBorder="0" applyAlignment="0" applyProtection="0"/>
    <xf numFmtId="10" fontId="5"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alignment vertical="top"/>
    </xf>
    <xf numFmtId="174" fontId="5" fillId="0" borderId="0" applyFill="0" applyBorder="0" applyAlignment="0"/>
    <xf numFmtId="175" fontId="28" fillId="0" borderId="0" applyFill="0" applyBorder="0" applyAlignment="0"/>
    <xf numFmtId="174" fontId="5" fillId="0" borderId="0" applyFill="0" applyBorder="0" applyAlignment="0"/>
    <xf numFmtId="178" fontId="5" fillId="0" borderId="0" applyFill="0" applyBorder="0" applyAlignment="0"/>
    <xf numFmtId="175" fontId="28" fillId="0" borderId="0" applyFill="0" applyBorder="0" applyAlignment="0"/>
    <xf numFmtId="182" fontId="36" fillId="0" borderId="0" applyNumberFormat="0" applyFill="0" applyBorder="0" applyAlignment="0" applyProtection="0">
      <alignment horizontal="left"/>
    </xf>
    <xf numFmtId="4" fontId="17" fillId="7" borderId="20" applyNumberFormat="0" applyProtection="0">
      <alignment horizontal="left" vertical="center"/>
    </xf>
    <xf numFmtId="4" fontId="17" fillId="15" borderId="0" applyNumberFormat="0" applyProtection="0">
      <alignment horizontal="left" vertical="center"/>
    </xf>
    <xf numFmtId="4" fontId="15" fillId="16" borderId="20" applyNumberFormat="0" applyProtection="0">
      <alignment horizontal="right" vertical="center"/>
    </xf>
    <xf numFmtId="4" fontId="15" fillId="17" borderId="20" applyNumberFormat="0" applyProtection="0">
      <alignment horizontal="left" vertical="center"/>
    </xf>
    <xf numFmtId="0" fontId="15" fillId="15" borderId="20" applyNumberFormat="0" applyProtection="0">
      <alignment horizontal="left" vertical="top"/>
    </xf>
    <xf numFmtId="0" fontId="5" fillId="0" borderId="0"/>
    <xf numFmtId="0" fontId="5" fillId="0" borderId="0"/>
    <xf numFmtId="0" fontId="25" fillId="0" borderId="0"/>
    <xf numFmtId="0" fontId="18" fillId="0" borderId="0"/>
    <xf numFmtId="40" fontId="37" fillId="0" borderId="0" applyBorder="0">
      <alignment horizontal="right"/>
    </xf>
    <xf numFmtId="49" fontId="15" fillId="0" borderId="0" applyFill="0" applyBorder="0" applyAlignment="0"/>
    <xf numFmtId="183" fontId="5" fillId="0" borderId="0" applyFill="0" applyBorder="0" applyAlignment="0"/>
    <xf numFmtId="184" fontId="5" fillId="0" borderId="0" applyFill="0" applyBorder="0" applyAlignment="0"/>
    <xf numFmtId="40" fontId="38" fillId="0" borderId="0"/>
    <xf numFmtId="169" fontId="5" fillId="0" borderId="0" applyFont="0" applyFill="0" applyBorder="0" applyAlignment="0" applyProtection="0"/>
    <xf numFmtId="170" fontId="5" fillId="0" borderId="0" applyFont="0" applyFill="0" applyBorder="0" applyAlignment="0" applyProtection="0"/>
    <xf numFmtId="185" fontId="5" fillId="0" borderId="0" applyFont="0" applyFill="0" applyBorder="0" applyAlignment="0" applyProtection="0"/>
    <xf numFmtId="186" fontId="5" fillId="0" borderId="0" applyFont="0" applyFill="0" applyBorder="0" applyAlignment="0" applyProtection="0"/>
    <xf numFmtId="0" fontId="15" fillId="15" borderId="21" applyNumberFormat="0" applyProtection="0">
      <alignment horizontal="left" vertical="top"/>
    </xf>
    <xf numFmtId="4" fontId="15" fillId="17" borderId="21" applyNumberFormat="0" applyProtection="0">
      <alignment horizontal="left" vertical="center"/>
    </xf>
    <xf numFmtId="4" fontId="15" fillId="16" borderId="21" applyNumberFormat="0" applyProtection="0">
      <alignment horizontal="right" vertical="center"/>
    </xf>
    <xf numFmtId="4" fontId="17" fillId="7" borderId="21"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0" fontId="21" fillId="0" borderId="22">
      <alignment horizontal="left" vertical="center"/>
    </xf>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13"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0" fontId="23" fillId="6" borderId="23" applyNumberFormat="0" applyBorder="0" applyAlignment="0" applyProtection="0"/>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0" fontId="15" fillId="0" borderId="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43" fontId="3" fillId="0" borderId="0" applyFont="0" applyFill="0" applyBorder="0" applyAlignment="0" applyProtection="0"/>
    <xf numFmtId="43" fontId="3" fillId="0" borderId="0" applyFont="0" applyFill="0" applyBorder="0" applyAlignment="0" applyProtection="0"/>
    <xf numFmtId="0" fontId="15" fillId="0" borderId="0">
      <alignment vertical="top"/>
    </xf>
    <xf numFmtId="43" fontId="3" fillId="0" borderId="0" applyFont="0" applyFill="0" applyBorder="0" applyAlignment="0" applyProtection="0"/>
    <xf numFmtId="0" fontId="15" fillId="0" borderId="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0" fontId="15" fillId="0" borderId="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24" applyNumberFormat="0" applyProtection="0">
      <alignment horizontal="left" vertical="center"/>
    </xf>
    <xf numFmtId="4" fontId="15" fillId="16" borderId="24" applyNumberFormat="0" applyProtection="0">
      <alignment horizontal="right" vertical="center"/>
    </xf>
    <xf numFmtId="4" fontId="15" fillId="17" borderId="24" applyNumberFormat="0" applyProtection="0">
      <alignment horizontal="left" vertical="center"/>
    </xf>
    <xf numFmtId="0" fontId="15" fillId="15" borderId="24" applyNumberFormat="0" applyProtection="0">
      <alignment horizontal="left" vertical="top"/>
    </xf>
    <xf numFmtId="43" fontId="3" fillId="0" borderId="0" applyFont="0" applyFill="0" applyBorder="0" applyAlignment="0" applyProtection="0"/>
    <xf numFmtId="0" fontId="15" fillId="15" borderId="24" applyNumberFormat="0" applyProtection="0">
      <alignment horizontal="left" vertical="top"/>
    </xf>
    <xf numFmtId="4" fontId="15" fillId="17" borderId="24" applyNumberFormat="0" applyProtection="0">
      <alignment horizontal="left" vertical="center"/>
    </xf>
    <xf numFmtId="4" fontId="15" fillId="16" borderId="24" applyNumberFormat="0" applyProtection="0">
      <alignment horizontal="right" vertical="center"/>
    </xf>
    <xf numFmtId="4" fontId="17" fillId="7" borderId="24"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41"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1" fillId="0" borderId="25">
      <alignment horizontal="left" vertical="center"/>
    </xf>
    <xf numFmtId="4" fontId="17" fillId="7" borderId="27" applyNumberFormat="0" applyProtection="0">
      <alignment horizontal="left" vertical="center"/>
    </xf>
    <xf numFmtId="4" fontId="15" fillId="16" borderId="27" applyNumberFormat="0" applyProtection="0">
      <alignment horizontal="right" vertical="center"/>
    </xf>
    <xf numFmtId="4" fontId="15" fillId="17" borderId="27" applyNumberFormat="0" applyProtection="0">
      <alignment horizontal="left" vertical="center"/>
    </xf>
    <xf numFmtId="0" fontId="15" fillId="15" borderId="27" applyNumberFormat="0" applyProtection="0">
      <alignment horizontal="left" vertical="top"/>
    </xf>
    <xf numFmtId="0" fontId="15" fillId="15" borderId="27" applyNumberFormat="0" applyProtection="0">
      <alignment horizontal="left" vertical="top"/>
    </xf>
    <xf numFmtId="4" fontId="15" fillId="17" borderId="27" applyNumberFormat="0" applyProtection="0">
      <alignment horizontal="left" vertical="center"/>
    </xf>
    <xf numFmtId="4" fontId="15" fillId="16" borderId="27" applyNumberFormat="0" applyProtection="0">
      <alignment horizontal="right" vertical="center"/>
    </xf>
    <xf numFmtId="4" fontId="17" fillId="7" borderId="27"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25">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13"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10" fontId="23" fillId="6" borderId="26" applyNumberFormat="0" applyBorder="0" applyAlignment="0" applyProtection="0"/>
    <xf numFmtId="4" fontId="17" fillId="7" borderId="28" applyNumberFormat="0" applyProtection="0">
      <alignment horizontal="left" vertical="center"/>
    </xf>
    <xf numFmtId="4" fontId="15" fillId="16" borderId="28" applyNumberFormat="0" applyProtection="0">
      <alignment horizontal="right" vertical="center"/>
    </xf>
    <xf numFmtId="4" fontId="15" fillId="17" borderId="28" applyNumberFormat="0" applyProtection="0">
      <alignment horizontal="left" vertical="center"/>
    </xf>
    <xf numFmtId="0" fontId="15" fillId="15" borderId="28" applyNumberFormat="0" applyProtection="0">
      <alignment horizontal="left" vertical="top"/>
    </xf>
    <xf numFmtId="0" fontId="15" fillId="15" borderId="28" applyNumberFormat="0" applyProtection="0">
      <alignment horizontal="left" vertical="top"/>
    </xf>
    <xf numFmtId="4" fontId="15" fillId="17" borderId="28" applyNumberFormat="0" applyProtection="0">
      <alignment horizontal="left" vertical="center"/>
    </xf>
    <xf numFmtId="4" fontId="15" fillId="16" borderId="28" applyNumberFormat="0" applyProtection="0">
      <alignment horizontal="right" vertical="center"/>
    </xf>
    <xf numFmtId="4" fontId="17" fillId="7" borderId="28"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29">
      <alignment horizontal="left" vertical="center"/>
    </xf>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13"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10" fontId="23" fillId="6" borderId="30"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28" applyNumberFormat="0" applyProtection="0">
      <alignment horizontal="left" vertical="center"/>
    </xf>
    <xf numFmtId="4" fontId="15" fillId="16" borderId="28" applyNumberFormat="0" applyProtection="0">
      <alignment horizontal="right" vertical="center"/>
    </xf>
    <xf numFmtId="4" fontId="15" fillId="17" borderId="28" applyNumberFormat="0" applyProtection="0">
      <alignment horizontal="left" vertical="center"/>
    </xf>
    <xf numFmtId="0" fontId="15" fillId="15" borderId="28" applyNumberFormat="0" applyProtection="0">
      <alignment horizontal="left" vertical="top"/>
    </xf>
    <xf numFmtId="43" fontId="3" fillId="0" borderId="0" applyFont="0" applyFill="0" applyBorder="0" applyAlignment="0" applyProtection="0"/>
    <xf numFmtId="0" fontId="15" fillId="15" borderId="28" applyNumberFormat="0" applyProtection="0">
      <alignment horizontal="left" vertical="top"/>
    </xf>
    <xf numFmtId="4" fontId="15" fillId="17" borderId="28" applyNumberFormat="0" applyProtection="0">
      <alignment horizontal="left" vertical="center"/>
    </xf>
    <xf numFmtId="4" fontId="15" fillId="16" borderId="28" applyNumberFormat="0" applyProtection="0">
      <alignment horizontal="right" vertical="center"/>
    </xf>
    <xf numFmtId="4" fontId="17" fillId="7" borderId="28"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1" fillId="0" borderId="29">
      <alignment horizontal="left" vertical="center"/>
    </xf>
    <xf numFmtId="4" fontId="17" fillId="7" borderId="28" applyNumberFormat="0" applyProtection="0">
      <alignment horizontal="left" vertical="center"/>
    </xf>
    <xf numFmtId="4" fontId="15" fillId="16" borderId="28" applyNumberFormat="0" applyProtection="0">
      <alignment horizontal="right" vertical="center"/>
    </xf>
    <xf numFmtId="4" fontId="15" fillId="17" borderId="28" applyNumberFormat="0" applyProtection="0">
      <alignment horizontal="left" vertical="center"/>
    </xf>
    <xf numFmtId="0" fontId="15" fillId="15" borderId="28" applyNumberFormat="0" applyProtection="0">
      <alignment horizontal="left" vertical="top"/>
    </xf>
    <xf numFmtId="0" fontId="15" fillId="15" borderId="28" applyNumberFormat="0" applyProtection="0">
      <alignment horizontal="left" vertical="top"/>
    </xf>
    <xf numFmtId="4" fontId="15" fillId="17" borderId="28" applyNumberFormat="0" applyProtection="0">
      <alignment horizontal="left" vertical="center"/>
    </xf>
    <xf numFmtId="4" fontId="15" fillId="16" borderId="28" applyNumberFormat="0" applyProtection="0">
      <alignment horizontal="right" vertical="center"/>
    </xf>
    <xf numFmtId="4" fontId="17" fillId="7" borderId="28"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29">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13"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10" fontId="23" fillId="6" borderId="31"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21" applyNumberFormat="0" applyProtection="0">
      <alignment horizontal="left" vertical="center"/>
    </xf>
    <xf numFmtId="4" fontId="15" fillId="16" borderId="21" applyNumberFormat="0" applyProtection="0">
      <alignment horizontal="right" vertical="center"/>
    </xf>
    <xf numFmtId="4" fontId="15" fillId="17" borderId="21" applyNumberFormat="0" applyProtection="0">
      <alignment horizontal="left" vertical="center"/>
    </xf>
    <xf numFmtId="0" fontId="15" fillId="15" borderId="21" applyNumberFormat="0" applyProtection="0">
      <alignment horizontal="left" vertical="top"/>
    </xf>
    <xf numFmtId="43" fontId="3" fillId="0" borderId="0" applyFont="0" applyFill="0" applyBorder="0" applyAlignment="0" applyProtection="0"/>
    <xf numFmtId="0" fontId="15" fillId="15" borderId="21" applyNumberFormat="0" applyProtection="0">
      <alignment horizontal="left" vertical="top"/>
    </xf>
    <xf numFmtId="4" fontId="15" fillId="17" borderId="21" applyNumberFormat="0" applyProtection="0">
      <alignment horizontal="left" vertical="center"/>
    </xf>
    <xf numFmtId="4" fontId="15" fillId="16" borderId="21" applyNumberFormat="0" applyProtection="0">
      <alignment horizontal="right" vertical="center"/>
    </xf>
    <xf numFmtId="4" fontId="17" fillId="7" borderId="21"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21" applyNumberFormat="0" applyProtection="0">
      <alignment horizontal="left" vertical="center"/>
    </xf>
    <xf numFmtId="4" fontId="15" fillId="16" borderId="21" applyNumberFormat="0" applyProtection="0">
      <alignment horizontal="right" vertical="center"/>
    </xf>
    <xf numFmtId="4" fontId="15" fillId="17" borderId="21" applyNumberFormat="0" applyProtection="0">
      <alignment horizontal="left" vertical="center"/>
    </xf>
    <xf numFmtId="0" fontId="15" fillId="15" borderId="21" applyNumberFormat="0" applyProtection="0">
      <alignment horizontal="left" vertical="top"/>
    </xf>
    <xf numFmtId="0" fontId="15" fillId="15" borderId="21" applyNumberFormat="0" applyProtection="0">
      <alignment horizontal="left" vertical="top"/>
    </xf>
    <xf numFmtId="4" fontId="15" fillId="17" borderId="21" applyNumberFormat="0" applyProtection="0">
      <alignment horizontal="left" vertical="center"/>
    </xf>
    <xf numFmtId="4" fontId="15" fillId="16" borderId="21" applyNumberFormat="0" applyProtection="0">
      <alignment horizontal="right" vertical="center"/>
    </xf>
    <xf numFmtId="4" fontId="17" fillId="7" borderId="21"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166" fontId="5"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 fontId="17" fillId="7" borderId="32" applyNumberFormat="0" applyProtection="0">
      <alignment horizontal="left" vertical="center"/>
    </xf>
    <xf numFmtId="4" fontId="15" fillId="16" borderId="32" applyNumberFormat="0" applyProtection="0">
      <alignment horizontal="right" vertical="center"/>
    </xf>
    <xf numFmtId="4" fontId="15" fillId="17" borderId="32" applyNumberFormat="0" applyProtection="0">
      <alignment horizontal="left" vertical="center"/>
    </xf>
    <xf numFmtId="0" fontId="15" fillId="15" borderId="32" applyNumberFormat="0" applyProtection="0">
      <alignment horizontal="left" vertical="top"/>
    </xf>
    <xf numFmtId="0" fontId="15" fillId="15" borderId="32" applyNumberFormat="0" applyProtection="0">
      <alignment horizontal="left" vertical="top"/>
    </xf>
    <xf numFmtId="4" fontId="15" fillId="17" borderId="32" applyNumberFormat="0" applyProtection="0">
      <alignment horizontal="left" vertical="center"/>
    </xf>
    <xf numFmtId="4" fontId="15" fillId="16" borderId="32" applyNumberFormat="0" applyProtection="0">
      <alignment horizontal="right" vertical="center"/>
    </xf>
    <xf numFmtId="4" fontId="17" fillId="7" borderId="32"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33">
      <alignment horizontal="left" vertical="center"/>
    </xf>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13"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32" applyNumberFormat="0" applyProtection="0">
      <alignment horizontal="left" vertical="center"/>
    </xf>
    <xf numFmtId="4" fontId="15" fillId="16" borderId="32" applyNumberFormat="0" applyProtection="0">
      <alignment horizontal="right" vertical="center"/>
    </xf>
    <xf numFmtId="4" fontId="15" fillId="17" borderId="32" applyNumberFormat="0" applyProtection="0">
      <alignment horizontal="left" vertical="center"/>
    </xf>
    <xf numFmtId="0" fontId="15" fillId="15" borderId="32" applyNumberFormat="0" applyProtection="0">
      <alignment horizontal="left" vertical="top"/>
    </xf>
    <xf numFmtId="43" fontId="3" fillId="0" borderId="0" applyFont="0" applyFill="0" applyBorder="0" applyAlignment="0" applyProtection="0"/>
    <xf numFmtId="0" fontId="15" fillId="15" borderId="32" applyNumberFormat="0" applyProtection="0">
      <alignment horizontal="left" vertical="top"/>
    </xf>
    <xf numFmtId="4" fontId="15" fillId="17" borderId="32" applyNumberFormat="0" applyProtection="0">
      <alignment horizontal="left" vertical="center"/>
    </xf>
    <xf numFmtId="4" fontId="15" fillId="16" borderId="32" applyNumberFormat="0" applyProtection="0">
      <alignment horizontal="right" vertical="center"/>
    </xf>
    <xf numFmtId="4" fontId="17" fillId="7" borderId="32"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1" fillId="0" borderId="33">
      <alignment horizontal="left" vertical="center"/>
    </xf>
    <xf numFmtId="4" fontId="17" fillId="7" borderId="32" applyNumberFormat="0" applyProtection="0">
      <alignment horizontal="left" vertical="center"/>
    </xf>
    <xf numFmtId="4" fontId="15" fillId="16" borderId="32" applyNumberFormat="0" applyProtection="0">
      <alignment horizontal="right" vertical="center"/>
    </xf>
    <xf numFmtId="4" fontId="15" fillId="17" borderId="32" applyNumberFormat="0" applyProtection="0">
      <alignment horizontal="left" vertical="center"/>
    </xf>
    <xf numFmtId="0" fontId="15" fillId="15" borderId="32" applyNumberFormat="0" applyProtection="0">
      <alignment horizontal="left" vertical="top"/>
    </xf>
    <xf numFmtId="0" fontId="15" fillId="15" borderId="32" applyNumberFormat="0" applyProtection="0">
      <alignment horizontal="left" vertical="top"/>
    </xf>
    <xf numFmtId="4" fontId="15" fillId="17" borderId="32" applyNumberFormat="0" applyProtection="0">
      <alignment horizontal="left" vertical="center"/>
    </xf>
    <xf numFmtId="4" fontId="15" fillId="16" borderId="32" applyNumberFormat="0" applyProtection="0">
      <alignment horizontal="right" vertical="center"/>
    </xf>
    <xf numFmtId="4" fontId="17" fillId="7" borderId="32"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33">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13"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4" fontId="17" fillId="7" borderId="32" applyNumberFormat="0" applyProtection="0">
      <alignment horizontal="left" vertical="center"/>
    </xf>
    <xf numFmtId="4" fontId="15" fillId="16" borderId="32" applyNumberFormat="0" applyProtection="0">
      <alignment horizontal="right" vertical="center"/>
    </xf>
    <xf numFmtId="4" fontId="15" fillId="17" borderId="32" applyNumberFormat="0" applyProtection="0">
      <alignment horizontal="left" vertical="center"/>
    </xf>
    <xf numFmtId="0" fontId="15" fillId="15" borderId="32" applyNumberFormat="0" applyProtection="0">
      <alignment horizontal="left" vertical="top"/>
    </xf>
    <xf numFmtId="0" fontId="15" fillId="15" borderId="32" applyNumberFormat="0" applyProtection="0">
      <alignment horizontal="left" vertical="top"/>
    </xf>
    <xf numFmtId="4" fontId="15" fillId="17" borderId="32" applyNumberFormat="0" applyProtection="0">
      <alignment horizontal="left" vertical="center"/>
    </xf>
    <xf numFmtId="4" fontId="15" fillId="16" borderId="32" applyNumberFormat="0" applyProtection="0">
      <alignment horizontal="right" vertical="center"/>
    </xf>
    <xf numFmtId="4" fontId="17" fillId="7" borderId="32"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33">
      <alignment horizontal="left" vertical="center"/>
    </xf>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13"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32" applyNumberFormat="0" applyProtection="0">
      <alignment horizontal="left" vertical="center"/>
    </xf>
    <xf numFmtId="4" fontId="15" fillId="16" borderId="32" applyNumberFormat="0" applyProtection="0">
      <alignment horizontal="right" vertical="center"/>
    </xf>
    <xf numFmtId="4" fontId="15" fillId="17" borderId="32" applyNumberFormat="0" applyProtection="0">
      <alignment horizontal="left" vertical="center"/>
    </xf>
    <xf numFmtId="0" fontId="15" fillId="15" borderId="32" applyNumberFormat="0" applyProtection="0">
      <alignment horizontal="left" vertical="top"/>
    </xf>
    <xf numFmtId="43" fontId="3" fillId="0" borderId="0" applyFont="0" applyFill="0" applyBorder="0" applyAlignment="0" applyProtection="0"/>
    <xf numFmtId="0" fontId="15" fillId="15" borderId="32" applyNumberFormat="0" applyProtection="0">
      <alignment horizontal="left" vertical="top"/>
    </xf>
    <xf numFmtId="4" fontId="15" fillId="17" borderId="32" applyNumberFormat="0" applyProtection="0">
      <alignment horizontal="left" vertical="center"/>
    </xf>
    <xf numFmtId="4" fontId="15" fillId="16" borderId="32" applyNumberFormat="0" applyProtection="0">
      <alignment horizontal="right" vertical="center"/>
    </xf>
    <xf numFmtId="4" fontId="17" fillId="7" borderId="32"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1" fillId="0" borderId="33">
      <alignment horizontal="left" vertical="center"/>
    </xf>
    <xf numFmtId="4" fontId="17" fillId="7" borderId="32" applyNumberFormat="0" applyProtection="0">
      <alignment horizontal="left" vertical="center"/>
    </xf>
    <xf numFmtId="4" fontId="15" fillId="16" borderId="32" applyNumberFormat="0" applyProtection="0">
      <alignment horizontal="right" vertical="center"/>
    </xf>
    <xf numFmtId="4" fontId="15" fillId="17" borderId="32" applyNumberFormat="0" applyProtection="0">
      <alignment horizontal="left" vertical="center"/>
    </xf>
    <xf numFmtId="0" fontId="15" fillId="15" borderId="32" applyNumberFormat="0" applyProtection="0">
      <alignment horizontal="left" vertical="top"/>
    </xf>
    <xf numFmtId="0" fontId="15" fillId="15" borderId="32" applyNumberFormat="0" applyProtection="0">
      <alignment horizontal="left" vertical="top"/>
    </xf>
    <xf numFmtId="4" fontId="15" fillId="17" borderId="32" applyNumberFormat="0" applyProtection="0">
      <alignment horizontal="left" vertical="center"/>
    </xf>
    <xf numFmtId="4" fontId="15" fillId="16" borderId="32" applyNumberFormat="0" applyProtection="0">
      <alignment horizontal="right" vertical="center"/>
    </xf>
    <xf numFmtId="4" fontId="17" fillId="7" borderId="32"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33">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13"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10" fontId="23" fillId="6" borderId="34"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32" applyNumberFormat="0" applyProtection="0">
      <alignment horizontal="left" vertical="center"/>
    </xf>
    <xf numFmtId="4" fontId="15" fillId="16" borderId="32" applyNumberFormat="0" applyProtection="0">
      <alignment horizontal="right" vertical="center"/>
    </xf>
    <xf numFmtId="4" fontId="15" fillId="17" borderId="32" applyNumberFormat="0" applyProtection="0">
      <alignment horizontal="left" vertical="center"/>
    </xf>
    <xf numFmtId="0" fontId="15" fillId="15" borderId="32" applyNumberFormat="0" applyProtection="0">
      <alignment horizontal="left" vertical="top"/>
    </xf>
    <xf numFmtId="43" fontId="3" fillId="0" borderId="0" applyFont="0" applyFill="0" applyBorder="0" applyAlignment="0" applyProtection="0"/>
    <xf numFmtId="0" fontId="15" fillId="15" borderId="32" applyNumberFormat="0" applyProtection="0">
      <alignment horizontal="left" vertical="top"/>
    </xf>
    <xf numFmtId="4" fontId="15" fillId="17" borderId="32" applyNumberFormat="0" applyProtection="0">
      <alignment horizontal="left" vertical="center"/>
    </xf>
    <xf numFmtId="4" fontId="15" fillId="16" borderId="32" applyNumberFormat="0" applyProtection="0">
      <alignment horizontal="right" vertical="center"/>
    </xf>
    <xf numFmtId="4" fontId="17" fillId="7" borderId="32"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32" applyNumberFormat="0" applyProtection="0">
      <alignment horizontal="left" vertical="center"/>
    </xf>
    <xf numFmtId="4" fontId="15" fillId="16" borderId="32" applyNumberFormat="0" applyProtection="0">
      <alignment horizontal="right" vertical="center"/>
    </xf>
    <xf numFmtId="4" fontId="15" fillId="17" borderId="32" applyNumberFormat="0" applyProtection="0">
      <alignment horizontal="left" vertical="center"/>
    </xf>
    <xf numFmtId="0" fontId="15" fillId="15" borderId="32" applyNumberFormat="0" applyProtection="0">
      <alignment horizontal="left" vertical="top"/>
    </xf>
    <xf numFmtId="0" fontId="15" fillId="15" borderId="32" applyNumberFormat="0" applyProtection="0">
      <alignment horizontal="left" vertical="top"/>
    </xf>
    <xf numFmtId="4" fontId="15" fillId="17" borderId="32" applyNumberFormat="0" applyProtection="0">
      <alignment horizontal="left" vertical="center"/>
    </xf>
    <xf numFmtId="4" fontId="15" fillId="16" borderId="32" applyNumberFormat="0" applyProtection="0">
      <alignment horizontal="right" vertical="center"/>
    </xf>
    <xf numFmtId="4" fontId="17" fillId="7" borderId="32"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0" fontId="15" fillId="0" borderId="0">
      <alignment vertical="top"/>
    </xf>
    <xf numFmtId="43" fontId="3" fillId="0" borderId="0" applyFont="0" applyFill="0" applyBorder="0" applyAlignment="0" applyProtection="0"/>
    <xf numFmtId="43" fontId="56" fillId="0" borderId="0" applyFont="0" applyFill="0" applyBorder="0" applyAlignment="0" applyProtection="0"/>
    <xf numFmtId="0" fontId="56" fillId="0" borderId="0"/>
    <xf numFmtId="0" fontId="57" fillId="0" borderId="0"/>
    <xf numFmtId="43" fontId="57" fillId="0" borderId="0" applyFont="0" applyFill="0" applyBorder="0" applyAlignment="0" applyProtection="0"/>
    <xf numFmtId="0" fontId="57" fillId="0" borderId="0"/>
    <xf numFmtId="9" fontId="3" fillId="0" borderId="0" applyFont="0" applyFill="0" applyBorder="0" applyAlignment="0" applyProtection="0"/>
    <xf numFmtId="9" fontId="3" fillId="0" borderId="0" applyFont="0" applyFill="0" applyBorder="0" applyAlignment="0" applyProtection="0"/>
    <xf numFmtId="166" fontId="56" fillId="0" borderId="0" applyFont="0" applyFill="0" applyBorder="0" applyAlignment="0" applyProtection="0"/>
  </cellStyleXfs>
  <cellXfs count="407">
    <xf numFmtId="0" fontId="0" fillId="0" borderId="0" xfId="0"/>
    <xf numFmtId="0" fontId="2" fillId="0" borderId="0" xfId="0" applyFont="1" applyAlignment="1">
      <alignment horizontal="center"/>
    </xf>
    <xf numFmtId="0" fontId="1" fillId="0" borderId="0" xfId="0" applyFont="1" applyAlignment="1">
      <alignment vertical="top"/>
    </xf>
    <xf numFmtId="0" fontId="1" fillId="0" borderId="0" xfId="0" applyFont="1"/>
    <xf numFmtId="1" fontId="0" fillId="0" borderId="0" xfId="0" applyNumberFormat="1"/>
    <xf numFmtId="1" fontId="1" fillId="0" borderId="2" xfId="0" applyNumberFormat="1" applyFont="1" applyBorder="1"/>
    <xf numFmtId="0" fontId="1" fillId="0" borderId="6" xfId="0" applyFont="1" applyBorder="1" applyAlignment="1">
      <alignment horizontal="center"/>
    </xf>
    <xf numFmtId="0" fontId="1" fillId="0" borderId="7" xfId="0" applyFont="1" applyBorder="1"/>
    <xf numFmtId="0" fontId="1" fillId="0" borderId="8" xfId="0" applyFont="1" applyBorder="1"/>
    <xf numFmtId="0" fontId="1" fillId="0" borderId="3" xfId="0" applyFont="1" applyBorder="1" applyAlignment="1">
      <alignment horizontal="center"/>
    </xf>
    <xf numFmtId="0" fontId="0" fillId="0" borderId="9" xfId="0" applyBorder="1"/>
    <xf numFmtId="1" fontId="0" fillId="0" borderId="9" xfId="0" applyNumberFormat="1" applyBorder="1"/>
    <xf numFmtId="0" fontId="0" fillId="0" borderId="3" xfId="0" applyBorder="1"/>
    <xf numFmtId="0" fontId="1" fillId="0" borderId="11" xfId="0" applyFont="1" applyBorder="1"/>
    <xf numFmtId="0" fontId="0" fillId="0" borderId="4" xfId="0" applyBorder="1"/>
    <xf numFmtId="0" fontId="0" fillId="0" borderId="5" xfId="0" applyBorder="1"/>
    <xf numFmtId="0" fontId="0" fillId="0" borderId="10" xfId="0" applyBorder="1"/>
    <xf numFmtId="0" fontId="4" fillId="0" borderId="0" xfId="0" applyFont="1"/>
    <xf numFmtId="0" fontId="4" fillId="0" borderId="0" xfId="0" applyFont="1" applyAlignment="1">
      <alignment vertical="center" wrapText="1"/>
    </xf>
    <xf numFmtId="1" fontId="4" fillId="0" borderId="0" xfId="0" applyNumberFormat="1" applyFont="1" applyAlignment="1">
      <alignment horizontal="center" vertical="center" wrapText="1"/>
    </xf>
    <xf numFmtId="168" fontId="8" fillId="0" borderId="1" xfId="1" applyNumberFormat="1" applyFont="1" applyBorder="1" applyAlignment="1">
      <alignment horizontal="center" vertical="center"/>
    </xf>
    <xf numFmtId="168" fontId="0" fillId="0" borderId="0" xfId="0" applyNumberFormat="1"/>
    <xf numFmtId="0" fontId="8" fillId="0" borderId="0" xfId="0" applyFont="1"/>
    <xf numFmtId="0" fontId="8" fillId="0" borderId="31" xfId="0" applyFont="1" applyBorder="1" applyAlignment="1">
      <alignment horizontal="center" vertical="center" wrapText="1"/>
    </xf>
    <xf numFmtId="0" fontId="9" fillId="2" borderId="35" xfId="0" applyFont="1" applyFill="1" applyBorder="1" applyAlignment="1">
      <alignment horizontal="center" vertical="center" wrapText="1"/>
    </xf>
    <xf numFmtId="0" fontId="8" fillId="0" borderId="35" xfId="0" applyFont="1" applyBorder="1" applyAlignment="1">
      <alignment horizontal="center" vertical="center" wrapText="1"/>
    </xf>
    <xf numFmtId="4" fontId="9" fillId="2" borderId="35" xfId="1" applyNumberFormat="1" applyFont="1" applyFill="1" applyBorder="1"/>
    <xf numFmtId="0" fontId="43" fillId="0" borderId="35" xfId="0" applyFont="1" applyBorder="1"/>
    <xf numFmtId="0" fontId="43" fillId="0" borderId="0" xfId="0" applyFont="1"/>
    <xf numFmtId="0" fontId="44" fillId="2" borderId="1" xfId="0" applyFont="1" applyFill="1" applyBorder="1" applyAlignment="1">
      <alignment horizontal="center" vertical="center"/>
    </xf>
    <xf numFmtId="167" fontId="44" fillId="2" borderId="1" xfId="0" applyNumberFormat="1" applyFont="1" applyFill="1" applyBorder="1" applyAlignment="1">
      <alignment horizontal="center" vertical="center" wrapText="1"/>
    </xf>
    <xf numFmtId="0" fontId="19" fillId="2" borderId="1" xfId="0" applyFont="1" applyFill="1" applyBorder="1"/>
    <xf numFmtId="0" fontId="11" fillId="2" borderId="36" xfId="0" applyFont="1" applyFill="1" applyBorder="1" applyAlignment="1">
      <alignment horizontal="right" wrapText="1"/>
    </xf>
    <xf numFmtId="167" fontId="9" fillId="2" borderId="35" xfId="0" applyNumberFormat="1" applyFont="1" applyFill="1" applyBorder="1" applyAlignment="1">
      <alignment horizontal="center" vertical="center" wrapText="1"/>
    </xf>
    <xf numFmtId="0" fontId="9" fillId="2" borderId="35" xfId="0" applyFont="1" applyFill="1" applyBorder="1" applyAlignment="1">
      <alignment wrapText="1"/>
    </xf>
    <xf numFmtId="0" fontId="43" fillId="0" borderId="35" xfId="0" applyFont="1" applyBorder="1" applyAlignment="1">
      <alignment horizontal="center"/>
    </xf>
    <xf numFmtId="0" fontId="43" fillId="0" borderId="35" xfId="0" applyFont="1" applyBorder="1" applyAlignment="1">
      <alignment horizontal="center" vertical="top"/>
    </xf>
    <xf numFmtId="0" fontId="8" fillId="0" borderId="38" xfId="0" applyFont="1" applyBorder="1" applyAlignment="1">
      <alignment horizontal="center" vertical="center" wrapText="1"/>
    </xf>
    <xf numFmtId="2" fontId="8" fillId="0" borderId="35" xfId="0" applyNumberFormat="1" applyFont="1" applyBorder="1" applyAlignment="1">
      <alignment horizontal="right" vertical="center" wrapText="1"/>
    </xf>
    <xf numFmtId="9" fontId="0" fillId="0" borderId="0" xfId="0" applyNumberFormat="1"/>
    <xf numFmtId="0" fontId="8" fillId="0" borderId="39" xfId="0" applyFont="1" applyBorder="1" applyAlignment="1">
      <alignment horizontal="center" vertical="center" wrapText="1"/>
    </xf>
    <xf numFmtId="0" fontId="8" fillId="0" borderId="36" xfId="0" applyFont="1" applyBorder="1" applyAlignment="1">
      <alignment horizontal="left" vertical="center" wrapText="1"/>
    </xf>
    <xf numFmtId="0" fontId="8" fillId="0" borderId="36" xfId="0" applyFont="1" applyBorder="1" applyAlignment="1">
      <alignment horizontal="center" vertical="center" wrapText="1"/>
    </xf>
    <xf numFmtId="0" fontId="5" fillId="0" borderId="37" xfId="29" applyFont="1" applyBorder="1" applyAlignment="1">
      <alignment horizontal="center" vertical="center" wrapText="1"/>
    </xf>
    <xf numFmtId="2" fontId="5" fillId="0" borderId="37" xfId="29" applyNumberFormat="1" applyFont="1" applyBorder="1" applyAlignment="1">
      <alignment horizontal="center" vertical="center" wrapText="1"/>
    </xf>
    <xf numFmtId="4" fontId="9" fillId="2" borderId="35" xfId="1" applyNumberFormat="1" applyFont="1" applyFill="1" applyBorder="1" applyAlignment="1">
      <alignment horizontal="center"/>
    </xf>
    <xf numFmtId="4" fontId="43" fillId="0" borderId="35" xfId="1" applyNumberFormat="1" applyFont="1" applyBorder="1" applyAlignment="1">
      <alignment horizontal="center" vertical="center"/>
    </xf>
    <xf numFmtId="0" fontId="51" fillId="0" borderId="35" xfId="0" applyFont="1" applyBorder="1" applyAlignment="1">
      <alignment vertical="center"/>
    </xf>
    <xf numFmtId="0" fontId="50" fillId="19" borderId="35" xfId="0" applyFont="1" applyFill="1" applyBorder="1" applyAlignment="1">
      <alignment horizontal="center" vertical="center"/>
    </xf>
    <xf numFmtId="0" fontId="50" fillId="19" borderId="35" xfId="0" applyFont="1" applyFill="1" applyBorder="1" applyAlignment="1">
      <alignment vertical="center" wrapText="1"/>
    </xf>
    <xf numFmtId="4" fontId="43" fillId="0" borderId="35" xfId="1" applyNumberFormat="1" applyFont="1" applyFill="1" applyBorder="1" applyAlignment="1">
      <alignment horizontal="center" vertical="center"/>
    </xf>
    <xf numFmtId="2" fontId="51" fillId="0" borderId="35" xfId="0" applyNumberFormat="1" applyFont="1" applyBorder="1" applyAlignment="1">
      <alignment horizontal="center" vertical="center"/>
    </xf>
    <xf numFmtId="2" fontId="50" fillId="19" borderId="35" xfId="0" applyNumberFormat="1" applyFont="1" applyFill="1" applyBorder="1" applyAlignment="1">
      <alignment horizontal="center" vertical="center"/>
    </xf>
    <xf numFmtId="0" fontId="8" fillId="0" borderId="48" xfId="0" applyFont="1" applyBorder="1" applyAlignment="1">
      <alignment horizontal="left" vertical="center" wrapText="1"/>
    </xf>
    <xf numFmtId="0" fontId="8" fillId="0" borderId="48" xfId="0" applyFont="1" applyBorder="1" applyAlignment="1">
      <alignment horizontal="center" vertical="center" wrapText="1"/>
    </xf>
    <xf numFmtId="2" fontId="8" fillId="0" borderId="31" xfId="0" applyNumberFormat="1" applyFont="1" applyBorder="1" applyAlignment="1">
      <alignment horizontal="right" vertical="center" wrapText="1"/>
    </xf>
    <xf numFmtId="2" fontId="5" fillId="0" borderId="49" xfId="29" applyNumberFormat="1" applyFont="1" applyBorder="1" applyAlignment="1">
      <alignment horizontal="center" vertical="center" wrapText="1"/>
    </xf>
    <xf numFmtId="0" fontId="5" fillId="0" borderId="31" xfId="29" applyFont="1" applyBorder="1" applyAlignment="1">
      <alignment horizontal="center" vertical="center" wrapText="1"/>
    </xf>
    <xf numFmtId="0" fontId="0" fillId="0" borderId="0" xfId="0" applyAlignment="1">
      <alignment vertical="center"/>
    </xf>
    <xf numFmtId="0" fontId="11" fillId="2" borderId="36" xfId="0" applyFont="1" applyFill="1" applyBorder="1" applyAlignment="1">
      <alignment horizontal="center" vertical="center" wrapText="1"/>
    </xf>
    <xf numFmtId="0" fontId="5" fillId="0" borderId="49" xfId="29" applyFont="1" applyBorder="1" applyAlignment="1">
      <alignment horizontal="center" vertical="center" wrapText="1"/>
    </xf>
    <xf numFmtId="0" fontId="49" fillId="0" borderId="35" xfId="0" applyFont="1" applyBorder="1" applyAlignment="1">
      <alignment horizontal="right" vertical="center"/>
    </xf>
    <xf numFmtId="0" fontId="50" fillId="19" borderId="35" xfId="0" applyFont="1" applyFill="1" applyBorder="1" applyAlignment="1">
      <alignment vertical="center"/>
    </xf>
    <xf numFmtId="0" fontId="51" fillId="0" borderId="35" xfId="0" applyFont="1" applyBorder="1" applyAlignment="1">
      <alignment horizontal="center" vertical="center" wrapText="1"/>
    </xf>
    <xf numFmtId="0" fontId="51" fillId="20" borderId="35" xfId="0" applyFont="1" applyFill="1" applyBorder="1" applyAlignment="1">
      <alignment vertical="center"/>
    </xf>
    <xf numFmtId="0" fontId="51" fillId="0" borderId="35" xfId="0" applyFont="1" applyBorder="1" applyAlignment="1">
      <alignment vertical="center" wrapText="1"/>
    </xf>
    <xf numFmtId="0" fontId="50" fillId="19" borderId="35" xfId="0" applyFont="1" applyFill="1" applyBorder="1" applyAlignment="1">
      <alignment horizontal="center" vertical="center" wrapText="1"/>
    </xf>
    <xf numFmtId="2" fontId="50" fillId="19" borderId="35" xfId="0" applyNumberFormat="1" applyFont="1" applyFill="1" applyBorder="1" applyAlignment="1">
      <alignment horizontal="center" vertical="center" wrapText="1"/>
    </xf>
    <xf numFmtId="0" fontId="0" fillId="19" borderId="35" xfId="0" applyFill="1" applyBorder="1" applyAlignment="1">
      <alignment vertical="center"/>
    </xf>
    <xf numFmtId="0" fontId="0" fillId="0" borderId="47" xfId="0" applyBorder="1"/>
    <xf numFmtId="0" fontId="0" fillId="0" borderId="50" xfId="0" applyBorder="1"/>
    <xf numFmtId="0" fontId="50" fillId="19" borderId="35" xfId="0" applyFont="1" applyFill="1" applyBorder="1" applyAlignment="1">
      <alignment horizontal="left" vertical="center"/>
    </xf>
    <xf numFmtId="0" fontId="8" fillId="21" borderId="35" xfId="0" applyFont="1" applyFill="1" applyBorder="1" applyAlignment="1">
      <alignment vertical="center" wrapText="1"/>
    </xf>
    <xf numFmtId="0" fontId="51" fillId="0" borderId="35" xfId="0" applyFont="1" applyBorder="1" applyAlignment="1">
      <alignment horizontal="left" vertical="center" wrapText="1"/>
    </xf>
    <xf numFmtId="0" fontId="51" fillId="19" borderId="35" xfId="0" applyFont="1" applyFill="1" applyBorder="1" applyAlignment="1">
      <alignment horizontal="center" vertical="center"/>
    </xf>
    <xf numFmtId="0" fontId="51" fillId="19" borderId="35" xfId="0" applyFont="1" applyFill="1" applyBorder="1" applyAlignment="1">
      <alignment horizontal="center" vertical="center" wrapText="1"/>
    </xf>
    <xf numFmtId="0" fontId="50" fillId="0" borderId="35" xfId="0" applyFont="1" applyBorder="1" applyAlignment="1">
      <alignment horizontal="center" vertical="center" wrapText="1"/>
    </xf>
    <xf numFmtId="0" fontId="51" fillId="0" borderId="35" xfId="0" applyFont="1" applyBorder="1" applyAlignment="1">
      <alignment horizontal="center" vertical="center"/>
    </xf>
    <xf numFmtId="0" fontId="0" fillId="0" borderId="35" xfId="0" applyBorder="1" applyAlignment="1">
      <alignment vertical="center" wrapText="1"/>
    </xf>
    <xf numFmtId="0" fontId="51" fillId="19" borderId="35" xfId="0" applyFont="1" applyFill="1" applyBorder="1" applyAlignment="1">
      <alignment vertical="center"/>
    </xf>
    <xf numFmtId="0" fontId="51" fillId="19" borderId="35" xfId="0" applyFont="1" applyFill="1" applyBorder="1" applyAlignment="1">
      <alignment vertical="center" wrapText="1"/>
    </xf>
    <xf numFmtId="2" fontId="51" fillId="0" borderId="35" xfId="1" applyNumberFormat="1" applyFont="1" applyBorder="1" applyAlignment="1">
      <alignment horizontal="center" vertical="center"/>
    </xf>
    <xf numFmtId="2" fontId="51" fillId="20" borderId="35" xfId="0" applyNumberFormat="1" applyFont="1" applyFill="1" applyBorder="1" applyAlignment="1">
      <alignment horizontal="center" vertical="center" wrapText="1"/>
    </xf>
    <xf numFmtId="0" fontId="5" fillId="0" borderId="33" xfId="29" applyFont="1" applyBorder="1" applyAlignment="1">
      <alignment horizontal="center" vertical="center" wrapText="1"/>
    </xf>
    <xf numFmtId="2" fontId="5" fillId="0" borderId="35" xfId="29" applyNumberFormat="1" applyFont="1" applyBorder="1" applyAlignment="1">
      <alignment horizontal="center" vertical="center" wrapText="1"/>
    </xf>
    <xf numFmtId="0" fontId="51" fillId="21" borderId="35" xfId="0" applyFont="1" applyFill="1" applyBorder="1" applyAlignment="1">
      <alignment horizontal="justify" vertical="center" wrapText="1"/>
    </xf>
    <xf numFmtId="0" fontId="58" fillId="21" borderId="60" xfId="0" applyFont="1" applyFill="1" applyBorder="1" applyAlignment="1">
      <alignment vertical="center" wrapText="1"/>
    </xf>
    <xf numFmtId="0" fontId="0" fillId="0" borderId="35" xfId="0" applyBorder="1" applyAlignment="1">
      <alignment wrapText="1"/>
    </xf>
    <xf numFmtId="0" fontId="8" fillId="0" borderId="58" xfId="0" applyFont="1" applyBorder="1" applyAlignment="1">
      <alignment vertical="center" wrapText="1"/>
    </xf>
    <xf numFmtId="0" fontId="8" fillId="0" borderId="39" xfId="0" applyFont="1" applyBorder="1" applyAlignment="1">
      <alignment vertical="center" wrapText="1"/>
    </xf>
    <xf numFmtId="0" fontId="0" fillId="0" borderId="35" xfId="0" applyBorder="1" applyAlignment="1">
      <alignment horizontal="left" vertical="center" wrapText="1"/>
    </xf>
    <xf numFmtId="0" fontId="8" fillId="0" borderId="35" xfId="0" applyFont="1" applyBorder="1" applyAlignment="1">
      <alignment vertical="center" wrapText="1"/>
    </xf>
    <xf numFmtId="2" fontId="8" fillId="0" borderId="0" xfId="0" applyNumberFormat="1" applyFont="1"/>
    <xf numFmtId="10" fontId="1" fillId="0" borderId="35" xfId="10" applyNumberFormat="1" applyFont="1" applyBorder="1" applyAlignment="1">
      <alignment horizontal="center"/>
    </xf>
    <xf numFmtId="2" fontId="5" fillId="0" borderId="35" xfId="10" applyNumberFormat="1" applyBorder="1" applyAlignment="1">
      <alignment horizontal="center"/>
    </xf>
    <xf numFmtId="0" fontId="1" fillId="4" borderId="35" xfId="10" applyFont="1" applyFill="1" applyBorder="1"/>
    <xf numFmtId="0" fontId="1" fillId="2" borderId="35" xfId="0" applyFont="1" applyFill="1" applyBorder="1" applyAlignment="1">
      <alignment horizontal="center" vertical="center" wrapText="1"/>
    </xf>
    <xf numFmtId="167" fontId="1" fillId="2" borderId="35" xfId="0" applyNumberFormat="1" applyFont="1" applyFill="1" applyBorder="1" applyAlignment="1">
      <alignment horizontal="center" vertical="center" wrapText="1"/>
    </xf>
    <xf numFmtId="0" fontId="1" fillId="2" borderId="35" xfId="0" applyFont="1" applyFill="1" applyBorder="1" applyAlignment="1">
      <alignment wrapText="1"/>
    </xf>
    <xf numFmtId="4" fontId="1" fillId="2" borderId="35" xfId="1" applyNumberFormat="1" applyFont="1" applyFill="1" applyBorder="1" applyAlignment="1">
      <alignment horizontal="center"/>
    </xf>
    <xf numFmtId="0" fontId="0" fillId="0" borderId="35" xfId="0" applyBorder="1" applyAlignment="1">
      <alignment horizontal="center" vertical="center"/>
    </xf>
    <xf numFmtId="0" fontId="0" fillId="0" borderId="35" xfId="0" applyBorder="1" applyAlignment="1">
      <alignment horizontal="left" vertical="center"/>
    </xf>
    <xf numFmtId="2" fontId="0" fillId="0" borderId="35" xfId="0" applyNumberFormat="1" applyBorder="1" applyAlignment="1">
      <alignment horizontal="center" vertical="center"/>
    </xf>
    <xf numFmtId="0" fontId="63" fillId="2" borderId="35" xfId="0" applyFont="1" applyFill="1" applyBorder="1" applyAlignment="1">
      <alignment horizontal="right" wrapText="1"/>
    </xf>
    <xf numFmtId="168" fontId="0" fillId="0" borderId="35" xfId="1" applyNumberFormat="1" applyFont="1" applyBorder="1" applyAlignment="1">
      <alignment vertical="center" wrapText="1"/>
    </xf>
    <xf numFmtId="2" fontId="0" fillId="0" borderId="41" xfId="0" applyNumberFormat="1" applyBorder="1" applyAlignment="1">
      <alignment horizontal="center" vertical="center" wrapText="1"/>
    </xf>
    <xf numFmtId="168" fontId="0" fillId="0" borderId="36" xfId="1" applyNumberFormat="1" applyFont="1" applyBorder="1" applyAlignment="1">
      <alignment horizontal="center" vertical="center" wrapText="1"/>
    </xf>
    <xf numFmtId="44" fontId="0" fillId="0" borderId="35" xfId="1" applyNumberFormat="1" applyFont="1" applyBorder="1" applyAlignment="1">
      <alignment horizontal="center" vertical="center" wrapText="1"/>
    </xf>
    <xf numFmtId="168" fontId="0" fillId="0" borderId="35" xfId="1" applyNumberFormat="1" applyFont="1" applyBorder="1" applyAlignment="1">
      <alignment horizontal="center" vertical="center" wrapText="1"/>
    </xf>
    <xf numFmtId="168" fontId="0" fillId="0" borderId="36" xfId="1" applyNumberFormat="1" applyFont="1" applyBorder="1" applyAlignment="1">
      <alignment vertical="center" wrapText="1"/>
    </xf>
    <xf numFmtId="168" fontId="0" fillId="0" borderId="35" xfId="1" applyNumberFormat="1" applyFont="1" applyBorder="1" applyAlignment="1">
      <alignment horizontal="left" vertical="center" wrapText="1"/>
    </xf>
    <xf numFmtId="0" fontId="63" fillId="2" borderId="42" xfId="0" applyFont="1" applyFill="1" applyBorder="1" applyAlignment="1">
      <alignment horizontal="right" wrapText="1"/>
    </xf>
    <xf numFmtId="2" fontId="1" fillId="2" borderId="35" xfId="0" applyNumberFormat="1" applyFont="1" applyFill="1" applyBorder="1" applyAlignment="1">
      <alignment horizontal="center" wrapText="1"/>
    </xf>
    <xf numFmtId="0" fontId="1" fillId="2" borderId="36" xfId="0" applyFont="1" applyFill="1" applyBorder="1" applyAlignment="1">
      <alignment horizontal="right" wrapText="1"/>
    </xf>
    <xf numFmtId="0" fontId="1" fillId="2" borderId="35" xfId="0" applyFont="1" applyFill="1" applyBorder="1" applyAlignment="1">
      <alignment horizontal="right" wrapText="1"/>
    </xf>
    <xf numFmtId="4" fontId="1" fillId="2" borderId="35" xfId="1" applyNumberFormat="1" applyFont="1" applyFill="1" applyBorder="1" applyAlignment="1">
      <alignment horizontal="right"/>
    </xf>
    <xf numFmtId="0" fontId="0" fillId="0" borderId="35" xfId="0" applyBorder="1"/>
    <xf numFmtId="14" fontId="0" fillId="0" borderId="35" xfId="0" applyNumberFormat="1" applyBorder="1"/>
    <xf numFmtId="187" fontId="0" fillId="0" borderId="35" xfId="5099" applyNumberFormat="1" applyFont="1" applyBorder="1"/>
    <xf numFmtId="0" fontId="60" fillId="18" borderId="35" xfId="0" applyFont="1" applyFill="1" applyBorder="1" applyAlignment="1">
      <alignment horizontal="center" vertical="center"/>
    </xf>
    <xf numFmtId="14" fontId="0" fillId="0" borderId="35" xfId="0" applyNumberFormat="1" applyBorder="1" applyAlignment="1">
      <alignment horizontal="center" vertical="center"/>
    </xf>
    <xf numFmtId="43" fontId="0" fillId="0" borderId="35" xfId="1" applyFont="1" applyBorder="1" applyAlignment="1">
      <alignment horizontal="center" vertical="center"/>
    </xf>
    <xf numFmtId="43" fontId="0" fillId="0" borderId="35" xfId="0" applyNumberFormat="1" applyBorder="1" applyAlignment="1">
      <alignment horizontal="center" vertical="center"/>
    </xf>
    <xf numFmtId="14" fontId="0" fillId="0" borderId="0" xfId="0" applyNumberFormat="1"/>
    <xf numFmtId="0" fontId="0" fillId="22" borderId="35" xfId="0" applyFill="1" applyBorder="1" applyAlignment="1">
      <alignment horizontal="center" vertical="center"/>
    </xf>
    <xf numFmtId="43" fontId="0" fillId="22" borderId="35" xfId="1" applyFont="1" applyFill="1" applyBorder="1" applyAlignment="1">
      <alignment horizontal="center" vertical="center"/>
    </xf>
    <xf numFmtId="43" fontId="65" fillId="18" borderId="35" xfId="0" applyNumberFormat="1" applyFont="1" applyFill="1" applyBorder="1" applyAlignment="1">
      <alignment horizontal="center" vertical="center"/>
    </xf>
    <xf numFmtId="187" fontId="0" fillId="0" borderId="35" xfId="0" applyNumberFormat="1" applyBorder="1" applyAlignment="1">
      <alignment vertical="center"/>
    </xf>
    <xf numFmtId="0" fontId="0" fillId="0" borderId="0" xfId="0" applyAlignment="1">
      <alignment horizontal="right"/>
    </xf>
    <xf numFmtId="0" fontId="0" fillId="0" borderId="35" xfId="0" applyBorder="1" applyAlignment="1">
      <alignment vertical="center"/>
    </xf>
    <xf numFmtId="187" fontId="0" fillId="0" borderId="35" xfId="0" applyNumberFormat="1" applyBorder="1"/>
    <xf numFmtId="0" fontId="1" fillId="22" borderId="35" xfId="0" applyFont="1" applyFill="1" applyBorder="1" applyAlignment="1">
      <alignment vertical="center"/>
    </xf>
    <xf numFmtId="187" fontId="1" fillId="22" borderId="35" xfId="0" applyNumberFormat="1" applyFont="1" applyFill="1" applyBorder="1" applyAlignment="1">
      <alignment vertical="center"/>
    </xf>
    <xf numFmtId="43" fontId="0" fillId="0" borderId="35" xfId="0" applyNumberFormat="1" applyBorder="1" applyAlignment="1">
      <alignment vertical="center"/>
    </xf>
    <xf numFmtId="9" fontId="0" fillId="0" borderId="35" xfId="0" applyNumberFormat="1" applyBorder="1" applyAlignment="1">
      <alignment horizontal="center" vertical="center"/>
    </xf>
    <xf numFmtId="0" fontId="1" fillId="22" borderId="35" xfId="0" applyFont="1" applyFill="1" applyBorder="1"/>
    <xf numFmtId="43" fontId="1" fillId="22" borderId="35" xfId="0" applyNumberFormat="1" applyFont="1" applyFill="1" applyBorder="1"/>
    <xf numFmtId="188" fontId="0" fillId="0" borderId="0" xfId="0" applyNumberFormat="1"/>
    <xf numFmtId="188" fontId="60" fillId="18" borderId="35" xfId="0" applyNumberFormat="1" applyFont="1" applyFill="1" applyBorder="1" applyAlignment="1">
      <alignment horizontal="center" vertical="center"/>
    </xf>
    <xf numFmtId="188" fontId="0" fillId="0" borderId="35" xfId="1" applyNumberFormat="1" applyFont="1" applyBorder="1" applyAlignment="1">
      <alignment horizontal="center" vertical="center"/>
    </xf>
    <xf numFmtId="188" fontId="0" fillId="0" borderId="35" xfId="0" applyNumberFormat="1" applyBorder="1" applyAlignment="1">
      <alignment horizontal="center" vertical="center"/>
    </xf>
    <xf numFmtId="3" fontId="0" fillId="0" borderId="35" xfId="0" applyNumberFormat="1" applyBorder="1"/>
    <xf numFmtId="188" fontId="0" fillId="22" borderId="35" xfId="1" applyNumberFormat="1" applyFont="1" applyFill="1" applyBorder="1" applyAlignment="1">
      <alignment horizontal="center" vertical="center"/>
    </xf>
    <xf numFmtId="188" fontId="65" fillId="18" borderId="35" xfId="0" applyNumberFormat="1" applyFont="1" applyFill="1" applyBorder="1" applyAlignment="1">
      <alignment horizontal="center" vertical="center"/>
    </xf>
    <xf numFmtId="43" fontId="0" fillId="0" borderId="0" xfId="0" applyNumberFormat="1"/>
    <xf numFmtId="0" fontId="61" fillId="0" borderId="35" xfId="0" applyFont="1" applyBorder="1" applyAlignment="1">
      <alignment vertical="center" wrapText="1"/>
    </xf>
    <xf numFmtId="0" fontId="50" fillId="0" borderId="49" xfId="0" applyFont="1" applyBorder="1" applyAlignment="1">
      <alignment horizontal="center" vertical="center"/>
    </xf>
    <xf numFmtId="0" fontId="8" fillId="0" borderId="35" xfId="0" applyFont="1" applyBorder="1" applyAlignment="1">
      <alignment horizontal="left" vertical="center" wrapText="1"/>
    </xf>
    <xf numFmtId="2" fontId="67" fillId="23" borderId="35" xfId="0" applyNumberFormat="1" applyFont="1" applyFill="1" applyBorder="1" applyAlignment="1">
      <alignment horizontal="center" vertical="center" wrapText="1"/>
    </xf>
    <xf numFmtId="166" fontId="68" fillId="0" borderId="35" xfId="21" applyNumberFormat="1" applyFont="1" applyFill="1" applyBorder="1" applyAlignment="1">
      <alignment horizontal="center" vertical="center" wrapText="1"/>
    </xf>
    <xf numFmtId="166" fontId="68" fillId="0" borderId="35" xfId="21" applyNumberFormat="1" applyFont="1" applyFill="1" applyBorder="1" applyAlignment="1">
      <alignment vertical="center" wrapText="1"/>
    </xf>
    <xf numFmtId="0" fontId="66" fillId="0" borderId="35" xfId="0" applyFont="1" applyBorder="1" applyAlignment="1">
      <alignment horizontal="left" vertical="top"/>
    </xf>
    <xf numFmtId="0" fontId="52" fillId="0" borderId="35" xfId="5095" applyFont="1" applyBorder="1" applyAlignment="1">
      <alignment vertical="top"/>
    </xf>
    <xf numFmtId="0" fontId="52" fillId="0" borderId="35" xfId="5095" applyFont="1" applyBorder="1" applyAlignment="1">
      <alignment vertical="top" wrapText="1"/>
    </xf>
    <xf numFmtId="0" fontId="52" fillId="0" borderId="35" xfId="0" applyFont="1" applyBorder="1" applyAlignment="1">
      <alignment vertical="top"/>
    </xf>
    <xf numFmtId="0" fontId="67" fillId="18" borderId="35" xfId="0" applyFont="1" applyFill="1" applyBorder="1" applyAlignment="1">
      <alignment horizontal="center" vertical="top"/>
    </xf>
    <xf numFmtId="166" fontId="67" fillId="18" borderId="35" xfId="0" applyNumberFormat="1" applyFont="1" applyFill="1" applyBorder="1"/>
    <xf numFmtId="10" fontId="0" fillId="0" borderId="0" xfId="5100" applyNumberFormat="1" applyFont="1"/>
    <xf numFmtId="2" fontId="1" fillId="0" borderId="0" xfId="0" applyNumberFormat="1" applyFont="1"/>
    <xf numFmtId="2" fontId="0" fillId="0" borderId="0" xfId="0" applyNumberFormat="1"/>
    <xf numFmtId="0" fontId="0" fillId="0" borderId="0" xfId="0" applyAlignment="1">
      <alignment wrapText="1"/>
    </xf>
    <xf numFmtId="168" fontId="72" fillId="24" borderId="63" xfId="5101" applyNumberFormat="1" applyFont="1" applyFill="1" applyBorder="1" applyAlignment="1">
      <alignment horizontal="center" vertical="top" wrapText="1"/>
    </xf>
    <xf numFmtId="0" fontId="60" fillId="18" borderId="35" xfId="0" applyFont="1" applyFill="1" applyBorder="1" applyAlignment="1">
      <alignment vertical="center"/>
    </xf>
    <xf numFmtId="0" fontId="1" fillId="0" borderId="35" xfId="0" applyFont="1" applyBorder="1"/>
    <xf numFmtId="2" fontId="0" fillId="0" borderId="35" xfId="0" applyNumberFormat="1" applyBorder="1" applyAlignment="1">
      <alignment horizontal="center"/>
    </xf>
    <xf numFmtId="0" fontId="0" fillId="0" borderId="35" xfId="0" applyBorder="1" applyAlignment="1">
      <alignment horizontal="center"/>
    </xf>
    <xf numFmtId="173" fontId="0" fillId="0" borderId="35" xfId="0" applyNumberFormat="1" applyBorder="1" applyAlignment="1">
      <alignment horizontal="center"/>
    </xf>
    <xf numFmtId="10" fontId="0" fillId="0" borderId="35" xfId="0" applyNumberFormat="1" applyBorder="1" applyAlignment="1">
      <alignment horizontal="center"/>
    </xf>
    <xf numFmtId="0" fontId="60" fillId="18" borderId="35" xfId="0" applyFont="1" applyFill="1" applyBorder="1" applyAlignment="1">
      <alignment vertical="center" wrapText="1"/>
    </xf>
    <xf numFmtId="2" fontId="60" fillId="18" borderId="35" xfId="0" applyNumberFormat="1" applyFont="1" applyFill="1" applyBorder="1" applyAlignment="1">
      <alignment horizontal="center" vertical="center"/>
    </xf>
    <xf numFmtId="0" fontId="0" fillId="18" borderId="35" xfId="0" applyFill="1" applyBorder="1" applyAlignment="1">
      <alignment vertical="center"/>
    </xf>
    <xf numFmtId="43" fontId="71" fillId="0" borderId="35" xfId="1" applyFont="1" applyBorder="1" applyAlignment="1">
      <alignment vertical="top"/>
    </xf>
    <xf numFmtId="168" fontId="65" fillId="18" borderId="35" xfId="6" applyNumberFormat="1" applyFont="1" applyFill="1" applyBorder="1" applyAlignment="1">
      <alignment horizontal="center" vertical="center" wrapText="1"/>
    </xf>
    <xf numFmtId="168" fontId="65" fillId="18" borderId="35" xfId="6" applyNumberFormat="1" applyFont="1" applyFill="1" applyBorder="1" applyAlignment="1">
      <alignment horizontal="center" vertical="top" wrapText="1"/>
    </xf>
    <xf numFmtId="0" fontId="0" fillId="0" borderId="35" xfId="5095" applyFont="1" applyBorder="1" applyAlignment="1">
      <alignment vertical="top"/>
    </xf>
    <xf numFmtId="0" fontId="0" fillId="0" borderId="35" xfId="5095" applyFont="1" applyBorder="1" applyAlignment="1">
      <alignment vertical="top" wrapText="1"/>
    </xf>
    <xf numFmtId="43" fontId="0" fillId="0" borderId="35" xfId="1" applyFont="1" applyBorder="1" applyAlignment="1">
      <alignment vertical="top"/>
    </xf>
    <xf numFmtId="43" fontId="0" fillId="25" borderId="35" xfId="1" applyFont="1" applyFill="1" applyBorder="1" applyAlignment="1">
      <alignment vertical="top"/>
    </xf>
    <xf numFmtId="0" fontId="0" fillId="0" borderId="35" xfId="0" applyBorder="1" applyAlignment="1">
      <alignment vertical="top"/>
    </xf>
    <xf numFmtId="43" fontId="1" fillId="0" borderId="35" xfId="0" applyNumberFormat="1" applyFont="1" applyBorder="1"/>
    <xf numFmtId="2" fontId="0" fillId="0" borderId="35" xfId="0" applyNumberFormat="1" applyBorder="1" applyAlignment="1">
      <alignment vertical="center" wrapText="1"/>
    </xf>
    <xf numFmtId="168" fontId="8" fillId="0" borderId="35" xfId="1" applyNumberFormat="1" applyFont="1" applyBorder="1" applyAlignment="1">
      <alignment vertical="center" wrapText="1"/>
    </xf>
    <xf numFmtId="166" fontId="8" fillId="0" borderId="35" xfId="1" applyNumberFormat="1" applyFont="1" applyBorder="1" applyAlignment="1">
      <alignment horizontal="center" vertical="center" wrapText="1"/>
    </xf>
    <xf numFmtId="2" fontId="8" fillId="0" borderId="59" xfId="0" applyNumberFormat="1" applyFont="1" applyBorder="1" applyAlignment="1">
      <alignment horizontal="center" vertical="center" wrapText="1"/>
    </xf>
    <xf numFmtId="0" fontId="12" fillId="0" borderId="35" xfId="0" applyFont="1" applyBorder="1" applyAlignment="1">
      <alignment vertical="center" wrapText="1"/>
    </xf>
    <xf numFmtId="0" fontId="11" fillId="2" borderId="42" xfId="0" applyFont="1" applyFill="1" applyBorder="1" applyAlignment="1">
      <alignment horizontal="right" wrapText="1"/>
    </xf>
    <xf numFmtId="2" fontId="9" fillId="2" borderId="35" xfId="0" applyNumberFormat="1" applyFont="1" applyFill="1" applyBorder="1" applyAlignment="1">
      <alignment horizontal="center" vertical="center" wrapText="1"/>
    </xf>
    <xf numFmtId="4" fontId="9" fillId="2" borderId="35" xfId="1" applyNumberFormat="1" applyFont="1" applyFill="1" applyBorder="1" applyAlignment="1">
      <alignment horizontal="right"/>
    </xf>
    <xf numFmtId="0" fontId="12" fillId="0" borderId="35" xfId="0" applyFont="1" applyBorder="1" applyAlignment="1">
      <alignment vertical="center"/>
    </xf>
    <xf numFmtId="0" fontId="12" fillId="21" borderId="35" xfId="0" applyFont="1" applyFill="1" applyBorder="1" applyAlignment="1">
      <alignment vertical="center" wrapText="1"/>
    </xf>
    <xf numFmtId="43" fontId="70" fillId="0" borderId="0" xfId="1" applyFont="1" applyBorder="1" applyAlignment="1">
      <alignment vertical="top"/>
    </xf>
    <xf numFmtId="0" fontId="10" fillId="3" borderId="36" xfId="0" applyFont="1" applyFill="1" applyBorder="1" applyAlignment="1">
      <alignment wrapText="1"/>
    </xf>
    <xf numFmtId="0" fontId="10" fillId="3" borderId="14" xfId="0" applyFont="1" applyFill="1" applyBorder="1" applyAlignment="1">
      <alignment wrapText="1"/>
    </xf>
    <xf numFmtId="0" fontId="10" fillId="3" borderId="37" xfId="0" applyFont="1" applyFill="1" applyBorder="1" applyAlignment="1">
      <alignment wrapText="1"/>
    </xf>
    <xf numFmtId="0" fontId="8" fillId="0" borderId="58" xfId="0" applyFont="1" applyBorder="1" applyAlignment="1">
      <alignment horizontal="center" vertical="center" wrapText="1"/>
    </xf>
    <xf numFmtId="0" fontId="11" fillId="2" borderId="48" xfId="0" applyFont="1" applyFill="1" applyBorder="1" applyAlignment="1">
      <alignment horizontal="right" wrapText="1"/>
    </xf>
    <xf numFmtId="0" fontId="19" fillId="0" borderId="49" xfId="29" applyFont="1" applyBorder="1" applyAlignment="1">
      <alignment horizontal="center" vertical="center" wrapText="1"/>
    </xf>
    <xf numFmtId="0" fontId="70" fillId="0" borderId="0" xfId="0" applyFont="1"/>
    <xf numFmtId="0" fontId="70" fillId="0" borderId="0" xfId="0" applyFont="1" applyAlignment="1">
      <alignment wrapText="1"/>
    </xf>
    <xf numFmtId="43" fontId="70" fillId="0" borderId="0" xfId="1" applyFont="1"/>
    <xf numFmtId="168" fontId="70" fillId="24" borderId="63" xfId="1" applyNumberFormat="1" applyFont="1" applyFill="1" applyBorder="1" applyAlignment="1">
      <alignment horizontal="center" vertical="center" wrapText="1"/>
    </xf>
    <xf numFmtId="189" fontId="70" fillId="24" borderId="63" xfId="1" applyNumberFormat="1" applyFont="1" applyFill="1" applyBorder="1" applyAlignment="1">
      <alignment horizontal="center" vertical="center" wrapText="1"/>
    </xf>
    <xf numFmtId="0" fontId="76" fillId="0" borderId="63" xfId="0" applyFont="1" applyBorder="1"/>
    <xf numFmtId="43" fontId="76" fillId="0" borderId="63" xfId="1" applyFont="1" applyBorder="1"/>
    <xf numFmtId="43" fontId="76" fillId="0" borderId="63" xfId="1" applyFont="1" applyFill="1" applyBorder="1"/>
    <xf numFmtId="189" fontId="70" fillId="21" borderId="63" xfId="1" applyNumberFormat="1" applyFont="1" applyFill="1" applyBorder="1" applyAlignment="1">
      <alignment horizontal="center" vertical="center" wrapText="1"/>
    </xf>
    <xf numFmtId="43" fontId="76" fillId="21" borderId="63" xfId="1" applyFont="1" applyFill="1" applyBorder="1"/>
    <xf numFmtId="0" fontId="76" fillId="21" borderId="0" xfId="0" applyFont="1" applyFill="1"/>
    <xf numFmtId="0" fontId="8" fillId="4" borderId="35" xfId="0" applyFont="1" applyFill="1" applyBorder="1" applyAlignment="1">
      <alignment vertical="center" wrapText="1"/>
    </xf>
    <xf numFmtId="0" fontId="8" fillId="21" borderId="38" xfId="0" applyFont="1" applyFill="1" applyBorder="1" applyAlignment="1">
      <alignment horizontal="center" vertical="center" wrapText="1"/>
    </xf>
    <xf numFmtId="0" fontId="5" fillId="21" borderId="37" xfId="29" applyFont="1" applyFill="1" applyBorder="1" applyAlignment="1">
      <alignment horizontal="center" vertical="center" wrapText="1"/>
    </xf>
    <xf numFmtId="2" fontId="5" fillId="21" borderId="37" xfId="29" applyNumberFormat="1" applyFont="1" applyFill="1" applyBorder="1" applyAlignment="1">
      <alignment horizontal="center" vertical="center" wrapText="1"/>
    </xf>
    <xf numFmtId="0" fontId="8" fillId="21" borderId="58" xfId="0" applyFont="1" applyFill="1" applyBorder="1" applyAlignment="1">
      <alignment vertical="center" wrapText="1"/>
    </xf>
    <xf numFmtId="0" fontId="75" fillId="0" borderId="0" xfId="0" applyFont="1"/>
    <xf numFmtId="43" fontId="77" fillId="0" borderId="0" xfId="1" applyFont="1"/>
    <xf numFmtId="0" fontId="75" fillId="26" borderId="63" xfId="0" applyFont="1" applyFill="1" applyBorder="1" applyAlignment="1">
      <alignment horizontal="center" vertical="center"/>
    </xf>
    <xf numFmtId="43" fontId="77" fillId="26" borderId="63" xfId="1" applyFont="1" applyFill="1" applyBorder="1" applyAlignment="1">
      <alignment horizontal="center" vertical="center" wrapText="1"/>
    </xf>
    <xf numFmtId="0" fontId="74" fillId="0" borderId="63" xfId="0" applyFont="1" applyBorder="1"/>
    <xf numFmtId="43" fontId="74" fillId="0" borderId="63" xfId="1" applyFont="1" applyBorder="1"/>
    <xf numFmtId="0" fontId="74" fillId="25" borderId="63" xfId="0" applyFont="1" applyFill="1" applyBorder="1"/>
    <xf numFmtId="43" fontId="74" fillId="25" borderId="63" xfId="1" applyFont="1" applyFill="1" applyBorder="1"/>
    <xf numFmtId="168" fontId="77" fillId="26" borderId="63" xfId="5101" applyNumberFormat="1" applyFont="1" applyFill="1" applyBorder="1" applyAlignment="1">
      <alignment horizontal="center" vertical="center" wrapText="1"/>
    </xf>
    <xf numFmtId="168" fontId="77" fillId="26" borderId="63" xfId="5101" applyNumberFormat="1" applyFont="1" applyFill="1" applyBorder="1" applyAlignment="1">
      <alignment vertical="center" wrapText="1"/>
    </xf>
    <xf numFmtId="43" fontId="74" fillId="0" borderId="0" xfId="0" applyNumberFormat="1" applyFont="1"/>
    <xf numFmtId="43" fontId="75" fillId="0" borderId="0" xfId="0" applyNumberFormat="1" applyFont="1"/>
    <xf numFmtId="0" fontId="8" fillId="21" borderId="39" xfId="0" applyFont="1" applyFill="1" applyBorder="1" applyAlignment="1">
      <alignment horizontal="center" vertical="center" wrapText="1"/>
    </xf>
    <xf numFmtId="2" fontId="5" fillId="21" borderId="49" xfId="29" applyNumberFormat="1" applyFont="1" applyFill="1" applyBorder="1" applyAlignment="1">
      <alignment horizontal="center" vertical="center" wrapText="1"/>
    </xf>
    <xf numFmtId="0" fontId="5" fillId="21" borderId="49" xfId="29" applyFont="1" applyFill="1" applyBorder="1" applyAlignment="1">
      <alignment horizontal="center" vertical="center" wrapText="1"/>
    </xf>
    <xf numFmtId="166" fontId="75" fillId="0" borderId="0" xfId="0" applyNumberFormat="1" applyFont="1"/>
    <xf numFmtId="0" fontId="0" fillId="27" borderId="0" xfId="0" applyFill="1"/>
    <xf numFmtId="43" fontId="77" fillId="28" borderId="35" xfId="1" quotePrefix="1" applyFont="1" applyFill="1" applyBorder="1" applyAlignment="1">
      <alignment horizontal="center" vertical="center" wrapText="1"/>
    </xf>
    <xf numFmtId="0" fontId="74" fillId="0" borderId="35" xfId="0" applyFont="1" applyBorder="1" applyAlignment="1">
      <alignment horizontal="left"/>
    </xf>
    <xf numFmtId="43" fontId="74" fillId="0" borderId="35" xfId="1" applyFont="1" applyBorder="1"/>
    <xf numFmtId="43" fontId="77" fillId="29" borderId="35" xfId="1" quotePrefix="1" applyFont="1" applyFill="1" applyBorder="1" applyAlignment="1">
      <alignment horizontal="center" vertical="center" wrapText="1"/>
    </xf>
    <xf numFmtId="0" fontId="0" fillId="18" borderId="35" xfId="0" applyFill="1" applyBorder="1"/>
    <xf numFmtId="4" fontId="9" fillId="2" borderId="35" xfId="1" applyNumberFormat="1" applyFont="1" applyFill="1" applyBorder="1" applyAlignment="1">
      <alignment horizontal="center" vertical="center"/>
    </xf>
    <xf numFmtId="0" fontId="9" fillId="2" borderId="35" xfId="0" quotePrefix="1" applyFont="1" applyFill="1" applyBorder="1" applyAlignment="1">
      <alignment horizontal="center" vertical="center" wrapText="1"/>
    </xf>
    <xf numFmtId="4" fontId="44" fillId="2" borderId="35" xfId="1" applyNumberFormat="1" applyFont="1" applyFill="1" applyBorder="1" applyAlignment="1">
      <alignment horizontal="center" vertical="center"/>
    </xf>
    <xf numFmtId="43" fontId="0" fillId="0" borderId="35" xfId="0" applyNumberFormat="1" applyBorder="1"/>
    <xf numFmtId="0" fontId="75" fillId="0" borderId="35" xfId="0" applyFont="1" applyBorder="1"/>
    <xf numFmtId="0" fontId="77" fillId="0" borderId="35" xfId="439" applyFont="1" applyBorder="1" applyAlignment="1">
      <alignment vertical="top"/>
    </xf>
    <xf numFmtId="2" fontId="58" fillId="0" borderId="35" xfId="439" applyNumberFormat="1" applyFont="1" applyBorder="1" applyAlignment="1">
      <alignment vertical="top"/>
    </xf>
    <xf numFmtId="0" fontId="77" fillId="28" borderId="35" xfId="439" applyFont="1" applyFill="1" applyBorder="1" applyAlignment="1">
      <alignment horizontal="center" vertical="center" wrapText="1"/>
    </xf>
    <xf numFmtId="168" fontId="77" fillId="26" borderId="35" xfId="5101" applyNumberFormat="1" applyFont="1" applyFill="1" applyBorder="1" applyAlignment="1">
      <alignment vertical="center" wrapText="1"/>
    </xf>
    <xf numFmtId="0" fontId="58" fillId="0" borderId="35" xfId="439" applyFont="1" applyBorder="1" applyAlignment="1">
      <alignment vertical="top" wrapText="1"/>
    </xf>
    <xf numFmtId="0" fontId="58" fillId="0" borderId="35" xfId="439" applyFont="1" applyBorder="1" applyAlignment="1">
      <alignment horizontal="center" vertical="top"/>
    </xf>
    <xf numFmtId="43" fontId="58" fillId="0" borderId="35" xfId="1" applyFont="1" applyFill="1" applyBorder="1" applyAlignment="1">
      <alignment vertical="top" wrapText="1"/>
    </xf>
    <xf numFmtId="0" fontId="58" fillId="0" borderId="35" xfId="439" applyFont="1" applyBorder="1" applyAlignment="1">
      <alignment horizontal="center" vertical="top" wrapText="1"/>
    </xf>
    <xf numFmtId="43" fontId="77" fillId="0" borderId="35" xfId="1" applyFont="1" applyBorder="1"/>
    <xf numFmtId="43" fontId="75" fillId="0" borderId="35" xfId="0" applyNumberFormat="1" applyFont="1" applyBorder="1"/>
    <xf numFmtId="0" fontId="75" fillId="26" borderId="35" xfId="0" applyFont="1" applyFill="1" applyBorder="1" applyAlignment="1">
      <alignment horizontal="center" vertical="center"/>
    </xf>
    <xf numFmtId="43" fontId="77" fillId="26" borderId="35" xfId="1" applyFont="1" applyFill="1" applyBorder="1" applyAlignment="1">
      <alignment horizontal="center" vertical="center" wrapText="1"/>
    </xf>
    <xf numFmtId="168" fontId="77" fillId="26" borderId="35" xfId="5101" applyNumberFormat="1" applyFont="1" applyFill="1" applyBorder="1" applyAlignment="1">
      <alignment horizontal="center" vertical="center" wrapText="1"/>
    </xf>
    <xf numFmtId="0" fontId="74" fillId="0" borderId="35" xfId="0" applyFont="1" applyBorder="1"/>
    <xf numFmtId="43" fontId="74" fillId="0" borderId="35" xfId="0" applyNumberFormat="1" applyFont="1" applyBorder="1"/>
    <xf numFmtId="0" fontId="60" fillId="18" borderId="35" xfId="0" applyFont="1" applyFill="1" applyBorder="1"/>
    <xf numFmtId="43" fontId="75" fillId="26" borderId="35" xfId="1" applyFont="1" applyFill="1" applyBorder="1" applyAlignment="1">
      <alignment horizontal="center" vertical="center"/>
    </xf>
    <xf numFmtId="43" fontId="74" fillId="21" borderId="35" xfId="1" applyFont="1" applyFill="1" applyBorder="1"/>
    <xf numFmtId="190" fontId="77" fillId="28" borderId="35" xfId="439" applyNumberFormat="1" applyFont="1" applyFill="1" applyBorder="1" applyAlignment="1">
      <alignment horizontal="center" vertical="top" wrapText="1"/>
    </xf>
    <xf numFmtId="43" fontId="77" fillId="28" borderId="35" xfId="1" applyFont="1" applyFill="1" applyBorder="1" applyAlignment="1">
      <alignment horizontal="center" vertical="top" wrapText="1"/>
    </xf>
    <xf numFmtId="0" fontId="74" fillId="0" borderId="35" xfId="0" applyFont="1" applyBorder="1" applyAlignment="1">
      <alignment wrapText="1"/>
    </xf>
    <xf numFmtId="0" fontId="75" fillId="28" borderId="35" xfId="0" applyFont="1" applyFill="1" applyBorder="1" applyAlignment="1">
      <alignment horizontal="center" vertical="center" wrapText="1"/>
    </xf>
    <xf numFmtId="189" fontId="75" fillId="28" borderId="35" xfId="0" applyNumberFormat="1" applyFont="1" applyFill="1" applyBorder="1" applyAlignment="1">
      <alignment horizontal="center" vertical="top" wrapText="1"/>
    </xf>
    <xf numFmtId="0" fontId="74" fillId="0" borderId="35" xfId="0" applyFont="1" applyBorder="1" applyAlignment="1">
      <alignment vertical="top"/>
    </xf>
    <xf numFmtId="43" fontId="74" fillId="0" borderId="35" xfId="1" applyFont="1" applyBorder="1" applyAlignment="1">
      <alignment vertical="top"/>
    </xf>
    <xf numFmtId="0" fontId="75" fillId="28" borderId="35" xfId="0" applyFont="1" applyFill="1" applyBorder="1" applyAlignment="1">
      <alignment vertical="top"/>
    </xf>
    <xf numFmtId="43" fontId="75" fillId="28" borderId="35" xfId="1" applyFont="1" applyFill="1" applyBorder="1" applyAlignment="1">
      <alignment vertical="top"/>
    </xf>
    <xf numFmtId="43" fontId="69" fillId="0" borderId="66" xfId="1" applyFont="1" applyBorder="1" applyAlignment="1">
      <alignment vertical="top"/>
    </xf>
    <xf numFmtId="0" fontId="69" fillId="0" borderId="35" xfId="0" applyFont="1" applyBorder="1" applyAlignment="1">
      <alignment vertical="top"/>
    </xf>
    <xf numFmtId="43" fontId="70" fillId="0" borderId="35" xfId="1" applyFont="1" applyBorder="1" applyAlignment="1">
      <alignment vertical="top"/>
    </xf>
    <xf numFmtId="168" fontId="70" fillId="24" borderId="35" xfId="5101" applyNumberFormat="1" applyFont="1" applyFill="1" applyBorder="1" applyAlignment="1">
      <alignment horizontal="center" vertical="center" wrapText="1"/>
    </xf>
    <xf numFmtId="168" fontId="70" fillId="24" borderId="35" xfId="5101" applyNumberFormat="1" applyFont="1" applyFill="1" applyBorder="1" applyAlignment="1">
      <alignment vertical="top" wrapText="1"/>
    </xf>
    <xf numFmtId="0" fontId="69" fillId="0" borderId="35" xfId="5095" applyFont="1" applyBorder="1" applyAlignment="1">
      <alignment vertical="top"/>
    </xf>
    <xf numFmtId="0" fontId="69" fillId="0" borderId="35" xfId="5095" applyFont="1" applyBorder="1" applyAlignment="1">
      <alignment vertical="top" wrapText="1"/>
    </xf>
    <xf numFmtId="43" fontId="69" fillId="0" borderId="35" xfId="1" applyFont="1" applyBorder="1" applyAlignment="1">
      <alignment vertical="top"/>
    </xf>
    <xf numFmtId="9" fontId="0" fillId="0" borderId="35" xfId="5099" applyFont="1" applyBorder="1" applyAlignment="1">
      <alignment horizontal="center"/>
    </xf>
    <xf numFmtId="0" fontId="1" fillId="0" borderId="69" xfId="0" applyFont="1" applyBorder="1"/>
    <xf numFmtId="0" fontId="2" fillId="0" borderId="0" xfId="0" applyFont="1" applyAlignment="1">
      <alignment horizontal="center"/>
    </xf>
    <xf numFmtId="0" fontId="47" fillId="0" borderId="35" xfId="0" applyFont="1" applyBorder="1" applyAlignment="1">
      <alignment horizontal="left" vertical="top" wrapText="1"/>
    </xf>
    <xf numFmtId="0" fontId="19" fillId="2" borderId="35" xfId="0" applyFont="1" applyFill="1" applyBorder="1" applyAlignment="1">
      <alignment horizontal="center" vertical="center"/>
    </xf>
    <xf numFmtId="0" fontId="45" fillId="18" borderId="1" xfId="0" applyFont="1" applyFill="1" applyBorder="1" applyAlignment="1">
      <alignment horizontal="center"/>
    </xf>
    <xf numFmtId="0" fontId="45" fillId="18" borderId="35" xfId="0" applyFont="1" applyFill="1" applyBorder="1" applyAlignment="1">
      <alignment horizontal="center"/>
    </xf>
    <xf numFmtId="0" fontId="47" fillId="4" borderId="1" xfId="0" applyFont="1" applyFill="1" applyBorder="1" applyAlignment="1">
      <alignment horizontal="right"/>
    </xf>
    <xf numFmtId="0" fontId="47" fillId="4" borderId="35" xfId="0" applyFont="1" applyFill="1" applyBorder="1" applyAlignment="1">
      <alignment horizontal="right"/>
    </xf>
    <xf numFmtId="0" fontId="42" fillId="0" borderId="23" xfId="0" applyFont="1" applyBorder="1" applyAlignment="1">
      <alignment horizontal="right"/>
    </xf>
    <xf numFmtId="0" fontId="42" fillId="0" borderId="35" xfId="0" applyFont="1" applyBorder="1" applyAlignment="1">
      <alignment horizontal="right"/>
    </xf>
    <xf numFmtId="0" fontId="46" fillId="18" borderId="12" xfId="0" applyFont="1" applyFill="1" applyBorder="1" applyAlignment="1">
      <alignment horizontal="left"/>
    </xf>
    <xf numFmtId="0" fontId="46" fillId="18" borderId="14" xfId="0" applyFont="1" applyFill="1" applyBorder="1" applyAlignment="1">
      <alignment horizontal="left"/>
    </xf>
    <xf numFmtId="0" fontId="46" fillId="18" borderId="33" xfId="0" applyFont="1" applyFill="1" applyBorder="1" applyAlignment="1">
      <alignment horizontal="left"/>
    </xf>
    <xf numFmtId="0" fontId="46" fillId="18" borderId="13" xfId="0" applyFont="1" applyFill="1" applyBorder="1" applyAlignment="1">
      <alignment horizontal="left"/>
    </xf>
    <xf numFmtId="0" fontId="7" fillId="18" borderId="36" xfId="0" applyFont="1" applyFill="1" applyBorder="1" applyAlignment="1">
      <alignment horizontal="center" vertical="center" wrapText="1"/>
    </xf>
    <xf numFmtId="0" fontId="7" fillId="18" borderId="14" xfId="0" applyFont="1" applyFill="1" applyBorder="1" applyAlignment="1">
      <alignment horizontal="center" vertical="center" wrapText="1"/>
    </xf>
    <xf numFmtId="0" fontId="7" fillId="18" borderId="37" xfId="0" applyFont="1" applyFill="1" applyBorder="1" applyAlignment="1">
      <alignment horizontal="center" vertical="center" wrapText="1"/>
    </xf>
    <xf numFmtId="0" fontId="6" fillId="0" borderId="36" xfId="0" applyFont="1" applyBorder="1" applyAlignment="1">
      <alignment horizontal="right" vertical="center" wrapText="1"/>
    </xf>
    <xf numFmtId="0" fontId="6" fillId="0" borderId="14" xfId="0" applyFont="1" applyBorder="1" applyAlignment="1">
      <alignment horizontal="right" vertical="center" wrapText="1"/>
    </xf>
    <xf numFmtId="0" fontId="6" fillId="0" borderId="37" xfId="0" applyFont="1" applyBorder="1" applyAlignment="1">
      <alignment horizontal="right" vertical="center" wrapText="1"/>
    </xf>
    <xf numFmtId="0" fontId="10" fillId="18" borderId="36" xfId="0" applyFont="1" applyFill="1" applyBorder="1" applyAlignment="1">
      <alignment horizontal="left" wrapText="1"/>
    </xf>
    <xf numFmtId="0" fontId="10" fillId="18" borderId="14" xfId="0" applyFont="1" applyFill="1" applyBorder="1" applyAlignment="1">
      <alignment horizontal="left" wrapText="1"/>
    </xf>
    <xf numFmtId="0" fontId="10" fillId="18" borderId="37" xfId="0" applyFont="1" applyFill="1" applyBorder="1" applyAlignment="1">
      <alignment horizontal="left" wrapText="1"/>
    </xf>
    <xf numFmtId="0" fontId="6" fillId="0" borderId="35" xfId="0" applyFont="1" applyBorder="1" applyAlignment="1">
      <alignment horizontal="left" vertical="top" wrapText="1"/>
    </xf>
    <xf numFmtId="0" fontId="60" fillId="18" borderId="35" xfId="0" applyFont="1" applyFill="1" applyBorder="1" applyAlignment="1">
      <alignment horizontal="center" vertical="center" wrapText="1"/>
    </xf>
    <xf numFmtId="0" fontId="64" fillId="18" borderId="36" xfId="0" applyFont="1" applyFill="1" applyBorder="1" applyAlignment="1">
      <alignment horizontal="left" wrapText="1"/>
    </xf>
    <xf numFmtId="0" fontId="64" fillId="18" borderId="14" xfId="0" applyFont="1" applyFill="1" applyBorder="1" applyAlignment="1">
      <alignment horizontal="left" wrapText="1"/>
    </xf>
    <xf numFmtId="0" fontId="64" fillId="18" borderId="33" xfId="0" applyFont="1" applyFill="1" applyBorder="1" applyAlignment="1">
      <alignment horizontal="left" wrapText="1"/>
    </xf>
    <xf numFmtId="0" fontId="62" fillId="0" borderId="35" xfId="0" applyFont="1" applyBorder="1" applyAlignment="1">
      <alignment horizontal="left" vertical="top" wrapText="1"/>
    </xf>
    <xf numFmtId="0" fontId="0" fillId="0" borderId="36" xfId="0" applyBorder="1" applyAlignment="1">
      <alignment horizontal="right" vertical="center" wrapText="1"/>
    </xf>
    <xf numFmtId="0" fontId="0" fillId="0" borderId="29" xfId="0" applyBorder="1" applyAlignment="1">
      <alignment horizontal="right" vertical="center" wrapText="1"/>
    </xf>
    <xf numFmtId="0" fontId="0" fillId="0" borderId="43" xfId="0" applyBorder="1" applyAlignment="1">
      <alignment horizontal="right" vertical="center" wrapText="1"/>
    </xf>
    <xf numFmtId="167" fontId="1" fillId="0" borderId="41" xfId="0" applyNumberFormat="1" applyFont="1" applyBorder="1" applyAlignment="1">
      <alignment horizontal="right" vertical="center" wrapText="1"/>
    </xf>
    <xf numFmtId="167" fontId="1" fillId="0" borderId="44" xfId="0" applyNumberFormat="1" applyFont="1" applyBorder="1" applyAlignment="1">
      <alignment horizontal="right" vertical="center" wrapText="1"/>
    </xf>
    <xf numFmtId="167" fontId="1" fillId="0" borderId="45" xfId="0" applyNumberFormat="1" applyFont="1" applyBorder="1" applyAlignment="1">
      <alignment horizontal="right" vertical="center" wrapText="1"/>
    </xf>
    <xf numFmtId="168" fontId="72" fillId="24" borderId="61" xfId="5101" applyNumberFormat="1" applyFont="1" applyFill="1" applyBorder="1" applyAlignment="1">
      <alignment horizontal="center" vertical="center" wrapText="1"/>
    </xf>
    <xf numFmtId="168" fontId="72" fillId="24" borderId="60" xfId="5101" applyNumberFormat="1" applyFont="1" applyFill="1" applyBorder="1" applyAlignment="1">
      <alignment horizontal="center" vertical="center" wrapText="1"/>
    </xf>
    <xf numFmtId="168" fontId="72" fillId="24" borderId="64" xfId="5101" applyNumberFormat="1" applyFont="1" applyFill="1" applyBorder="1" applyAlignment="1">
      <alignment horizontal="center" vertical="center" wrapText="1"/>
    </xf>
    <xf numFmtId="0" fontId="66" fillId="0" borderId="35" xfId="0" applyFont="1" applyBorder="1" applyAlignment="1">
      <alignment horizontal="left" vertical="top"/>
    </xf>
    <xf numFmtId="2" fontId="67" fillId="23" borderId="35" xfId="0" applyNumberFormat="1" applyFont="1" applyFill="1" applyBorder="1" applyAlignment="1">
      <alignment horizontal="center" vertical="center" wrapText="1"/>
    </xf>
    <xf numFmtId="0" fontId="50" fillId="0" borderId="48" xfId="0" applyFont="1" applyBorder="1" applyAlignment="1">
      <alignment horizontal="center" vertical="center"/>
    </xf>
    <xf numFmtId="0" fontId="50" fillId="0" borderId="33" xfId="0" applyFont="1" applyBorder="1" applyAlignment="1">
      <alignment horizontal="center" vertical="center"/>
    </xf>
    <xf numFmtId="0" fontId="50" fillId="0" borderId="49" xfId="0" applyFont="1" applyBorder="1" applyAlignment="1">
      <alignment horizontal="center" vertical="center"/>
    </xf>
    <xf numFmtId="0" fontId="48" fillId="18" borderId="35" xfId="0" applyFont="1" applyFill="1" applyBorder="1" applyAlignment="1">
      <alignment horizontal="center" vertical="center" wrapText="1"/>
    </xf>
    <xf numFmtId="0" fontId="49" fillId="0" borderId="35" xfId="0" applyFont="1" applyBorder="1" applyAlignment="1">
      <alignment horizontal="right" vertical="center"/>
    </xf>
    <xf numFmtId="0" fontId="59" fillId="18" borderId="58" xfId="0" applyFont="1" applyFill="1" applyBorder="1" applyAlignment="1">
      <alignment horizontal="left" vertical="center"/>
    </xf>
    <xf numFmtId="0" fontId="49" fillId="0" borderId="35" xfId="0" applyFont="1" applyBorder="1" applyAlignment="1">
      <alignment horizontal="right" vertical="center" wrapText="1"/>
    </xf>
    <xf numFmtId="0" fontId="53" fillId="0" borderId="59" xfId="0" applyFont="1" applyBorder="1" applyAlignment="1">
      <alignment horizontal="left" vertical="center" wrapText="1"/>
    </xf>
    <xf numFmtId="0" fontId="53" fillId="0" borderId="44" xfId="0" applyFont="1" applyBorder="1" applyAlignment="1">
      <alignment horizontal="left" vertical="center" wrapText="1"/>
    </xf>
    <xf numFmtId="0" fontId="53" fillId="0" borderId="45" xfId="0" applyFont="1" applyBorder="1" applyAlignment="1">
      <alignment horizontal="left" vertical="center" wrapText="1"/>
    </xf>
    <xf numFmtId="0" fontId="53" fillId="0" borderId="47" xfId="0" applyFont="1" applyBorder="1" applyAlignment="1">
      <alignment horizontal="left" vertical="center" wrapText="1"/>
    </xf>
    <xf numFmtId="0" fontId="53" fillId="0" borderId="0" xfId="0" applyFont="1" applyAlignment="1">
      <alignment horizontal="left" vertical="center" wrapText="1"/>
    </xf>
    <xf numFmtId="0" fontId="53" fillId="0" borderId="50" xfId="0" applyFont="1" applyBorder="1" applyAlignment="1">
      <alignment horizontal="left" vertical="center" wrapText="1"/>
    </xf>
    <xf numFmtId="168" fontId="65" fillId="18" borderId="48" xfId="6" applyNumberFormat="1" applyFont="1" applyFill="1" applyBorder="1" applyAlignment="1">
      <alignment horizontal="center" vertical="center" wrapText="1"/>
    </xf>
    <xf numFmtId="168" fontId="65" fillId="18" borderId="33" xfId="6" applyNumberFormat="1" applyFont="1" applyFill="1" applyBorder="1" applyAlignment="1">
      <alignment horizontal="center" vertical="center" wrapText="1"/>
    </xf>
    <xf numFmtId="168" fontId="65" fillId="18" borderId="49" xfId="6" applyNumberFormat="1" applyFont="1" applyFill="1" applyBorder="1" applyAlignment="1">
      <alignment horizontal="center" vertical="center" wrapText="1"/>
    </xf>
    <xf numFmtId="168" fontId="65" fillId="18" borderId="35" xfId="6" applyNumberFormat="1" applyFont="1" applyFill="1" applyBorder="1" applyAlignment="1">
      <alignment horizontal="center" vertical="center" wrapText="1"/>
    </xf>
    <xf numFmtId="0" fontId="53" fillId="0" borderId="40" xfId="0" applyFont="1" applyBorder="1" applyAlignment="1">
      <alignment horizontal="left" vertical="center" wrapText="1"/>
    </xf>
    <xf numFmtId="0" fontId="7" fillId="18" borderId="35" xfId="0" applyFont="1" applyFill="1" applyBorder="1" applyAlignment="1">
      <alignment horizontal="center" vertical="center" wrapText="1"/>
    </xf>
    <xf numFmtId="0" fontId="8" fillId="0" borderId="48" xfId="0" applyFont="1" applyBorder="1" applyAlignment="1">
      <alignment horizontal="right" vertical="center" wrapText="1"/>
    </xf>
    <xf numFmtId="0" fontId="8" fillId="0" borderId="33" xfId="0" applyFont="1" applyBorder="1" applyAlignment="1">
      <alignment horizontal="right" vertical="center" wrapText="1"/>
    </xf>
    <xf numFmtId="0" fontId="8" fillId="0" borderId="49" xfId="0" applyFont="1" applyBorder="1" applyAlignment="1">
      <alignment horizontal="right" vertical="center" wrapText="1"/>
    </xf>
    <xf numFmtId="167" fontId="9" fillId="0" borderId="59" xfId="0" applyNumberFormat="1" applyFont="1" applyBorder="1" applyAlignment="1">
      <alignment horizontal="right" vertical="center" wrapText="1"/>
    </xf>
    <xf numFmtId="167" fontId="9" fillId="0" borderId="44" xfId="0" applyNumberFormat="1" applyFont="1" applyBorder="1" applyAlignment="1">
      <alignment horizontal="right" vertical="center" wrapText="1"/>
    </xf>
    <xf numFmtId="167" fontId="9" fillId="0" borderId="55" xfId="0" applyNumberFormat="1" applyFont="1" applyBorder="1" applyAlignment="1">
      <alignment horizontal="right" vertical="center" wrapText="1"/>
    </xf>
    <xf numFmtId="0" fontId="10" fillId="18" borderId="48" xfId="0" applyFont="1" applyFill="1" applyBorder="1" applyAlignment="1">
      <alignment horizontal="left" wrapText="1"/>
    </xf>
    <xf numFmtId="0" fontId="10" fillId="18" borderId="33" xfId="0" applyFont="1" applyFill="1" applyBorder="1" applyAlignment="1">
      <alignment horizontal="left" wrapText="1"/>
    </xf>
    <xf numFmtId="0" fontId="62" fillId="0" borderId="35" xfId="0" applyFont="1" applyBorder="1" applyAlignment="1">
      <alignment horizontal="right" vertical="center" wrapText="1"/>
    </xf>
    <xf numFmtId="0" fontId="64" fillId="18" borderId="37" xfId="0" applyFont="1" applyFill="1" applyBorder="1" applyAlignment="1">
      <alignment horizontal="left" wrapText="1"/>
    </xf>
    <xf numFmtId="168" fontId="77" fillId="24" borderId="62" xfId="5101" applyNumberFormat="1" applyFont="1" applyFill="1" applyBorder="1" applyAlignment="1">
      <alignment horizontal="center" vertical="top" wrapText="1"/>
    </xf>
    <xf numFmtId="168" fontId="77" fillId="24" borderId="65" xfId="5101" applyNumberFormat="1" applyFont="1" applyFill="1" applyBorder="1" applyAlignment="1">
      <alignment horizontal="center" vertical="top" wrapText="1"/>
    </xf>
    <xf numFmtId="168" fontId="77" fillId="24" borderId="66" xfId="5101" applyNumberFormat="1" applyFont="1" applyFill="1" applyBorder="1" applyAlignment="1">
      <alignment horizontal="center" vertical="top" wrapText="1"/>
    </xf>
    <xf numFmtId="0" fontId="7" fillId="18" borderId="48" xfId="0" applyFont="1" applyFill="1" applyBorder="1" applyAlignment="1">
      <alignment horizontal="center" wrapText="1"/>
    </xf>
    <xf numFmtId="0" fontId="7" fillId="18" borderId="33" xfId="0" applyFont="1" applyFill="1" applyBorder="1" applyAlignment="1">
      <alignment horizontal="center" wrapText="1"/>
    </xf>
    <xf numFmtId="0" fontId="7" fillId="18" borderId="49" xfId="0" applyFont="1" applyFill="1" applyBorder="1" applyAlignment="1">
      <alignment horizontal="center" wrapText="1"/>
    </xf>
    <xf numFmtId="0" fontId="6" fillId="0" borderId="48" xfId="0" applyFont="1" applyBorder="1" applyAlignment="1">
      <alignment horizontal="right" vertical="center" wrapText="1"/>
    </xf>
    <xf numFmtId="0" fontId="6" fillId="0" borderId="33" xfId="0" applyFont="1" applyBorder="1" applyAlignment="1">
      <alignment horizontal="right" vertical="center" wrapText="1"/>
    </xf>
    <xf numFmtId="0" fontId="6" fillId="0" borderId="49" xfId="0" applyFont="1" applyBorder="1" applyAlignment="1">
      <alignment horizontal="right" vertical="center" wrapText="1"/>
    </xf>
    <xf numFmtId="0" fontId="10" fillId="3" borderId="48" xfId="0" applyFont="1" applyFill="1" applyBorder="1" applyAlignment="1">
      <alignment horizontal="left" wrapText="1"/>
    </xf>
    <xf numFmtId="0" fontId="10" fillId="3" borderId="33" xfId="0" applyFont="1" applyFill="1" applyBorder="1" applyAlignment="1">
      <alignment horizontal="left" wrapText="1"/>
    </xf>
    <xf numFmtId="0" fontId="10" fillId="3" borderId="49" xfId="0" applyFont="1" applyFill="1" applyBorder="1" applyAlignment="1">
      <alignment horizontal="left" wrapText="1"/>
    </xf>
    <xf numFmtId="2" fontId="78" fillId="18" borderId="35" xfId="439" applyNumberFormat="1" applyFont="1" applyFill="1" applyBorder="1" applyAlignment="1">
      <alignment horizontal="center" vertical="top"/>
    </xf>
    <xf numFmtId="168" fontId="77" fillId="24" borderId="35" xfId="5101" applyNumberFormat="1" applyFont="1" applyFill="1" applyBorder="1" applyAlignment="1">
      <alignment horizontal="center" vertical="top" wrapText="1"/>
    </xf>
    <xf numFmtId="2" fontId="77" fillId="0" borderId="35" xfId="439" applyNumberFormat="1" applyFont="1" applyBorder="1" applyAlignment="1">
      <alignment horizontal="center" vertical="top"/>
    </xf>
    <xf numFmtId="0" fontId="7" fillId="18" borderId="36" xfId="0" applyFont="1" applyFill="1" applyBorder="1" applyAlignment="1">
      <alignment horizontal="center" wrapText="1"/>
    </xf>
    <xf numFmtId="0" fontId="7" fillId="18" borderId="14" xfId="0" applyFont="1" applyFill="1" applyBorder="1" applyAlignment="1">
      <alignment horizontal="center" wrapText="1"/>
    </xf>
    <xf numFmtId="0" fontId="7" fillId="18" borderId="37" xfId="0" applyFont="1" applyFill="1" applyBorder="1" applyAlignment="1">
      <alignment horizontal="center" wrapText="1"/>
    </xf>
    <xf numFmtId="0" fontId="6" fillId="0" borderId="29" xfId="0" applyFont="1" applyBorder="1" applyAlignment="1">
      <alignment horizontal="right" vertical="center" wrapText="1"/>
    </xf>
    <xf numFmtId="0" fontId="6" fillId="0" borderId="43" xfId="0" applyFont="1" applyBorder="1" applyAlignment="1">
      <alignment horizontal="right" vertical="center" wrapText="1"/>
    </xf>
    <xf numFmtId="0" fontId="10" fillId="18" borderId="49" xfId="0" applyFont="1" applyFill="1" applyBorder="1" applyAlignment="1">
      <alignment horizontal="left" wrapText="1"/>
    </xf>
    <xf numFmtId="0" fontId="7" fillId="18" borderId="47" xfId="0" applyFont="1" applyFill="1" applyBorder="1" applyAlignment="1">
      <alignment horizontal="center" wrapText="1"/>
    </xf>
    <xf numFmtId="0" fontId="7" fillId="18" borderId="0" xfId="0" applyFont="1" applyFill="1" applyAlignment="1">
      <alignment horizontal="center" wrapText="1"/>
    </xf>
    <xf numFmtId="0" fontId="6" fillId="0" borderId="42" xfId="0" applyFont="1" applyBorder="1" applyAlignment="1">
      <alignment horizontal="right" vertical="center" wrapText="1"/>
    </xf>
    <xf numFmtId="0" fontId="6" fillId="0" borderId="51" xfId="0" applyFont="1" applyBorder="1" applyAlignment="1">
      <alignment horizontal="right" vertical="center" wrapText="1"/>
    </xf>
    <xf numFmtId="0" fontId="10" fillId="18" borderId="59" xfId="0" applyFont="1" applyFill="1" applyBorder="1" applyAlignment="1">
      <alignment horizontal="left" wrapText="1"/>
    </xf>
    <xf numFmtId="0" fontId="10" fillId="18" borderId="44" xfId="0" applyFont="1" applyFill="1" applyBorder="1" applyAlignment="1">
      <alignment horizontal="left" wrapText="1"/>
    </xf>
    <xf numFmtId="0" fontId="6" fillId="0" borderId="47" xfId="0" applyFont="1" applyBorder="1" applyAlignment="1">
      <alignment horizontal="left" vertical="top" wrapText="1"/>
    </xf>
    <xf numFmtId="0" fontId="6" fillId="0" borderId="0" xfId="0" applyFont="1" applyAlignment="1">
      <alignment horizontal="left" vertical="top" wrapText="1"/>
    </xf>
    <xf numFmtId="0" fontId="8" fillId="0" borderId="35" xfId="0" applyFont="1" applyBorder="1" applyAlignment="1">
      <alignment horizontal="left" vertical="center" wrapText="1"/>
    </xf>
    <xf numFmtId="168" fontId="70" fillId="24" borderId="67" xfId="5101" applyNumberFormat="1" applyFont="1" applyFill="1" applyBorder="1" applyAlignment="1">
      <alignment horizontal="center" vertical="center" wrapText="1"/>
    </xf>
    <xf numFmtId="168" fontId="70" fillId="24" borderId="68" xfId="5101" applyNumberFormat="1" applyFont="1" applyFill="1" applyBorder="1" applyAlignment="1">
      <alignment horizontal="center" vertical="center" wrapText="1"/>
    </xf>
    <xf numFmtId="0" fontId="6" fillId="0" borderId="59" xfId="0" applyFont="1" applyBorder="1" applyAlignment="1">
      <alignment horizontal="left" vertical="top" wrapText="1"/>
    </xf>
    <xf numFmtId="0" fontId="6" fillId="0" borderId="44" xfId="0" applyFont="1" applyBorder="1" applyAlignment="1">
      <alignment horizontal="left" vertical="top" wrapText="1"/>
    </xf>
    <xf numFmtId="168" fontId="70" fillId="24" borderId="35" xfId="5101" applyNumberFormat="1" applyFont="1" applyFill="1" applyBorder="1" applyAlignment="1">
      <alignment horizontal="center" vertical="center" wrapText="1"/>
    </xf>
    <xf numFmtId="168" fontId="70" fillId="24" borderId="35" xfId="5101" applyNumberFormat="1" applyFont="1" applyFill="1" applyBorder="1" applyAlignment="1">
      <alignment horizontal="center" vertical="top" wrapText="1"/>
    </xf>
    <xf numFmtId="0" fontId="10" fillId="3" borderId="36" xfId="0" applyFont="1" applyFill="1" applyBorder="1" applyAlignment="1">
      <alignment horizontal="left" wrapText="1"/>
    </xf>
    <xf numFmtId="0" fontId="10" fillId="3" borderId="14" xfId="0" applyFont="1" applyFill="1" applyBorder="1" applyAlignment="1">
      <alignment horizontal="left" wrapText="1"/>
    </xf>
    <xf numFmtId="0" fontId="10" fillId="3" borderId="37" xfId="0" applyFont="1" applyFill="1" applyBorder="1" applyAlignment="1">
      <alignment horizontal="left" wrapText="1"/>
    </xf>
    <xf numFmtId="0" fontId="53" fillId="0" borderId="35" xfId="0" applyFont="1" applyBorder="1" applyAlignment="1">
      <alignment horizontal="justify" vertical="center"/>
    </xf>
    <xf numFmtId="0" fontId="51" fillId="0" borderId="35" xfId="0" applyFont="1" applyBorder="1" applyAlignment="1">
      <alignment horizontal="right" vertical="center" wrapText="1"/>
    </xf>
    <xf numFmtId="0" fontId="0" fillId="0" borderId="35" xfId="0" applyBorder="1" applyAlignment="1">
      <alignment wrapText="1"/>
    </xf>
    <xf numFmtId="0" fontId="59" fillId="18" borderId="35" xfId="0" applyFont="1" applyFill="1" applyBorder="1" applyAlignment="1">
      <alignment vertical="center"/>
    </xf>
    <xf numFmtId="0" fontId="51" fillId="20" borderId="53" xfId="0" applyFont="1" applyFill="1" applyBorder="1" applyAlignment="1">
      <alignment horizontal="left" vertical="center" wrapText="1"/>
    </xf>
    <xf numFmtId="0" fontId="51" fillId="20" borderId="54" xfId="0" applyFont="1" applyFill="1" applyBorder="1" applyAlignment="1">
      <alignment horizontal="left" vertical="center" wrapText="1"/>
    </xf>
    <xf numFmtId="0" fontId="51" fillId="20" borderId="55" xfId="0" applyFont="1" applyFill="1" applyBorder="1" applyAlignment="1">
      <alignment horizontal="left" vertical="center" wrapText="1"/>
    </xf>
    <xf numFmtId="0" fontId="51" fillId="20" borderId="56" xfId="0" applyFont="1" applyFill="1" applyBorder="1" applyAlignment="1">
      <alignment horizontal="left" vertical="center" wrapText="1"/>
    </xf>
    <xf numFmtId="0" fontId="51" fillId="20" borderId="9" xfId="0" applyFont="1" applyFill="1" applyBorder="1" applyAlignment="1">
      <alignment horizontal="left" vertical="center" wrapText="1"/>
    </xf>
    <xf numFmtId="0" fontId="51" fillId="20" borderId="50" xfId="0" applyFont="1" applyFill="1" applyBorder="1" applyAlignment="1">
      <alignment horizontal="left" vertical="center" wrapText="1"/>
    </xf>
    <xf numFmtId="0" fontId="51" fillId="20" borderId="46" xfId="0" applyFont="1" applyFill="1" applyBorder="1" applyAlignment="1">
      <alignment horizontal="left" vertical="center" wrapText="1"/>
    </xf>
    <xf numFmtId="0" fontId="51" fillId="20" borderId="57" xfId="0" applyFont="1" applyFill="1" applyBorder="1" applyAlignment="1">
      <alignment horizontal="left" vertical="center" wrapText="1"/>
    </xf>
    <xf numFmtId="0" fontId="51" fillId="20" borderId="52" xfId="0" applyFont="1" applyFill="1" applyBorder="1" applyAlignment="1">
      <alignment horizontal="left" vertical="center" wrapText="1"/>
    </xf>
    <xf numFmtId="0" fontId="48" fillId="18" borderId="35" xfId="0" applyFont="1" applyFill="1" applyBorder="1" applyAlignment="1">
      <alignment horizontal="center" vertical="center"/>
    </xf>
    <xf numFmtId="0" fontId="53" fillId="0" borderId="47" xfId="0" applyFont="1" applyBorder="1" applyAlignment="1">
      <alignment horizontal="justify" vertical="center"/>
    </xf>
    <xf numFmtId="0" fontId="53" fillId="0" borderId="0" xfId="0" applyFont="1" applyAlignment="1">
      <alignment horizontal="justify" vertical="center"/>
    </xf>
    <xf numFmtId="0" fontId="53" fillId="0" borderId="50" xfId="0" applyFont="1" applyBorder="1" applyAlignment="1">
      <alignment horizontal="justify" vertical="center"/>
    </xf>
    <xf numFmtId="0" fontId="53" fillId="0" borderId="42" xfId="0" applyFont="1" applyBorder="1" applyAlignment="1">
      <alignment horizontal="justify" vertical="center"/>
    </xf>
    <xf numFmtId="0" fontId="53" fillId="0" borderId="51" xfId="0" applyFont="1" applyBorder="1" applyAlignment="1">
      <alignment horizontal="justify" vertical="center"/>
    </xf>
    <xf numFmtId="0" fontId="53" fillId="0" borderId="52" xfId="0" applyFont="1" applyBorder="1" applyAlignment="1">
      <alignment horizontal="justify" vertical="center"/>
    </xf>
    <xf numFmtId="0" fontId="50" fillId="0" borderId="35" xfId="0" applyFont="1" applyBorder="1" applyAlignment="1">
      <alignment vertical="center" wrapText="1"/>
    </xf>
    <xf numFmtId="0" fontId="53" fillId="19" borderId="35" xfId="0" applyFont="1" applyFill="1" applyBorder="1" applyAlignment="1">
      <alignment vertical="center"/>
    </xf>
    <xf numFmtId="0" fontId="53" fillId="0" borderId="47" xfId="0" applyFont="1" applyBorder="1" applyAlignment="1">
      <alignment horizontal="justify" vertical="center" wrapText="1"/>
    </xf>
  </cellXfs>
  <cellStyles count="5102">
    <cellStyle name=" _x0007_LÓ_x0018_ÄþÍN^NuNVþˆHÁ_x0001__x0018_(n" xfId="35" xr:uid="{00000000-0005-0000-0000-000000000000}"/>
    <cellStyle name="%" xfId="36" xr:uid="{00000000-0005-0000-0000-000001000000}"/>
    <cellStyle name="%_eFunds ETR Q3 -2007" xfId="37" xr:uid="{00000000-0005-0000-0000-000002000000}"/>
    <cellStyle name="??" xfId="38" xr:uid="{00000000-0005-0000-0000-000003000000}"/>
    <cellStyle name="?? [0.00]_PERSONAL" xfId="39" xr:uid="{00000000-0005-0000-0000-000004000000}"/>
    <cellStyle name="???? [0.00]_PERSONAL" xfId="40" xr:uid="{00000000-0005-0000-0000-000005000000}"/>
    <cellStyle name="????_PERSONAL" xfId="41" xr:uid="{00000000-0005-0000-0000-000006000000}"/>
    <cellStyle name="??_PERSONAL" xfId="42" xr:uid="{00000000-0005-0000-0000-000007000000}"/>
    <cellStyle name="_Worksheet in 2262" xfId="43" xr:uid="{00000000-0005-0000-0000-000008000000}"/>
    <cellStyle name="=C:\WINNT\SYSTEM32\COMMAND.COM" xfId="22" xr:uid="{00000000-0005-0000-0000-000009000000}"/>
    <cellStyle name="=C:\WINNT\SYSTEM32\COMMAND.COM 2" xfId="27" xr:uid="{00000000-0005-0000-0000-00000A000000}"/>
    <cellStyle name="Body" xfId="44" xr:uid="{00000000-0005-0000-0000-00000B000000}"/>
    <cellStyle name="Calc Currency (0)" xfId="45" xr:uid="{00000000-0005-0000-0000-00000C000000}"/>
    <cellStyle name="Calc Currency (2)" xfId="46" xr:uid="{00000000-0005-0000-0000-00000D000000}"/>
    <cellStyle name="Calc Percent (0)" xfId="47" xr:uid="{00000000-0005-0000-0000-00000E000000}"/>
    <cellStyle name="Calc Percent (1)" xfId="48" xr:uid="{00000000-0005-0000-0000-00000F000000}"/>
    <cellStyle name="Calc Percent (2)" xfId="49" xr:uid="{00000000-0005-0000-0000-000010000000}"/>
    <cellStyle name="Calc Units (0)" xfId="50" xr:uid="{00000000-0005-0000-0000-000011000000}"/>
    <cellStyle name="Calc Units (1)" xfId="51" xr:uid="{00000000-0005-0000-0000-000012000000}"/>
    <cellStyle name="Calc Units (2)" xfId="52" xr:uid="{00000000-0005-0000-0000-000013000000}"/>
    <cellStyle name="category" xfId="53" xr:uid="{00000000-0005-0000-0000-000014000000}"/>
    <cellStyle name="category 2" xfId="54" xr:uid="{00000000-0005-0000-0000-000015000000}"/>
    <cellStyle name="Comma" xfId="1" builtinId="3"/>
    <cellStyle name="Comma [00]" xfId="56" xr:uid="{00000000-0005-0000-0000-000017000000}"/>
    <cellStyle name="Comma 10" xfId="57" xr:uid="{00000000-0005-0000-0000-000018000000}"/>
    <cellStyle name="Comma 10 2" xfId="873" xr:uid="{00000000-0005-0000-0000-000019000000}"/>
    <cellStyle name="Comma 10 2 2" xfId="1661" xr:uid="{00000000-0005-0000-0000-00001A000000}"/>
    <cellStyle name="Comma 10 2 2 2" xfId="3905" xr:uid="{00000000-0005-0000-0000-00001B000000}"/>
    <cellStyle name="Comma 10 2 3" xfId="2385" xr:uid="{00000000-0005-0000-0000-00001C000000}"/>
    <cellStyle name="Comma 10 2 3 2" xfId="4629" xr:uid="{00000000-0005-0000-0000-00001D000000}"/>
    <cellStyle name="Comma 10 2 4" xfId="3119" xr:uid="{00000000-0005-0000-0000-00001E000000}"/>
    <cellStyle name="Comma 10 3" xfId="1067" xr:uid="{00000000-0005-0000-0000-00001F000000}"/>
    <cellStyle name="Comma 10 3 2" xfId="1854" xr:uid="{00000000-0005-0000-0000-000020000000}"/>
    <cellStyle name="Comma 10 3 2 2" xfId="4098" xr:uid="{00000000-0005-0000-0000-000021000000}"/>
    <cellStyle name="Comma 10 3 3" xfId="2578" xr:uid="{00000000-0005-0000-0000-000022000000}"/>
    <cellStyle name="Comma 10 3 3 2" xfId="4822" xr:uid="{00000000-0005-0000-0000-000023000000}"/>
    <cellStyle name="Comma 10 3 4" xfId="3312" xr:uid="{00000000-0005-0000-0000-000024000000}"/>
    <cellStyle name="Comma 10 4" xfId="1080" xr:uid="{00000000-0005-0000-0000-000025000000}"/>
    <cellStyle name="Comma 10 4 2" xfId="1867" xr:uid="{00000000-0005-0000-0000-000026000000}"/>
    <cellStyle name="Comma 10 4 2 2" xfId="4111" xr:uid="{00000000-0005-0000-0000-000027000000}"/>
    <cellStyle name="Comma 10 4 3" xfId="2591" xr:uid="{00000000-0005-0000-0000-000028000000}"/>
    <cellStyle name="Comma 10 4 3 2" xfId="4835" xr:uid="{00000000-0005-0000-0000-000029000000}"/>
    <cellStyle name="Comma 10 4 4" xfId="3325" xr:uid="{00000000-0005-0000-0000-00002A000000}"/>
    <cellStyle name="Comma 10 5" xfId="1126" xr:uid="{00000000-0005-0000-0000-00002B000000}"/>
    <cellStyle name="Comma 10 5 2" xfId="1913" xr:uid="{00000000-0005-0000-0000-00002C000000}"/>
    <cellStyle name="Comma 10 5 2 2" xfId="4157" xr:uid="{00000000-0005-0000-0000-00002D000000}"/>
    <cellStyle name="Comma 10 5 3" xfId="2637" xr:uid="{00000000-0005-0000-0000-00002E000000}"/>
    <cellStyle name="Comma 10 5 3 2" xfId="4881" xr:uid="{00000000-0005-0000-0000-00002F000000}"/>
    <cellStyle name="Comma 10 5 4" xfId="3371" xr:uid="{00000000-0005-0000-0000-000030000000}"/>
    <cellStyle name="Comma 10 6" xfId="1341" xr:uid="{00000000-0005-0000-0000-000031000000}"/>
    <cellStyle name="Comma 10 6 2" xfId="3585" xr:uid="{00000000-0005-0000-0000-000032000000}"/>
    <cellStyle name="Comma 10 7" xfId="2127" xr:uid="{00000000-0005-0000-0000-000033000000}"/>
    <cellStyle name="Comma 10 7 2" xfId="4371" xr:uid="{00000000-0005-0000-0000-000034000000}"/>
    <cellStyle name="Comma 10 8" xfId="2851" xr:uid="{00000000-0005-0000-0000-000035000000}"/>
    <cellStyle name="Comma 11" xfId="58" xr:uid="{00000000-0005-0000-0000-000036000000}"/>
    <cellStyle name="Comma 12" xfId="12" xr:uid="{00000000-0005-0000-0000-000037000000}"/>
    <cellStyle name="Comma 12 2" xfId="59" xr:uid="{00000000-0005-0000-0000-000038000000}"/>
    <cellStyle name="Comma 12 2 2" xfId="874" xr:uid="{00000000-0005-0000-0000-000039000000}"/>
    <cellStyle name="Comma 12 2 2 2" xfId="1662" xr:uid="{00000000-0005-0000-0000-00003A000000}"/>
    <cellStyle name="Comma 12 2 2 2 2" xfId="3906" xr:uid="{00000000-0005-0000-0000-00003B000000}"/>
    <cellStyle name="Comma 12 2 2 3" xfId="2386" xr:uid="{00000000-0005-0000-0000-00003C000000}"/>
    <cellStyle name="Comma 12 2 2 3 2" xfId="4630" xr:uid="{00000000-0005-0000-0000-00003D000000}"/>
    <cellStyle name="Comma 12 2 2 4" xfId="3120" xr:uid="{00000000-0005-0000-0000-00003E000000}"/>
    <cellStyle name="Comma 12 2 3" xfId="1127" xr:uid="{00000000-0005-0000-0000-00003F000000}"/>
    <cellStyle name="Comma 12 2 3 2" xfId="1914" xr:uid="{00000000-0005-0000-0000-000040000000}"/>
    <cellStyle name="Comma 12 2 3 2 2" xfId="4158" xr:uid="{00000000-0005-0000-0000-000041000000}"/>
    <cellStyle name="Comma 12 2 3 3" xfId="2638" xr:uid="{00000000-0005-0000-0000-000042000000}"/>
    <cellStyle name="Comma 12 2 3 3 2" xfId="4882" xr:uid="{00000000-0005-0000-0000-000043000000}"/>
    <cellStyle name="Comma 12 2 3 4" xfId="3372" xr:uid="{00000000-0005-0000-0000-000044000000}"/>
    <cellStyle name="Comma 12 2 4" xfId="1342" xr:uid="{00000000-0005-0000-0000-000045000000}"/>
    <cellStyle name="Comma 12 2 4 2" xfId="3586" xr:uid="{00000000-0005-0000-0000-000046000000}"/>
    <cellStyle name="Comma 12 2 5" xfId="2128" xr:uid="{00000000-0005-0000-0000-000047000000}"/>
    <cellStyle name="Comma 12 2 5 2" xfId="4372" xr:uid="{00000000-0005-0000-0000-000048000000}"/>
    <cellStyle name="Comma 12 2 6" xfId="2852" xr:uid="{00000000-0005-0000-0000-000049000000}"/>
    <cellStyle name="Comma 12 3" xfId="859" xr:uid="{00000000-0005-0000-0000-00004A000000}"/>
    <cellStyle name="Comma 12 3 2" xfId="1647" xr:uid="{00000000-0005-0000-0000-00004B000000}"/>
    <cellStyle name="Comma 12 3 2 2" xfId="3891" xr:uid="{00000000-0005-0000-0000-00004C000000}"/>
    <cellStyle name="Comma 12 3 3" xfId="2371" xr:uid="{00000000-0005-0000-0000-00004D000000}"/>
    <cellStyle name="Comma 12 3 3 2" xfId="4615" xr:uid="{00000000-0005-0000-0000-00004E000000}"/>
    <cellStyle name="Comma 12 3 4" xfId="3105" xr:uid="{00000000-0005-0000-0000-00004F000000}"/>
    <cellStyle name="Comma 13" xfId="60" xr:uid="{00000000-0005-0000-0000-000050000000}"/>
    <cellStyle name="Comma 14" xfId="61" xr:uid="{00000000-0005-0000-0000-000051000000}"/>
    <cellStyle name="Comma 14 2" xfId="875" xr:uid="{00000000-0005-0000-0000-000052000000}"/>
    <cellStyle name="Comma 14 2 2" xfId="1663" xr:uid="{00000000-0005-0000-0000-000053000000}"/>
    <cellStyle name="Comma 14 2 2 2" xfId="3907" xr:uid="{00000000-0005-0000-0000-000054000000}"/>
    <cellStyle name="Comma 14 2 3" xfId="2387" xr:uid="{00000000-0005-0000-0000-000055000000}"/>
    <cellStyle name="Comma 14 2 3 2" xfId="4631" xr:uid="{00000000-0005-0000-0000-000056000000}"/>
    <cellStyle name="Comma 14 2 4" xfId="3121" xr:uid="{00000000-0005-0000-0000-000057000000}"/>
    <cellStyle name="Comma 14 3" xfId="1128" xr:uid="{00000000-0005-0000-0000-000058000000}"/>
    <cellStyle name="Comma 14 3 2" xfId="1915" xr:uid="{00000000-0005-0000-0000-000059000000}"/>
    <cellStyle name="Comma 14 3 2 2" xfId="4159" xr:uid="{00000000-0005-0000-0000-00005A000000}"/>
    <cellStyle name="Comma 14 3 3" xfId="2639" xr:uid="{00000000-0005-0000-0000-00005B000000}"/>
    <cellStyle name="Comma 14 3 3 2" xfId="4883" xr:uid="{00000000-0005-0000-0000-00005C000000}"/>
    <cellStyle name="Comma 14 3 4" xfId="3373" xr:uid="{00000000-0005-0000-0000-00005D000000}"/>
    <cellStyle name="Comma 14 4" xfId="1343" xr:uid="{00000000-0005-0000-0000-00005E000000}"/>
    <cellStyle name="Comma 14 4 2" xfId="3587" xr:uid="{00000000-0005-0000-0000-00005F000000}"/>
    <cellStyle name="Comma 14 5" xfId="2129" xr:uid="{00000000-0005-0000-0000-000060000000}"/>
    <cellStyle name="Comma 14 5 2" xfId="4373" xr:uid="{00000000-0005-0000-0000-000061000000}"/>
    <cellStyle name="Comma 14 6" xfId="2853" xr:uid="{00000000-0005-0000-0000-000062000000}"/>
    <cellStyle name="Comma 15" xfId="62" xr:uid="{00000000-0005-0000-0000-000063000000}"/>
    <cellStyle name="Comma 15 2" xfId="876" xr:uid="{00000000-0005-0000-0000-000064000000}"/>
    <cellStyle name="Comma 15 2 2" xfId="1664" xr:uid="{00000000-0005-0000-0000-000065000000}"/>
    <cellStyle name="Comma 15 2 2 2" xfId="3908" xr:uid="{00000000-0005-0000-0000-000066000000}"/>
    <cellStyle name="Comma 15 2 3" xfId="2388" xr:uid="{00000000-0005-0000-0000-000067000000}"/>
    <cellStyle name="Comma 15 2 3 2" xfId="4632" xr:uid="{00000000-0005-0000-0000-000068000000}"/>
    <cellStyle name="Comma 15 2 4" xfId="3122" xr:uid="{00000000-0005-0000-0000-000069000000}"/>
    <cellStyle name="Comma 15 3" xfId="1129" xr:uid="{00000000-0005-0000-0000-00006A000000}"/>
    <cellStyle name="Comma 15 3 2" xfId="1916" xr:uid="{00000000-0005-0000-0000-00006B000000}"/>
    <cellStyle name="Comma 15 3 2 2" xfId="4160" xr:uid="{00000000-0005-0000-0000-00006C000000}"/>
    <cellStyle name="Comma 15 3 3" xfId="2640" xr:uid="{00000000-0005-0000-0000-00006D000000}"/>
    <cellStyle name="Comma 15 3 3 2" xfId="4884" xr:uid="{00000000-0005-0000-0000-00006E000000}"/>
    <cellStyle name="Comma 15 3 4" xfId="3374" xr:uid="{00000000-0005-0000-0000-00006F000000}"/>
    <cellStyle name="Comma 15 4" xfId="1344" xr:uid="{00000000-0005-0000-0000-000070000000}"/>
    <cellStyle name="Comma 15 4 2" xfId="3588" xr:uid="{00000000-0005-0000-0000-000071000000}"/>
    <cellStyle name="Comma 15 5" xfId="2130" xr:uid="{00000000-0005-0000-0000-000072000000}"/>
    <cellStyle name="Comma 15 5 2" xfId="4374" xr:uid="{00000000-0005-0000-0000-000073000000}"/>
    <cellStyle name="Comma 15 6" xfId="2854" xr:uid="{00000000-0005-0000-0000-000074000000}"/>
    <cellStyle name="Comma 16" xfId="63" xr:uid="{00000000-0005-0000-0000-000075000000}"/>
    <cellStyle name="Comma 16 2" xfId="877" xr:uid="{00000000-0005-0000-0000-000076000000}"/>
    <cellStyle name="Comma 16 2 2" xfId="1665" xr:uid="{00000000-0005-0000-0000-000077000000}"/>
    <cellStyle name="Comma 16 2 2 2" xfId="3909" xr:uid="{00000000-0005-0000-0000-000078000000}"/>
    <cellStyle name="Comma 16 2 3" xfId="2389" xr:uid="{00000000-0005-0000-0000-000079000000}"/>
    <cellStyle name="Comma 16 2 3 2" xfId="4633" xr:uid="{00000000-0005-0000-0000-00007A000000}"/>
    <cellStyle name="Comma 16 2 4" xfId="3123" xr:uid="{00000000-0005-0000-0000-00007B000000}"/>
    <cellStyle name="Comma 16 3" xfId="1130" xr:uid="{00000000-0005-0000-0000-00007C000000}"/>
    <cellStyle name="Comma 16 3 2" xfId="1917" xr:uid="{00000000-0005-0000-0000-00007D000000}"/>
    <cellStyle name="Comma 16 3 2 2" xfId="4161" xr:uid="{00000000-0005-0000-0000-00007E000000}"/>
    <cellStyle name="Comma 16 3 3" xfId="2641" xr:uid="{00000000-0005-0000-0000-00007F000000}"/>
    <cellStyle name="Comma 16 3 3 2" xfId="4885" xr:uid="{00000000-0005-0000-0000-000080000000}"/>
    <cellStyle name="Comma 16 3 4" xfId="3375" xr:uid="{00000000-0005-0000-0000-000081000000}"/>
    <cellStyle name="Comma 16 4" xfId="1345" xr:uid="{00000000-0005-0000-0000-000082000000}"/>
    <cellStyle name="Comma 16 4 2" xfId="3589" xr:uid="{00000000-0005-0000-0000-000083000000}"/>
    <cellStyle name="Comma 16 5" xfId="2131" xr:uid="{00000000-0005-0000-0000-000084000000}"/>
    <cellStyle name="Comma 16 5 2" xfId="4375" xr:uid="{00000000-0005-0000-0000-000085000000}"/>
    <cellStyle name="Comma 16 6" xfId="2855" xr:uid="{00000000-0005-0000-0000-000086000000}"/>
    <cellStyle name="Comma 17" xfId="64" xr:uid="{00000000-0005-0000-0000-000087000000}"/>
    <cellStyle name="Comma 17 2" xfId="878" xr:uid="{00000000-0005-0000-0000-000088000000}"/>
    <cellStyle name="Comma 17 2 2" xfId="1666" xr:uid="{00000000-0005-0000-0000-000089000000}"/>
    <cellStyle name="Comma 17 2 2 2" xfId="3910" xr:uid="{00000000-0005-0000-0000-00008A000000}"/>
    <cellStyle name="Comma 17 2 3" xfId="2390" xr:uid="{00000000-0005-0000-0000-00008B000000}"/>
    <cellStyle name="Comma 17 2 3 2" xfId="4634" xr:uid="{00000000-0005-0000-0000-00008C000000}"/>
    <cellStyle name="Comma 17 2 4" xfId="3124" xr:uid="{00000000-0005-0000-0000-00008D000000}"/>
    <cellStyle name="Comma 17 3" xfId="1131" xr:uid="{00000000-0005-0000-0000-00008E000000}"/>
    <cellStyle name="Comma 17 3 2" xfId="1918" xr:uid="{00000000-0005-0000-0000-00008F000000}"/>
    <cellStyle name="Comma 17 3 2 2" xfId="4162" xr:uid="{00000000-0005-0000-0000-000090000000}"/>
    <cellStyle name="Comma 17 3 3" xfId="2642" xr:uid="{00000000-0005-0000-0000-000091000000}"/>
    <cellStyle name="Comma 17 3 3 2" xfId="4886" xr:uid="{00000000-0005-0000-0000-000092000000}"/>
    <cellStyle name="Comma 17 3 4" xfId="3376" xr:uid="{00000000-0005-0000-0000-000093000000}"/>
    <cellStyle name="Comma 17 4" xfId="1346" xr:uid="{00000000-0005-0000-0000-000094000000}"/>
    <cellStyle name="Comma 17 4 2" xfId="3590" xr:uid="{00000000-0005-0000-0000-000095000000}"/>
    <cellStyle name="Comma 17 5" xfId="2132" xr:uid="{00000000-0005-0000-0000-000096000000}"/>
    <cellStyle name="Comma 17 5 2" xfId="4376" xr:uid="{00000000-0005-0000-0000-000097000000}"/>
    <cellStyle name="Comma 17 6" xfId="2856" xr:uid="{00000000-0005-0000-0000-000098000000}"/>
    <cellStyle name="Comma 18" xfId="65" xr:uid="{00000000-0005-0000-0000-000099000000}"/>
    <cellStyle name="Comma 18 2" xfId="879" xr:uid="{00000000-0005-0000-0000-00009A000000}"/>
    <cellStyle name="Comma 18 2 2" xfId="1667" xr:uid="{00000000-0005-0000-0000-00009B000000}"/>
    <cellStyle name="Comma 18 2 2 2" xfId="3911" xr:uid="{00000000-0005-0000-0000-00009C000000}"/>
    <cellStyle name="Comma 18 2 3" xfId="2391" xr:uid="{00000000-0005-0000-0000-00009D000000}"/>
    <cellStyle name="Comma 18 2 3 2" xfId="4635" xr:uid="{00000000-0005-0000-0000-00009E000000}"/>
    <cellStyle name="Comma 18 2 4" xfId="3125" xr:uid="{00000000-0005-0000-0000-00009F000000}"/>
    <cellStyle name="Comma 18 3" xfId="1132" xr:uid="{00000000-0005-0000-0000-0000A0000000}"/>
    <cellStyle name="Comma 18 3 2" xfId="1919" xr:uid="{00000000-0005-0000-0000-0000A1000000}"/>
    <cellStyle name="Comma 18 3 2 2" xfId="4163" xr:uid="{00000000-0005-0000-0000-0000A2000000}"/>
    <cellStyle name="Comma 18 3 3" xfId="2643" xr:uid="{00000000-0005-0000-0000-0000A3000000}"/>
    <cellStyle name="Comma 18 3 3 2" xfId="4887" xr:uid="{00000000-0005-0000-0000-0000A4000000}"/>
    <cellStyle name="Comma 18 3 4" xfId="3377" xr:uid="{00000000-0005-0000-0000-0000A5000000}"/>
    <cellStyle name="Comma 18 4" xfId="1347" xr:uid="{00000000-0005-0000-0000-0000A6000000}"/>
    <cellStyle name="Comma 18 4 2" xfId="3591" xr:uid="{00000000-0005-0000-0000-0000A7000000}"/>
    <cellStyle name="Comma 18 5" xfId="2133" xr:uid="{00000000-0005-0000-0000-0000A8000000}"/>
    <cellStyle name="Comma 18 5 2" xfId="4377" xr:uid="{00000000-0005-0000-0000-0000A9000000}"/>
    <cellStyle name="Comma 18 6" xfId="2857" xr:uid="{00000000-0005-0000-0000-0000AA000000}"/>
    <cellStyle name="Comma 19" xfId="66" xr:uid="{00000000-0005-0000-0000-0000AB000000}"/>
    <cellStyle name="Comma 19 2" xfId="880" xr:uid="{00000000-0005-0000-0000-0000AC000000}"/>
    <cellStyle name="Comma 19 2 2" xfId="1668" xr:uid="{00000000-0005-0000-0000-0000AD000000}"/>
    <cellStyle name="Comma 19 2 2 2" xfId="3912" xr:uid="{00000000-0005-0000-0000-0000AE000000}"/>
    <cellStyle name="Comma 19 2 3" xfId="2392" xr:uid="{00000000-0005-0000-0000-0000AF000000}"/>
    <cellStyle name="Comma 19 2 3 2" xfId="4636" xr:uid="{00000000-0005-0000-0000-0000B0000000}"/>
    <cellStyle name="Comma 19 2 4" xfId="3126" xr:uid="{00000000-0005-0000-0000-0000B1000000}"/>
    <cellStyle name="Comma 19 3" xfId="1133" xr:uid="{00000000-0005-0000-0000-0000B2000000}"/>
    <cellStyle name="Comma 19 3 2" xfId="1920" xr:uid="{00000000-0005-0000-0000-0000B3000000}"/>
    <cellStyle name="Comma 19 3 2 2" xfId="4164" xr:uid="{00000000-0005-0000-0000-0000B4000000}"/>
    <cellStyle name="Comma 19 3 3" xfId="2644" xr:uid="{00000000-0005-0000-0000-0000B5000000}"/>
    <cellStyle name="Comma 19 3 3 2" xfId="4888" xr:uid="{00000000-0005-0000-0000-0000B6000000}"/>
    <cellStyle name="Comma 19 3 4" xfId="3378" xr:uid="{00000000-0005-0000-0000-0000B7000000}"/>
    <cellStyle name="Comma 19 4" xfId="1348" xr:uid="{00000000-0005-0000-0000-0000B8000000}"/>
    <cellStyle name="Comma 19 4 2" xfId="3592" xr:uid="{00000000-0005-0000-0000-0000B9000000}"/>
    <cellStyle name="Comma 19 5" xfId="2134" xr:uid="{00000000-0005-0000-0000-0000BA000000}"/>
    <cellStyle name="Comma 19 5 2" xfId="4378" xr:uid="{00000000-0005-0000-0000-0000BB000000}"/>
    <cellStyle name="Comma 19 6" xfId="2858" xr:uid="{00000000-0005-0000-0000-0000BC000000}"/>
    <cellStyle name="Comma 2" xfId="6" xr:uid="{00000000-0005-0000-0000-0000BD000000}"/>
    <cellStyle name="Comma 2 10" xfId="67" xr:uid="{00000000-0005-0000-0000-0000BE000000}"/>
    <cellStyle name="Comma 2 10 2" xfId="881" xr:uid="{00000000-0005-0000-0000-0000BF000000}"/>
    <cellStyle name="Comma 2 10 2 2" xfId="1669" xr:uid="{00000000-0005-0000-0000-0000C0000000}"/>
    <cellStyle name="Comma 2 10 2 2 2" xfId="3913" xr:uid="{00000000-0005-0000-0000-0000C1000000}"/>
    <cellStyle name="Comma 2 10 2 3" xfId="2393" xr:uid="{00000000-0005-0000-0000-0000C2000000}"/>
    <cellStyle name="Comma 2 10 2 3 2" xfId="4637" xr:uid="{00000000-0005-0000-0000-0000C3000000}"/>
    <cellStyle name="Comma 2 10 2 4" xfId="3127" xr:uid="{00000000-0005-0000-0000-0000C4000000}"/>
    <cellStyle name="Comma 2 10 3" xfId="1134" xr:uid="{00000000-0005-0000-0000-0000C5000000}"/>
    <cellStyle name="Comma 2 10 3 2" xfId="1921" xr:uid="{00000000-0005-0000-0000-0000C6000000}"/>
    <cellStyle name="Comma 2 10 3 2 2" xfId="4165" xr:uid="{00000000-0005-0000-0000-0000C7000000}"/>
    <cellStyle name="Comma 2 10 3 3" xfId="2645" xr:uid="{00000000-0005-0000-0000-0000C8000000}"/>
    <cellStyle name="Comma 2 10 3 3 2" xfId="4889" xr:uid="{00000000-0005-0000-0000-0000C9000000}"/>
    <cellStyle name="Comma 2 10 3 4" xfId="3379" xr:uid="{00000000-0005-0000-0000-0000CA000000}"/>
    <cellStyle name="Comma 2 10 4" xfId="1349" xr:uid="{00000000-0005-0000-0000-0000CB000000}"/>
    <cellStyle name="Comma 2 10 4 2" xfId="3593" xr:uid="{00000000-0005-0000-0000-0000CC000000}"/>
    <cellStyle name="Comma 2 10 5" xfId="2135" xr:uid="{00000000-0005-0000-0000-0000CD000000}"/>
    <cellStyle name="Comma 2 10 5 2" xfId="4379" xr:uid="{00000000-0005-0000-0000-0000CE000000}"/>
    <cellStyle name="Comma 2 10 6" xfId="2828" xr:uid="{00000000-0005-0000-0000-0000CF000000}"/>
    <cellStyle name="Comma 2 10 7" xfId="2859" xr:uid="{00000000-0005-0000-0000-0000D0000000}"/>
    <cellStyle name="Comma 2 11" xfId="68" xr:uid="{00000000-0005-0000-0000-0000D1000000}"/>
    <cellStyle name="Comma 2 11 2" xfId="882" xr:uid="{00000000-0005-0000-0000-0000D2000000}"/>
    <cellStyle name="Comma 2 11 2 2" xfId="1670" xr:uid="{00000000-0005-0000-0000-0000D3000000}"/>
    <cellStyle name="Comma 2 11 2 2 2" xfId="3914" xr:uid="{00000000-0005-0000-0000-0000D4000000}"/>
    <cellStyle name="Comma 2 11 2 3" xfId="2394" xr:uid="{00000000-0005-0000-0000-0000D5000000}"/>
    <cellStyle name="Comma 2 11 2 3 2" xfId="4638" xr:uid="{00000000-0005-0000-0000-0000D6000000}"/>
    <cellStyle name="Comma 2 11 2 4" xfId="3128" xr:uid="{00000000-0005-0000-0000-0000D7000000}"/>
    <cellStyle name="Comma 2 11 3" xfId="1135" xr:uid="{00000000-0005-0000-0000-0000D8000000}"/>
    <cellStyle name="Comma 2 11 3 2" xfId="1922" xr:uid="{00000000-0005-0000-0000-0000D9000000}"/>
    <cellStyle name="Comma 2 11 3 2 2" xfId="4166" xr:uid="{00000000-0005-0000-0000-0000DA000000}"/>
    <cellStyle name="Comma 2 11 3 3" xfId="2646" xr:uid="{00000000-0005-0000-0000-0000DB000000}"/>
    <cellStyle name="Comma 2 11 3 3 2" xfId="4890" xr:uid="{00000000-0005-0000-0000-0000DC000000}"/>
    <cellStyle name="Comma 2 11 3 4" xfId="3380" xr:uid="{00000000-0005-0000-0000-0000DD000000}"/>
    <cellStyle name="Comma 2 11 4" xfId="1350" xr:uid="{00000000-0005-0000-0000-0000DE000000}"/>
    <cellStyle name="Comma 2 11 4 2" xfId="3594" xr:uid="{00000000-0005-0000-0000-0000DF000000}"/>
    <cellStyle name="Comma 2 11 5" xfId="2136" xr:uid="{00000000-0005-0000-0000-0000E0000000}"/>
    <cellStyle name="Comma 2 11 5 2" xfId="4380" xr:uid="{00000000-0005-0000-0000-0000E1000000}"/>
    <cellStyle name="Comma 2 11 6" xfId="2860" xr:uid="{00000000-0005-0000-0000-0000E2000000}"/>
    <cellStyle name="Comma 2 12" xfId="69" xr:uid="{00000000-0005-0000-0000-0000E3000000}"/>
    <cellStyle name="Comma 2 12 2" xfId="883" xr:uid="{00000000-0005-0000-0000-0000E4000000}"/>
    <cellStyle name="Comma 2 12 2 2" xfId="1671" xr:uid="{00000000-0005-0000-0000-0000E5000000}"/>
    <cellStyle name="Comma 2 12 2 2 2" xfId="3915" xr:uid="{00000000-0005-0000-0000-0000E6000000}"/>
    <cellStyle name="Comma 2 12 2 3" xfId="2395" xr:uid="{00000000-0005-0000-0000-0000E7000000}"/>
    <cellStyle name="Comma 2 12 2 3 2" xfId="4639" xr:uid="{00000000-0005-0000-0000-0000E8000000}"/>
    <cellStyle name="Comma 2 12 2 4" xfId="3129" xr:uid="{00000000-0005-0000-0000-0000E9000000}"/>
    <cellStyle name="Comma 2 12 3" xfId="1136" xr:uid="{00000000-0005-0000-0000-0000EA000000}"/>
    <cellStyle name="Comma 2 12 3 2" xfId="1923" xr:uid="{00000000-0005-0000-0000-0000EB000000}"/>
    <cellStyle name="Comma 2 12 3 2 2" xfId="4167" xr:uid="{00000000-0005-0000-0000-0000EC000000}"/>
    <cellStyle name="Comma 2 12 3 3" xfId="2647" xr:uid="{00000000-0005-0000-0000-0000ED000000}"/>
    <cellStyle name="Comma 2 12 3 3 2" xfId="4891" xr:uid="{00000000-0005-0000-0000-0000EE000000}"/>
    <cellStyle name="Comma 2 12 3 4" xfId="3381" xr:uid="{00000000-0005-0000-0000-0000EF000000}"/>
    <cellStyle name="Comma 2 12 4" xfId="1351" xr:uid="{00000000-0005-0000-0000-0000F0000000}"/>
    <cellStyle name="Comma 2 12 4 2" xfId="3595" xr:uid="{00000000-0005-0000-0000-0000F1000000}"/>
    <cellStyle name="Comma 2 12 5" xfId="2137" xr:uid="{00000000-0005-0000-0000-0000F2000000}"/>
    <cellStyle name="Comma 2 12 5 2" xfId="4381" xr:uid="{00000000-0005-0000-0000-0000F3000000}"/>
    <cellStyle name="Comma 2 12 6" xfId="2861" xr:uid="{00000000-0005-0000-0000-0000F4000000}"/>
    <cellStyle name="Comma 2 13" xfId="70" xr:uid="{00000000-0005-0000-0000-0000F5000000}"/>
    <cellStyle name="Comma 2 13 2" xfId="884" xr:uid="{00000000-0005-0000-0000-0000F6000000}"/>
    <cellStyle name="Comma 2 13 2 2" xfId="1672" xr:uid="{00000000-0005-0000-0000-0000F7000000}"/>
    <cellStyle name="Comma 2 13 2 2 2" xfId="3916" xr:uid="{00000000-0005-0000-0000-0000F8000000}"/>
    <cellStyle name="Comma 2 13 2 3" xfId="2396" xr:uid="{00000000-0005-0000-0000-0000F9000000}"/>
    <cellStyle name="Comma 2 13 2 3 2" xfId="4640" xr:uid="{00000000-0005-0000-0000-0000FA000000}"/>
    <cellStyle name="Comma 2 13 2 4" xfId="3130" xr:uid="{00000000-0005-0000-0000-0000FB000000}"/>
    <cellStyle name="Comma 2 13 3" xfId="1137" xr:uid="{00000000-0005-0000-0000-0000FC000000}"/>
    <cellStyle name="Comma 2 13 3 2" xfId="1924" xr:uid="{00000000-0005-0000-0000-0000FD000000}"/>
    <cellStyle name="Comma 2 13 3 2 2" xfId="4168" xr:uid="{00000000-0005-0000-0000-0000FE000000}"/>
    <cellStyle name="Comma 2 13 3 3" xfId="2648" xr:uid="{00000000-0005-0000-0000-0000FF000000}"/>
    <cellStyle name="Comma 2 13 3 3 2" xfId="4892" xr:uid="{00000000-0005-0000-0000-000000010000}"/>
    <cellStyle name="Comma 2 13 3 4" xfId="3382" xr:uid="{00000000-0005-0000-0000-000001010000}"/>
    <cellStyle name="Comma 2 13 4" xfId="1352" xr:uid="{00000000-0005-0000-0000-000002010000}"/>
    <cellStyle name="Comma 2 13 4 2" xfId="3596" xr:uid="{00000000-0005-0000-0000-000003010000}"/>
    <cellStyle name="Comma 2 13 5" xfId="2138" xr:uid="{00000000-0005-0000-0000-000004010000}"/>
    <cellStyle name="Comma 2 13 5 2" xfId="4382" xr:uid="{00000000-0005-0000-0000-000005010000}"/>
    <cellStyle name="Comma 2 13 6" xfId="2862" xr:uid="{00000000-0005-0000-0000-000006010000}"/>
    <cellStyle name="Comma 2 14" xfId="71" xr:uid="{00000000-0005-0000-0000-000007010000}"/>
    <cellStyle name="Comma 2 14 2" xfId="885" xr:uid="{00000000-0005-0000-0000-000008010000}"/>
    <cellStyle name="Comma 2 14 2 2" xfId="1673" xr:uid="{00000000-0005-0000-0000-000009010000}"/>
    <cellStyle name="Comma 2 14 2 2 2" xfId="3917" xr:uid="{00000000-0005-0000-0000-00000A010000}"/>
    <cellStyle name="Comma 2 14 2 3" xfId="2397" xr:uid="{00000000-0005-0000-0000-00000B010000}"/>
    <cellStyle name="Comma 2 14 2 3 2" xfId="4641" xr:uid="{00000000-0005-0000-0000-00000C010000}"/>
    <cellStyle name="Comma 2 14 2 4" xfId="3131" xr:uid="{00000000-0005-0000-0000-00000D010000}"/>
    <cellStyle name="Comma 2 14 3" xfId="1138" xr:uid="{00000000-0005-0000-0000-00000E010000}"/>
    <cellStyle name="Comma 2 14 3 2" xfId="1925" xr:uid="{00000000-0005-0000-0000-00000F010000}"/>
    <cellStyle name="Comma 2 14 3 2 2" xfId="4169" xr:uid="{00000000-0005-0000-0000-000010010000}"/>
    <cellStyle name="Comma 2 14 3 3" xfId="2649" xr:uid="{00000000-0005-0000-0000-000011010000}"/>
    <cellStyle name="Comma 2 14 3 3 2" xfId="4893" xr:uid="{00000000-0005-0000-0000-000012010000}"/>
    <cellStyle name="Comma 2 14 3 4" xfId="3383" xr:uid="{00000000-0005-0000-0000-000013010000}"/>
    <cellStyle name="Comma 2 14 4" xfId="1353" xr:uid="{00000000-0005-0000-0000-000014010000}"/>
    <cellStyle name="Comma 2 14 4 2" xfId="3597" xr:uid="{00000000-0005-0000-0000-000015010000}"/>
    <cellStyle name="Comma 2 14 5" xfId="2139" xr:uid="{00000000-0005-0000-0000-000016010000}"/>
    <cellStyle name="Comma 2 14 5 2" xfId="4383" xr:uid="{00000000-0005-0000-0000-000017010000}"/>
    <cellStyle name="Comma 2 14 6" xfId="2863" xr:uid="{00000000-0005-0000-0000-000018010000}"/>
    <cellStyle name="Comma 2 15" xfId="72" xr:uid="{00000000-0005-0000-0000-000019010000}"/>
    <cellStyle name="Comma 2 15 2" xfId="886" xr:uid="{00000000-0005-0000-0000-00001A010000}"/>
    <cellStyle name="Comma 2 15 2 2" xfId="1674" xr:uid="{00000000-0005-0000-0000-00001B010000}"/>
    <cellStyle name="Comma 2 15 2 2 2" xfId="3918" xr:uid="{00000000-0005-0000-0000-00001C010000}"/>
    <cellStyle name="Comma 2 15 2 3" xfId="2398" xr:uid="{00000000-0005-0000-0000-00001D010000}"/>
    <cellStyle name="Comma 2 15 2 3 2" xfId="4642" xr:uid="{00000000-0005-0000-0000-00001E010000}"/>
    <cellStyle name="Comma 2 15 2 4" xfId="3132" xr:uid="{00000000-0005-0000-0000-00001F010000}"/>
    <cellStyle name="Comma 2 15 3" xfId="1139" xr:uid="{00000000-0005-0000-0000-000020010000}"/>
    <cellStyle name="Comma 2 15 3 2" xfId="1926" xr:uid="{00000000-0005-0000-0000-000021010000}"/>
    <cellStyle name="Comma 2 15 3 2 2" xfId="4170" xr:uid="{00000000-0005-0000-0000-000022010000}"/>
    <cellStyle name="Comma 2 15 3 3" xfId="2650" xr:uid="{00000000-0005-0000-0000-000023010000}"/>
    <cellStyle name="Comma 2 15 3 3 2" xfId="4894" xr:uid="{00000000-0005-0000-0000-000024010000}"/>
    <cellStyle name="Comma 2 15 3 4" xfId="3384" xr:uid="{00000000-0005-0000-0000-000025010000}"/>
    <cellStyle name="Comma 2 15 4" xfId="1354" xr:uid="{00000000-0005-0000-0000-000026010000}"/>
    <cellStyle name="Comma 2 15 4 2" xfId="3598" xr:uid="{00000000-0005-0000-0000-000027010000}"/>
    <cellStyle name="Comma 2 15 5" xfId="2140" xr:uid="{00000000-0005-0000-0000-000028010000}"/>
    <cellStyle name="Comma 2 15 5 2" xfId="4384" xr:uid="{00000000-0005-0000-0000-000029010000}"/>
    <cellStyle name="Comma 2 15 6" xfId="2864" xr:uid="{00000000-0005-0000-0000-00002A010000}"/>
    <cellStyle name="Comma 2 16" xfId="73" xr:uid="{00000000-0005-0000-0000-00002B010000}"/>
    <cellStyle name="Comma 2 16 2" xfId="887" xr:uid="{00000000-0005-0000-0000-00002C010000}"/>
    <cellStyle name="Comma 2 16 2 2" xfId="1675" xr:uid="{00000000-0005-0000-0000-00002D010000}"/>
    <cellStyle name="Comma 2 16 2 2 2" xfId="3919" xr:uid="{00000000-0005-0000-0000-00002E010000}"/>
    <cellStyle name="Comma 2 16 2 3" xfId="2399" xr:uid="{00000000-0005-0000-0000-00002F010000}"/>
    <cellStyle name="Comma 2 16 2 3 2" xfId="4643" xr:uid="{00000000-0005-0000-0000-000030010000}"/>
    <cellStyle name="Comma 2 16 2 4" xfId="3133" xr:uid="{00000000-0005-0000-0000-000031010000}"/>
    <cellStyle name="Comma 2 16 3" xfId="1140" xr:uid="{00000000-0005-0000-0000-000032010000}"/>
    <cellStyle name="Comma 2 16 3 2" xfId="1927" xr:uid="{00000000-0005-0000-0000-000033010000}"/>
    <cellStyle name="Comma 2 16 3 2 2" xfId="4171" xr:uid="{00000000-0005-0000-0000-000034010000}"/>
    <cellStyle name="Comma 2 16 3 3" xfId="2651" xr:uid="{00000000-0005-0000-0000-000035010000}"/>
    <cellStyle name="Comma 2 16 3 3 2" xfId="4895" xr:uid="{00000000-0005-0000-0000-000036010000}"/>
    <cellStyle name="Comma 2 16 3 4" xfId="3385" xr:uid="{00000000-0005-0000-0000-000037010000}"/>
    <cellStyle name="Comma 2 16 4" xfId="1355" xr:uid="{00000000-0005-0000-0000-000038010000}"/>
    <cellStyle name="Comma 2 16 4 2" xfId="3599" xr:uid="{00000000-0005-0000-0000-000039010000}"/>
    <cellStyle name="Comma 2 16 5" xfId="2141" xr:uid="{00000000-0005-0000-0000-00003A010000}"/>
    <cellStyle name="Comma 2 16 5 2" xfId="4385" xr:uid="{00000000-0005-0000-0000-00003B010000}"/>
    <cellStyle name="Comma 2 16 6" xfId="2865" xr:uid="{00000000-0005-0000-0000-00003C010000}"/>
    <cellStyle name="Comma 2 17" xfId="74" xr:uid="{00000000-0005-0000-0000-00003D010000}"/>
    <cellStyle name="Comma 2 17 2" xfId="888" xr:uid="{00000000-0005-0000-0000-00003E010000}"/>
    <cellStyle name="Comma 2 17 2 2" xfId="1676" xr:uid="{00000000-0005-0000-0000-00003F010000}"/>
    <cellStyle name="Comma 2 17 2 2 2" xfId="3920" xr:uid="{00000000-0005-0000-0000-000040010000}"/>
    <cellStyle name="Comma 2 17 2 3" xfId="2400" xr:uid="{00000000-0005-0000-0000-000041010000}"/>
    <cellStyle name="Comma 2 17 2 3 2" xfId="4644" xr:uid="{00000000-0005-0000-0000-000042010000}"/>
    <cellStyle name="Comma 2 17 2 4" xfId="3134" xr:uid="{00000000-0005-0000-0000-000043010000}"/>
    <cellStyle name="Comma 2 17 3" xfId="1141" xr:uid="{00000000-0005-0000-0000-000044010000}"/>
    <cellStyle name="Comma 2 17 3 2" xfId="1928" xr:uid="{00000000-0005-0000-0000-000045010000}"/>
    <cellStyle name="Comma 2 17 3 2 2" xfId="4172" xr:uid="{00000000-0005-0000-0000-000046010000}"/>
    <cellStyle name="Comma 2 17 3 3" xfId="2652" xr:uid="{00000000-0005-0000-0000-000047010000}"/>
    <cellStyle name="Comma 2 17 3 3 2" xfId="4896" xr:uid="{00000000-0005-0000-0000-000048010000}"/>
    <cellStyle name="Comma 2 17 3 4" xfId="3386" xr:uid="{00000000-0005-0000-0000-000049010000}"/>
    <cellStyle name="Comma 2 17 4" xfId="1356" xr:uid="{00000000-0005-0000-0000-00004A010000}"/>
    <cellStyle name="Comma 2 17 4 2" xfId="3600" xr:uid="{00000000-0005-0000-0000-00004B010000}"/>
    <cellStyle name="Comma 2 17 5" xfId="2142" xr:uid="{00000000-0005-0000-0000-00004C010000}"/>
    <cellStyle name="Comma 2 17 5 2" xfId="4386" xr:uid="{00000000-0005-0000-0000-00004D010000}"/>
    <cellStyle name="Comma 2 17 6" xfId="2866" xr:uid="{00000000-0005-0000-0000-00004E010000}"/>
    <cellStyle name="Comma 2 18" xfId="75" xr:uid="{00000000-0005-0000-0000-00004F010000}"/>
    <cellStyle name="Comma 2 18 2" xfId="889" xr:uid="{00000000-0005-0000-0000-000050010000}"/>
    <cellStyle name="Comma 2 18 2 2" xfId="1677" xr:uid="{00000000-0005-0000-0000-000051010000}"/>
    <cellStyle name="Comma 2 18 2 2 2" xfId="3921" xr:uid="{00000000-0005-0000-0000-000052010000}"/>
    <cellStyle name="Comma 2 18 2 3" xfId="2401" xr:uid="{00000000-0005-0000-0000-000053010000}"/>
    <cellStyle name="Comma 2 18 2 3 2" xfId="4645" xr:uid="{00000000-0005-0000-0000-000054010000}"/>
    <cellStyle name="Comma 2 18 2 4" xfId="3135" xr:uid="{00000000-0005-0000-0000-000055010000}"/>
    <cellStyle name="Comma 2 18 3" xfId="1142" xr:uid="{00000000-0005-0000-0000-000056010000}"/>
    <cellStyle name="Comma 2 18 3 2" xfId="1929" xr:uid="{00000000-0005-0000-0000-000057010000}"/>
    <cellStyle name="Comma 2 18 3 2 2" xfId="4173" xr:uid="{00000000-0005-0000-0000-000058010000}"/>
    <cellStyle name="Comma 2 18 3 3" xfId="2653" xr:uid="{00000000-0005-0000-0000-000059010000}"/>
    <cellStyle name="Comma 2 18 3 3 2" xfId="4897" xr:uid="{00000000-0005-0000-0000-00005A010000}"/>
    <cellStyle name="Comma 2 18 3 4" xfId="3387" xr:uid="{00000000-0005-0000-0000-00005B010000}"/>
    <cellStyle name="Comma 2 18 4" xfId="1357" xr:uid="{00000000-0005-0000-0000-00005C010000}"/>
    <cellStyle name="Comma 2 18 4 2" xfId="3601" xr:uid="{00000000-0005-0000-0000-00005D010000}"/>
    <cellStyle name="Comma 2 18 5" xfId="2143" xr:uid="{00000000-0005-0000-0000-00005E010000}"/>
    <cellStyle name="Comma 2 18 5 2" xfId="4387" xr:uid="{00000000-0005-0000-0000-00005F010000}"/>
    <cellStyle name="Comma 2 18 6" xfId="2867" xr:uid="{00000000-0005-0000-0000-000060010000}"/>
    <cellStyle name="Comma 2 19" xfId="76" xr:uid="{00000000-0005-0000-0000-000061010000}"/>
    <cellStyle name="Comma 2 19 2" xfId="890" xr:uid="{00000000-0005-0000-0000-000062010000}"/>
    <cellStyle name="Comma 2 19 2 2" xfId="1678" xr:uid="{00000000-0005-0000-0000-000063010000}"/>
    <cellStyle name="Comma 2 19 2 2 2" xfId="3922" xr:uid="{00000000-0005-0000-0000-000064010000}"/>
    <cellStyle name="Comma 2 19 2 3" xfId="2402" xr:uid="{00000000-0005-0000-0000-000065010000}"/>
    <cellStyle name="Comma 2 19 2 3 2" xfId="4646" xr:uid="{00000000-0005-0000-0000-000066010000}"/>
    <cellStyle name="Comma 2 19 2 4" xfId="3136" xr:uid="{00000000-0005-0000-0000-000067010000}"/>
    <cellStyle name="Comma 2 19 3" xfId="1143" xr:uid="{00000000-0005-0000-0000-000068010000}"/>
    <cellStyle name="Comma 2 19 3 2" xfId="1930" xr:uid="{00000000-0005-0000-0000-000069010000}"/>
    <cellStyle name="Comma 2 19 3 2 2" xfId="4174" xr:uid="{00000000-0005-0000-0000-00006A010000}"/>
    <cellStyle name="Comma 2 19 3 3" xfId="2654" xr:uid="{00000000-0005-0000-0000-00006B010000}"/>
    <cellStyle name="Comma 2 19 3 3 2" xfId="4898" xr:uid="{00000000-0005-0000-0000-00006C010000}"/>
    <cellStyle name="Comma 2 19 3 4" xfId="3388" xr:uid="{00000000-0005-0000-0000-00006D010000}"/>
    <cellStyle name="Comma 2 19 4" xfId="1358" xr:uid="{00000000-0005-0000-0000-00006E010000}"/>
    <cellStyle name="Comma 2 19 4 2" xfId="3602" xr:uid="{00000000-0005-0000-0000-00006F010000}"/>
    <cellStyle name="Comma 2 19 5" xfId="2144" xr:uid="{00000000-0005-0000-0000-000070010000}"/>
    <cellStyle name="Comma 2 19 5 2" xfId="4388" xr:uid="{00000000-0005-0000-0000-000071010000}"/>
    <cellStyle name="Comma 2 19 6" xfId="2868" xr:uid="{00000000-0005-0000-0000-000072010000}"/>
    <cellStyle name="Comma 2 2" xfId="11" xr:uid="{00000000-0005-0000-0000-000073010000}"/>
    <cellStyle name="Comma 2 2 10" xfId="2837" xr:uid="{00000000-0005-0000-0000-000074010000}"/>
    <cellStyle name="Comma 2 2 11" xfId="5079" xr:uid="{00000000-0005-0000-0000-000075010000}"/>
    <cellStyle name="Comma 2 2 2" xfId="20" xr:uid="{00000000-0005-0000-0000-000076010000}"/>
    <cellStyle name="Comma 2 2 2 2" xfId="77" xr:uid="{00000000-0005-0000-0000-000077010000}"/>
    <cellStyle name="Comma 2 2 2 3" xfId="867" xr:uid="{00000000-0005-0000-0000-000078010000}"/>
    <cellStyle name="Comma 2 2 2 3 2" xfId="1655" xr:uid="{00000000-0005-0000-0000-000079010000}"/>
    <cellStyle name="Comma 2 2 2 3 2 2" xfId="3899" xr:uid="{00000000-0005-0000-0000-00007A010000}"/>
    <cellStyle name="Comma 2 2 2 3 3" xfId="2379" xr:uid="{00000000-0005-0000-0000-00007B010000}"/>
    <cellStyle name="Comma 2 2 2 3 3 2" xfId="4623" xr:uid="{00000000-0005-0000-0000-00007C010000}"/>
    <cellStyle name="Comma 2 2 2 3 4" xfId="3113" xr:uid="{00000000-0005-0000-0000-00007D010000}"/>
    <cellStyle name="Comma 2 2 2 4" xfId="1097" xr:uid="{00000000-0005-0000-0000-00007E010000}"/>
    <cellStyle name="Comma 2 2 2 4 2" xfId="1884" xr:uid="{00000000-0005-0000-0000-00007F010000}"/>
    <cellStyle name="Comma 2 2 2 4 2 2" xfId="4128" xr:uid="{00000000-0005-0000-0000-000080010000}"/>
    <cellStyle name="Comma 2 2 2 4 3" xfId="2608" xr:uid="{00000000-0005-0000-0000-000081010000}"/>
    <cellStyle name="Comma 2 2 2 4 3 2" xfId="4852" xr:uid="{00000000-0005-0000-0000-000082010000}"/>
    <cellStyle name="Comma 2 2 2 4 4" xfId="3342" xr:uid="{00000000-0005-0000-0000-000083010000}"/>
    <cellStyle name="Comma 2 2 2 5" xfId="1119" xr:uid="{00000000-0005-0000-0000-000084010000}"/>
    <cellStyle name="Comma 2 2 2 5 2" xfId="1906" xr:uid="{00000000-0005-0000-0000-000085010000}"/>
    <cellStyle name="Comma 2 2 2 5 2 2" xfId="4150" xr:uid="{00000000-0005-0000-0000-000086010000}"/>
    <cellStyle name="Comma 2 2 2 5 3" xfId="2630" xr:uid="{00000000-0005-0000-0000-000087010000}"/>
    <cellStyle name="Comma 2 2 2 5 3 2" xfId="4874" xr:uid="{00000000-0005-0000-0000-000088010000}"/>
    <cellStyle name="Comma 2 2 2 5 4" xfId="3364" xr:uid="{00000000-0005-0000-0000-000089010000}"/>
    <cellStyle name="Comma 2 2 2 6" xfId="1335" xr:uid="{00000000-0005-0000-0000-00008A010000}"/>
    <cellStyle name="Comma 2 2 2 6 2" xfId="3579" xr:uid="{00000000-0005-0000-0000-00008B010000}"/>
    <cellStyle name="Comma 2 2 2 7" xfId="2121" xr:uid="{00000000-0005-0000-0000-00008C010000}"/>
    <cellStyle name="Comma 2 2 2 7 2" xfId="4365" xr:uid="{00000000-0005-0000-0000-00008D010000}"/>
    <cellStyle name="Comma 2 2 2 8" xfId="2845" xr:uid="{00000000-0005-0000-0000-00008E010000}"/>
    <cellStyle name="Comma 2 2 2 9" xfId="5087" xr:uid="{00000000-0005-0000-0000-00008F010000}"/>
    <cellStyle name="Comma 2 2 3" xfId="78" xr:uid="{00000000-0005-0000-0000-000090010000}"/>
    <cellStyle name="Comma 2 2 4" xfId="858" xr:uid="{00000000-0005-0000-0000-000091010000}"/>
    <cellStyle name="Comma 2 2 4 2" xfId="1646" xr:uid="{00000000-0005-0000-0000-000092010000}"/>
    <cellStyle name="Comma 2 2 4 2 2" xfId="3890" xr:uid="{00000000-0005-0000-0000-000093010000}"/>
    <cellStyle name="Comma 2 2 4 3" xfId="2370" xr:uid="{00000000-0005-0000-0000-000094010000}"/>
    <cellStyle name="Comma 2 2 4 3 2" xfId="4614" xr:uid="{00000000-0005-0000-0000-000095010000}"/>
    <cellStyle name="Comma 2 2 4 4" xfId="3104" xr:uid="{00000000-0005-0000-0000-000096010000}"/>
    <cellStyle name="Comma 2 2 5" xfId="1075" xr:uid="{00000000-0005-0000-0000-000097010000}"/>
    <cellStyle name="Comma 2 2 5 2" xfId="1862" xr:uid="{00000000-0005-0000-0000-000098010000}"/>
    <cellStyle name="Comma 2 2 5 2 2" xfId="4106" xr:uid="{00000000-0005-0000-0000-000099010000}"/>
    <cellStyle name="Comma 2 2 5 3" xfId="2586" xr:uid="{00000000-0005-0000-0000-00009A010000}"/>
    <cellStyle name="Comma 2 2 5 3 2" xfId="4830" xr:uid="{00000000-0005-0000-0000-00009B010000}"/>
    <cellStyle name="Comma 2 2 5 4" xfId="3320" xr:uid="{00000000-0005-0000-0000-00009C010000}"/>
    <cellStyle name="Comma 2 2 6" xfId="1089" xr:uid="{00000000-0005-0000-0000-00009D010000}"/>
    <cellStyle name="Comma 2 2 6 2" xfId="1876" xr:uid="{00000000-0005-0000-0000-00009E010000}"/>
    <cellStyle name="Comma 2 2 6 2 2" xfId="4120" xr:uid="{00000000-0005-0000-0000-00009F010000}"/>
    <cellStyle name="Comma 2 2 6 3" xfId="2600" xr:uid="{00000000-0005-0000-0000-0000A0010000}"/>
    <cellStyle name="Comma 2 2 6 3 2" xfId="4844" xr:uid="{00000000-0005-0000-0000-0000A1010000}"/>
    <cellStyle name="Comma 2 2 6 4" xfId="3334" xr:uid="{00000000-0005-0000-0000-0000A2010000}"/>
    <cellStyle name="Comma 2 2 7" xfId="1111" xr:uid="{00000000-0005-0000-0000-0000A3010000}"/>
    <cellStyle name="Comma 2 2 7 2" xfId="1898" xr:uid="{00000000-0005-0000-0000-0000A4010000}"/>
    <cellStyle name="Comma 2 2 7 2 2" xfId="4142" xr:uid="{00000000-0005-0000-0000-0000A5010000}"/>
    <cellStyle name="Comma 2 2 7 3" xfId="2622" xr:uid="{00000000-0005-0000-0000-0000A6010000}"/>
    <cellStyle name="Comma 2 2 7 3 2" xfId="4866" xr:uid="{00000000-0005-0000-0000-0000A7010000}"/>
    <cellStyle name="Comma 2 2 7 4" xfId="3356" xr:uid="{00000000-0005-0000-0000-0000A8010000}"/>
    <cellStyle name="Comma 2 2 8" xfId="1327" xr:uid="{00000000-0005-0000-0000-0000A9010000}"/>
    <cellStyle name="Comma 2 2 8 2" xfId="3571" xr:uid="{00000000-0005-0000-0000-0000AA010000}"/>
    <cellStyle name="Comma 2 2 9" xfId="2113" xr:uid="{00000000-0005-0000-0000-0000AB010000}"/>
    <cellStyle name="Comma 2 2 9 2" xfId="4357" xr:uid="{00000000-0005-0000-0000-0000AC010000}"/>
    <cellStyle name="Comma 2 20" xfId="79" xr:uid="{00000000-0005-0000-0000-0000AD010000}"/>
    <cellStyle name="Comma 2 20 2" xfId="891" xr:uid="{00000000-0005-0000-0000-0000AE010000}"/>
    <cellStyle name="Comma 2 20 2 2" xfId="1679" xr:uid="{00000000-0005-0000-0000-0000AF010000}"/>
    <cellStyle name="Comma 2 20 2 2 2" xfId="3923" xr:uid="{00000000-0005-0000-0000-0000B0010000}"/>
    <cellStyle name="Comma 2 20 2 3" xfId="2403" xr:uid="{00000000-0005-0000-0000-0000B1010000}"/>
    <cellStyle name="Comma 2 20 2 3 2" xfId="4647" xr:uid="{00000000-0005-0000-0000-0000B2010000}"/>
    <cellStyle name="Comma 2 20 2 4" xfId="3137" xr:uid="{00000000-0005-0000-0000-0000B3010000}"/>
    <cellStyle name="Comma 2 20 3" xfId="1144" xr:uid="{00000000-0005-0000-0000-0000B4010000}"/>
    <cellStyle name="Comma 2 20 3 2" xfId="1931" xr:uid="{00000000-0005-0000-0000-0000B5010000}"/>
    <cellStyle name="Comma 2 20 3 2 2" xfId="4175" xr:uid="{00000000-0005-0000-0000-0000B6010000}"/>
    <cellStyle name="Comma 2 20 3 3" xfId="2655" xr:uid="{00000000-0005-0000-0000-0000B7010000}"/>
    <cellStyle name="Comma 2 20 3 3 2" xfId="4899" xr:uid="{00000000-0005-0000-0000-0000B8010000}"/>
    <cellStyle name="Comma 2 20 3 4" xfId="3389" xr:uid="{00000000-0005-0000-0000-0000B9010000}"/>
    <cellStyle name="Comma 2 20 4" xfId="1359" xr:uid="{00000000-0005-0000-0000-0000BA010000}"/>
    <cellStyle name="Comma 2 20 4 2" xfId="3603" xr:uid="{00000000-0005-0000-0000-0000BB010000}"/>
    <cellStyle name="Comma 2 20 5" xfId="2145" xr:uid="{00000000-0005-0000-0000-0000BC010000}"/>
    <cellStyle name="Comma 2 20 5 2" xfId="4389" xr:uid="{00000000-0005-0000-0000-0000BD010000}"/>
    <cellStyle name="Comma 2 20 6" xfId="2869" xr:uid="{00000000-0005-0000-0000-0000BE010000}"/>
    <cellStyle name="Comma 2 21" xfId="80" xr:uid="{00000000-0005-0000-0000-0000BF010000}"/>
    <cellStyle name="Comma 2 21 2" xfId="892" xr:uid="{00000000-0005-0000-0000-0000C0010000}"/>
    <cellStyle name="Comma 2 21 2 2" xfId="1680" xr:uid="{00000000-0005-0000-0000-0000C1010000}"/>
    <cellStyle name="Comma 2 21 2 2 2" xfId="3924" xr:uid="{00000000-0005-0000-0000-0000C2010000}"/>
    <cellStyle name="Comma 2 21 2 3" xfId="2404" xr:uid="{00000000-0005-0000-0000-0000C3010000}"/>
    <cellStyle name="Comma 2 21 2 3 2" xfId="4648" xr:uid="{00000000-0005-0000-0000-0000C4010000}"/>
    <cellStyle name="Comma 2 21 2 4" xfId="3138" xr:uid="{00000000-0005-0000-0000-0000C5010000}"/>
    <cellStyle name="Comma 2 21 3" xfId="1145" xr:uid="{00000000-0005-0000-0000-0000C6010000}"/>
    <cellStyle name="Comma 2 21 3 2" xfId="1932" xr:uid="{00000000-0005-0000-0000-0000C7010000}"/>
    <cellStyle name="Comma 2 21 3 2 2" xfId="4176" xr:uid="{00000000-0005-0000-0000-0000C8010000}"/>
    <cellStyle name="Comma 2 21 3 3" xfId="2656" xr:uid="{00000000-0005-0000-0000-0000C9010000}"/>
    <cellStyle name="Comma 2 21 3 3 2" xfId="4900" xr:uid="{00000000-0005-0000-0000-0000CA010000}"/>
    <cellStyle name="Comma 2 21 3 4" xfId="3390" xr:uid="{00000000-0005-0000-0000-0000CB010000}"/>
    <cellStyle name="Comma 2 21 4" xfId="1360" xr:uid="{00000000-0005-0000-0000-0000CC010000}"/>
    <cellStyle name="Comma 2 21 4 2" xfId="3604" xr:uid="{00000000-0005-0000-0000-0000CD010000}"/>
    <cellStyle name="Comma 2 21 5" xfId="2146" xr:uid="{00000000-0005-0000-0000-0000CE010000}"/>
    <cellStyle name="Comma 2 21 5 2" xfId="4390" xr:uid="{00000000-0005-0000-0000-0000CF010000}"/>
    <cellStyle name="Comma 2 21 6" xfId="2870" xr:uid="{00000000-0005-0000-0000-0000D0010000}"/>
    <cellStyle name="Comma 2 22" xfId="81" xr:uid="{00000000-0005-0000-0000-0000D1010000}"/>
    <cellStyle name="Comma 2 22 2" xfId="893" xr:uid="{00000000-0005-0000-0000-0000D2010000}"/>
    <cellStyle name="Comma 2 22 2 2" xfId="1681" xr:uid="{00000000-0005-0000-0000-0000D3010000}"/>
    <cellStyle name="Comma 2 22 2 2 2" xfId="3925" xr:uid="{00000000-0005-0000-0000-0000D4010000}"/>
    <cellStyle name="Comma 2 22 2 3" xfId="2405" xr:uid="{00000000-0005-0000-0000-0000D5010000}"/>
    <cellStyle name="Comma 2 22 2 3 2" xfId="4649" xr:uid="{00000000-0005-0000-0000-0000D6010000}"/>
    <cellStyle name="Comma 2 22 2 4" xfId="3139" xr:uid="{00000000-0005-0000-0000-0000D7010000}"/>
    <cellStyle name="Comma 2 22 3" xfId="1146" xr:uid="{00000000-0005-0000-0000-0000D8010000}"/>
    <cellStyle name="Comma 2 22 3 2" xfId="1933" xr:uid="{00000000-0005-0000-0000-0000D9010000}"/>
    <cellStyle name="Comma 2 22 3 2 2" xfId="4177" xr:uid="{00000000-0005-0000-0000-0000DA010000}"/>
    <cellStyle name="Comma 2 22 3 3" xfId="2657" xr:uid="{00000000-0005-0000-0000-0000DB010000}"/>
    <cellStyle name="Comma 2 22 3 3 2" xfId="4901" xr:uid="{00000000-0005-0000-0000-0000DC010000}"/>
    <cellStyle name="Comma 2 22 3 4" xfId="3391" xr:uid="{00000000-0005-0000-0000-0000DD010000}"/>
    <cellStyle name="Comma 2 22 4" xfId="1361" xr:uid="{00000000-0005-0000-0000-0000DE010000}"/>
    <cellStyle name="Comma 2 22 4 2" xfId="3605" xr:uid="{00000000-0005-0000-0000-0000DF010000}"/>
    <cellStyle name="Comma 2 22 5" xfId="2147" xr:uid="{00000000-0005-0000-0000-0000E0010000}"/>
    <cellStyle name="Comma 2 22 5 2" xfId="4391" xr:uid="{00000000-0005-0000-0000-0000E1010000}"/>
    <cellStyle name="Comma 2 22 6" xfId="2871" xr:uid="{00000000-0005-0000-0000-0000E2010000}"/>
    <cellStyle name="Comma 2 23" xfId="82" xr:uid="{00000000-0005-0000-0000-0000E3010000}"/>
    <cellStyle name="Comma 2 23 2" xfId="894" xr:uid="{00000000-0005-0000-0000-0000E4010000}"/>
    <cellStyle name="Comma 2 23 2 2" xfId="1682" xr:uid="{00000000-0005-0000-0000-0000E5010000}"/>
    <cellStyle name="Comma 2 23 2 2 2" xfId="3926" xr:uid="{00000000-0005-0000-0000-0000E6010000}"/>
    <cellStyle name="Comma 2 23 2 3" xfId="2406" xr:uid="{00000000-0005-0000-0000-0000E7010000}"/>
    <cellStyle name="Comma 2 23 2 3 2" xfId="4650" xr:uid="{00000000-0005-0000-0000-0000E8010000}"/>
    <cellStyle name="Comma 2 23 2 4" xfId="3140" xr:uid="{00000000-0005-0000-0000-0000E9010000}"/>
    <cellStyle name="Comma 2 23 3" xfId="1147" xr:uid="{00000000-0005-0000-0000-0000EA010000}"/>
    <cellStyle name="Comma 2 23 3 2" xfId="1934" xr:uid="{00000000-0005-0000-0000-0000EB010000}"/>
    <cellStyle name="Comma 2 23 3 2 2" xfId="4178" xr:uid="{00000000-0005-0000-0000-0000EC010000}"/>
    <cellStyle name="Comma 2 23 3 3" xfId="2658" xr:uid="{00000000-0005-0000-0000-0000ED010000}"/>
    <cellStyle name="Comma 2 23 3 3 2" xfId="4902" xr:uid="{00000000-0005-0000-0000-0000EE010000}"/>
    <cellStyle name="Comma 2 23 3 4" xfId="3392" xr:uid="{00000000-0005-0000-0000-0000EF010000}"/>
    <cellStyle name="Comma 2 23 4" xfId="1362" xr:uid="{00000000-0005-0000-0000-0000F0010000}"/>
    <cellStyle name="Comma 2 23 4 2" xfId="3606" xr:uid="{00000000-0005-0000-0000-0000F1010000}"/>
    <cellStyle name="Comma 2 23 5" xfId="2148" xr:uid="{00000000-0005-0000-0000-0000F2010000}"/>
    <cellStyle name="Comma 2 23 5 2" xfId="4392" xr:uid="{00000000-0005-0000-0000-0000F3010000}"/>
    <cellStyle name="Comma 2 23 6" xfId="2872" xr:uid="{00000000-0005-0000-0000-0000F4010000}"/>
    <cellStyle name="Comma 2 24" xfId="83" xr:uid="{00000000-0005-0000-0000-0000F5010000}"/>
    <cellStyle name="Comma 2 24 2" xfId="895" xr:uid="{00000000-0005-0000-0000-0000F6010000}"/>
    <cellStyle name="Comma 2 24 2 2" xfId="1683" xr:uid="{00000000-0005-0000-0000-0000F7010000}"/>
    <cellStyle name="Comma 2 24 2 2 2" xfId="3927" xr:uid="{00000000-0005-0000-0000-0000F8010000}"/>
    <cellStyle name="Comma 2 24 2 3" xfId="2407" xr:uid="{00000000-0005-0000-0000-0000F9010000}"/>
    <cellStyle name="Comma 2 24 2 3 2" xfId="4651" xr:uid="{00000000-0005-0000-0000-0000FA010000}"/>
    <cellStyle name="Comma 2 24 2 4" xfId="3141" xr:uid="{00000000-0005-0000-0000-0000FB010000}"/>
    <cellStyle name="Comma 2 24 3" xfId="1148" xr:uid="{00000000-0005-0000-0000-0000FC010000}"/>
    <cellStyle name="Comma 2 24 3 2" xfId="1935" xr:uid="{00000000-0005-0000-0000-0000FD010000}"/>
    <cellStyle name="Comma 2 24 3 2 2" xfId="4179" xr:uid="{00000000-0005-0000-0000-0000FE010000}"/>
    <cellStyle name="Comma 2 24 3 3" xfId="2659" xr:uid="{00000000-0005-0000-0000-0000FF010000}"/>
    <cellStyle name="Comma 2 24 3 3 2" xfId="4903" xr:uid="{00000000-0005-0000-0000-000000020000}"/>
    <cellStyle name="Comma 2 24 3 4" xfId="3393" xr:uid="{00000000-0005-0000-0000-000001020000}"/>
    <cellStyle name="Comma 2 24 4" xfId="1363" xr:uid="{00000000-0005-0000-0000-000002020000}"/>
    <cellStyle name="Comma 2 24 4 2" xfId="3607" xr:uid="{00000000-0005-0000-0000-000003020000}"/>
    <cellStyle name="Comma 2 24 5" xfId="2149" xr:uid="{00000000-0005-0000-0000-000004020000}"/>
    <cellStyle name="Comma 2 24 5 2" xfId="4393" xr:uid="{00000000-0005-0000-0000-000005020000}"/>
    <cellStyle name="Comma 2 24 6" xfId="2873" xr:uid="{00000000-0005-0000-0000-000006020000}"/>
    <cellStyle name="Comma 2 25" xfId="84" xr:uid="{00000000-0005-0000-0000-000007020000}"/>
    <cellStyle name="Comma 2 25 2" xfId="896" xr:uid="{00000000-0005-0000-0000-000008020000}"/>
    <cellStyle name="Comma 2 25 2 2" xfId="1684" xr:uid="{00000000-0005-0000-0000-000009020000}"/>
    <cellStyle name="Comma 2 25 2 2 2" xfId="3928" xr:uid="{00000000-0005-0000-0000-00000A020000}"/>
    <cellStyle name="Comma 2 25 2 3" xfId="2408" xr:uid="{00000000-0005-0000-0000-00000B020000}"/>
    <cellStyle name="Comma 2 25 2 3 2" xfId="4652" xr:uid="{00000000-0005-0000-0000-00000C020000}"/>
    <cellStyle name="Comma 2 25 2 4" xfId="3142" xr:uid="{00000000-0005-0000-0000-00000D020000}"/>
    <cellStyle name="Comma 2 25 3" xfId="1149" xr:uid="{00000000-0005-0000-0000-00000E020000}"/>
    <cellStyle name="Comma 2 25 3 2" xfId="1936" xr:uid="{00000000-0005-0000-0000-00000F020000}"/>
    <cellStyle name="Comma 2 25 3 2 2" xfId="4180" xr:uid="{00000000-0005-0000-0000-000010020000}"/>
    <cellStyle name="Comma 2 25 3 3" xfId="2660" xr:uid="{00000000-0005-0000-0000-000011020000}"/>
    <cellStyle name="Comma 2 25 3 3 2" xfId="4904" xr:uid="{00000000-0005-0000-0000-000012020000}"/>
    <cellStyle name="Comma 2 25 3 4" xfId="3394" xr:uid="{00000000-0005-0000-0000-000013020000}"/>
    <cellStyle name="Comma 2 25 4" xfId="1364" xr:uid="{00000000-0005-0000-0000-000014020000}"/>
    <cellStyle name="Comma 2 25 4 2" xfId="3608" xr:uid="{00000000-0005-0000-0000-000015020000}"/>
    <cellStyle name="Comma 2 25 5" xfId="2150" xr:uid="{00000000-0005-0000-0000-000016020000}"/>
    <cellStyle name="Comma 2 25 5 2" xfId="4394" xr:uid="{00000000-0005-0000-0000-000017020000}"/>
    <cellStyle name="Comma 2 25 6" xfId="2874" xr:uid="{00000000-0005-0000-0000-000018020000}"/>
    <cellStyle name="Comma 2 26" xfId="85" xr:uid="{00000000-0005-0000-0000-000019020000}"/>
    <cellStyle name="Comma 2 26 2" xfId="897" xr:uid="{00000000-0005-0000-0000-00001A020000}"/>
    <cellStyle name="Comma 2 26 2 2" xfId="1685" xr:uid="{00000000-0005-0000-0000-00001B020000}"/>
    <cellStyle name="Comma 2 26 2 2 2" xfId="3929" xr:uid="{00000000-0005-0000-0000-00001C020000}"/>
    <cellStyle name="Comma 2 26 2 3" xfId="2409" xr:uid="{00000000-0005-0000-0000-00001D020000}"/>
    <cellStyle name="Comma 2 26 2 3 2" xfId="4653" xr:uid="{00000000-0005-0000-0000-00001E020000}"/>
    <cellStyle name="Comma 2 26 2 4" xfId="3143" xr:uid="{00000000-0005-0000-0000-00001F020000}"/>
    <cellStyle name="Comma 2 26 3" xfId="1150" xr:uid="{00000000-0005-0000-0000-000020020000}"/>
    <cellStyle name="Comma 2 26 3 2" xfId="1937" xr:uid="{00000000-0005-0000-0000-000021020000}"/>
    <cellStyle name="Comma 2 26 3 2 2" xfId="4181" xr:uid="{00000000-0005-0000-0000-000022020000}"/>
    <cellStyle name="Comma 2 26 3 3" xfId="2661" xr:uid="{00000000-0005-0000-0000-000023020000}"/>
    <cellStyle name="Comma 2 26 3 3 2" xfId="4905" xr:uid="{00000000-0005-0000-0000-000024020000}"/>
    <cellStyle name="Comma 2 26 3 4" xfId="3395" xr:uid="{00000000-0005-0000-0000-000025020000}"/>
    <cellStyle name="Comma 2 26 4" xfId="1365" xr:uid="{00000000-0005-0000-0000-000026020000}"/>
    <cellStyle name="Comma 2 26 4 2" xfId="3609" xr:uid="{00000000-0005-0000-0000-000027020000}"/>
    <cellStyle name="Comma 2 26 5" xfId="2151" xr:uid="{00000000-0005-0000-0000-000028020000}"/>
    <cellStyle name="Comma 2 26 5 2" xfId="4395" xr:uid="{00000000-0005-0000-0000-000029020000}"/>
    <cellStyle name="Comma 2 26 6" xfId="2875" xr:uid="{00000000-0005-0000-0000-00002A020000}"/>
    <cellStyle name="Comma 2 27" xfId="86" xr:uid="{00000000-0005-0000-0000-00002B020000}"/>
    <cellStyle name="Comma 2 27 2" xfId="898" xr:uid="{00000000-0005-0000-0000-00002C020000}"/>
    <cellStyle name="Comma 2 27 2 2" xfId="1686" xr:uid="{00000000-0005-0000-0000-00002D020000}"/>
    <cellStyle name="Comma 2 27 2 2 2" xfId="3930" xr:uid="{00000000-0005-0000-0000-00002E020000}"/>
    <cellStyle name="Comma 2 27 2 3" xfId="2410" xr:uid="{00000000-0005-0000-0000-00002F020000}"/>
    <cellStyle name="Comma 2 27 2 3 2" xfId="4654" xr:uid="{00000000-0005-0000-0000-000030020000}"/>
    <cellStyle name="Comma 2 27 2 4" xfId="3144" xr:uid="{00000000-0005-0000-0000-000031020000}"/>
    <cellStyle name="Comma 2 27 3" xfId="1151" xr:uid="{00000000-0005-0000-0000-000032020000}"/>
    <cellStyle name="Comma 2 27 3 2" xfId="1938" xr:uid="{00000000-0005-0000-0000-000033020000}"/>
    <cellStyle name="Comma 2 27 3 2 2" xfId="4182" xr:uid="{00000000-0005-0000-0000-000034020000}"/>
    <cellStyle name="Comma 2 27 3 3" xfId="2662" xr:uid="{00000000-0005-0000-0000-000035020000}"/>
    <cellStyle name="Comma 2 27 3 3 2" xfId="4906" xr:uid="{00000000-0005-0000-0000-000036020000}"/>
    <cellStyle name="Comma 2 27 3 4" xfId="3396" xr:uid="{00000000-0005-0000-0000-000037020000}"/>
    <cellStyle name="Comma 2 27 4" xfId="1366" xr:uid="{00000000-0005-0000-0000-000038020000}"/>
    <cellStyle name="Comma 2 27 4 2" xfId="3610" xr:uid="{00000000-0005-0000-0000-000039020000}"/>
    <cellStyle name="Comma 2 27 5" xfId="2152" xr:uid="{00000000-0005-0000-0000-00003A020000}"/>
    <cellStyle name="Comma 2 27 5 2" xfId="4396" xr:uid="{00000000-0005-0000-0000-00003B020000}"/>
    <cellStyle name="Comma 2 27 6" xfId="2876" xr:uid="{00000000-0005-0000-0000-00003C020000}"/>
    <cellStyle name="Comma 2 28" xfId="854" xr:uid="{00000000-0005-0000-0000-00003D020000}"/>
    <cellStyle name="Comma 2 28 2" xfId="1642" xr:uid="{00000000-0005-0000-0000-00003E020000}"/>
    <cellStyle name="Comma 2 28 2 2" xfId="3886" xr:uid="{00000000-0005-0000-0000-00003F020000}"/>
    <cellStyle name="Comma 2 28 3" xfId="2366" xr:uid="{00000000-0005-0000-0000-000040020000}"/>
    <cellStyle name="Comma 2 28 3 2" xfId="4610" xr:uid="{00000000-0005-0000-0000-000041020000}"/>
    <cellStyle name="Comma 2 28 4" xfId="3100" xr:uid="{00000000-0005-0000-0000-000042020000}"/>
    <cellStyle name="Comma 2 29" xfId="1071" xr:uid="{00000000-0005-0000-0000-000043020000}"/>
    <cellStyle name="Comma 2 29 2" xfId="1858" xr:uid="{00000000-0005-0000-0000-000044020000}"/>
    <cellStyle name="Comma 2 29 2 2" xfId="4102" xr:uid="{00000000-0005-0000-0000-000045020000}"/>
    <cellStyle name="Comma 2 29 3" xfId="2582" xr:uid="{00000000-0005-0000-0000-000046020000}"/>
    <cellStyle name="Comma 2 29 3 2" xfId="4826" xr:uid="{00000000-0005-0000-0000-000047020000}"/>
    <cellStyle name="Comma 2 29 4" xfId="3316" xr:uid="{00000000-0005-0000-0000-000048020000}"/>
    <cellStyle name="Comma 2 3" xfId="25" xr:uid="{00000000-0005-0000-0000-000049020000}"/>
    <cellStyle name="Comma 2 3 10" xfId="2124" xr:uid="{00000000-0005-0000-0000-00004A020000}"/>
    <cellStyle name="Comma 2 3 10 2" xfId="4368" xr:uid="{00000000-0005-0000-0000-00004B020000}"/>
    <cellStyle name="Comma 2 3 11" xfId="2848" xr:uid="{00000000-0005-0000-0000-00004C020000}"/>
    <cellStyle name="Comma 2 3 12" xfId="5090" xr:uid="{00000000-0005-0000-0000-00004D020000}"/>
    <cellStyle name="Comma 2 3 2" xfId="88" xr:uid="{00000000-0005-0000-0000-00004E020000}"/>
    <cellStyle name="Comma 2 3 2 2" xfId="900" xr:uid="{00000000-0005-0000-0000-00004F020000}"/>
    <cellStyle name="Comma 2 3 2 2 2" xfId="1688" xr:uid="{00000000-0005-0000-0000-000050020000}"/>
    <cellStyle name="Comma 2 3 2 2 2 2" xfId="3932" xr:uid="{00000000-0005-0000-0000-000051020000}"/>
    <cellStyle name="Comma 2 3 2 2 3" xfId="2412" xr:uid="{00000000-0005-0000-0000-000052020000}"/>
    <cellStyle name="Comma 2 3 2 2 3 2" xfId="4656" xr:uid="{00000000-0005-0000-0000-000053020000}"/>
    <cellStyle name="Comma 2 3 2 2 4" xfId="3146" xr:uid="{00000000-0005-0000-0000-000054020000}"/>
    <cellStyle name="Comma 2 3 2 3" xfId="1153" xr:uid="{00000000-0005-0000-0000-000055020000}"/>
    <cellStyle name="Comma 2 3 2 3 2" xfId="1940" xr:uid="{00000000-0005-0000-0000-000056020000}"/>
    <cellStyle name="Comma 2 3 2 3 2 2" xfId="4184" xr:uid="{00000000-0005-0000-0000-000057020000}"/>
    <cellStyle name="Comma 2 3 2 3 3" xfId="2664" xr:uid="{00000000-0005-0000-0000-000058020000}"/>
    <cellStyle name="Comma 2 3 2 3 3 2" xfId="4908" xr:uid="{00000000-0005-0000-0000-000059020000}"/>
    <cellStyle name="Comma 2 3 2 3 4" xfId="3398" xr:uid="{00000000-0005-0000-0000-00005A020000}"/>
    <cellStyle name="Comma 2 3 2 4" xfId="1368" xr:uid="{00000000-0005-0000-0000-00005B020000}"/>
    <cellStyle name="Comma 2 3 2 4 2" xfId="3612" xr:uid="{00000000-0005-0000-0000-00005C020000}"/>
    <cellStyle name="Comma 2 3 2 5" xfId="2154" xr:uid="{00000000-0005-0000-0000-00005D020000}"/>
    <cellStyle name="Comma 2 3 2 5 2" xfId="4398" xr:uid="{00000000-0005-0000-0000-00005E020000}"/>
    <cellStyle name="Comma 2 3 2 6" xfId="2878" xr:uid="{00000000-0005-0000-0000-00005F020000}"/>
    <cellStyle name="Comma 2 3 3" xfId="89" xr:uid="{00000000-0005-0000-0000-000060020000}"/>
    <cellStyle name="Comma 2 3 3 2" xfId="901" xr:uid="{00000000-0005-0000-0000-000061020000}"/>
    <cellStyle name="Comma 2 3 3 2 2" xfId="1689" xr:uid="{00000000-0005-0000-0000-000062020000}"/>
    <cellStyle name="Comma 2 3 3 2 2 2" xfId="3933" xr:uid="{00000000-0005-0000-0000-000063020000}"/>
    <cellStyle name="Comma 2 3 3 2 3" xfId="2413" xr:uid="{00000000-0005-0000-0000-000064020000}"/>
    <cellStyle name="Comma 2 3 3 2 3 2" xfId="4657" xr:uid="{00000000-0005-0000-0000-000065020000}"/>
    <cellStyle name="Comma 2 3 3 2 4" xfId="3147" xr:uid="{00000000-0005-0000-0000-000066020000}"/>
    <cellStyle name="Comma 2 3 3 3" xfId="1154" xr:uid="{00000000-0005-0000-0000-000067020000}"/>
    <cellStyle name="Comma 2 3 3 3 2" xfId="1941" xr:uid="{00000000-0005-0000-0000-000068020000}"/>
    <cellStyle name="Comma 2 3 3 3 2 2" xfId="4185" xr:uid="{00000000-0005-0000-0000-000069020000}"/>
    <cellStyle name="Comma 2 3 3 3 3" xfId="2665" xr:uid="{00000000-0005-0000-0000-00006A020000}"/>
    <cellStyle name="Comma 2 3 3 3 3 2" xfId="4909" xr:uid="{00000000-0005-0000-0000-00006B020000}"/>
    <cellStyle name="Comma 2 3 3 3 4" xfId="3399" xr:uid="{00000000-0005-0000-0000-00006C020000}"/>
    <cellStyle name="Comma 2 3 3 4" xfId="1369" xr:uid="{00000000-0005-0000-0000-00006D020000}"/>
    <cellStyle name="Comma 2 3 3 4 2" xfId="3613" xr:uid="{00000000-0005-0000-0000-00006E020000}"/>
    <cellStyle name="Comma 2 3 3 5" xfId="2155" xr:uid="{00000000-0005-0000-0000-00006F020000}"/>
    <cellStyle name="Comma 2 3 3 5 2" xfId="4399" xr:uid="{00000000-0005-0000-0000-000070020000}"/>
    <cellStyle name="Comma 2 3 3 6" xfId="2879" xr:uid="{00000000-0005-0000-0000-000071020000}"/>
    <cellStyle name="Comma 2 3 4" xfId="87" xr:uid="{00000000-0005-0000-0000-000072020000}"/>
    <cellStyle name="Comma 2 3 4 2" xfId="899" xr:uid="{00000000-0005-0000-0000-000073020000}"/>
    <cellStyle name="Comma 2 3 4 2 2" xfId="1687" xr:uid="{00000000-0005-0000-0000-000074020000}"/>
    <cellStyle name="Comma 2 3 4 2 2 2" xfId="3931" xr:uid="{00000000-0005-0000-0000-000075020000}"/>
    <cellStyle name="Comma 2 3 4 2 3" xfId="2411" xr:uid="{00000000-0005-0000-0000-000076020000}"/>
    <cellStyle name="Comma 2 3 4 2 3 2" xfId="4655" xr:uid="{00000000-0005-0000-0000-000077020000}"/>
    <cellStyle name="Comma 2 3 4 2 4" xfId="3145" xr:uid="{00000000-0005-0000-0000-000078020000}"/>
    <cellStyle name="Comma 2 3 4 3" xfId="1152" xr:uid="{00000000-0005-0000-0000-000079020000}"/>
    <cellStyle name="Comma 2 3 4 3 2" xfId="1939" xr:uid="{00000000-0005-0000-0000-00007A020000}"/>
    <cellStyle name="Comma 2 3 4 3 2 2" xfId="4183" xr:uid="{00000000-0005-0000-0000-00007B020000}"/>
    <cellStyle name="Comma 2 3 4 3 3" xfId="2663" xr:uid="{00000000-0005-0000-0000-00007C020000}"/>
    <cellStyle name="Comma 2 3 4 3 3 2" xfId="4907" xr:uid="{00000000-0005-0000-0000-00007D020000}"/>
    <cellStyle name="Comma 2 3 4 3 4" xfId="3397" xr:uid="{00000000-0005-0000-0000-00007E020000}"/>
    <cellStyle name="Comma 2 3 4 4" xfId="1367" xr:uid="{00000000-0005-0000-0000-00007F020000}"/>
    <cellStyle name="Comma 2 3 4 4 2" xfId="3611" xr:uid="{00000000-0005-0000-0000-000080020000}"/>
    <cellStyle name="Comma 2 3 4 5" xfId="2153" xr:uid="{00000000-0005-0000-0000-000081020000}"/>
    <cellStyle name="Comma 2 3 4 5 2" xfId="4397" xr:uid="{00000000-0005-0000-0000-000082020000}"/>
    <cellStyle name="Comma 2 3 4 6" xfId="2877" xr:uid="{00000000-0005-0000-0000-000083020000}"/>
    <cellStyle name="Comma 2 3 5" xfId="870" xr:uid="{00000000-0005-0000-0000-000084020000}"/>
    <cellStyle name="Comma 2 3 5 2" xfId="1658" xr:uid="{00000000-0005-0000-0000-000085020000}"/>
    <cellStyle name="Comma 2 3 5 2 2" xfId="3902" xr:uid="{00000000-0005-0000-0000-000086020000}"/>
    <cellStyle name="Comma 2 3 5 3" xfId="2382" xr:uid="{00000000-0005-0000-0000-000087020000}"/>
    <cellStyle name="Comma 2 3 5 3 2" xfId="4626" xr:uid="{00000000-0005-0000-0000-000088020000}"/>
    <cellStyle name="Comma 2 3 5 4" xfId="3116" xr:uid="{00000000-0005-0000-0000-000089020000}"/>
    <cellStyle name="Comma 2 3 6" xfId="1078" xr:uid="{00000000-0005-0000-0000-00008A020000}"/>
    <cellStyle name="Comma 2 3 6 2" xfId="1865" xr:uid="{00000000-0005-0000-0000-00008B020000}"/>
    <cellStyle name="Comma 2 3 6 2 2" xfId="4109" xr:uid="{00000000-0005-0000-0000-00008C020000}"/>
    <cellStyle name="Comma 2 3 6 3" xfId="2589" xr:uid="{00000000-0005-0000-0000-00008D020000}"/>
    <cellStyle name="Comma 2 3 6 3 2" xfId="4833" xr:uid="{00000000-0005-0000-0000-00008E020000}"/>
    <cellStyle name="Comma 2 3 6 4" xfId="3323" xr:uid="{00000000-0005-0000-0000-00008F020000}"/>
    <cellStyle name="Comma 2 3 7" xfId="1100" xr:uid="{00000000-0005-0000-0000-000090020000}"/>
    <cellStyle name="Comma 2 3 7 2" xfId="1887" xr:uid="{00000000-0005-0000-0000-000091020000}"/>
    <cellStyle name="Comma 2 3 7 2 2" xfId="4131" xr:uid="{00000000-0005-0000-0000-000092020000}"/>
    <cellStyle name="Comma 2 3 7 3" xfId="2611" xr:uid="{00000000-0005-0000-0000-000093020000}"/>
    <cellStyle name="Comma 2 3 7 3 2" xfId="4855" xr:uid="{00000000-0005-0000-0000-000094020000}"/>
    <cellStyle name="Comma 2 3 7 4" xfId="3345" xr:uid="{00000000-0005-0000-0000-000095020000}"/>
    <cellStyle name="Comma 2 3 8" xfId="1122" xr:uid="{00000000-0005-0000-0000-000096020000}"/>
    <cellStyle name="Comma 2 3 8 2" xfId="1909" xr:uid="{00000000-0005-0000-0000-000097020000}"/>
    <cellStyle name="Comma 2 3 8 2 2" xfId="4153" xr:uid="{00000000-0005-0000-0000-000098020000}"/>
    <cellStyle name="Comma 2 3 8 3" xfId="2633" xr:uid="{00000000-0005-0000-0000-000099020000}"/>
    <cellStyle name="Comma 2 3 8 3 2" xfId="4877" xr:uid="{00000000-0005-0000-0000-00009A020000}"/>
    <cellStyle name="Comma 2 3 8 4" xfId="3367" xr:uid="{00000000-0005-0000-0000-00009B020000}"/>
    <cellStyle name="Comma 2 3 9" xfId="1338" xr:uid="{00000000-0005-0000-0000-00009C020000}"/>
    <cellStyle name="Comma 2 3 9 2" xfId="3582" xr:uid="{00000000-0005-0000-0000-00009D020000}"/>
    <cellStyle name="Comma 2 30" xfId="1085" xr:uid="{00000000-0005-0000-0000-00009E020000}"/>
    <cellStyle name="Comma 2 30 2" xfId="1872" xr:uid="{00000000-0005-0000-0000-00009F020000}"/>
    <cellStyle name="Comma 2 30 2 2" xfId="4116" xr:uid="{00000000-0005-0000-0000-0000A0020000}"/>
    <cellStyle name="Comma 2 30 3" xfId="2596" xr:uid="{00000000-0005-0000-0000-0000A1020000}"/>
    <cellStyle name="Comma 2 30 3 2" xfId="4840" xr:uid="{00000000-0005-0000-0000-0000A2020000}"/>
    <cellStyle name="Comma 2 30 4" xfId="3330" xr:uid="{00000000-0005-0000-0000-0000A3020000}"/>
    <cellStyle name="Comma 2 31" xfId="1106" xr:uid="{00000000-0005-0000-0000-0000A4020000}"/>
    <cellStyle name="Comma 2 31 2" xfId="1893" xr:uid="{00000000-0005-0000-0000-0000A5020000}"/>
    <cellStyle name="Comma 2 31 2 2" xfId="4137" xr:uid="{00000000-0005-0000-0000-0000A6020000}"/>
    <cellStyle name="Comma 2 31 3" xfId="2617" xr:uid="{00000000-0005-0000-0000-0000A7020000}"/>
    <cellStyle name="Comma 2 31 3 2" xfId="4861" xr:uid="{00000000-0005-0000-0000-0000A8020000}"/>
    <cellStyle name="Comma 2 31 4" xfId="3351" xr:uid="{00000000-0005-0000-0000-0000A9020000}"/>
    <cellStyle name="Comma 2 32" xfId="1323" xr:uid="{00000000-0005-0000-0000-0000AA020000}"/>
    <cellStyle name="Comma 2 32 2" xfId="3567" xr:uid="{00000000-0005-0000-0000-0000AB020000}"/>
    <cellStyle name="Comma 2 33" xfId="2109" xr:uid="{00000000-0005-0000-0000-0000AC020000}"/>
    <cellStyle name="Comma 2 33 2" xfId="4353" xr:uid="{00000000-0005-0000-0000-0000AD020000}"/>
    <cellStyle name="Comma 2 34" xfId="2833" xr:uid="{00000000-0005-0000-0000-0000AE020000}"/>
    <cellStyle name="Comma 2 35" xfId="5075" xr:uid="{00000000-0005-0000-0000-0000AF020000}"/>
    <cellStyle name="Comma 2 36" xfId="5094" xr:uid="{00000000-0005-0000-0000-0000B0020000}"/>
    <cellStyle name="Comma 2 37" xfId="5101" xr:uid="{00000000-0005-0000-0000-0000B1020000}"/>
    <cellStyle name="Comma 2 4" xfId="16" xr:uid="{00000000-0005-0000-0000-0000B2020000}"/>
    <cellStyle name="Comma 2 4 2" xfId="90" xr:uid="{00000000-0005-0000-0000-0000B3020000}"/>
    <cellStyle name="Comma 2 4 2 2" xfId="902" xr:uid="{00000000-0005-0000-0000-0000B4020000}"/>
    <cellStyle name="Comma 2 4 2 2 2" xfId="1690" xr:uid="{00000000-0005-0000-0000-0000B5020000}"/>
    <cellStyle name="Comma 2 4 2 2 2 2" xfId="3934" xr:uid="{00000000-0005-0000-0000-0000B6020000}"/>
    <cellStyle name="Comma 2 4 2 2 3" xfId="2414" xr:uid="{00000000-0005-0000-0000-0000B7020000}"/>
    <cellStyle name="Comma 2 4 2 2 3 2" xfId="4658" xr:uid="{00000000-0005-0000-0000-0000B8020000}"/>
    <cellStyle name="Comma 2 4 2 2 4" xfId="3148" xr:uid="{00000000-0005-0000-0000-0000B9020000}"/>
    <cellStyle name="Comma 2 4 2 3" xfId="1155" xr:uid="{00000000-0005-0000-0000-0000BA020000}"/>
    <cellStyle name="Comma 2 4 2 3 2" xfId="1942" xr:uid="{00000000-0005-0000-0000-0000BB020000}"/>
    <cellStyle name="Comma 2 4 2 3 2 2" xfId="4186" xr:uid="{00000000-0005-0000-0000-0000BC020000}"/>
    <cellStyle name="Comma 2 4 2 3 3" xfId="2666" xr:uid="{00000000-0005-0000-0000-0000BD020000}"/>
    <cellStyle name="Comma 2 4 2 3 3 2" xfId="4910" xr:uid="{00000000-0005-0000-0000-0000BE020000}"/>
    <cellStyle name="Comma 2 4 2 3 4" xfId="3400" xr:uid="{00000000-0005-0000-0000-0000BF020000}"/>
    <cellStyle name="Comma 2 4 2 4" xfId="1370" xr:uid="{00000000-0005-0000-0000-0000C0020000}"/>
    <cellStyle name="Comma 2 4 2 4 2" xfId="3614" xr:uid="{00000000-0005-0000-0000-0000C1020000}"/>
    <cellStyle name="Comma 2 4 2 5" xfId="2156" xr:uid="{00000000-0005-0000-0000-0000C2020000}"/>
    <cellStyle name="Comma 2 4 2 5 2" xfId="4400" xr:uid="{00000000-0005-0000-0000-0000C3020000}"/>
    <cellStyle name="Comma 2 4 2 6" xfId="2880" xr:uid="{00000000-0005-0000-0000-0000C4020000}"/>
    <cellStyle name="Comma 2 4 3" xfId="863" xr:uid="{00000000-0005-0000-0000-0000C5020000}"/>
    <cellStyle name="Comma 2 4 3 2" xfId="1651" xr:uid="{00000000-0005-0000-0000-0000C6020000}"/>
    <cellStyle name="Comma 2 4 3 2 2" xfId="3895" xr:uid="{00000000-0005-0000-0000-0000C7020000}"/>
    <cellStyle name="Comma 2 4 3 3" xfId="2375" xr:uid="{00000000-0005-0000-0000-0000C8020000}"/>
    <cellStyle name="Comma 2 4 3 3 2" xfId="4619" xr:uid="{00000000-0005-0000-0000-0000C9020000}"/>
    <cellStyle name="Comma 2 4 3 4" xfId="3109" xr:uid="{00000000-0005-0000-0000-0000CA020000}"/>
    <cellStyle name="Comma 2 4 4" xfId="1093" xr:uid="{00000000-0005-0000-0000-0000CB020000}"/>
    <cellStyle name="Comma 2 4 4 2" xfId="1880" xr:uid="{00000000-0005-0000-0000-0000CC020000}"/>
    <cellStyle name="Comma 2 4 4 2 2" xfId="4124" xr:uid="{00000000-0005-0000-0000-0000CD020000}"/>
    <cellStyle name="Comma 2 4 4 3" xfId="2604" xr:uid="{00000000-0005-0000-0000-0000CE020000}"/>
    <cellStyle name="Comma 2 4 4 3 2" xfId="4848" xr:uid="{00000000-0005-0000-0000-0000CF020000}"/>
    <cellStyle name="Comma 2 4 4 4" xfId="3338" xr:uid="{00000000-0005-0000-0000-0000D0020000}"/>
    <cellStyle name="Comma 2 4 5" xfId="1115" xr:uid="{00000000-0005-0000-0000-0000D1020000}"/>
    <cellStyle name="Comma 2 4 5 2" xfId="1902" xr:uid="{00000000-0005-0000-0000-0000D2020000}"/>
    <cellStyle name="Comma 2 4 5 2 2" xfId="4146" xr:uid="{00000000-0005-0000-0000-0000D3020000}"/>
    <cellStyle name="Comma 2 4 5 3" xfId="2626" xr:uid="{00000000-0005-0000-0000-0000D4020000}"/>
    <cellStyle name="Comma 2 4 5 3 2" xfId="4870" xr:uid="{00000000-0005-0000-0000-0000D5020000}"/>
    <cellStyle name="Comma 2 4 5 4" xfId="3360" xr:uid="{00000000-0005-0000-0000-0000D6020000}"/>
    <cellStyle name="Comma 2 4 6" xfId="1331" xr:uid="{00000000-0005-0000-0000-0000D7020000}"/>
    <cellStyle name="Comma 2 4 6 2" xfId="3575" xr:uid="{00000000-0005-0000-0000-0000D8020000}"/>
    <cellStyle name="Comma 2 4 7" xfId="2117" xr:uid="{00000000-0005-0000-0000-0000D9020000}"/>
    <cellStyle name="Comma 2 4 7 2" xfId="4361" xr:uid="{00000000-0005-0000-0000-0000DA020000}"/>
    <cellStyle name="Comma 2 4 8" xfId="2841" xr:uid="{00000000-0005-0000-0000-0000DB020000}"/>
    <cellStyle name="Comma 2 4 9" xfId="5083" xr:uid="{00000000-0005-0000-0000-0000DC020000}"/>
    <cellStyle name="Comma 2 5" xfId="91" xr:uid="{00000000-0005-0000-0000-0000DD020000}"/>
    <cellStyle name="Comma 2 5 2" xfId="903" xr:uid="{00000000-0005-0000-0000-0000DE020000}"/>
    <cellStyle name="Comma 2 5 2 2" xfId="1691" xr:uid="{00000000-0005-0000-0000-0000DF020000}"/>
    <cellStyle name="Comma 2 5 2 2 2" xfId="3935" xr:uid="{00000000-0005-0000-0000-0000E0020000}"/>
    <cellStyle name="Comma 2 5 2 3" xfId="2415" xr:uid="{00000000-0005-0000-0000-0000E1020000}"/>
    <cellStyle name="Comma 2 5 2 3 2" xfId="4659" xr:uid="{00000000-0005-0000-0000-0000E2020000}"/>
    <cellStyle name="Comma 2 5 2 4" xfId="3149" xr:uid="{00000000-0005-0000-0000-0000E3020000}"/>
    <cellStyle name="Comma 2 5 3" xfId="1156" xr:uid="{00000000-0005-0000-0000-0000E4020000}"/>
    <cellStyle name="Comma 2 5 3 2" xfId="1943" xr:uid="{00000000-0005-0000-0000-0000E5020000}"/>
    <cellStyle name="Comma 2 5 3 2 2" xfId="4187" xr:uid="{00000000-0005-0000-0000-0000E6020000}"/>
    <cellStyle name="Comma 2 5 3 3" xfId="2667" xr:uid="{00000000-0005-0000-0000-0000E7020000}"/>
    <cellStyle name="Comma 2 5 3 3 2" xfId="4911" xr:uid="{00000000-0005-0000-0000-0000E8020000}"/>
    <cellStyle name="Comma 2 5 3 4" xfId="3401" xr:uid="{00000000-0005-0000-0000-0000E9020000}"/>
    <cellStyle name="Comma 2 5 4" xfId="1371" xr:uid="{00000000-0005-0000-0000-0000EA020000}"/>
    <cellStyle name="Comma 2 5 4 2" xfId="3615" xr:uid="{00000000-0005-0000-0000-0000EB020000}"/>
    <cellStyle name="Comma 2 5 5" xfId="2157" xr:uid="{00000000-0005-0000-0000-0000EC020000}"/>
    <cellStyle name="Comma 2 5 5 2" xfId="4401" xr:uid="{00000000-0005-0000-0000-0000ED020000}"/>
    <cellStyle name="Comma 2 5 6" xfId="2881" xr:uid="{00000000-0005-0000-0000-0000EE020000}"/>
    <cellStyle name="Comma 2 6" xfId="92" xr:uid="{00000000-0005-0000-0000-0000EF020000}"/>
    <cellStyle name="Comma 2 6 2" xfId="904" xr:uid="{00000000-0005-0000-0000-0000F0020000}"/>
    <cellStyle name="Comma 2 6 2 2" xfId="1692" xr:uid="{00000000-0005-0000-0000-0000F1020000}"/>
    <cellStyle name="Comma 2 6 2 2 2" xfId="3936" xr:uid="{00000000-0005-0000-0000-0000F2020000}"/>
    <cellStyle name="Comma 2 6 2 3" xfId="2416" xr:uid="{00000000-0005-0000-0000-0000F3020000}"/>
    <cellStyle name="Comma 2 6 2 3 2" xfId="4660" xr:uid="{00000000-0005-0000-0000-0000F4020000}"/>
    <cellStyle name="Comma 2 6 2 4" xfId="3150" xr:uid="{00000000-0005-0000-0000-0000F5020000}"/>
    <cellStyle name="Comma 2 6 3" xfId="1157" xr:uid="{00000000-0005-0000-0000-0000F6020000}"/>
    <cellStyle name="Comma 2 6 3 2" xfId="1944" xr:uid="{00000000-0005-0000-0000-0000F7020000}"/>
    <cellStyle name="Comma 2 6 3 2 2" xfId="4188" xr:uid="{00000000-0005-0000-0000-0000F8020000}"/>
    <cellStyle name="Comma 2 6 3 3" xfId="2668" xr:uid="{00000000-0005-0000-0000-0000F9020000}"/>
    <cellStyle name="Comma 2 6 3 3 2" xfId="4912" xr:uid="{00000000-0005-0000-0000-0000FA020000}"/>
    <cellStyle name="Comma 2 6 3 4" xfId="3402" xr:uid="{00000000-0005-0000-0000-0000FB020000}"/>
    <cellStyle name="Comma 2 6 4" xfId="1372" xr:uid="{00000000-0005-0000-0000-0000FC020000}"/>
    <cellStyle name="Comma 2 6 4 2" xfId="3616" xr:uid="{00000000-0005-0000-0000-0000FD020000}"/>
    <cellStyle name="Comma 2 6 5" xfId="2158" xr:uid="{00000000-0005-0000-0000-0000FE020000}"/>
    <cellStyle name="Comma 2 6 5 2" xfId="4402" xr:uid="{00000000-0005-0000-0000-0000FF020000}"/>
    <cellStyle name="Comma 2 6 6" xfId="2882" xr:uid="{00000000-0005-0000-0000-000000030000}"/>
    <cellStyle name="Comma 2 7" xfId="93" xr:uid="{00000000-0005-0000-0000-000001030000}"/>
    <cellStyle name="Comma 2 7 2" xfId="905" xr:uid="{00000000-0005-0000-0000-000002030000}"/>
    <cellStyle name="Comma 2 7 2 2" xfId="1693" xr:uid="{00000000-0005-0000-0000-000003030000}"/>
    <cellStyle name="Comma 2 7 2 2 2" xfId="3937" xr:uid="{00000000-0005-0000-0000-000004030000}"/>
    <cellStyle name="Comma 2 7 2 3" xfId="2417" xr:uid="{00000000-0005-0000-0000-000005030000}"/>
    <cellStyle name="Comma 2 7 2 3 2" xfId="4661" xr:uid="{00000000-0005-0000-0000-000006030000}"/>
    <cellStyle name="Comma 2 7 2 4" xfId="3151" xr:uid="{00000000-0005-0000-0000-000007030000}"/>
    <cellStyle name="Comma 2 7 3" xfId="1158" xr:uid="{00000000-0005-0000-0000-000008030000}"/>
    <cellStyle name="Comma 2 7 3 2" xfId="1945" xr:uid="{00000000-0005-0000-0000-000009030000}"/>
    <cellStyle name="Comma 2 7 3 2 2" xfId="4189" xr:uid="{00000000-0005-0000-0000-00000A030000}"/>
    <cellStyle name="Comma 2 7 3 3" xfId="2669" xr:uid="{00000000-0005-0000-0000-00000B030000}"/>
    <cellStyle name="Comma 2 7 3 3 2" xfId="4913" xr:uid="{00000000-0005-0000-0000-00000C030000}"/>
    <cellStyle name="Comma 2 7 3 4" xfId="3403" xr:uid="{00000000-0005-0000-0000-00000D030000}"/>
    <cellStyle name="Comma 2 7 4" xfId="1373" xr:uid="{00000000-0005-0000-0000-00000E030000}"/>
    <cellStyle name="Comma 2 7 4 2" xfId="3617" xr:uid="{00000000-0005-0000-0000-00000F030000}"/>
    <cellStyle name="Comma 2 7 5" xfId="2159" xr:uid="{00000000-0005-0000-0000-000010030000}"/>
    <cellStyle name="Comma 2 7 5 2" xfId="4403" xr:uid="{00000000-0005-0000-0000-000011030000}"/>
    <cellStyle name="Comma 2 7 6" xfId="2883" xr:uid="{00000000-0005-0000-0000-000012030000}"/>
    <cellStyle name="Comma 2 8" xfId="94" xr:uid="{00000000-0005-0000-0000-000013030000}"/>
    <cellStyle name="Comma 2 8 2" xfId="906" xr:uid="{00000000-0005-0000-0000-000014030000}"/>
    <cellStyle name="Comma 2 8 2 2" xfId="1694" xr:uid="{00000000-0005-0000-0000-000015030000}"/>
    <cellStyle name="Comma 2 8 2 2 2" xfId="3938" xr:uid="{00000000-0005-0000-0000-000016030000}"/>
    <cellStyle name="Comma 2 8 2 3" xfId="2418" xr:uid="{00000000-0005-0000-0000-000017030000}"/>
    <cellStyle name="Comma 2 8 2 3 2" xfId="4662" xr:uid="{00000000-0005-0000-0000-000018030000}"/>
    <cellStyle name="Comma 2 8 2 4" xfId="3152" xr:uid="{00000000-0005-0000-0000-000019030000}"/>
    <cellStyle name="Comma 2 8 3" xfId="1159" xr:uid="{00000000-0005-0000-0000-00001A030000}"/>
    <cellStyle name="Comma 2 8 3 2" xfId="1946" xr:uid="{00000000-0005-0000-0000-00001B030000}"/>
    <cellStyle name="Comma 2 8 3 2 2" xfId="4190" xr:uid="{00000000-0005-0000-0000-00001C030000}"/>
    <cellStyle name="Comma 2 8 3 3" xfId="2670" xr:uid="{00000000-0005-0000-0000-00001D030000}"/>
    <cellStyle name="Comma 2 8 3 3 2" xfId="4914" xr:uid="{00000000-0005-0000-0000-00001E030000}"/>
    <cellStyle name="Comma 2 8 3 4" xfId="3404" xr:uid="{00000000-0005-0000-0000-00001F030000}"/>
    <cellStyle name="Comma 2 8 4" xfId="1374" xr:uid="{00000000-0005-0000-0000-000020030000}"/>
    <cellStyle name="Comma 2 8 4 2" xfId="3618" xr:uid="{00000000-0005-0000-0000-000021030000}"/>
    <cellStyle name="Comma 2 8 5" xfId="2160" xr:uid="{00000000-0005-0000-0000-000022030000}"/>
    <cellStyle name="Comma 2 8 5 2" xfId="4404" xr:uid="{00000000-0005-0000-0000-000023030000}"/>
    <cellStyle name="Comma 2 8 6" xfId="2884" xr:uid="{00000000-0005-0000-0000-000024030000}"/>
    <cellStyle name="Comma 2 9" xfId="95" xr:uid="{00000000-0005-0000-0000-000025030000}"/>
    <cellStyle name="Comma 2 9 2" xfId="907" xr:uid="{00000000-0005-0000-0000-000026030000}"/>
    <cellStyle name="Comma 2 9 2 2" xfId="1695" xr:uid="{00000000-0005-0000-0000-000027030000}"/>
    <cellStyle name="Comma 2 9 2 2 2" xfId="3939" xr:uid="{00000000-0005-0000-0000-000028030000}"/>
    <cellStyle name="Comma 2 9 2 3" xfId="2419" xr:uid="{00000000-0005-0000-0000-000029030000}"/>
    <cellStyle name="Comma 2 9 2 3 2" xfId="4663" xr:uid="{00000000-0005-0000-0000-00002A030000}"/>
    <cellStyle name="Comma 2 9 2 4" xfId="3153" xr:uid="{00000000-0005-0000-0000-00002B030000}"/>
    <cellStyle name="Comma 2 9 3" xfId="1160" xr:uid="{00000000-0005-0000-0000-00002C030000}"/>
    <cellStyle name="Comma 2 9 3 2" xfId="1947" xr:uid="{00000000-0005-0000-0000-00002D030000}"/>
    <cellStyle name="Comma 2 9 3 2 2" xfId="4191" xr:uid="{00000000-0005-0000-0000-00002E030000}"/>
    <cellStyle name="Comma 2 9 3 3" xfId="2671" xr:uid="{00000000-0005-0000-0000-00002F030000}"/>
    <cellStyle name="Comma 2 9 3 3 2" xfId="4915" xr:uid="{00000000-0005-0000-0000-000030030000}"/>
    <cellStyle name="Comma 2 9 3 4" xfId="3405" xr:uid="{00000000-0005-0000-0000-000031030000}"/>
    <cellStyle name="Comma 2 9 4" xfId="1375" xr:uid="{00000000-0005-0000-0000-000032030000}"/>
    <cellStyle name="Comma 2 9 4 2" xfId="3619" xr:uid="{00000000-0005-0000-0000-000033030000}"/>
    <cellStyle name="Comma 2 9 5" xfId="2161" xr:uid="{00000000-0005-0000-0000-000034030000}"/>
    <cellStyle name="Comma 2 9 5 2" xfId="4405" xr:uid="{00000000-0005-0000-0000-000035030000}"/>
    <cellStyle name="Comma 2 9 6" xfId="2885" xr:uid="{00000000-0005-0000-0000-000036030000}"/>
    <cellStyle name="Comma 20" xfId="96" xr:uid="{00000000-0005-0000-0000-000037030000}"/>
    <cellStyle name="Comma 20 2" xfId="908" xr:uid="{00000000-0005-0000-0000-000038030000}"/>
    <cellStyle name="Comma 20 2 2" xfId="1696" xr:uid="{00000000-0005-0000-0000-000039030000}"/>
    <cellStyle name="Comma 20 2 2 2" xfId="3940" xr:uid="{00000000-0005-0000-0000-00003A030000}"/>
    <cellStyle name="Comma 20 2 3" xfId="2420" xr:uid="{00000000-0005-0000-0000-00003B030000}"/>
    <cellStyle name="Comma 20 2 3 2" xfId="4664" xr:uid="{00000000-0005-0000-0000-00003C030000}"/>
    <cellStyle name="Comma 20 2 4" xfId="3154" xr:uid="{00000000-0005-0000-0000-00003D030000}"/>
    <cellStyle name="Comma 20 3" xfId="1161" xr:uid="{00000000-0005-0000-0000-00003E030000}"/>
    <cellStyle name="Comma 20 3 2" xfId="1948" xr:uid="{00000000-0005-0000-0000-00003F030000}"/>
    <cellStyle name="Comma 20 3 2 2" xfId="4192" xr:uid="{00000000-0005-0000-0000-000040030000}"/>
    <cellStyle name="Comma 20 3 3" xfId="2672" xr:uid="{00000000-0005-0000-0000-000041030000}"/>
    <cellStyle name="Comma 20 3 3 2" xfId="4916" xr:uid="{00000000-0005-0000-0000-000042030000}"/>
    <cellStyle name="Comma 20 3 4" xfId="3406" xr:uid="{00000000-0005-0000-0000-000043030000}"/>
    <cellStyle name="Comma 20 4" xfId="1376" xr:uid="{00000000-0005-0000-0000-000044030000}"/>
    <cellStyle name="Comma 20 4 2" xfId="3620" xr:uid="{00000000-0005-0000-0000-000045030000}"/>
    <cellStyle name="Comma 20 5" xfId="2162" xr:uid="{00000000-0005-0000-0000-000046030000}"/>
    <cellStyle name="Comma 20 5 2" xfId="4406" xr:uid="{00000000-0005-0000-0000-000047030000}"/>
    <cellStyle name="Comma 20 6" xfId="2886" xr:uid="{00000000-0005-0000-0000-000048030000}"/>
    <cellStyle name="Comma 21" xfId="97" xr:uid="{00000000-0005-0000-0000-000049030000}"/>
    <cellStyle name="Comma 21 2" xfId="909" xr:uid="{00000000-0005-0000-0000-00004A030000}"/>
    <cellStyle name="Comma 21 2 2" xfId="1697" xr:uid="{00000000-0005-0000-0000-00004B030000}"/>
    <cellStyle name="Comma 21 2 2 2" xfId="3941" xr:uid="{00000000-0005-0000-0000-00004C030000}"/>
    <cellStyle name="Comma 21 2 3" xfId="2421" xr:uid="{00000000-0005-0000-0000-00004D030000}"/>
    <cellStyle name="Comma 21 2 3 2" xfId="4665" xr:uid="{00000000-0005-0000-0000-00004E030000}"/>
    <cellStyle name="Comma 21 2 4" xfId="3155" xr:uid="{00000000-0005-0000-0000-00004F030000}"/>
    <cellStyle name="Comma 21 3" xfId="1162" xr:uid="{00000000-0005-0000-0000-000050030000}"/>
    <cellStyle name="Comma 21 3 2" xfId="1949" xr:uid="{00000000-0005-0000-0000-000051030000}"/>
    <cellStyle name="Comma 21 3 2 2" xfId="4193" xr:uid="{00000000-0005-0000-0000-000052030000}"/>
    <cellStyle name="Comma 21 3 3" xfId="2673" xr:uid="{00000000-0005-0000-0000-000053030000}"/>
    <cellStyle name="Comma 21 3 3 2" xfId="4917" xr:uid="{00000000-0005-0000-0000-000054030000}"/>
    <cellStyle name="Comma 21 3 4" xfId="3407" xr:uid="{00000000-0005-0000-0000-000055030000}"/>
    <cellStyle name="Comma 21 4" xfId="1377" xr:uid="{00000000-0005-0000-0000-000056030000}"/>
    <cellStyle name="Comma 21 4 2" xfId="3621" xr:uid="{00000000-0005-0000-0000-000057030000}"/>
    <cellStyle name="Comma 21 5" xfId="2163" xr:uid="{00000000-0005-0000-0000-000058030000}"/>
    <cellStyle name="Comma 21 5 2" xfId="4407" xr:uid="{00000000-0005-0000-0000-000059030000}"/>
    <cellStyle name="Comma 21 6" xfId="2887" xr:uid="{00000000-0005-0000-0000-00005A030000}"/>
    <cellStyle name="Comma 22" xfId="722" xr:uid="{00000000-0005-0000-0000-00005B030000}"/>
    <cellStyle name="Comma 22 2" xfId="1037" xr:uid="{00000000-0005-0000-0000-00005C030000}"/>
    <cellStyle name="Comma 22 2 2" xfId="1825" xr:uid="{00000000-0005-0000-0000-00005D030000}"/>
    <cellStyle name="Comma 22 2 2 2" xfId="4069" xr:uid="{00000000-0005-0000-0000-00005E030000}"/>
    <cellStyle name="Comma 22 2 3" xfId="2549" xr:uid="{00000000-0005-0000-0000-00005F030000}"/>
    <cellStyle name="Comma 22 2 3 2" xfId="4793" xr:uid="{00000000-0005-0000-0000-000060030000}"/>
    <cellStyle name="Comma 22 2 4" xfId="3283" xr:uid="{00000000-0005-0000-0000-000061030000}"/>
    <cellStyle name="Comma 22 3" xfId="1290" xr:uid="{00000000-0005-0000-0000-000062030000}"/>
    <cellStyle name="Comma 22 3 2" xfId="2077" xr:uid="{00000000-0005-0000-0000-000063030000}"/>
    <cellStyle name="Comma 22 3 2 2" xfId="4321" xr:uid="{00000000-0005-0000-0000-000064030000}"/>
    <cellStyle name="Comma 22 3 3" xfId="2800" xr:uid="{00000000-0005-0000-0000-000065030000}"/>
    <cellStyle name="Comma 22 3 3 2" xfId="5044" xr:uid="{00000000-0005-0000-0000-000066030000}"/>
    <cellStyle name="Comma 22 3 4" xfId="3535" xr:uid="{00000000-0005-0000-0000-000067030000}"/>
    <cellStyle name="Comma 22 4" xfId="1557" xr:uid="{00000000-0005-0000-0000-000068030000}"/>
    <cellStyle name="Comma 22 4 2" xfId="3801" xr:uid="{00000000-0005-0000-0000-000069030000}"/>
    <cellStyle name="Comma 22 5" xfId="2335" xr:uid="{00000000-0005-0000-0000-00006A030000}"/>
    <cellStyle name="Comma 22 5 2" xfId="4579" xr:uid="{00000000-0005-0000-0000-00006B030000}"/>
    <cellStyle name="Comma 22 6" xfId="3015" xr:uid="{00000000-0005-0000-0000-00006C030000}"/>
    <cellStyle name="Comma 23" xfId="814" xr:uid="{00000000-0005-0000-0000-00006D030000}"/>
    <cellStyle name="Comma 23 2" xfId="1048" xr:uid="{00000000-0005-0000-0000-00006E030000}"/>
    <cellStyle name="Comma 23 2 2" xfId="1836" xr:uid="{00000000-0005-0000-0000-00006F030000}"/>
    <cellStyle name="Comma 23 2 2 2" xfId="4080" xr:uid="{00000000-0005-0000-0000-000070030000}"/>
    <cellStyle name="Comma 23 2 3" xfId="2560" xr:uid="{00000000-0005-0000-0000-000071030000}"/>
    <cellStyle name="Comma 23 2 3 2" xfId="4804" xr:uid="{00000000-0005-0000-0000-000072030000}"/>
    <cellStyle name="Comma 23 2 4" xfId="3294" xr:uid="{00000000-0005-0000-0000-000073030000}"/>
    <cellStyle name="Comma 23 3" xfId="1302" xr:uid="{00000000-0005-0000-0000-000074030000}"/>
    <cellStyle name="Comma 23 3 2" xfId="2089" xr:uid="{00000000-0005-0000-0000-000075030000}"/>
    <cellStyle name="Comma 23 3 2 2" xfId="4333" xr:uid="{00000000-0005-0000-0000-000076030000}"/>
    <cellStyle name="Comma 23 3 3" xfId="2811" xr:uid="{00000000-0005-0000-0000-000077030000}"/>
    <cellStyle name="Comma 23 3 3 2" xfId="5055" xr:uid="{00000000-0005-0000-0000-000078030000}"/>
    <cellStyle name="Comma 23 3 4" xfId="3547" xr:uid="{00000000-0005-0000-0000-000079030000}"/>
    <cellStyle name="Comma 23 4" xfId="1622" xr:uid="{00000000-0005-0000-0000-00007A030000}"/>
    <cellStyle name="Comma 23 4 2" xfId="3866" xr:uid="{00000000-0005-0000-0000-00007B030000}"/>
    <cellStyle name="Comma 23 5" xfId="2346" xr:uid="{00000000-0005-0000-0000-00007C030000}"/>
    <cellStyle name="Comma 23 5 2" xfId="4590" xr:uid="{00000000-0005-0000-0000-00007D030000}"/>
    <cellStyle name="Comma 23 6" xfId="3080" xr:uid="{00000000-0005-0000-0000-00007E030000}"/>
    <cellStyle name="Comma 24" xfId="98" xr:uid="{00000000-0005-0000-0000-00007F030000}"/>
    <cellStyle name="Comma 24 2" xfId="910" xr:uid="{00000000-0005-0000-0000-000080030000}"/>
    <cellStyle name="Comma 24 2 2" xfId="1698" xr:uid="{00000000-0005-0000-0000-000081030000}"/>
    <cellStyle name="Comma 24 2 2 2" xfId="3942" xr:uid="{00000000-0005-0000-0000-000082030000}"/>
    <cellStyle name="Comma 24 2 3" xfId="2422" xr:uid="{00000000-0005-0000-0000-000083030000}"/>
    <cellStyle name="Comma 24 2 3 2" xfId="4666" xr:uid="{00000000-0005-0000-0000-000084030000}"/>
    <cellStyle name="Comma 24 2 4" xfId="3156" xr:uid="{00000000-0005-0000-0000-000085030000}"/>
    <cellStyle name="Comma 24 3" xfId="1163" xr:uid="{00000000-0005-0000-0000-000086030000}"/>
    <cellStyle name="Comma 24 3 2" xfId="1950" xr:uid="{00000000-0005-0000-0000-000087030000}"/>
    <cellStyle name="Comma 24 3 2 2" xfId="4194" xr:uid="{00000000-0005-0000-0000-000088030000}"/>
    <cellStyle name="Comma 24 3 3" xfId="2674" xr:uid="{00000000-0005-0000-0000-000089030000}"/>
    <cellStyle name="Comma 24 3 3 2" xfId="4918" xr:uid="{00000000-0005-0000-0000-00008A030000}"/>
    <cellStyle name="Comma 24 3 4" xfId="3408" xr:uid="{00000000-0005-0000-0000-00008B030000}"/>
    <cellStyle name="Comma 24 4" xfId="1378" xr:uid="{00000000-0005-0000-0000-00008C030000}"/>
    <cellStyle name="Comma 24 4 2" xfId="3622" xr:uid="{00000000-0005-0000-0000-00008D030000}"/>
    <cellStyle name="Comma 24 5" xfId="2164" xr:uid="{00000000-0005-0000-0000-00008E030000}"/>
    <cellStyle name="Comma 24 5 2" xfId="4408" xr:uid="{00000000-0005-0000-0000-00008F030000}"/>
    <cellStyle name="Comma 24 6" xfId="2888" xr:uid="{00000000-0005-0000-0000-000090030000}"/>
    <cellStyle name="Comma 25" xfId="99" xr:uid="{00000000-0005-0000-0000-000091030000}"/>
    <cellStyle name="Comma 25 2" xfId="911" xr:uid="{00000000-0005-0000-0000-000092030000}"/>
    <cellStyle name="Comma 25 2 2" xfId="1699" xr:uid="{00000000-0005-0000-0000-000093030000}"/>
    <cellStyle name="Comma 25 2 2 2" xfId="3943" xr:uid="{00000000-0005-0000-0000-000094030000}"/>
    <cellStyle name="Comma 25 2 3" xfId="2423" xr:uid="{00000000-0005-0000-0000-000095030000}"/>
    <cellStyle name="Comma 25 2 3 2" xfId="4667" xr:uid="{00000000-0005-0000-0000-000096030000}"/>
    <cellStyle name="Comma 25 2 4" xfId="3157" xr:uid="{00000000-0005-0000-0000-000097030000}"/>
    <cellStyle name="Comma 25 3" xfId="1164" xr:uid="{00000000-0005-0000-0000-000098030000}"/>
    <cellStyle name="Comma 25 3 2" xfId="1951" xr:uid="{00000000-0005-0000-0000-000099030000}"/>
    <cellStyle name="Comma 25 3 2 2" xfId="4195" xr:uid="{00000000-0005-0000-0000-00009A030000}"/>
    <cellStyle name="Comma 25 3 3" xfId="2675" xr:uid="{00000000-0005-0000-0000-00009B030000}"/>
    <cellStyle name="Comma 25 3 3 2" xfId="4919" xr:uid="{00000000-0005-0000-0000-00009C030000}"/>
    <cellStyle name="Comma 25 3 4" xfId="3409" xr:uid="{00000000-0005-0000-0000-00009D030000}"/>
    <cellStyle name="Comma 25 4" xfId="1379" xr:uid="{00000000-0005-0000-0000-00009E030000}"/>
    <cellStyle name="Comma 25 4 2" xfId="3623" xr:uid="{00000000-0005-0000-0000-00009F030000}"/>
    <cellStyle name="Comma 25 5" xfId="2165" xr:uid="{00000000-0005-0000-0000-0000A0030000}"/>
    <cellStyle name="Comma 25 5 2" xfId="4409" xr:uid="{00000000-0005-0000-0000-0000A1030000}"/>
    <cellStyle name="Comma 25 6" xfId="2889" xr:uid="{00000000-0005-0000-0000-0000A2030000}"/>
    <cellStyle name="Comma 26" xfId="2" xr:uid="{00000000-0005-0000-0000-0000A3030000}"/>
    <cellStyle name="Comma 26 10" xfId="2107" xr:uid="{00000000-0005-0000-0000-0000A4030000}"/>
    <cellStyle name="Comma 26 10 2" xfId="4351" xr:uid="{00000000-0005-0000-0000-0000A5030000}"/>
    <cellStyle name="Comma 26 11" xfId="2831" xr:uid="{00000000-0005-0000-0000-0000A6030000}"/>
    <cellStyle name="Comma 26 12" xfId="5073" xr:uid="{00000000-0005-0000-0000-0000A7030000}"/>
    <cellStyle name="Comma 26 2" xfId="4" xr:uid="{00000000-0005-0000-0000-0000A8030000}"/>
    <cellStyle name="Comma 26 2 10" xfId="2832" xr:uid="{00000000-0005-0000-0000-0000A9030000}"/>
    <cellStyle name="Comma 26 2 11" xfId="5074" xr:uid="{00000000-0005-0000-0000-0000AA030000}"/>
    <cellStyle name="Comma 26 2 2" xfId="9" xr:uid="{00000000-0005-0000-0000-0000AB030000}"/>
    <cellStyle name="Comma 26 2 2 10" xfId="5078" xr:uid="{00000000-0005-0000-0000-0000AC030000}"/>
    <cellStyle name="Comma 26 2 2 2" xfId="19" xr:uid="{00000000-0005-0000-0000-0000AD030000}"/>
    <cellStyle name="Comma 26 2 2 2 2" xfId="866" xr:uid="{00000000-0005-0000-0000-0000AE030000}"/>
    <cellStyle name="Comma 26 2 2 2 2 2" xfId="1654" xr:uid="{00000000-0005-0000-0000-0000AF030000}"/>
    <cellStyle name="Comma 26 2 2 2 2 2 2" xfId="3898" xr:uid="{00000000-0005-0000-0000-0000B0030000}"/>
    <cellStyle name="Comma 26 2 2 2 2 3" xfId="2378" xr:uid="{00000000-0005-0000-0000-0000B1030000}"/>
    <cellStyle name="Comma 26 2 2 2 2 3 2" xfId="4622" xr:uid="{00000000-0005-0000-0000-0000B2030000}"/>
    <cellStyle name="Comma 26 2 2 2 2 4" xfId="3112" xr:uid="{00000000-0005-0000-0000-0000B3030000}"/>
    <cellStyle name="Comma 26 2 2 2 3" xfId="1096" xr:uid="{00000000-0005-0000-0000-0000B4030000}"/>
    <cellStyle name="Comma 26 2 2 2 3 2" xfId="1883" xr:uid="{00000000-0005-0000-0000-0000B5030000}"/>
    <cellStyle name="Comma 26 2 2 2 3 2 2" xfId="4127" xr:uid="{00000000-0005-0000-0000-0000B6030000}"/>
    <cellStyle name="Comma 26 2 2 2 3 3" xfId="2607" xr:uid="{00000000-0005-0000-0000-0000B7030000}"/>
    <cellStyle name="Comma 26 2 2 2 3 3 2" xfId="4851" xr:uid="{00000000-0005-0000-0000-0000B8030000}"/>
    <cellStyle name="Comma 26 2 2 2 3 4" xfId="3341" xr:uid="{00000000-0005-0000-0000-0000B9030000}"/>
    <cellStyle name="Comma 26 2 2 2 4" xfId="1118" xr:uid="{00000000-0005-0000-0000-0000BA030000}"/>
    <cellStyle name="Comma 26 2 2 2 4 2" xfId="1905" xr:uid="{00000000-0005-0000-0000-0000BB030000}"/>
    <cellStyle name="Comma 26 2 2 2 4 2 2" xfId="4149" xr:uid="{00000000-0005-0000-0000-0000BC030000}"/>
    <cellStyle name="Comma 26 2 2 2 4 3" xfId="2629" xr:uid="{00000000-0005-0000-0000-0000BD030000}"/>
    <cellStyle name="Comma 26 2 2 2 4 3 2" xfId="4873" xr:uid="{00000000-0005-0000-0000-0000BE030000}"/>
    <cellStyle name="Comma 26 2 2 2 4 4" xfId="3363" xr:uid="{00000000-0005-0000-0000-0000BF030000}"/>
    <cellStyle name="Comma 26 2 2 2 5" xfId="1334" xr:uid="{00000000-0005-0000-0000-0000C0030000}"/>
    <cellStyle name="Comma 26 2 2 2 5 2" xfId="3578" xr:uid="{00000000-0005-0000-0000-0000C1030000}"/>
    <cellStyle name="Comma 26 2 2 2 6" xfId="2120" xr:uid="{00000000-0005-0000-0000-0000C2030000}"/>
    <cellStyle name="Comma 26 2 2 2 6 2" xfId="4364" xr:uid="{00000000-0005-0000-0000-0000C3030000}"/>
    <cellStyle name="Comma 26 2 2 2 7" xfId="2844" xr:uid="{00000000-0005-0000-0000-0000C4030000}"/>
    <cellStyle name="Comma 26 2 2 2 8" xfId="5086" xr:uid="{00000000-0005-0000-0000-0000C5030000}"/>
    <cellStyle name="Comma 26 2 2 3" xfId="857" xr:uid="{00000000-0005-0000-0000-0000C6030000}"/>
    <cellStyle name="Comma 26 2 2 3 2" xfId="1645" xr:uid="{00000000-0005-0000-0000-0000C7030000}"/>
    <cellStyle name="Comma 26 2 2 3 2 2" xfId="3889" xr:uid="{00000000-0005-0000-0000-0000C8030000}"/>
    <cellStyle name="Comma 26 2 2 3 3" xfId="2369" xr:uid="{00000000-0005-0000-0000-0000C9030000}"/>
    <cellStyle name="Comma 26 2 2 3 3 2" xfId="4613" xr:uid="{00000000-0005-0000-0000-0000CA030000}"/>
    <cellStyle name="Comma 26 2 2 3 4" xfId="3103" xr:uid="{00000000-0005-0000-0000-0000CB030000}"/>
    <cellStyle name="Comma 26 2 2 4" xfId="1074" xr:uid="{00000000-0005-0000-0000-0000CC030000}"/>
    <cellStyle name="Comma 26 2 2 4 2" xfId="1861" xr:uid="{00000000-0005-0000-0000-0000CD030000}"/>
    <cellStyle name="Comma 26 2 2 4 2 2" xfId="4105" xr:uid="{00000000-0005-0000-0000-0000CE030000}"/>
    <cellStyle name="Comma 26 2 2 4 3" xfId="2585" xr:uid="{00000000-0005-0000-0000-0000CF030000}"/>
    <cellStyle name="Comma 26 2 2 4 3 2" xfId="4829" xr:uid="{00000000-0005-0000-0000-0000D0030000}"/>
    <cellStyle name="Comma 26 2 2 4 4" xfId="3319" xr:uid="{00000000-0005-0000-0000-0000D1030000}"/>
    <cellStyle name="Comma 26 2 2 5" xfId="1088" xr:uid="{00000000-0005-0000-0000-0000D2030000}"/>
    <cellStyle name="Comma 26 2 2 5 2" xfId="1875" xr:uid="{00000000-0005-0000-0000-0000D3030000}"/>
    <cellStyle name="Comma 26 2 2 5 2 2" xfId="4119" xr:uid="{00000000-0005-0000-0000-0000D4030000}"/>
    <cellStyle name="Comma 26 2 2 5 3" xfId="2599" xr:uid="{00000000-0005-0000-0000-0000D5030000}"/>
    <cellStyle name="Comma 26 2 2 5 3 2" xfId="4843" xr:uid="{00000000-0005-0000-0000-0000D6030000}"/>
    <cellStyle name="Comma 26 2 2 5 4" xfId="3333" xr:uid="{00000000-0005-0000-0000-0000D7030000}"/>
    <cellStyle name="Comma 26 2 2 6" xfId="1109" xr:uid="{00000000-0005-0000-0000-0000D8030000}"/>
    <cellStyle name="Comma 26 2 2 6 2" xfId="1896" xr:uid="{00000000-0005-0000-0000-0000D9030000}"/>
    <cellStyle name="Comma 26 2 2 6 2 2" xfId="4140" xr:uid="{00000000-0005-0000-0000-0000DA030000}"/>
    <cellStyle name="Comma 26 2 2 6 3" xfId="2620" xr:uid="{00000000-0005-0000-0000-0000DB030000}"/>
    <cellStyle name="Comma 26 2 2 6 3 2" xfId="4864" xr:uid="{00000000-0005-0000-0000-0000DC030000}"/>
    <cellStyle name="Comma 26 2 2 6 4" xfId="3354" xr:uid="{00000000-0005-0000-0000-0000DD030000}"/>
    <cellStyle name="Comma 26 2 2 7" xfId="1326" xr:uid="{00000000-0005-0000-0000-0000DE030000}"/>
    <cellStyle name="Comma 26 2 2 7 2" xfId="3570" xr:uid="{00000000-0005-0000-0000-0000DF030000}"/>
    <cellStyle name="Comma 26 2 2 8" xfId="2112" xr:uid="{00000000-0005-0000-0000-0000E0030000}"/>
    <cellStyle name="Comma 26 2 2 8 2" xfId="4356" xr:uid="{00000000-0005-0000-0000-0000E1030000}"/>
    <cellStyle name="Comma 26 2 2 9" xfId="2836" xr:uid="{00000000-0005-0000-0000-0000E2030000}"/>
    <cellStyle name="Comma 26 2 3" xfId="15" xr:uid="{00000000-0005-0000-0000-0000E3030000}"/>
    <cellStyle name="Comma 26 2 3 2" xfId="862" xr:uid="{00000000-0005-0000-0000-0000E4030000}"/>
    <cellStyle name="Comma 26 2 3 2 2" xfId="1650" xr:uid="{00000000-0005-0000-0000-0000E5030000}"/>
    <cellStyle name="Comma 26 2 3 2 2 2" xfId="3894" xr:uid="{00000000-0005-0000-0000-0000E6030000}"/>
    <cellStyle name="Comma 26 2 3 2 3" xfId="2374" xr:uid="{00000000-0005-0000-0000-0000E7030000}"/>
    <cellStyle name="Comma 26 2 3 2 3 2" xfId="4618" xr:uid="{00000000-0005-0000-0000-0000E8030000}"/>
    <cellStyle name="Comma 26 2 3 2 4" xfId="3108" xr:uid="{00000000-0005-0000-0000-0000E9030000}"/>
    <cellStyle name="Comma 26 2 3 3" xfId="1092" xr:uid="{00000000-0005-0000-0000-0000EA030000}"/>
    <cellStyle name="Comma 26 2 3 3 2" xfId="1879" xr:uid="{00000000-0005-0000-0000-0000EB030000}"/>
    <cellStyle name="Comma 26 2 3 3 2 2" xfId="4123" xr:uid="{00000000-0005-0000-0000-0000EC030000}"/>
    <cellStyle name="Comma 26 2 3 3 3" xfId="2603" xr:uid="{00000000-0005-0000-0000-0000ED030000}"/>
    <cellStyle name="Comma 26 2 3 3 3 2" xfId="4847" xr:uid="{00000000-0005-0000-0000-0000EE030000}"/>
    <cellStyle name="Comma 26 2 3 3 4" xfId="3337" xr:uid="{00000000-0005-0000-0000-0000EF030000}"/>
    <cellStyle name="Comma 26 2 3 4" xfId="1114" xr:uid="{00000000-0005-0000-0000-0000F0030000}"/>
    <cellStyle name="Comma 26 2 3 4 2" xfId="1901" xr:uid="{00000000-0005-0000-0000-0000F1030000}"/>
    <cellStyle name="Comma 26 2 3 4 2 2" xfId="4145" xr:uid="{00000000-0005-0000-0000-0000F2030000}"/>
    <cellStyle name="Comma 26 2 3 4 3" xfId="2625" xr:uid="{00000000-0005-0000-0000-0000F3030000}"/>
    <cellStyle name="Comma 26 2 3 4 3 2" xfId="4869" xr:uid="{00000000-0005-0000-0000-0000F4030000}"/>
    <cellStyle name="Comma 26 2 3 4 4" xfId="3359" xr:uid="{00000000-0005-0000-0000-0000F5030000}"/>
    <cellStyle name="Comma 26 2 3 5" xfId="1330" xr:uid="{00000000-0005-0000-0000-0000F6030000}"/>
    <cellStyle name="Comma 26 2 3 5 2" xfId="3574" xr:uid="{00000000-0005-0000-0000-0000F7030000}"/>
    <cellStyle name="Comma 26 2 3 6" xfId="2116" xr:uid="{00000000-0005-0000-0000-0000F8030000}"/>
    <cellStyle name="Comma 26 2 3 6 2" xfId="4360" xr:uid="{00000000-0005-0000-0000-0000F9030000}"/>
    <cellStyle name="Comma 26 2 3 7" xfId="2840" xr:uid="{00000000-0005-0000-0000-0000FA030000}"/>
    <cellStyle name="Comma 26 2 3 8" xfId="5082" xr:uid="{00000000-0005-0000-0000-0000FB030000}"/>
    <cellStyle name="Comma 26 2 4" xfId="853" xr:uid="{00000000-0005-0000-0000-0000FC030000}"/>
    <cellStyle name="Comma 26 2 4 2" xfId="1641" xr:uid="{00000000-0005-0000-0000-0000FD030000}"/>
    <cellStyle name="Comma 26 2 4 2 2" xfId="3885" xr:uid="{00000000-0005-0000-0000-0000FE030000}"/>
    <cellStyle name="Comma 26 2 4 3" xfId="2365" xr:uid="{00000000-0005-0000-0000-0000FF030000}"/>
    <cellStyle name="Comma 26 2 4 3 2" xfId="4609" xr:uid="{00000000-0005-0000-0000-000000040000}"/>
    <cellStyle name="Comma 26 2 4 4" xfId="3099" xr:uid="{00000000-0005-0000-0000-000001040000}"/>
    <cellStyle name="Comma 26 2 5" xfId="1070" xr:uid="{00000000-0005-0000-0000-000002040000}"/>
    <cellStyle name="Comma 26 2 5 2" xfId="1857" xr:uid="{00000000-0005-0000-0000-000003040000}"/>
    <cellStyle name="Comma 26 2 5 2 2" xfId="4101" xr:uid="{00000000-0005-0000-0000-000004040000}"/>
    <cellStyle name="Comma 26 2 5 3" xfId="2581" xr:uid="{00000000-0005-0000-0000-000005040000}"/>
    <cellStyle name="Comma 26 2 5 3 2" xfId="4825" xr:uid="{00000000-0005-0000-0000-000006040000}"/>
    <cellStyle name="Comma 26 2 5 4" xfId="3315" xr:uid="{00000000-0005-0000-0000-000007040000}"/>
    <cellStyle name="Comma 26 2 6" xfId="1084" xr:uid="{00000000-0005-0000-0000-000008040000}"/>
    <cellStyle name="Comma 26 2 6 2" xfId="1871" xr:uid="{00000000-0005-0000-0000-000009040000}"/>
    <cellStyle name="Comma 26 2 6 2 2" xfId="4115" xr:uid="{00000000-0005-0000-0000-00000A040000}"/>
    <cellStyle name="Comma 26 2 6 3" xfId="2595" xr:uid="{00000000-0005-0000-0000-00000B040000}"/>
    <cellStyle name="Comma 26 2 6 3 2" xfId="4839" xr:uid="{00000000-0005-0000-0000-00000C040000}"/>
    <cellStyle name="Comma 26 2 6 4" xfId="3329" xr:uid="{00000000-0005-0000-0000-00000D040000}"/>
    <cellStyle name="Comma 26 2 7" xfId="1105" xr:uid="{00000000-0005-0000-0000-00000E040000}"/>
    <cellStyle name="Comma 26 2 7 2" xfId="1892" xr:uid="{00000000-0005-0000-0000-00000F040000}"/>
    <cellStyle name="Comma 26 2 7 2 2" xfId="4136" xr:uid="{00000000-0005-0000-0000-000010040000}"/>
    <cellStyle name="Comma 26 2 7 3" xfId="2616" xr:uid="{00000000-0005-0000-0000-000011040000}"/>
    <cellStyle name="Comma 26 2 7 3 2" xfId="4860" xr:uid="{00000000-0005-0000-0000-000012040000}"/>
    <cellStyle name="Comma 26 2 7 4" xfId="3350" xr:uid="{00000000-0005-0000-0000-000013040000}"/>
    <cellStyle name="Comma 26 2 8" xfId="1322" xr:uid="{00000000-0005-0000-0000-000014040000}"/>
    <cellStyle name="Comma 26 2 8 2" xfId="3566" xr:uid="{00000000-0005-0000-0000-000015040000}"/>
    <cellStyle name="Comma 26 2 9" xfId="2108" xr:uid="{00000000-0005-0000-0000-000016040000}"/>
    <cellStyle name="Comma 26 2 9 2" xfId="4352" xr:uid="{00000000-0005-0000-0000-000017040000}"/>
    <cellStyle name="Comma 26 3" xfId="7" xr:uid="{00000000-0005-0000-0000-000018040000}"/>
    <cellStyle name="Comma 26 3 10" xfId="5076" xr:uid="{00000000-0005-0000-0000-000019040000}"/>
    <cellStyle name="Comma 26 3 2" xfId="17" xr:uid="{00000000-0005-0000-0000-00001A040000}"/>
    <cellStyle name="Comma 26 3 2 2" xfId="864" xr:uid="{00000000-0005-0000-0000-00001B040000}"/>
    <cellStyle name="Comma 26 3 2 2 2" xfId="1652" xr:uid="{00000000-0005-0000-0000-00001C040000}"/>
    <cellStyle name="Comma 26 3 2 2 2 2" xfId="3896" xr:uid="{00000000-0005-0000-0000-00001D040000}"/>
    <cellStyle name="Comma 26 3 2 2 3" xfId="2376" xr:uid="{00000000-0005-0000-0000-00001E040000}"/>
    <cellStyle name="Comma 26 3 2 2 3 2" xfId="4620" xr:uid="{00000000-0005-0000-0000-00001F040000}"/>
    <cellStyle name="Comma 26 3 2 2 4" xfId="3110" xr:uid="{00000000-0005-0000-0000-000020040000}"/>
    <cellStyle name="Comma 26 3 2 3" xfId="1094" xr:uid="{00000000-0005-0000-0000-000021040000}"/>
    <cellStyle name="Comma 26 3 2 3 2" xfId="1881" xr:uid="{00000000-0005-0000-0000-000022040000}"/>
    <cellStyle name="Comma 26 3 2 3 2 2" xfId="4125" xr:uid="{00000000-0005-0000-0000-000023040000}"/>
    <cellStyle name="Comma 26 3 2 3 3" xfId="2605" xr:uid="{00000000-0005-0000-0000-000024040000}"/>
    <cellStyle name="Comma 26 3 2 3 3 2" xfId="4849" xr:uid="{00000000-0005-0000-0000-000025040000}"/>
    <cellStyle name="Comma 26 3 2 3 4" xfId="3339" xr:uid="{00000000-0005-0000-0000-000026040000}"/>
    <cellStyle name="Comma 26 3 2 4" xfId="1116" xr:uid="{00000000-0005-0000-0000-000027040000}"/>
    <cellStyle name="Comma 26 3 2 4 2" xfId="1903" xr:uid="{00000000-0005-0000-0000-000028040000}"/>
    <cellStyle name="Comma 26 3 2 4 2 2" xfId="4147" xr:uid="{00000000-0005-0000-0000-000029040000}"/>
    <cellStyle name="Comma 26 3 2 4 3" xfId="2627" xr:uid="{00000000-0005-0000-0000-00002A040000}"/>
    <cellStyle name="Comma 26 3 2 4 3 2" xfId="4871" xr:uid="{00000000-0005-0000-0000-00002B040000}"/>
    <cellStyle name="Comma 26 3 2 4 4" xfId="3361" xr:uid="{00000000-0005-0000-0000-00002C040000}"/>
    <cellStyle name="Comma 26 3 2 5" xfId="1332" xr:uid="{00000000-0005-0000-0000-00002D040000}"/>
    <cellStyle name="Comma 26 3 2 5 2" xfId="3576" xr:uid="{00000000-0005-0000-0000-00002E040000}"/>
    <cellStyle name="Comma 26 3 2 6" xfId="2118" xr:uid="{00000000-0005-0000-0000-00002F040000}"/>
    <cellStyle name="Comma 26 3 2 6 2" xfId="4362" xr:uid="{00000000-0005-0000-0000-000030040000}"/>
    <cellStyle name="Comma 26 3 2 7" xfId="2842" xr:uid="{00000000-0005-0000-0000-000031040000}"/>
    <cellStyle name="Comma 26 3 2 8" xfId="5084" xr:uid="{00000000-0005-0000-0000-000032040000}"/>
    <cellStyle name="Comma 26 3 3" xfId="855" xr:uid="{00000000-0005-0000-0000-000033040000}"/>
    <cellStyle name="Comma 26 3 3 2" xfId="1643" xr:uid="{00000000-0005-0000-0000-000034040000}"/>
    <cellStyle name="Comma 26 3 3 2 2" xfId="3887" xr:uid="{00000000-0005-0000-0000-000035040000}"/>
    <cellStyle name="Comma 26 3 3 3" xfId="2367" xr:uid="{00000000-0005-0000-0000-000036040000}"/>
    <cellStyle name="Comma 26 3 3 3 2" xfId="4611" xr:uid="{00000000-0005-0000-0000-000037040000}"/>
    <cellStyle name="Comma 26 3 3 4" xfId="3101" xr:uid="{00000000-0005-0000-0000-000038040000}"/>
    <cellStyle name="Comma 26 3 4" xfId="1072" xr:uid="{00000000-0005-0000-0000-000039040000}"/>
    <cellStyle name="Comma 26 3 4 2" xfId="1859" xr:uid="{00000000-0005-0000-0000-00003A040000}"/>
    <cellStyle name="Comma 26 3 4 2 2" xfId="4103" xr:uid="{00000000-0005-0000-0000-00003B040000}"/>
    <cellStyle name="Comma 26 3 4 3" xfId="2583" xr:uid="{00000000-0005-0000-0000-00003C040000}"/>
    <cellStyle name="Comma 26 3 4 3 2" xfId="4827" xr:uid="{00000000-0005-0000-0000-00003D040000}"/>
    <cellStyle name="Comma 26 3 4 4" xfId="3317" xr:uid="{00000000-0005-0000-0000-00003E040000}"/>
    <cellStyle name="Comma 26 3 5" xfId="1086" xr:uid="{00000000-0005-0000-0000-00003F040000}"/>
    <cellStyle name="Comma 26 3 5 2" xfId="1873" xr:uid="{00000000-0005-0000-0000-000040040000}"/>
    <cellStyle name="Comma 26 3 5 2 2" xfId="4117" xr:uid="{00000000-0005-0000-0000-000041040000}"/>
    <cellStyle name="Comma 26 3 5 3" xfId="2597" xr:uid="{00000000-0005-0000-0000-000042040000}"/>
    <cellStyle name="Comma 26 3 5 3 2" xfId="4841" xr:uid="{00000000-0005-0000-0000-000043040000}"/>
    <cellStyle name="Comma 26 3 5 4" xfId="3331" xr:uid="{00000000-0005-0000-0000-000044040000}"/>
    <cellStyle name="Comma 26 3 6" xfId="1107" xr:uid="{00000000-0005-0000-0000-000045040000}"/>
    <cellStyle name="Comma 26 3 6 2" xfId="1894" xr:uid="{00000000-0005-0000-0000-000046040000}"/>
    <cellStyle name="Comma 26 3 6 2 2" xfId="4138" xr:uid="{00000000-0005-0000-0000-000047040000}"/>
    <cellStyle name="Comma 26 3 6 3" xfId="2618" xr:uid="{00000000-0005-0000-0000-000048040000}"/>
    <cellStyle name="Comma 26 3 6 3 2" xfId="4862" xr:uid="{00000000-0005-0000-0000-000049040000}"/>
    <cellStyle name="Comma 26 3 6 4" xfId="3352" xr:uid="{00000000-0005-0000-0000-00004A040000}"/>
    <cellStyle name="Comma 26 3 7" xfId="1324" xr:uid="{00000000-0005-0000-0000-00004B040000}"/>
    <cellStyle name="Comma 26 3 7 2" xfId="3568" xr:uid="{00000000-0005-0000-0000-00004C040000}"/>
    <cellStyle name="Comma 26 3 8" xfId="2110" xr:uid="{00000000-0005-0000-0000-00004D040000}"/>
    <cellStyle name="Comma 26 3 8 2" xfId="4354" xr:uid="{00000000-0005-0000-0000-00004E040000}"/>
    <cellStyle name="Comma 26 3 9" xfId="2834" xr:uid="{00000000-0005-0000-0000-00004F040000}"/>
    <cellStyle name="Comma 26 4" xfId="14" xr:uid="{00000000-0005-0000-0000-000050040000}"/>
    <cellStyle name="Comma 26 4 2" xfId="861" xr:uid="{00000000-0005-0000-0000-000051040000}"/>
    <cellStyle name="Comma 26 4 2 2" xfId="1649" xr:uid="{00000000-0005-0000-0000-000052040000}"/>
    <cellStyle name="Comma 26 4 2 2 2" xfId="3893" xr:uid="{00000000-0005-0000-0000-000053040000}"/>
    <cellStyle name="Comma 26 4 2 3" xfId="2373" xr:uid="{00000000-0005-0000-0000-000054040000}"/>
    <cellStyle name="Comma 26 4 2 3 2" xfId="4617" xr:uid="{00000000-0005-0000-0000-000055040000}"/>
    <cellStyle name="Comma 26 4 2 4" xfId="3107" xr:uid="{00000000-0005-0000-0000-000056040000}"/>
    <cellStyle name="Comma 26 4 3" xfId="1091" xr:uid="{00000000-0005-0000-0000-000057040000}"/>
    <cellStyle name="Comma 26 4 3 2" xfId="1878" xr:uid="{00000000-0005-0000-0000-000058040000}"/>
    <cellStyle name="Comma 26 4 3 2 2" xfId="4122" xr:uid="{00000000-0005-0000-0000-000059040000}"/>
    <cellStyle name="Comma 26 4 3 3" xfId="2602" xr:uid="{00000000-0005-0000-0000-00005A040000}"/>
    <cellStyle name="Comma 26 4 3 3 2" xfId="4846" xr:uid="{00000000-0005-0000-0000-00005B040000}"/>
    <cellStyle name="Comma 26 4 3 4" xfId="3336" xr:uid="{00000000-0005-0000-0000-00005C040000}"/>
    <cellStyle name="Comma 26 4 4" xfId="1113" xr:uid="{00000000-0005-0000-0000-00005D040000}"/>
    <cellStyle name="Comma 26 4 4 2" xfId="1900" xr:uid="{00000000-0005-0000-0000-00005E040000}"/>
    <cellStyle name="Comma 26 4 4 2 2" xfId="4144" xr:uid="{00000000-0005-0000-0000-00005F040000}"/>
    <cellStyle name="Comma 26 4 4 3" xfId="2624" xr:uid="{00000000-0005-0000-0000-000060040000}"/>
    <cellStyle name="Comma 26 4 4 3 2" xfId="4868" xr:uid="{00000000-0005-0000-0000-000061040000}"/>
    <cellStyle name="Comma 26 4 4 4" xfId="3358" xr:uid="{00000000-0005-0000-0000-000062040000}"/>
    <cellStyle name="Comma 26 4 5" xfId="1329" xr:uid="{00000000-0005-0000-0000-000063040000}"/>
    <cellStyle name="Comma 26 4 5 2" xfId="3573" xr:uid="{00000000-0005-0000-0000-000064040000}"/>
    <cellStyle name="Comma 26 4 6" xfId="2115" xr:uid="{00000000-0005-0000-0000-000065040000}"/>
    <cellStyle name="Comma 26 4 6 2" xfId="4359" xr:uid="{00000000-0005-0000-0000-000066040000}"/>
    <cellStyle name="Comma 26 4 7" xfId="2839" xr:uid="{00000000-0005-0000-0000-000067040000}"/>
    <cellStyle name="Comma 26 4 8" xfId="5081" xr:uid="{00000000-0005-0000-0000-000068040000}"/>
    <cellStyle name="Comma 26 5" xfId="852" xr:uid="{00000000-0005-0000-0000-000069040000}"/>
    <cellStyle name="Comma 26 5 2" xfId="1640" xr:uid="{00000000-0005-0000-0000-00006A040000}"/>
    <cellStyle name="Comma 26 5 2 2" xfId="3884" xr:uid="{00000000-0005-0000-0000-00006B040000}"/>
    <cellStyle name="Comma 26 5 3" xfId="2364" xr:uid="{00000000-0005-0000-0000-00006C040000}"/>
    <cellStyle name="Comma 26 5 3 2" xfId="4608" xr:uid="{00000000-0005-0000-0000-00006D040000}"/>
    <cellStyle name="Comma 26 5 4" xfId="3098" xr:uid="{00000000-0005-0000-0000-00006E040000}"/>
    <cellStyle name="Comma 26 6" xfId="1069" xr:uid="{00000000-0005-0000-0000-00006F040000}"/>
    <cellStyle name="Comma 26 6 2" xfId="1856" xr:uid="{00000000-0005-0000-0000-000070040000}"/>
    <cellStyle name="Comma 26 6 2 2" xfId="4100" xr:uid="{00000000-0005-0000-0000-000071040000}"/>
    <cellStyle name="Comma 26 6 3" xfId="2580" xr:uid="{00000000-0005-0000-0000-000072040000}"/>
    <cellStyle name="Comma 26 6 3 2" xfId="4824" xr:uid="{00000000-0005-0000-0000-000073040000}"/>
    <cellStyle name="Comma 26 6 4" xfId="3314" xr:uid="{00000000-0005-0000-0000-000074040000}"/>
    <cellStyle name="Comma 26 7" xfId="1082" xr:uid="{00000000-0005-0000-0000-000075040000}"/>
    <cellStyle name="Comma 26 7 2" xfId="1869" xr:uid="{00000000-0005-0000-0000-000076040000}"/>
    <cellStyle name="Comma 26 7 2 2" xfId="4113" xr:uid="{00000000-0005-0000-0000-000077040000}"/>
    <cellStyle name="Comma 26 7 3" xfId="2593" xr:uid="{00000000-0005-0000-0000-000078040000}"/>
    <cellStyle name="Comma 26 7 3 2" xfId="4837" xr:uid="{00000000-0005-0000-0000-000079040000}"/>
    <cellStyle name="Comma 26 7 4" xfId="3327" xr:uid="{00000000-0005-0000-0000-00007A040000}"/>
    <cellStyle name="Comma 26 8" xfId="1103" xr:uid="{00000000-0005-0000-0000-00007B040000}"/>
    <cellStyle name="Comma 26 8 2" xfId="1890" xr:uid="{00000000-0005-0000-0000-00007C040000}"/>
    <cellStyle name="Comma 26 8 2 2" xfId="4134" xr:uid="{00000000-0005-0000-0000-00007D040000}"/>
    <cellStyle name="Comma 26 8 3" xfId="2614" xr:uid="{00000000-0005-0000-0000-00007E040000}"/>
    <cellStyle name="Comma 26 8 3 2" xfId="4858" xr:uid="{00000000-0005-0000-0000-00007F040000}"/>
    <cellStyle name="Comma 26 8 4" xfId="3348" xr:uid="{00000000-0005-0000-0000-000080040000}"/>
    <cellStyle name="Comma 26 9" xfId="1321" xr:uid="{00000000-0005-0000-0000-000081040000}"/>
    <cellStyle name="Comma 26 9 2" xfId="3565" xr:uid="{00000000-0005-0000-0000-000082040000}"/>
    <cellStyle name="Comma 27" xfId="723" xr:uid="{00000000-0005-0000-0000-000083040000}"/>
    <cellStyle name="Comma 27 2" xfId="1038" xr:uid="{00000000-0005-0000-0000-000084040000}"/>
    <cellStyle name="Comma 27 2 2" xfId="1826" xr:uid="{00000000-0005-0000-0000-000085040000}"/>
    <cellStyle name="Comma 27 2 2 2" xfId="4070" xr:uid="{00000000-0005-0000-0000-000086040000}"/>
    <cellStyle name="Comma 27 2 3" xfId="2550" xr:uid="{00000000-0005-0000-0000-000087040000}"/>
    <cellStyle name="Comma 27 2 3 2" xfId="4794" xr:uid="{00000000-0005-0000-0000-000088040000}"/>
    <cellStyle name="Comma 27 2 4" xfId="3284" xr:uid="{00000000-0005-0000-0000-000089040000}"/>
    <cellStyle name="Comma 27 3" xfId="1291" xr:uid="{00000000-0005-0000-0000-00008A040000}"/>
    <cellStyle name="Comma 27 3 2" xfId="2078" xr:uid="{00000000-0005-0000-0000-00008B040000}"/>
    <cellStyle name="Comma 27 3 2 2" xfId="4322" xr:uid="{00000000-0005-0000-0000-00008C040000}"/>
    <cellStyle name="Comma 27 3 3" xfId="2801" xr:uid="{00000000-0005-0000-0000-00008D040000}"/>
    <cellStyle name="Comma 27 3 3 2" xfId="5045" xr:uid="{00000000-0005-0000-0000-00008E040000}"/>
    <cellStyle name="Comma 27 3 4" xfId="3536" xr:uid="{00000000-0005-0000-0000-00008F040000}"/>
    <cellStyle name="Comma 27 4" xfId="1558" xr:uid="{00000000-0005-0000-0000-000090040000}"/>
    <cellStyle name="Comma 27 4 2" xfId="3802" xr:uid="{00000000-0005-0000-0000-000091040000}"/>
    <cellStyle name="Comma 27 5" xfId="2336" xr:uid="{00000000-0005-0000-0000-000092040000}"/>
    <cellStyle name="Comma 27 5 2" xfId="4580" xr:uid="{00000000-0005-0000-0000-000093040000}"/>
    <cellStyle name="Comma 27 6" xfId="3016" xr:uid="{00000000-0005-0000-0000-000094040000}"/>
    <cellStyle name="Comma 28" xfId="815" xr:uid="{00000000-0005-0000-0000-000095040000}"/>
    <cellStyle name="Comma 28 2" xfId="1049" xr:uid="{00000000-0005-0000-0000-000096040000}"/>
    <cellStyle name="Comma 28 2 2" xfId="1837" xr:uid="{00000000-0005-0000-0000-000097040000}"/>
    <cellStyle name="Comma 28 2 2 2" xfId="4081" xr:uid="{00000000-0005-0000-0000-000098040000}"/>
    <cellStyle name="Comma 28 2 3" xfId="2561" xr:uid="{00000000-0005-0000-0000-000099040000}"/>
    <cellStyle name="Comma 28 2 3 2" xfId="4805" xr:uid="{00000000-0005-0000-0000-00009A040000}"/>
    <cellStyle name="Comma 28 2 4" xfId="3295" xr:uid="{00000000-0005-0000-0000-00009B040000}"/>
    <cellStyle name="Comma 28 3" xfId="1303" xr:uid="{00000000-0005-0000-0000-00009C040000}"/>
    <cellStyle name="Comma 28 3 2" xfId="2090" xr:uid="{00000000-0005-0000-0000-00009D040000}"/>
    <cellStyle name="Comma 28 3 2 2" xfId="4334" xr:uid="{00000000-0005-0000-0000-00009E040000}"/>
    <cellStyle name="Comma 28 3 3" xfId="2812" xr:uid="{00000000-0005-0000-0000-00009F040000}"/>
    <cellStyle name="Comma 28 3 3 2" xfId="5056" xr:uid="{00000000-0005-0000-0000-0000A0040000}"/>
    <cellStyle name="Comma 28 3 4" xfId="3548" xr:uid="{00000000-0005-0000-0000-0000A1040000}"/>
    <cellStyle name="Comma 28 4" xfId="1623" xr:uid="{00000000-0005-0000-0000-0000A2040000}"/>
    <cellStyle name="Comma 28 4 2" xfId="3867" xr:uid="{00000000-0005-0000-0000-0000A3040000}"/>
    <cellStyle name="Comma 28 5" xfId="2347" xr:uid="{00000000-0005-0000-0000-0000A4040000}"/>
    <cellStyle name="Comma 28 5 2" xfId="4591" xr:uid="{00000000-0005-0000-0000-0000A5040000}"/>
    <cellStyle name="Comma 28 6" xfId="3081" xr:uid="{00000000-0005-0000-0000-0000A6040000}"/>
    <cellStyle name="Comma 29" xfId="820" xr:uid="{00000000-0005-0000-0000-0000A7040000}"/>
    <cellStyle name="Comma 29 2" xfId="1051" xr:uid="{00000000-0005-0000-0000-0000A8040000}"/>
    <cellStyle name="Comma 29 2 2" xfId="1839" xr:uid="{00000000-0005-0000-0000-0000A9040000}"/>
    <cellStyle name="Comma 29 2 2 2" xfId="4083" xr:uid="{00000000-0005-0000-0000-0000AA040000}"/>
    <cellStyle name="Comma 29 2 3" xfId="2563" xr:uid="{00000000-0005-0000-0000-0000AB040000}"/>
    <cellStyle name="Comma 29 2 3 2" xfId="4807" xr:uid="{00000000-0005-0000-0000-0000AC040000}"/>
    <cellStyle name="Comma 29 2 4" xfId="3297" xr:uid="{00000000-0005-0000-0000-0000AD040000}"/>
    <cellStyle name="Comma 29 3" xfId="1305" xr:uid="{00000000-0005-0000-0000-0000AE040000}"/>
    <cellStyle name="Comma 29 3 2" xfId="2092" xr:uid="{00000000-0005-0000-0000-0000AF040000}"/>
    <cellStyle name="Comma 29 3 2 2" xfId="4336" xr:uid="{00000000-0005-0000-0000-0000B0040000}"/>
    <cellStyle name="Comma 29 3 3" xfId="2814" xr:uid="{00000000-0005-0000-0000-0000B1040000}"/>
    <cellStyle name="Comma 29 3 3 2" xfId="5058" xr:uid="{00000000-0005-0000-0000-0000B2040000}"/>
    <cellStyle name="Comma 29 3 4" xfId="3550" xr:uid="{00000000-0005-0000-0000-0000B3040000}"/>
    <cellStyle name="Comma 29 4" xfId="1625" xr:uid="{00000000-0005-0000-0000-0000B4040000}"/>
    <cellStyle name="Comma 29 4 2" xfId="3869" xr:uid="{00000000-0005-0000-0000-0000B5040000}"/>
    <cellStyle name="Comma 29 5" xfId="2349" xr:uid="{00000000-0005-0000-0000-0000B6040000}"/>
    <cellStyle name="Comma 29 5 2" xfId="4593" xr:uid="{00000000-0005-0000-0000-0000B7040000}"/>
    <cellStyle name="Comma 29 6" xfId="3083" xr:uid="{00000000-0005-0000-0000-0000B8040000}"/>
    <cellStyle name="Comma 3" xfId="21" xr:uid="{00000000-0005-0000-0000-0000B9040000}"/>
    <cellStyle name="Comma 3 10" xfId="101" xr:uid="{00000000-0005-0000-0000-0000BA040000}"/>
    <cellStyle name="Comma 3 10 2" xfId="913" xr:uid="{00000000-0005-0000-0000-0000BB040000}"/>
    <cellStyle name="Comma 3 10 2 2" xfId="1701" xr:uid="{00000000-0005-0000-0000-0000BC040000}"/>
    <cellStyle name="Comma 3 10 2 2 2" xfId="3945" xr:uid="{00000000-0005-0000-0000-0000BD040000}"/>
    <cellStyle name="Comma 3 10 2 3" xfId="2425" xr:uid="{00000000-0005-0000-0000-0000BE040000}"/>
    <cellStyle name="Comma 3 10 2 3 2" xfId="4669" xr:uid="{00000000-0005-0000-0000-0000BF040000}"/>
    <cellStyle name="Comma 3 10 2 4" xfId="3159" xr:uid="{00000000-0005-0000-0000-0000C0040000}"/>
    <cellStyle name="Comma 3 10 3" xfId="1166" xr:uid="{00000000-0005-0000-0000-0000C1040000}"/>
    <cellStyle name="Comma 3 10 3 2" xfId="1953" xr:uid="{00000000-0005-0000-0000-0000C2040000}"/>
    <cellStyle name="Comma 3 10 3 2 2" xfId="4197" xr:uid="{00000000-0005-0000-0000-0000C3040000}"/>
    <cellStyle name="Comma 3 10 3 3" xfId="2677" xr:uid="{00000000-0005-0000-0000-0000C4040000}"/>
    <cellStyle name="Comma 3 10 3 3 2" xfId="4921" xr:uid="{00000000-0005-0000-0000-0000C5040000}"/>
    <cellStyle name="Comma 3 10 3 4" xfId="3411" xr:uid="{00000000-0005-0000-0000-0000C6040000}"/>
    <cellStyle name="Comma 3 10 4" xfId="1381" xr:uid="{00000000-0005-0000-0000-0000C7040000}"/>
    <cellStyle name="Comma 3 10 4 2" xfId="3625" xr:uid="{00000000-0005-0000-0000-0000C8040000}"/>
    <cellStyle name="Comma 3 10 5" xfId="2167" xr:uid="{00000000-0005-0000-0000-0000C9040000}"/>
    <cellStyle name="Comma 3 10 5 2" xfId="4411" xr:uid="{00000000-0005-0000-0000-0000CA040000}"/>
    <cellStyle name="Comma 3 10 6" xfId="2891" xr:uid="{00000000-0005-0000-0000-0000CB040000}"/>
    <cellStyle name="Comma 3 11" xfId="102" xr:uid="{00000000-0005-0000-0000-0000CC040000}"/>
    <cellStyle name="Comma 3 11 2" xfId="914" xr:uid="{00000000-0005-0000-0000-0000CD040000}"/>
    <cellStyle name="Comma 3 11 2 2" xfId="1702" xr:uid="{00000000-0005-0000-0000-0000CE040000}"/>
    <cellStyle name="Comma 3 11 2 2 2" xfId="3946" xr:uid="{00000000-0005-0000-0000-0000CF040000}"/>
    <cellStyle name="Comma 3 11 2 3" xfId="2426" xr:uid="{00000000-0005-0000-0000-0000D0040000}"/>
    <cellStyle name="Comma 3 11 2 3 2" xfId="4670" xr:uid="{00000000-0005-0000-0000-0000D1040000}"/>
    <cellStyle name="Comma 3 11 2 4" xfId="3160" xr:uid="{00000000-0005-0000-0000-0000D2040000}"/>
    <cellStyle name="Comma 3 11 3" xfId="1167" xr:uid="{00000000-0005-0000-0000-0000D3040000}"/>
    <cellStyle name="Comma 3 11 3 2" xfId="1954" xr:uid="{00000000-0005-0000-0000-0000D4040000}"/>
    <cellStyle name="Comma 3 11 3 2 2" xfId="4198" xr:uid="{00000000-0005-0000-0000-0000D5040000}"/>
    <cellStyle name="Comma 3 11 3 3" xfId="2678" xr:uid="{00000000-0005-0000-0000-0000D6040000}"/>
    <cellStyle name="Comma 3 11 3 3 2" xfId="4922" xr:uid="{00000000-0005-0000-0000-0000D7040000}"/>
    <cellStyle name="Comma 3 11 3 4" xfId="3412" xr:uid="{00000000-0005-0000-0000-0000D8040000}"/>
    <cellStyle name="Comma 3 11 4" xfId="1382" xr:uid="{00000000-0005-0000-0000-0000D9040000}"/>
    <cellStyle name="Comma 3 11 4 2" xfId="3626" xr:uid="{00000000-0005-0000-0000-0000DA040000}"/>
    <cellStyle name="Comma 3 11 5" xfId="2168" xr:uid="{00000000-0005-0000-0000-0000DB040000}"/>
    <cellStyle name="Comma 3 11 5 2" xfId="4412" xr:uid="{00000000-0005-0000-0000-0000DC040000}"/>
    <cellStyle name="Comma 3 11 6" xfId="2892" xr:uid="{00000000-0005-0000-0000-0000DD040000}"/>
    <cellStyle name="Comma 3 12" xfId="103" xr:uid="{00000000-0005-0000-0000-0000DE040000}"/>
    <cellStyle name="Comma 3 12 2" xfId="915" xr:uid="{00000000-0005-0000-0000-0000DF040000}"/>
    <cellStyle name="Comma 3 12 2 2" xfId="1703" xr:uid="{00000000-0005-0000-0000-0000E0040000}"/>
    <cellStyle name="Comma 3 12 2 2 2" xfId="3947" xr:uid="{00000000-0005-0000-0000-0000E1040000}"/>
    <cellStyle name="Comma 3 12 2 3" xfId="2427" xr:uid="{00000000-0005-0000-0000-0000E2040000}"/>
    <cellStyle name="Comma 3 12 2 3 2" xfId="4671" xr:uid="{00000000-0005-0000-0000-0000E3040000}"/>
    <cellStyle name="Comma 3 12 2 4" xfId="3161" xr:uid="{00000000-0005-0000-0000-0000E4040000}"/>
    <cellStyle name="Comma 3 12 3" xfId="1168" xr:uid="{00000000-0005-0000-0000-0000E5040000}"/>
    <cellStyle name="Comma 3 12 3 2" xfId="1955" xr:uid="{00000000-0005-0000-0000-0000E6040000}"/>
    <cellStyle name="Comma 3 12 3 2 2" xfId="4199" xr:uid="{00000000-0005-0000-0000-0000E7040000}"/>
    <cellStyle name="Comma 3 12 3 3" xfId="2679" xr:uid="{00000000-0005-0000-0000-0000E8040000}"/>
    <cellStyle name="Comma 3 12 3 3 2" xfId="4923" xr:uid="{00000000-0005-0000-0000-0000E9040000}"/>
    <cellStyle name="Comma 3 12 3 4" xfId="3413" xr:uid="{00000000-0005-0000-0000-0000EA040000}"/>
    <cellStyle name="Comma 3 12 4" xfId="1383" xr:uid="{00000000-0005-0000-0000-0000EB040000}"/>
    <cellStyle name="Comma 3 12 4 2" xfId="3627" xr:uid="{00000000-0005-0000-0000-0000EC040000}"/>
    <cellStyle name="Comma 3 12 5" xfId="2169" xr:uid="{00000000-0005-0000-0000-0000ED040000}"/>
    <cellStyle name="Comma 3 12 5 2" xfId="4413" xr:uid="{00000000-0005-0000-0000-0000EE040000}"/>
    <cellStyle name="Comma 3 12 6" xfId="2893" xr:uid="{00000000-0005-0000-0000-0000EF040000}"/>
    <cellStyle name="Comma 3 13" xfId="104" xr:uid="{00000000-0005-0000-0000-0000F0040000}"/>
    <cellStyle name="Comma 3 13 2" xfId="916" xr:uid="{00000000-0005-0000-0000-0000F1040000}"/>
    <cellStyle name="Comma 3 13 2 2" xfId="1704" xr:uid="{00000000-0005-0000-0000-0000F2040000}"/>
    <cellStyle name="Comma 3 13 2 2 2" xfId="3948" xr:uid="{00000000-0005-0000-0000-0000F3040000}"/>
    <cellStyle name="Comma 3 13 2 3" xfId="2428" xr:uid="{00000000-0005-0000-0000-0000F4040000}"/>
    <cellStyle name="Comma 3 13 2 3 2" xfId="4672" xr:uid="{00000000-0005-0000-0000-0000F5040000}"/>
    <cellStyle name="Comma 3 13 2 4" xfId="3162" xr:uid="{00000000-0005-0000-0000-0000F6040000}"/>
    <cellStyle name="Comma 3 13 3" xfId="1169" xr:uid="{00000000-0005-0000-0000-0000F7040000}"/>
    <cellStyle name="Comma 3 13 3 2" xfId="1956" xr:uid="{00000000-0005-0000-0000-0000F8040000}"/>
    <cellStyle name="Comma 3 13 3 2 2" xfId="4200" xr:uid="{00000000-0005-0000-0000-0000F9040000}"/>
    <cellStyle name="Comma 3 13 3 3" xfId="2680" xr:uid="{00000000-0005-0000-0000-0000FA040000}"/>
    <cellStyle name="Comma 3 13 3 3 2" xfId="4924" xr:uid="{00000000-0005-0000-0000-0000FB040000}"/>
    <cellStyle name="Comma 3 13 3 4" xfId="3414" xr:uid="{00000000-0005-0000-0000-0000FC040000}"/>
    <cellStyle name="Comma 3 13 4" xfId="1384" xr:uid="{00000000-0005-0000-0000-0000FD040000}"/>
    <cellStyle name="Comma 3 13 4 2" xfId="3628" xr:uid="{00000000-0005-0000-0000-0000FE040000}"/>
    <cellStyle name="Comma 3 13 5" xfId="2170" xr:uid="{00000000-0005-0000-0000-0000FF040000}"/>
    <cellStyle name="Comma 3 13 5 2" xfId="4414" xr:uid="{00000000-0005-0000-0000-000000050000}"/>
    <cellStyle name="Comma 3 13 6" xfId="2894" xr:uid="{00000000-0005-0000-0000-000001050000}"/>
    <cellStyle name="Comma 3 14" xfId="105" xr:uid="{00000000-0005-0000-0000-000002050000}"/>
    <cellStyle name="Comma 3 14 2" xfId="917" xr:uid="{00000000-0005-0000-0000-000003050000}"/>
    <cellStyle name="Comma 3 14 2 2" xfId="1705" xr:uid="{00000000-0005-0000-0000-000004050000}"/>
    <cellStyle name="Comma 3 14 2 2 2" xfId="3949" xr:uid="{00000000-0005-0000-0000-000005050000}"/>
    <cellStyle name="Comma 3 14 2 3" xfId="2429" xr:uid="{00000000-0005-0000-0000-000006050000}"/>
    <cellStyle name="Comma 3 14 2 3 2" xfId="4673" xr:uid="{00000000-0005-0000-0000-000007050000}"/>
    <cellStyle name="Comma 3 14 2 4" xfId="3163" xr:uid="{00000000-0005-0000-0000-000008050000}"/>
    <cellStyle name="Comma 3 14 3" xfId="1170" xr:uid="{00000000-0005-0000-0000-000009050000}"/>
    <cellStyle name="Comma 3 14 3 2" xfId="1957" xr:uid="{00000000-0005-0000-0000-00000A050000}"/>
    <cellStyle name="Comma 3 14 3 2 2" xfId="4201" xr:uid="{00000000-0005-0000-0000-00000B050000}"/>
    <cellStyle name="Comma 3 14 3 3" xfId="2681" xr:uid="{00000000-0005-0000-0000-00000C050000}"/>
    <cellStyle name="Comma 3 14 3 3 2" xfId="4925" xr:uid="{00000000-0005-0000-0000-00000D050000}"/>
    <cellStyle name="Comma 3 14 3 4" xfId="3415" xr:uid="{00000000-0005-0000-0000-00000E050000}"/>
    <cellStyle name="Comma 3 14 4" xfId="1385" xr:uid="{00000000-0005-0000-0000-00000F050000}"/>
    <cellStyle name="Comma 3 14 4 2" xfId="3629" xr:uid="{00000000-0005-0000-0000-000010050000}"/>
    <cellStyle name="Comma 3 14 5" xfId="2171" xr:uid="{00000000-0005-0000-0000-000011050000}"/>
    <cellStyle name="Comma 3 14 5 2" xfId="4415" xr:uid="{00000000-0005-0000-0000-000012050000}"/>
    <cellStyle name="Comma 3 14 6" xfId="2895" xr:uid="{00000000-0005-0000-0000-000013050000}"/>
    <cellStyle name="Comma 3 15" xfId="106" xr:uid="{00000000-0005-0000-0000-000014050000}"/>
    <cellStyle name="Comma 3 15 2" xfId="918" xr:uid="{00000000-0005-0000-0000-000015050000}"/>
    <cellStyle name="Comma 3 15 2 2" xfId="1706" xr:uid="{00000000-0005-0000-0000-000016050000}"/>
    <cellStyle name="Comma 3 15 2 2 2" xfId="3950" xr:uid="{00000000-0005-0000-0000-000017050000}"/>
    <cellStyle name="Comma 3 15 2 3" xfId="2430" xr:uid="{00000000-0005-0000-0000-000018050000}"/>
    <cellStyle name="Comma 3 15 2 3 2" xfId="4674" xr:uid="{00000000-0005-0000-0000-000019050000}"/>
    <cellStyle name="Comma 3 15 2 4" xfId="3164" xr:uid="{00000000-0005-0000-0000-00001A050000}"/>
    <cellStyle name="Comma 3 15 3" xfId="1171" xr:uid="{00000000-0005-0000-0000-00001B050000}"/>
    <cellStyle name="Comma 3 15 3 2" xfId="1958" xr:uid="{00000000-0005-0000-0000-00001C050000}"/>
    <cellStyle name="Comma 3 15 3 2 2" xfId="4202" xr:uid="{00000000-0005-0000-0000-00001D050000}"/>
    <cellStyle name="Comma 3 15 3 3" xfId="2682" xr:uid="{00000000-0005-0000-0000-00001E050000}"/>
    <cellStyle name="Comma 3 15 3 3 2" xfId="4926" xr:uid="{00000000-0005-0000-0000-00001F050000}"/>
    <cellStyle name="Comma 3 15 3 4" xfId="3416" xr:uid="{00000000-0005-0000-0000-000020050000}"/>
    <cellStyle name="Comma 3 15 4" xfId="1386" xr:uid="{00000000-0005-0000-0000-000021050000}"/>
    <cellStyle name="Comma 3 15 4 2" xfId="3630" xr:uid="{00000000-0005-0000-0000-000022050000}"/>
    <cellStyle name="Comma 3 15 5" xfId="2172" xr:uid="{00000000-0005-0000-0000-000023050000}"/>
    <cellStyle name="Comma 3 15 5 2" xfId="4416" xr:uid="{00000000-0005-0000-0000-000024050000}"/>
    <cellStyle name="Comma 3 15 6" xfId="2896" xr:uid="{00000000-0005-0000-0000-000025050000}"/>
    <cellStyle name="Comma 3 16" xfId="107" xr:uid="{00000000-0005-0000-0000-000026050000}"/>
    <cellStyle name="Comma 3 16 2" xfId="919" xr:uid="{00000000-0005-0000-0000-000027050000}"/>
    <cellStyle name="Comma 3 16 2 2" xfId="1707" xr:uid="{00000000-0005-0000-0000-000028050000}"/>
    <cellStyle name="Comma 3 16 2 2 2" xfId="3951" xr:uid="{00000000-0005-0000-0000-000029050000}"/>
    <cellStyle name="Comma 3 16 2 3" xfId="2431" xr:uid="{00000000-0005-0000-0000-00002A050000}"/>
    <cellStyle name="Comma 3 16 2 3 2" xfId="4675" xr:uid="{00000000-0005-0000-0000-00002B050000}"/>
    <cellStyle name="Comma 3 16 2 4" xfId="3165" xr:uid="{00000000-0005-0000-0000-00002C050000}"/>
    <cellStyle name="Comma 3 16 3" xfId="1172" xr:uid="{00000000-0005-0000-0000-00002D050000}"/>
    <cellStyle name="Comma 3 16 3 2" xfId="1959" xr:uid="{00000000-0005-0000-0000-00002E050000}"/>
    <cellStyle name="Comma 3 16 3 2 2" xfId="4203" xr:uid="{00000000-0005-0000-0000-00002F050000}"/>
    <cellStyle name="Comma 3 16 3 3" xfId="2683" xr:uid="{00000000-0005-0000-0000-000030050000}"/>
    <cellStyle name="Comma 3 16 3 3 2" xfId="4927" xr:uid="{00000000-0005-0000-0000-000031050000}"/>
    <cellStyle name="Comma 3 16 3 4" xfId="3417" xr:uid="{00000000-0005-0000-0000-000032050000}"/>
    <cellStyle name="Comma 3 16 4" xfId="1387" xr:uid="{00000000-0005-0000-0000-000033050000}"/>
    <cellStyle name="Comma 3 16 4 2" xfId="3631" xr:uid="{00000000-0005-0000-0000-000034050000}"/>
    <cellStyle name="Comma 3 16 5" xfId="2173" xr:uid="{00000000-0005-0000-0000-000035050000}"/>
    <cellStyle name="Comma 3 16 5 2" xfId="4417" xr:uid="{00000000-0005-0000-0000-000036050000}"/>
    <cellStyle name="Comma 3 16 6" xfId="2897" xr:uid="{00000000-0005-0000-0000-000037050000}"/>
    <cellStyle name="Comma 3 17" xfId="108" xr:uid="{00000000-0005-0000-0000-000038050000}"/>
    <cellStyle name="Comma 3 17 2" xfId="920" xr:uid="{00000000-0005-0000-0000-000039050000}"/>
    <cellStyle name="Comma 3 17 2 2" xfId="1708" xr:uid="{00000000-0005-0000-0000-00003A050000}"/>
    <cellStyle name="Comma 3 17 2 2 2" xfId="3952" xr:uid="{00000000-0005-0000-0000-00003B050000}"/>
    <cellStyle name="Comma 3 17 2 3" xfId="2432" xr:uid="{00000000-0005-0000-0000-00003C050000}"/>
    <cellStyle name="Comma 3 17 2 3 2" xfId="4676" xr:uid="{00000000-0005-0000-0000-00003D050000}"/>
    <cellStyle name="Comma 3 17 2 4" xfId="3166" xr:uid="{00000000-0005-0000-0000-00003E050000}"/>
    <cellStyle name="Comma 3 17 3" xfId="1173" xr:uid="{00000000-0005-0000-0000-00003F050000}"/>
    <cellStyle name="Comma 3 17 3 2" xfId="1960" xr:uid="{00000000-0005-0000-0000-000040050000}"/>
    <cellStyle name="Comma 3 17 3 2 2" xfId="4204" xr:uid="{00000000-0005-0000-0000-000041050000}"/>
    <cellStyle name="Comma 3 17 3 3" xfId="2684" xr:uid="{00000000-0005-0000-0000-000042050000}"/>
    <cellStyle name="Comma 3 17 3 3 2" xfId="4928" xr:uid="{00000000-0005-0000-0000-000043050000}"/>
    <cellStyle name="Comma 3 17 3 4" xfId="3418" xr:uid="{00000000-0005-0000-0000-000044050000}"/>
    <cellStyle name="Comma 3 17 4" xfId="1388" xr:uid="{00000000-0005-0000-0000-000045050000}"/>
    <cellStyle name="Comma 3 17 4 2" xfId="3632" xr:uid="{00000000-0005-0000-0000-000046050000}"/>
    <cellStyle name="Comma 3 17 5" xfId="2174" xr:uid="{00000000-0005-0000-0000-000047050000}"/>
    <cellStyle name="Comma 3 17 5 2" xfId="4418" xr:uid="{00000000-0005-0000-0000-000048050000}"/>
    <cellStyle name="Comma 3 17 6" xfId="2898" xr:uid="{00000000-0005-0000-0000-000049050000}"/>
    <cellStyle name="Comma 3 18" xfId="109" xr:uid="{00000000-0005-0000-0000-00004A050000}"/>
    <cellStyle name="Comma 3 18 2" xfId="921" xr:uid="{00000000-0005-0000-0000-00004B050000}"/>
    <cellStyle name="Comma 3 18 2 2" xfId="1709" xr:uid="{00000000-0005-0000-0000-00004C050000}"/>
    <cellStyle name="Comma 3 18 2 2 2" xfId="3953" xr:uid="{00000000-0005-0000-0000-00004D050000}"/>
    <cellStyle name="Comma 3 18 2 3" xfId="2433" xr:uid="{00000000-0005-0000-0000-00004E050000}"/>
    <cellStyle name="Comma 3 18 2 3 2" xfId="4677" xr:uid="{00000000-0005-0000-0000-00004F050000}"/>
    <cellStyle name="Comma 3 18 2 4" xfId="3167" xr:uid="{00000000-0005-0000-0000-000050050000}"/>
    <cellStyle name="Comma 3 18 3" xfId="1174" xr:uid="{00000000-0005-0000-0000-000051050000}"/>
    <cellStyle name="Comma 3 18 3 2" xfId="1961" xr:uid="{00000000-0005-0000-0000-000052050000}"/>
    <cellStyle name="Comma 3 18 3 2 2" xfId="4205" xr:uid="{00000000-0005-0000-0000-000053050000}"/>
    <cellStyle name="Comma 3 18 3 3" xfId="2685" xr:uid="{00000000-0005-0000-0000-000054050000}"/>
    <cellStyle name="Comma 3 18 3 3 2" xfId="4929" xr:uid="{00000000-0005-0000-0000-000055050000}"/>
    <cellStyle name="Comma 3 18 3 4" xfId="3419" xr:uid="{00000000-0005-0000-0000-000056050000}"/>
    <cellStyle name="Comma 3 18 4" xfId="1389" xr:uid="{00000000-0005-0000-0000-000057050000}"/>
    <cellStyle name="Comma 3 18 4 2" xfId="3633" xr:uid="{00000000-0005-0000-0000-000058050000}"/>
    <cellStyle name="Comma 3 18 5" xfId="2175" xr:uid="{00000000-0005-0000-0000-000059050000}"/>
    <cellStyle name="Comma 3 18 5 2" xfId="4419" xr:uid="{00000000-0005-0000-0000-00005A050000}"/>
    <cellStyle name="Comma 3 18 6" xfId="2899" xr:uid="{00000000-0005-0000-0000-00005B050000}"/>
    <cellStyle name="Comma 3 19" xfId="110" xr:uid="{00000000-0005-0000-0000-00005C050000}"/>
    <cellStyle name="Comma 3 19 2" xfId="922" xr:uid="{00000000-0005-0000-0000-00005D050000}"/>
    <cellStyle name="Comma 3 19 2 2" xfId="1710" xr:uid="{00000000-0005-0000-0000-00005E050000}"/>
    <cellStyle name="Comma 3 19 2 2 2" xfId="3954" xr:uid="{00000000-0005-0000-0000-00005F050000}"/>
    <cellStyle name="Comma 3 19 2 3" xfId="2434" xr:uid="{00000000-0005-0000-0000-000060050000}"/>
    <cellStyle name="Comma 3 19 2 3 2" xfId="4678" xr:uid="{00000000-0005-0000-0000-000061050000}"/>
    <cellStyle name="Comma 3 19 2 4" xfId="3168" xr:uid="{00000000-0005-0000-0000-000062050000}"/>
    <cellStyle name="Comma 3 19 3" xfId="1175" xr:uid="{00000000-0005-0000-0000-000063050000}"/>
    <cellStyle name="Comma 3 19 3 2" xfId="1962" xr:uid="{00000000-0005-0000-0000-000064050000}"/>
    <cellStyle name="Comma 3 19 3 2 2" xfId="4206" xr:uid="{00000000-0005-0000-0000-000065050000}"/>
    <cellStyle name="Comma 3 19 3 3" xfId="2686" xr:uid="{00000000-0005-0000-0000-000066050000}"/>
    <cellStyle name="Comma 3 19 3 3 2" xfId="4930" xr:uid="{00000000-0005-0000-0000-000067050000}"/>
    <cellStyle name="Comma 3 19 3 4" xfId="3420" xr:uid="{00000000-0005-0000-0000-000068050000}"/>
    <cellStyle name="Comma 3 19 4" xfId="1390" xr:uid="{00000000-0005-0000-0000-000069050000}"/>
    <cellStyle name="Comma 3 19 4 2" xfId="3634" xr:uid="{00000000-0005-0000-0000-00006A050000}"/>
    <cellStyle name="Comma 3 19 5" xfId="2176" xr:uid="{00000000-0005-0000-0000-00006B050000}"/>
    <cellStyle name="Comma 3 19 5 2" xfId="4420" xr:uid="{00000000-0005-0000-0000-00006C050000}"/>
    <cellStyle name="Comma 3 19 6" xfId="2900" xr:uid="{00000000-0005-0000-0000-00006D050000}"/>
    <cellStyle name="Comma 3 2" xfId="111" xr:uid="{00000000-0005-0000-0000-00006E050000}"/>
    <cellStyle name="Comma 3 2 2" xfId="923" xr:uid="{00000000-0005-0000-0000-00006F050000}"/>
    <cellStyle name="Comma 3 2 2 2" xfId="1711" xr:uid="{00000000-0005-0000-0000-000070050000}"/>
    <cellStyle name="Comma 3 2 2 2 2" xfId="3955" xr:uid="{00000000-0005-0000-0000-000071050000}"/>
    <cellStyle name="Comma 3 2 2 3" xfId="2435" xr:uid="{00000000-0005-0000-0000-000072050000}"/>
    <cellStyle name="Comma 3 2 2 3 2" xfId="4679" xr:uid="{00000000-0005-0000-0000-000073050000}"/>
    <cellStyle name="Comma 3 2 2 4" xfId="3169" xr:uid="{00000000-0005-0000-0000-000074050000}"/>
    <cellStyle name="Comma 3 2 3" xfId="1176" xr:uid="{00000000-0005-0000-0000-000075050000}"/>
    <cellStyle name="Comma 3 2 3 2" xfId="1963" xr:uid="{00000000-0005-0000-0000-000076050000}"/>
    <cellStyle name="Comma 3 2 3 2 2" xfId="4207" xr:uid="{00000000-0005-0000-0000-000077050000}"/>
    <cellStyle name="Comma 3 2 3 3" xfId="2687" xr:uid="{00000000-0005-0000-0000-000078050000}"/>
    <cellStyle name="Comma 3 2 3 3 2" xfId="4931" xr:uid="{00000000-0005-0000-0000-000079050000}"/>
    <cellStyle name="Comma 3 2 3 4" xfId="3421" xr:uid="{00000000-0005-0000-0000-00007A050000}"/>
    <cellStyle name="Comma 3 2 4" xfId="1391" xr:uid="{00000000-0005-0000-0000-00007B050000}"/>
    <cellStyle name="Comma 3 2 4 2" xfId="3635" xr:uid="{00000000-0005-0000-0000-00007C050000}"/>
    <cellStyle name="Comma 3 2 5" xfId="2177" xr:uid="{00000000-0005-0000-0000-00007D050000}"/>
    <cellStyle name="Comma 3 2 5 2" xfId="4421" xr:uid="{00000000-0005-0000-0000-00007E050000}"/>
    <cellStyle name="Comma 3 2 6" xfId="2901" xr:uid="{00000000-0005-0000-0000-00007F050000}"/>
    <cellStyle name="Comma 3 20" xfId="112" xr:uid="{00000000-0005-0000-0000-000080050000}"/>
    <cellStyle name="Comma 3 20 2" xfId="924" xr:uid="{00000000-0005-0000-0000-000081050000}"/>
    <cellStyle name="Comma 3 20 2 2" xfId="1712" xr:uid="{00000000-0005-0000-0000-000082050000}"/>
    <cellStyle name="Comma 3 20 2 2 2" xfId="3956" xr:uid="{00000000-0005-0000-0000-000083050000}"/>
    <cellStyle name="Comma 3 20 2 3" xfId="2436" xr:uid="{00000000-0005-0000-0000-000084050000}"/>
    <cellStyle name="Comma 3 20 2 3 2" xfId="4680" xr:uid="{00000000-0005-0000-0000-000085050000}"/>
    <cellStyle name="Comma 3 20 2 4" xfId="3170" xr:uid="{00000000-0005-0000-0000-000086050000}"/>
    <cellStyle name="Comma 3 20 3" xfId="1177" xr:uid="{00000000-0005-0000-0000-000087050000}"/>
    <cellStyle name="Comma 3 20 3 2" xfId="1964" xr:uid="{00000000-0005-0000-0000-000088050000}"/>
    <cellStyle name="Comma 3 20 3 2 2" xfId="4208" xr:uid="{00000000-0005-0000-0000-000089050000}"/>
    <cellStyle name="Comma 3 20 3 3" xfId="2688" xr:uid="{00000000-0005-0000-0000-00008A050000}"/>
    <cellStyle name="Comma 3 20 3 3 2" xfId="4932" xr:uid="{00000000-0005-0000-0000-00008B050000}"/>
    <cellStyle name="Comma 3 20 3 4" xfId="3422" xr:uid="{00000000-0005-0000-0000-00008C050000}"/>
    <cellStyle name="Comma 3 20 4" xfId="1392" xr:uid="{00000000-0005-0000-0000-00008D050000}"/>
    <cellStyle name="Comma 3 20 4 2" xfId="3636" xr:uid="{00000000-0005-0000-0000-00008E050000}"/>
    <cellStyle name="Comma 3 20 5" xfId="2178" xr:uid="{00000000-0005-0000-0000-00008F050000}"/>
    <cellStyle name="Comma 3 20 5 2" xfId="4422" xr:uid="{00000000-0005-0000-0000-000090050000}"/>
    <cellStyle name="Comma 3 20 6" xfId="2902" xr:uid="{00000000-0005-0000-0000-000091050000}"/>
    <cellStyle name="Comma 3 21" xfId="113" xr:uid="{00000000-0005-0000-0000-000092050000}"/>
    <cellStyle name="Comma 3 21 2" xfId="925" xr:uid="{00000000-0005-0000-0000-000093050000}"/>
    <cellStyle name="Comma 3 21 2 2" xfId="1713" xr:uid="{00000000-0005-0000-0000-000094050000}"/>
    <cellStyle name="Comma 3 21 2 2 2" xfId="3957" xr:uid="{00000000-0005-0000-0000-000095050000}"/>
    <cellStyle name="Comma 3 21 2 3" xfId="2437" xr:uid="{00000000-0005-0000-0000-000096050000}"/>
    <cellStyle name="Comma 3 21 2 3 2" xfId="4681" xr:uid="{00000000-0005-0000-0000-000097050000}"/>
    <cellStyle name="Comma 3 21 2 4" xfId="3171" xr:uid="{00000000-0005-0000-0000-000098050000}"/>
    <cellStyle name="Comma 3 21 3" xfId="1178" xr:uid="{00000000-0005-0000-0000-000099050000}"/>
    <cellStyle name="Comma 3 21 3 2" xfId="1965" xr:uid="{00000000-0005-0000-0000-00009A050000}"/>
    <cellStyle name="Comma 3 21 3 2 2" xfId="4209" xr:uid="{00000000-0005-0000-0000-00009B050000}"/>
    <cellStyle name="Comma 3 21 3 3" xfId="2689" xr:uid="{00000000-0005-0000-0000-00009C050000}"/>
    <cellStyle name="Comma 3 21 3 3 2" xfId="4933" xr:uid="{00000000-0005-0000-0000-00009D050000}"/>
    <cellStyle name="Comma 3 21 3 4" xfId="3423" xr:uid="{00000000-0005-0000-0000-00009E050000}"/>
    <cellStyle name="Comma 3 21 4" xfId="1393" xr:uid="{00000000-0005-0000-0000-00009F050000}"/>
    <cellStyle name="Comma 3 21 4 2" xfId="3637" xr:uid="{00000000-0005-0000-0000-0000A0050000}"/>
    <cellStyle name="Comma 3 21 5" xfId="2179" xr:uid="{00000000-0005-0000-0000-0000A1050000}"/>
    <cellStyle name="Comma 3 21 5 2" xfId="4423" xr:uid="{00000000-0005-0000-0000-0000A2050000}"/>
    <cellStyle name="Comma 3 21 6" xfId="2903" xr:uid="{00000000-0005-0000-0000-0000A3050000}"/>
    <cellStyle name="Comma 3 22" xfId="114" xr:uid="{00000000-0005-0000-0000-0000A4050000}"/>
    <cellStyle name="Comma 3 22 2" xfId="926" xr:uid="{00000000-0005-0000-0000-0000A5050000}"/>
    <cellStyle name="Comma 3 22 2 2" xfId="1714" xr:uid="{00000000-0005-0000-0000-0000A6050000}"/>
    <cellStyle name="Comma 3 22 2 2 2" xfId="3958" xr:uid="{00000000-0005-0000-0000-0000A7050000}"/>
    <cellStyle name="Comma 3 22 2 3" xfId="2438" xr:uid="{00000000-0005-0000-0000-0000A8050000}"/>
    <cellStyle name="Comma 3 22 2 3 2" xfId="4682" xr:uid="{00000000-0005-0000-0000-0000A9050000}"/>
    <cellStyle name="Comma 3 22 2 4" xfId="3172" xr:uid="{00000000-0005-0000-0000-0000AA050000}"/>
    <cellStyle name="Comma 3 22 3" xfId="1179" xr:uid="{00000000-0005-0000-0000-0000AB050000}"/>
    <cellStyle name="Comma 3 22 3 2" xfId="1966" xr:uid="{00000000-0005-0000-0000-0000AC050000}"/>
    <cellStyle name="Comma 3 22 3 2 2" xfId="4210" xr:uid="{00000000-0005-0000-0000-0000AD050000}"/>
    <cellStyle name="Comma 3 22 3 3" xfId="2690" xr:uid="{00000000-0005-0000-0000-0000AE050000}"/>
    <cellStyle name="Comma 3 22 3 3 2" xfId="4934" xr:uid="{00000000-0005-0000-0000-0000AF050000}"/>
    <cellStyle name="Comma 3 22 3 4" xfId="3424" xr:uid="{00000000-0005-0000-0000-0000B0050000}"/>
    <cellStyle name="Comma 3 22 4" xfId="1394" xr:uid="{00000000-0005-0000-0000-0000B1050000}"/>
    <cellStyle name="Comma 3 22 4 2" xfId="3638" xr:uid="{00000000-0005-0000-0000-0000B2050000}"/>
    <cellStyle name="Comma 3 22 5" xfId="2180" xr:uid="{00000000-0005-0000-0000-0000B3050000}"/>
    <cellStyle name="Comma 3 22 5 2" xfId="4424" xr:uid="{00000000-0005-0000-0000-0000B4050000}"/>
    <cellStyle name="Comma 3 22 6" xfId="2904" xr:uid="{00000000-0005-0000-0000-0000B5050000}"/>
    <cellStyle name="Comma 3 23" xfId="115" xr:uid="{00000000-0005-0000-0000-0000B6050000}"/>
    <cellStyle name="Comma 3 23 2" xfId="927" xr:uid="{00000000-0005-0000-0000-0000B7050000}"/>
    <cellStyle name="Comma 3 23 2 2" xfId="1715" xr:uid="{00000000-0005-0000-0000-0000B8050000}"/>
    <cellStyle name="Comma 3 23 2 2 2" xfId="3959" xr:uid="{00000000-0005-0000-0000-0000B9050000}"/>
    <cellStyle name="Comma 3 23 2 3" xfId="2439" xr:uid="{00000000-0005-0000-0000-0000BA050000}"/>
    <cellStyle name="Comma 3 23 2 3 2" xfId="4683" xr:uid="{00000000-0005-0000-0000-0000BB050000}"/>
    <cellStyle name="Comma 3 23 2 4" xfId="3173" xr:uid="{00000000-0005-0000-0000-0000BC050000}"/>
    <cellStyle name="Comma 3 23 3" xfId="1180" xr:uid="{00000000-0005-0000-0000-0000BD050000}"/>
    <cellStyle name="Comma 3 23 3 2" xfId="1967" xr:uid="{00000000-0005-0000-0000-0000BE050000}"/>
    <cellStyle name="Comma 3 23 3 2 2" xfId="4211" xr:uid="{00000000-0005-0000-0000-0000BF050000}"/>
    <cellStyle name="Comma 3 23 3 3" xfId="2691" xr:uid="{00000000-0005-0000-0000-0000C0050000}"/>
    <cellStyle name="Comma 3 23 3 3 2" xfId="4935" xr:uid="{00000000-0005-0000-0000-0000C1050000}"/>
    <cellStyle name="Comma 3 23 3 4" xfId="3425" xr:uid="{00000000-0005-0000-0000-0000C2050000}"/>
    <cellStyle name="Comma 3 23 4" xfId="1395" xr:uid="{00000000-0005-0000-0000-0000C3050000}"/>
    <cellStyle name="Comma 3 23 4 2" xfId="3639" xr:uid="{00000000-0005-0000-0000-0000C4050000}"/>
    <cellStyle name="Comma 3 23 5" xfId="2181" xr:uid="{00000000-0005-0000-0000-0000C5050000}"/>
    <cellStyle name="Comma 3 23 5 2" xfId="4425" xr:uid="{00000000-0005-0000-0000-0000C6050000}"/>
    <cellStyle name="Comma 3 23 6" xfId="2905" xr:uid="{00000000-0005-0000-0000-0000C7050000}"/>
    <cellStyle name="Comma 3 24" xfId="116" xr:uid="{00000000-0005-0000-0000-0000C8050000}"/>
    <cellStyle name="Comma 3 24 2" xfId="928" xr:uid="{00000000-0005-0000-0000-0000C9050000}"/>
    <cellStyle name="Comma 3 24 2 2" xfId="1716" xr:uid="{00000000-0005-0000-0000-0000CA050000}"/>
    <cellStyle name="Comma 3 24 2 2 2" xfId="3960" xr:uid="{00000000-0005-0000-0000-0000CB050000}"/>
    <cellStyle name="Comma 3 24 2 3" xfId="2440" xr:uid="{00000000-0005-0000-0000-0000CC050000}"/>
    <cellStyle name="Comma 3 24 2 3 2" xfId="4684" xr:uid="{00000000-0005-0000-0000-0000CD050000}"/>
    <cellStyle name="Comma 3 24 2 4" xfId="3174" xr:uid="{00000000-0005-0000-0000-0000CE050000}"/>
    <cellStyle name="Comma 3 24 3" xfId="1181" xr:uid="{00000000-0005-0000-0000-0000CF050000}"/>
    <cellStyle name="Comma 3 24 3 2" xfId="1968" xr:uid="{00000000-0005-0000-0000-0000D0050000}"/>
    <cellStyle name="Comma 3 24 3 2 2" xfId="4212" xr:uid="{00000000-0005-0000-0000-0000D1050000}"/>
    <cellStyle name="Comma 3 24 3 3" xfId="2692" xr:uid="{00000000-0005-0000-0000-0000D2050000}"/>
    <cellStyle name="Comma 3 24 3 3 2" xfId="4936" xr:uid="{00000000-0005-0000-0000-0000D3050000}"/>
    <cellStyle name="Comma 3 24 3 4" xfId="3426" xr:uid="{00000000-0005-0000-0000-0000D4050000}"/>
    <cellStyle name="Comma 3 24 4" xfId="1396" xr:uid="{00000000-0005-0000-0000-0000D5050000}"/>
    <cellStyle name="Comma 3 24 4 2" xfId="3640" xr:uid="{00000000-0005-0000-0000-0000D6050000}"/>
    <cellStyle name="Comma 3 24 5" xfId="2182" xr:uid="{00000000-0005-0000-0000-0000D7050000}"/>
    <cellStyle name="Comma 3 24 5 2" xfId="4426" xr:uid="{00000000-0005-0000-0000-0000D8050000}"/>
    <cellStyle name="Comma 3 24 6" xfId="2906" xr:uid="{00000000-0005-0000-0000-0000D9050000}"/>
    <cellStyle name="Comma 3 25" xfId="117" xr:uid="{00000000-0005-0000-0000-0000DA050000}"/>
    <cellStyle name="Comma 3 25 2" xfId="929" xr:uid="{00000000-0005-0000-0000-0000DB050000}"/>
    <cellStyle name="Comma 3 25 2 2" xfId="1717" xr:uid="{00000000-0005-0000-0000-0000DC050000}"/>
    <cellStyle name="Comma 3 25 2 2 2" xfId="3961" xr:uid="{00000000-0005-0000-0000-0000DD050000}"/>
    <cellStyle name="Comma 3 25 2 3" xfId="2441" xr:uid="{00000000-0005-0000-0000-0000DE050000}"/>
    <cellStyle name="Comma 3 25 2 3 2" xfId="4685" xr:uid="{00000000-0005-0000-0000-0000DF050000}"/>
    <cellStyle name="Comma 3 25 2 4" xfId="3175" xr:uid="{00000000-0005-0000-0000-0000E0050000}"/>
    <cellStyle name="Comma 3 25 3" xfId="1182" xr:uid="{00000000-0005-0000-0000-0000E1050000}"/>
    <cellStyle name="Comma 3 25 3 2" xfId="1969" xr:uid="{00000000-0005-0000-0000-0000E2050000}"/>
    <cellStyle name="Comma 3 25 3 2 2" xfId="4213" xr:uid="{00000000-0005-0000-0000-0000E3050000}"/>
    <cellStyle name="Comma 3 25 3 3" xfId="2693" xr:uid="{00000000-0005-0000-0000-0000E4050000}"/>
    <cellStyle name="Comma 3 25 3 3 2" xfId="4937" xr:uid="{00000000-0005-0000-0000-0000E5050000}"/>
    <cellStyle name="Comma 3 25 3 4" xfId="3427" xr:uid="{00000000-0005-0000-0000-0000E6050000}"/>
    <cellStyle name="Comma 3 25 4" xfId="1397" xr:uid="{00000000-0005-0000-0000-0000E7050000}"/>
    <cellStyle name="Comma 3 25 4 2" xfId="3641" xr:uid="{00000000-0005-0000-0000-0000E8050000}"/>
    <cellStyle name="Comma 3 25 5" xfId="2183" xr:uid="{00000000-0005-0000-0000-0000E9050000}"/>
    <cellStyle name="Comma 3 25 5 2" xfId="4427" xr:uid="{00000000-0005-0000-0000-0000EA050000}"/>
    <cellStyle name="Comma 3 25 6" xfId="2907" xr:uid="{00000000-0005-0000-0000-0000EB050000}"/>
    <cellStyle name="Comma 3 26" xfId="118" xr:uid="{00000000-0005-0000-0000-0000EC050000}"/>
    <cellStyle name="Comma 3 26 2" xfId="930" xr:uid="{00000000-0005-0000-0000-0000ED050000}"/>
    <cellStyle name="Comma 3 26 2 2" xfId="1718" xr:uid="{00000000-0005-0000-0000-0000EE050000}"/>
    <cellStyle name="Comma 3 26 2 2 2" xfId="3962" xr:uid="{00000000-0005-0000-0000-0000EF050000}"/>
    <cellStyle name="Comma 3 26 2 3" xfId="2442" xr:uid="{00000000-0005-0000-0000-0000F0050000}"/>
    <cellStyle name="Comma 3 26 2 3 2" xfId="4686" xr:uid="{00000000-0005-0000-0000-0000F1050000}"/>
    <cellStyle name="Comma 3 26 2 4" xfId="3176" xr:uid="{00000000-0005-0000-0000-0000F2050000}"/>
    <cellStyle name="Comma 3 26 3" xfId="1183" xr:uid="{00000000-0005-0000-0000-0000F3050000}"/>
    <cellStyle name="Comma 3 26 3 2" xfId="1970" xr:uid="{00000000-0005-0000-0000-0000F4050000}"/>
    <cellStyle name="Comma 3 26 3 2 2" xfId="4214" xr:uid="{00000000-0005-0000-0000-0000F5050000}"/>
    <cellStyle name="Comma 3 26 3 3" xfId="2694" xr:uid="{00000000-0005-0000-0000-0000F6050000}"/>
    <cellStyle name="Comma 3 26 3 3 2" xfId="4938" xr:uid="{00000000-0005-0000-0000-0000F7050000}"/>
    <cellStyle name="Comma 3 26 3 4" xfId="3428" xr:uid="{00000000-0005-0000-0000-0000F8050000}"/>
    <cellStyle name="Comma 3 26 4" xfId="1398" xr:uid="{00000000-0005-0000-0000-0000F9050000}"/>
    <cellStyle name="Comma 3 26 4 2" xfId="3642" xr:uid="{00000000-0005-0000-0000-0000FA050000}"/>
    <cellStyle name="Comma 3 26 5" xfId="2184" xr:uid="{00000000-0005-0000-0000-0000FB050000}"/>
    <cellStyle name="Comma 3 26 5 2" xfId="4428" xr:uid="{00000000-0005-0000-0000-0000FC050000}"/>
    <cellStyle name="Comma 3 26 6" xfId="2908" xr:uid="{00000000-0005-0000-0000-0000FD050000}"/>
    <cellStyle name="Comma 3 27" xfId="119" xr:uid="{00000000-0005-0000-0000-0000FE050000}"/>
    <cellStyle name="Comma 3 27 2" xfId="931" xr:uid="{00000000-0005-0000-0000-0000FF050000}"/>
    <cellStyle name="Comma 3 27 2 2" xfId="1719" xr:uid="{00000000-0005-0000-0000-000000060000}"/>
    <cellStyle name="Comma 3 27 2 2 2" xfId="3963" xr:uid="{00000000-0005-0000-0000-000001060000}"/>
    <cellStyle name="Comma 3 27 2 3" xfId="2443" xr:uid="{00000000-0005-0000-0000-000002060000}"/>
    <cellStyle name="Comma 3 27 2 3 2" xfId="4687" xr:uid="{00000000-0005-0000-0000-000003060000}"/>
    <cellStyle name="Comma 3 27 2 4" xfId="3177" xr:uid="{00000000-0005-0000-0000-000004060000}"/>
    <cellStyle name="Comma 3 27 3" xfId="1184" xr:uid="{00000000-0005-0000-0000-000005060000}"/>
    <cellStyle name="Comma 3 27 3 2" xfId="1971" xr:uid="{00000000-0005-0000-0000-000006060000}"/>
    <cellStyle name="Comma 3 27 3 2 2" xfId="4215" xr:uid="{00000000-0005-0000-0000-000007060000}"/>
    <cellStyle name="Comma 3 27 3 3" xfId="2695" xr:uid="{00000000-0005-0000-0000-000008060000}"/>
    <cellStyle name="Comma 3 27 3 3 2" xfId="4939" xr:uid="{00000000-0005-0000-0000-000009060000}"/>
    <cellStyle name="Comma 3 27 3 4" xfId="3429" xr:uid="{00000000-0005-0000-0000-00000A060000}"/>
    <cellStyle name="Comma 3 27 4" xfId="1399" xr:uid="{00000000-0005-0000-0000-00000B060000}"/>
    <cellStyle name="Comma 3 27 4 2" xfId="3643" xr:uid="{00000000-0005-0000-0000-00000C060000}"/>
    <cellStyle name="Comma 3 27 5" xfId="2185" xr:uid="{00000000-0005-0000-0000-00000D060000}"/>
    <cellStyle name="Comma 3 27 5 2" xfId="4429" xr:uid="{00000000-0005-0000-0000-00000E060000}"/>
    <cellStyle name="Comma 3 27 6" xfId="2909" xr:uid="{00000000-0005-0000-0000-00000F060000}"/>
    <cellStyle name="Comma 3 28" xfId="120" xr:uid="{00000000-0005-0000-0000-000010060000}"/>
    <cellStyle name="Comma 3 28 2" xfId="932" xr:uid="{00000000-0005-0000-0000-000011060000}"/>
    <cellStyle name="Comma 3 28 2 2" xfId="1720" xr:uid="{00000000-0005-0000-0000-000012060000}"/>
    <cellStyle name="Comma 3 28 2 2 2" xfId="3964" xr:uid="{00000000-0005-0000-0000-000013060000}"/>
    <cellStyle name="Comma 3 28 2 3" xfId="2444" xr:uid="{00000000-0005-0000-0000-000014060000}"/>
    <cellStyle name="Comma 3 28 2 3 2" xfId="4688" xr:uid="{00000000-0005-0000-0000-000015060000}"/>
    <cellStyle name="Comma 3 28 2 4" xfId="3178" xr:uid="{00000000-0005-0000-0000-000016060000}"/>
    <cellStyle name="Comma 3 28 3" xfId="1185" xr:uid="{00000000-0005-0000-0000-000017060000}"/>
    <cellStyle name="Comma 3 28 3 2" xfId="1972" xr:uid="{00000000-0005-0000-0000-000018060000}"/>
    <cellStyle name="Comma 3 28 3 2 2" xfId="4216" xr:uid="{00000000-0005-0000-0000-000019060000}"/>
    <cellStyle name="Comma 3 28 3 3" xfId="2696" xr:uid="{00000000-0005-0000-0000-00001A060000}"/>
    <cellStyle name="Comma 3 28 3 3 2" xfId="4940" xr:uid="{00000000-0005-0000-0000-00001B060000}"/>
    <cellStyle name="Comma 3 28 3 4" xfId="3430" xr:uid="{00000000-0005-0000-0000-00001C060000}"/>
    <cellStyle name="Comma 3 28 4" xfId="1400" xr:uid="{00000000-0005-0000-0000-00001D060000}"/>
    <cellStyle name="Comma 3 28 4 2" xfId="3644" xr:uid="{00000000-0005-0000-0000-00001E060000}"/>
    <cellStyle name="Comma 3 28 5" xfId="2186" xr:uid="{00000000-0005-0000-0000-00001F060000}"/>
    <cellStyle name="Comma 3 28 5 2" xfId="4430" xr:uid="{00000000-0005-0000-0000-000020060000}"/>
    <cellStyle name="Comma 3 28 6" xfId="2910" xr:uid="{00000000-0005-0000-0000-000021060000}"/>
    <cellStyle name="Comma 3 29" xfId="121" xr:uid="{00000000-0005-0000-0000-000022060000}"/>
    <cellStyle name="Comma 3 29 2" xfId="933" xr:uid="{00000000-0005-0000-0000-000023060000}"/>
    <cellStyle name="Comma 3 29 2 2" xfId="1721" xr:uid="{00000000-0005-0000-0000-000024060000}"/>
    <cellStyle name="Comma 3 29 2 2 2" xfId="3965" xr:uid="{00000000-0005-0000-0000-000025060000}"/>
    <cellStyle name="Comma 3 29 2 3" xfId="2445" xr:uid="{00000000-0005-0000-0000-000026060000}"/>
    <cellStyle name="Comma 3 29 2 3 2" xfId="4689" xr:uid="{00000000-0005-0000-0000-000027060000}"/>
    <cellStyle name="Comma 3 29 2 4" xfId="3179" xr:uid="{00000000-0005-0000-0000-000028060000}"/>
    <cellStyle name="Comma 3 29 3" xfId="1186" xr:uid="{00000000-0005-0000-0000-000029060000}"/>
    <cellStyle name="Comma 3 29 3 2" xfId="1973" xr:uid="{00000000-0005-0000-0000-00002A060000}"/>
    <cellStyle name="Comma 3 29 3 2 2" xfId="4217" xr:uid="{00000000-0005-0000-0000-00002B060000}"/>
    <cellStyle name="Comma 3 29 3 3" xfId="2697" xr:uid="{00000000-0005-0000-0000-00002C060000}"/>
    <cellStyle name="Comma 3 29 3 3 2" xfId="4941" xr:uid="{00000000-0005-0000-0000-00002D060000}"/>
    <cellStyle name="Comma 3 29 3 4" xfId="3431" xr:uid="{00000000-0005-0000-0000-00002E060000}"/>
    <cellStyle name="Comma 3 29 4" xfId="1401" xr:uid="{00000000-0005-0000-0000-00002F060000}"/>
    <cellStyle name="Comma 3 29 4 2" xfId="3645" xr:uid="{00000000-0005-0000-0000-000030060000}"/>
    <cellStyle name="Comma 3 29 5" xfId="2187" xr:uid="{00000000-0005-0000-0000-000031060000}"/>
    <cellStyle name="Comma 3 29 5 2" xfId="4431" xr:uid="{00000000-0005-0000-0000-000032060000}"/>
    <cellStyle name="Comma 3 29 6" xfId="2911" xr:uid="{00000000-0005-0000-0000-000033060000}"/>
    <cellStyle name="Comma 3 3" xfId="122" xr:uid="{00000000-0005-0000-0000-000034060000}"/>
    <cellStyle name="Comma 3 3 2" xfId="934" xr:uid="{00000000-0005-0000-0000-000035060000}"/>
    <cellStyle name="Comma 3 3 2 2" xfId="1722" xr:uid="{00000000-0005-0000-0000-000036060000}"/>
    <cellStyle name="Comma 3 3 2 2 2" xfId="3966" xr:uid="{00000000-0005-0000-0000-000037060000}"/>
    <cellStyle name="Comma 3 3 2 3" xfId="2446" xr:uid="{00000000-0005-0000-0000-000038060000}"/>
    <cellStyle name="Comma 3 3 2 3 2" xfId="4690" xr:uid="{00000000-0005-0000-0000-000039060000}"/>
    <cellStyle name="Comma 3 3 2 4" xfId="3180" xr:uid="{00000000-0005-0000-0000-00003A060000}"/>
    <cellStyle name="Comma 3 3 3" xfId="1187" xr:uid="{00000000-0005-0000-0000-00003B060000}"/>
    <cellStyle name="Comma 3 3 3 2" xfId="1974" xr:uid="{00000000-0005-0000-0000-00003C060000}"/>
    <cellStyle name="Comma 3 3 3 2 2" xfId="4218" xr:uid="{00000000-0005-0000-0000-00003D060000}"/>
    <cellStyle name="Comma 3 3 3 3" xfId="2698" xr:uid="{00000000-0005-0000-0000-00003E060000}"/>
    <cellStyle name="Comma 3 3 3 3 2" xfId="4942" xr:uid="{00000000-0005-0000-0000-00003F060000}"/>
    <cellStyle name="Comma 3 3 3 4" xfId="3432" xr:uid="{00000000-0005-0000-0000-000040060000}"/>
    <cellStyle name="Comma 3 3 4" xfId="1402" xr:uid="{00000000-0005-0000-0000-000041060000}"/>
    <cellStyle name="Comma 3 3 4 2" xfId="3646" xr:uid="{00000000-0005-0000-0000-000042060000}"/>
    <cellStyle name="Comma 3 3 5" xfId="2188" xr:uid="{00000000-0005-0000-0000-000043060000}"/>
    <cellStyle name="Comma 3 3 5 2" xfId="4432" xr:uid="{00000000-0005-0000-0000-000044060000}"/>
    <cellStyle name="Comma 3 3 6" xfId="2912" xr:uid="{00000000-0005-0000-0000-000045060000}"/>
    <cellStyle name="Comma 3 30" xfId="123" xr:uid="{00000000-0005-0000-0000-000046060000}"/>
    <cellStyle name="Comma 3 30 2" xfId="935" xr:uid="{00000000-0005-0000-0000-000047060000}"/>
    <cellStyle name="Comma 3 30 2 2" xfId="1723" xr:uid="{00000000-0005-0000-0000-000048060000}"/>
    <cellStyle name="Comma 3 30 2 2 2" xfId="3967" xr:uid="{00000000-0005-0000-0000-000049060000}"/>
    <cellStyle name="Comma 3 30 2 3" xfId="2447" xr:uid="{00000000-0005-0000-0000-00004A060000}"/>
    <cellStyle name="Comma 3 30 2 3 2" xfId="4691" xr:uid="{00000000-0005-0000-0000-00004B060000}"/>
    <cellStyle name="Comma 3 30 2 4" xfId="3181" xr:uid="{00000000-0005-0000-0000-00004C060000}"/>
    <cellStyle name="Comma 3 30 3" xfId="1188" xr:uid="{00000000-0005-0000-0000-00004D060000}"/>
    <cellStyle name="Comma 3 30 3 2" xfId="1975" xr:uid="{00000000-0005-0000-0000-00004E060000}"/>
    <cellStyle name="Comma 3 30 3 2 2" xfId="4219" xr:uid="{00000000-0005-0000-0000-00004F060000}"/>
    <cellStyle name="Comma 3 30 3 3" xfId="2699" xr:uid="{00000000-0005-0000-0000-000050060000}"/>
    <cellStyle name="Comma 3 30 3 3 2" xfId="4943" xr:uid="{00000000-0005-0000-0000-000051060000}"/>
    <cellStyle name="Comma 3 30 3 4" xfId="3433" xr:uid="{00000000-0005-0000-0000-000052060000}"/>
    <cellStyle name="Comma 3 30 4" xfId="1403" xr:uid="{00000000-0005-0000-0000-000053060000}"/>
    <cellStyle name="Comma 3 30 4 2" xfId="3647" xr:uid="{00000000-0005-0000-0000-000054060000}"/>
    <cellStyle name="Comma 3 30 5" xfId="2189" xr:uid="{00000000-0005-0000-0000-000055060000}"/>
    <cellStyle name="Comma 3 30 5 2" xfId="4433" xr:uid="{00000000-0005-0000-0000-000056060000}"/>
    <cellStyle name="Comma 3 30 6" xfId="2913" xr:uid="{00000000-0005-0000-0000-000057060000}"/>
    <cellStyle name="Comma 3 31" xfId="124" xr:uid="{00000000-0005-0000-0000-000058060000}"/>
    <cellStyle name="Comma 3 31 2" xfId="936" xr:uid="{00000000-0005-0000-0000-000059060000}"/>
    <cellStyle name="Comma 3 31 2 2" xfId="1724" xr:uid="{00000000-0005-0000-0000-00005A060000}"/>
    <cellStyle name="Comma 3 31 2 2 2" xfId="3968" xr:uid="{00000000-0005-0000-0000-00005B060000}"/>
    <cellStyle name="Comma 3 31 2 3" xfId="2448" xr:uid="{00000000-0005-0000-0000-00005C060000}"/>
    <cellStyle name="Comma 3 31 2 3 2" xfId="4692" xr:uid="{00000000-0005-0000-0000-00005D060000}"/>
    <cellStyle name="Comma 3 31 2 4" xfId="3182" xr:uid="{00000000-0005-0000-0000-00005E060000}"/>
    <cellStyle name="Comma 3 31 3" xfId="1189" xr:uid="{00000000-0005-0000-0000-00005F060000}"/>
    <cellStyle name="Comma 3 31 3 2" xfId="1976" xr:uid="{00000000-0005-0000-0000-000060060000}"/>
    <cellStyle name="Comma 3 31 3 2 2" xfId="4220" xr:uid="{00000000-0005-0000-0000-000061060000}"/>
    <cellStyle name="Comma 3 31 3 3" xfId="2700" xr:uid="{00000000-0005-0000-0000-000062060000}"/>
    <cellStyle name="Comma 3 31 3 3 2" xfId="4944" xr:uid="{00000000-0005-0000-0000-000063060000}"/>
    <cellStyle name="Comma 3 31 3 4" xfId="3434" xr:uid="{00000000-0005-0000-0000-000064060000}"/>
    <cellStyle name="Comma 3 31 4" xfId="1404" xr:uid="{00000000-0005-0000-0000-000065060000}"/>
    <cellStyle name="Comma 3 31 4 2" xfId="3648" xr:uid="{00000000-0005-0000-0000-000066060000}"/>
    <cellStyle name="Comma 3 31 5" xfId="2190" xr:uid="{00000000-0005-0000-0000-000067060000}"/>
    <cellStyle name="Comma 3 31 5 2" xfId="4434" xr:uid="{00000000-0005-0000-0000-000068060000}"/>
    <cellStyle name="Comma 3 31 6" xfId="2914" xr:uid="{00000000-0005-0000-0000-000069060000}"/>
    <cellStyle name="Comma 3 32" xfId="125" xr:uid="{00000000-0005-0000-0000-00006A060000}"/>
    <cellStyle name="Comma 3 32 2" xfId="937" xr:uid="{00000000-0005-0000-0000-00006B060000}"/>
    <cellStyle name="Comma 3 32 2 2" xfId="1725" xr:uid="{00000000-0005-0000-0000-00006C060000}"/>
    <cellStyle name="Comma 3 32 2 2 2" xfId="3969" xr:uid="{00000000-0005-0000-0000-00006D060000}"/>
    <cellStyle name="Comma 3 32 2 3" xfId="2449" xr:uid="{00000000-0005-0000-0000-00006E060000}"/>
    <cellStyle name="Comma 3 32 2 3 2" xfId="4693" xr:uid="{00000000-0005-0000-0000-00006F060000}"/>
    <cellStyle name="Comma 3 32 2 4" xfId="3183" xr:uid="{00000000-0005-0000-0000-000070060000}"/>
    <cellStyle name="Comma 3 32 3" xfId="1190" xr:uid="{00000000-0005-0000-0000-000071060000}"/>
    <cellStyle name="Comma 3 32 3 2" xfId="1977" xr:uid="{00000000-0005-0000-0000-000072060000}"/>
    <cellStyle name="Comma 3 32 3 2 2" xfId="4221" xr:uid="{00000000-0005-0000-0000-000073060000}"/>
    <cellStyle name="Comma 3 32 3 3" xfId="2701" xr:uid="{00000000-0005-0000-0000-000074060000}"/>
    <cellStyle name="Comma 3 32 3 3 2" xfId="4945" xr:uid="{00000000-0005-0000-0000-000075060000}"/>
    <cellStyle name="Comma 3 32 3 4" xfId="3435" xr:uid="{00000000-0005-0000-0000-000076060000}"/>
    <cellStyle name="Comma 3 32 4" xfId="1405" xr:uid="{00000000-0005-0000-0000-000077060000}"/>
    <cellStyle name="Comma 3 32 4 2" xfId="3649" xr:uid="{00000000-0005-0000-0000-000078060000}"/>
    <cellStyle name="Comma 3 32 5" xfId="2191" xr:uid="{00000000-0005-0000-0000-000079060000}"/>
    <cellStyle name="Comma 3 32 5 2" xfId="4435" xr:uid="{00000000-0005-0000-0000-00007A060000}"/>
    <cellStyle name="Comma 3 32 6" xfId="2915" xr:uid="{00000000-0005-0000-0000-00007B060000}"/>
    <cellStyle name="Comma 3 33" xfId="126" xr:uid="{00000000-0005-0000-0000-00007C060000}"/>
    <cellStyle name="Comma 3 33 2" xfId="938" xr:uid="{00000000-0005-0000-0000-00007D060000}"/>
    <cellStyle name="Comma 3 33 2 2" xfId="1726" xr:uid="{00000000-0005-0000-0000-00007E060000}"/>
    <cellStyle name="Comma 3 33 2 2 2" xfId="3970" xr:uid="{00000000-0005-0000-0000-00007F060000}"/>
    <cellStyle name="Comma 3 33 2 3" xfId="2450" xr:uid="{00000000-0005-0000-0000-000080060000}"/>
    <cellStyle name="Comma 3 33 2 3 2" xfId="4694" xr:uid="{00000000-0005-0000-0000-000081060000}"/>
    <cellStyle name="Comma 3 33 2 4" xfId="3184" xr:uid="{00000000-0005-0000-0000-000082060000}"/>
    <cellStyle name="Comma 3 33 3" xfId="1191" xr:uid="{00000000-0005-0000-0000-000083060000}"/>
    <cellStyle name="Comma 3 33 3 2" xfId="1978" xr:uid="{00000000-0005-0000-0000-000084060000}"/>
    <cellStyle name="Comma 3 33 3 2 2" xfId="4222" xr:uid="{00000000-0005-0000-0000-000085060000}"/>
    <cellStyle name="Comma 3 33 3 3" xfId="2702" xr:uid="{00000000-0005-0000-0000-000086060000}"/>
    <cellStyle name="Comma 3 33 3 3 2" xfId="4946" xr:uid="{00000000-0005-0000-0000-000087060000}"/>
    <cellStyle name="Comma 3 33 3 4" xfId="3436" xr:uid="{00000000-0005-0000-0000-000088060000}"/>
    <cellStyle name="Comma 3 33 4" xfId="1406" xr:uid="{00000000-0005-0000-0000-000089060000}"/>
    <cellStyle name="Comma 3 33 4 2" xfId="3650" xr:uid="{00000000-0005-0000-0000-00008A060000}"/>
    <cellStyle name="Comma 3 33 5" xfId="2192" xr:uid="{00000000-0005-0000-0000-00008B060000}"/>
    <cellStyle name="Comma 3 33 5 2" xfId="4436" xr:uid="{00000000-0005-0000-0000-00008C060000}"/>
    <cellStyle name="Comma 3 33 6" xfId="2916" xr:uid="{00000000-0005-0000-0000-00008D060000}"/>
    <cellStyle name="Comma 3 34" xfId="127" xr:uid="{00000000-0005-0000-0000-00008E060000}"/>
    <cellStyle name="Comma 3 34 2" xfId="939" xr:uid="{00000000-0005-0000-0000-00008F060000}"/>
    <cellStyle name="Comma 3 34 2 2" xfId="1727" xr:uid="{00000000-0005-0000-0000-000090060000}"/>
    <cellStyle name="Comma 3 34 2 2 2" xfId="3971" xr:uid="{00000000-0005-0000-0000-000091060000}"/>
    <cellStyle name="Comma 3 34 2 3" xfId="2451" xr:uid="{00000000-0005-0000-0000-000092060000}"/>
    <cellStyle name="Comma 3 34 2 3 2" xfId="4695" xr:uid="{00000000-0005-0000-0000-000093060000}"/>
    <cellStyle name="Comma 3 34 2 4" xfId="3185" xr:uid="{00000000-0005-0000-0000-000094060000}"/>
    <cellStyle name="Comma 3 34 3" xfId="1192" xr:uid="{00000000-0005-0000-0000-000095060000}"/>
    <cellStyle name="Comma 3 34 3 2" xfId="1979" xr:uid="{00000000-0005-0000-0000-000096060000}"/>
    <cellStyle name="Comma 3 34 3 2 2" xfId="4223" xr:uid="{00000000-0005-0000-0000-000097060000}"/>
    <cellStyle name="Comma 3 34 3 3" xfId="2703" xr:uid="{00000000-0005-0000-0000-000098060000}"/>
    <cellStyle name="Comma 3 34 3 3 2" xfId="4947" xr:uid="{00000000-0005-0000-0000-000099060000}"/>
    <cellStyle name="Comma 3 34 3 4" xfId="3437" xr:uid="{00000000-0005-0000-0000-00009A060000}"/>
    <cellStyle name="Comma 3 34 4" xfId="1407" xr:uid="{00000000-0005-0000-0000-00009B060000}"/>
    <cellStyle name="Comma 3 34 4 2" xfId="3651" xr:uid="{00000000-0005-0000-0000-00009C060000}"/>
    <cellStyle name="Comma 3 34 5" xfId="2193" xr:uid="{00000000-0005-0000-0000-00009D060000}"/>
    <cellStyle name="Comma 3 34 5 2" xfId="4437" xr:uid="{00000000-0005-0000-0000-00009E060000}"/>
    <cellStyle name="Comma 3 34 6" xfId="2917" xr:uid="{00000000-0005-0000-0000-00009F060000}"/>
    <cellStyle name="Comma 3 35" xfId="128" xr:uid="{00000000-0005-0000-0000-0000A0060000}"/>
    <cellStyle name="Comma 3 35 2" xfId="940" xr:uid="{00000000-0005-0000-0000-0000A1060000}"/>
    <cellStyle name="Comma 3 35 2 2" xfId="1728" xr:uid="{00000000-0005-0000-0000-0000A2060000}"/>
    <cellStyle name="Comma 3 35 2 2 2" xfId="3972" xr:uid="{00000000-0005-0000-0000-0000A3060000}"/>
    <cellStyle name="Comma 3 35 2 3" xfId="2452" xr:uid="{00000000-0005-0000-0000-0000A4060000}"/>
    <cellStyle name="Comma 3 35 2 3 2" xfId="4696" xr:uid="{00000000-0005-0000-0000-0000A5060000}"/>
    <cellStyle name="Comma 3 35 2 4" xfId="3186" xr:uid="{00000000-0005-0000-0000-0000A6060000}"/>
    <cellStyle name="Comma 3 35 3" xfId="1193" xr:uid="{00000000-0005-0000-0000-0000A7060000}"/>
    <cellStyle name="Comma 3 35 3 2" xfId="1980" xr:uid="{00000000-0005-0000-0000-0000A8060000}"/>
    <cellStyle name="Comma 3 35 3 2 2" xfId="4224" xr:uid="{00000000-0005-0000-0000-0000A9060000}"/>
    <cellStyle name="Comma 3 35 3 3" xfId="2704" xr:uid="{00000000-0005-0000-0000-0000AA060000}"/>
    <cellStyle name="Comma 3 35 3 3 2" xfId="4948" xr:uid="{00000000-0005-0000-0000-0000AB060000}"/>
    <cellStyle name="Comma 3 35 3 4" xfId="3438" xr:uid="{00000000-0005-0000-0000-0000AC060000}"/>
    <cellStyle name="Comma 3 35 4" xfId="1408" xr:uid="{00000000-0005-0000-0000-0000AD060000}"/>
    <cellStyle name="Comma 3 35 4 2" xfId="3652" xr:uid="{00000000-0005-0000-0000-0000AE060000}"/>
    <cellStyle name="Comma 3 35 5" xfId="2194" xr:uid="{00000000-0005-0000-0000-0000AF060000}"/>
    <cellStyle name="Comma 3 35 5 2" xfId="4438" xr:uid="{00000000-0005-0000-0000-0000B0060000}"/>
    <cellStyle name="Comma 3 35 6" xfId="2918" xr:uid="{00000000-0005-0000-0000-0000B1060000}"/>
    <cellStyle name="Comma 3 36" xfId="129" xr:uid="{00000000-0005-0000-0000-0000B2060000}"/>
    <cellStyle name="Comma 3 36 2" xfId="941" xr:uid="{00000000-0005-0000-0000-0000B3060000}"/>
    <cellStyle name="Comma 3 36 2 2" xfId="1729" xr:uid="{00000000-0005-0000-0000-0000B4060000}"/>
    <cellStyle name="Comma 3 36 2 2 2" xfId="3973" xr:uid="{00000000-0005-0000-0000-0000B5060000}"/>
    <cellStyle name="Comma 3 36 2 3" xfId="2453" xr:uid="{00000000-0005-0000-0000-0000B6060000}"/>
    <cellStyle name="Comma 3 36 2 3 2" xfId="4697" xr:uid="{00000000-0005-0000-0000-0000B7060000}"/>
    <cellStyle name="Comma 3 36 2 4" xfId="3187" xr:uid="{00000000-0005-0000-0000-0000B8060000}"/>
    <cellStyle name="Comma 3 36 3" xfId="1194" xr:uid="{00000000-0005-0000-0000-0000B9060000}"/>
    <cellStyle name="Comma 3 36 3 2" xfId="1981" xr:uid="{00000000-0005-0000-0000-0000BA060000}"/>
    <cellStyle name="Comma 3 36 3 2 2" xfId="4225" xr:uid="{00000000-0005-0000-0000-0000BB060000}"/>
    <cellStyle name="Comma 3 36 3 3" xfId="2705" xr:uid="{00000000-0005-0000-0000-0000BC060000}"/>
    <cellStyle name="Comma 3 36 3 3 2" xfId="4949" xr:uid="{00000000-0005-0000-0000-0000BD060000}"/>
    <cellStyle name="Comma 3 36 3 4" xfId="3439" xr:uid="{00000000-0005-0000-0000-0000BE060000}"/>
    <cellStyle name="Comma 3 36 4" xfId="1409" xr:uid="{00000000-0005-0000-0000-0000BF060000}"/>
    <cellStyle name="Comma 3 36 4 2" xfId="3653" xr:uid="{00000000-0005-0000-0000-0000C0060000}"/>
    <cellStyle name="Comma 3 36 5" xfId="2195" xr:uid="{00000000-0005-0000-0000-0000C1060000}"/>
    <cellStyle name="Comma 3 36 5 2" xfId="4439" xr:uid="{00000000-0005-0000-0000-0000C2060000}"/>
    <cellStyle name="Comma 3 36 6" xfId="2919" xr:uid="{00000000-0005-0000-0000-0000C3060000}"/>
    <cellStyle name="Comma 3 37" xfId="130" xr:uid="{00000000-0005-0000-0000-0000C4060000}"/>
    <cellStyle name="Comma 3 37 2" xfId="942" xr:uid="{00000000-0005-0000-0000-0000C5060000}"/>
    <cellStyle name="Comma 3 37 2 2" xfId="1730" xr:uid="{00000000-0005-0000-0000-0000C6060000}"/>
    <cellStyle name="Comma 3 37 2 2 2" xfId="3974" xr:uid="{00000000-0005-0000-0000-0000C7060000}"/>
    <cellStyle name="Comma 3 37 2 3" xfId="2454" xr:uid="{00000000-0005-0000-0000-0000C8060000}"/>
    <cellStyle name="Comma 3 37 2 3 2" xfId="4698" xr:uid="{00000000-0005-0000-0000-0000C9060000}"/>
    <cellStyle name="Comma 3 37 2 4" xfId="3188" xr:uid="{00000000-0005-0000-0000-0000CA060000}"/>
    <cellStyle name="Comma 3 37 3" xfId="1195" xr:uid="{00000000-0005-0000-0000-0000CB060000}"/>
    <cellStyle name="Comma 3 37 3 2" xfId="1982" xr:uid="{00000000-0005-0000-0000-0000CC060000}"/>
    <cellStyle name="Comma 3 37 3 2 2" xfId="4226" xr:uid="{00000000-0005-0000-0000-0000CD060000}"/>
    <cellStyle name="Comma 3 37 3 3" xfId="2706" xr:uid="{00000000-0005-0000-0000-0000CE060000}"/>
    <cellStyle name="Comma 3 37 3 3 2" xfId="4950" xr:uid="{00000000-0005-0000-0000-0000CF060000}"/>
    <cellStyle name="Comma 3 37 3 4" xfId="3440" xr:uid="{00000000-0005-0000-0000-0000D0060000}"/>
    <cellStyle name="Comma 3 37 4" xfId="1410" xr:uid="{00000000-0005-0000-0000-0000D1060000}"/>
    <cellStyle name="Comma 3 37 4 2" xfId="3654" xr:uid="{00000000-0005-0000-0000-0000D2060000}"/>
    <cellStyle name="Comma 3 37 5" xfId="2196" xr:uid="{00000000-0005-0000-0000-0000D3060000}"/>
    <cellStyle name="Comma 3 37 5 2" xfId="4440" xr:uid="{00000000-0005-0000-0000-0000D4060000}"/>
    <cellStyle name="Comma 3 37 6" xfId="2920" xr:uid="{00000000-0005-0000-0000-0000D5060000}"/>
    <cellStyle name="Comma 3 38" xfId="131" xr:uid="{00000000-0005-0000-0000-0000D6060000}"/>
    <cellStyle name="Comma 3 38 2" xfId="943" xr:uid="{00000000-0005-0000-0000-0000D7060000}"/>
    <cellStyle name="Comma 3 38 2 2" xfId="1731" xr:uid="{00000000-0005-0000-0000-0000D8060000}"/>
    <cellStyle name="Comma 3 38 2 2 2" xfId="3975" xr:uid="{00000000-0005-0000-0000-0000D9060000}"/>
    <cellStyle name="Comma 3 38 2 3" xfId="2455" xr:uid="{00000000-0005-0000-0000-0000DA060000}"/>
    <cellStyle name="Comma 3 38 2 3 2" xfId="4699" xr:uid="{00000000-0005-0000-0000-0000DB060000}"/>
    <cellStyle name="Comma 3 38 2 4" xfId="3189" xr:uid="{00000000-0005-0000-0000-0000DC060000}"/>
    <cellStyle name="Comma 3 38 3" xfId="1196" xr:uid="{00000000-0005-0000-0000-0000DD060000}"/>
    <cellStyle name="Comma 3 38 3 2" xfId="1983" xr:uid="{00000000-0005-0000-0000-0000DE060000}"/>
    <cellStyle name="Comma 3 38 3 2 2" xfId="4227" xr:uid="{00000000-0005-0000-0000-0000DF060000}"/>
    <cellStyle name="Comma 3 38 3 3" xfId="2707" xr:uid="{00000000-0005-0000-0000-0000E0060000}"/>
    <cellStyle name="Comma 3 38 3 3 2" xfId="4951" xr:uid="{00000000-0005-0000-0000-0000E1060000}"/>
    <cellStyle name="Comma 3 38 3 4" xfId="3441" xr:uid="{00000000-0005-0000-0000-0000E2060000}"/>
    <cellStyle name="Comma 3 38 4" xfId="1411" xr:uid="{00000000-0005-0000-0000-0000E3060000}"/>
    <cellStyle name="Comma 3 38 4 2" xfId="3655" xr:uid="{00000000-0005-0000-0000-0000E4060000}"/>
    <cellStyle name="Comma 3 38 5" xfId="2197" xr:uid="{00000000-0005-0000-0000-0000E5060000}"/>
    <cellStyle name="Comma 3 38 5 2" xfId="4441" xr:uid="{00000000-0005-0000-0000-0000E6060000}"/>
    <cellStyle name="Comma 3 38 6" xfId="2921" xr:uid="{00000000-0005-0000-0000-0000E7060000}"/>
    <cellStyle name="Comma 3 39" xfId="132" xr:uid="{00000000-0005-0000-0000-0000E8060000}"/>
    <cellStyle name="Comma 3 39 2" xfId="944" xr:uid="{00000000-0005-0000-0000-0000E9060000}"/>
    <cellStyle name="Comma 3 39 2 2" xfId="1732" xr:uid="{00000000-0005-0000-0000-0000EA060000}"/>
    <cellStyle name="Comma 3 39 2 2 2" xfId="3976" xr:uid="{00000000-0005-0000-0000-0000EB060000}"/>
    <cellStyle name="Comma 3 39 2 3" xfId="2456" xr:uid="{00000000-0005-0000-0000-0000EC060000}"/>
    <cellStyle name="Comma 3 39 2 3 2" xfId="4700" xr:uid="{00000000-0005-0000-0000-0000ED060000}"/>
    <cellStyle name="Comma 3 39 2 4" xfId="3190" xr:uid="{00000000-0005-0000-0000-0000EE060000}"/>
    <cellStyle name="Comma 3 39 3" xfId="1197" xr:uid="{00000000-0005-0000-0000-0000EF060000}"/>
    <cellStyle name="Comma 3 39 3 2" xfId="1984" xr:uid="{00000000-0005-0000-0000-0000F0060000}"/>
    <cellStyle name="Comma 3 39 3 2 2" xfId="4228" xr:uid="{00000000-0005-0000-0000-0000F1060000}"/>
    <cellStyle name="Comma 3 39 3 3" xfId="2708" xr:uid="{00000000-0005-0000-0000-0000F2060000}"/>
    <cellStyle name="Comma 3 39 3 3 2" xfId="4952" xr:uid="{00000000-0005-0000-0000-0000F3060000}"/>
    <cellStyle name="Comma 3 39 3 4" xfId="3442" xr:uid="{00000000-0005-0000-0000-0000F4060000}"/>
    <cellStyle name="Comma 3 39 4" xfId="1412" xr:uid="{00000000-0005-0000-0000-0000F5060000}"/>
    <cellStyle name="Comma 3 39 4 2" xfId="3656" xr:uid="{00000000-0005-0000-0000-0000F6060000}"/>
    <cellStyle name="Comma 3 39 5" xfId="2198" xr:uid="{00000000-0005-0000-0000-0000F7060000}"/>
    <cellStyle name="Comma 3 39 5 2" xfId="4442" xr:uid="{00000000-0005-0000-0000-0000F8060000}"/>
    <cellStyle name="Comma 3 39 6" xfId="2922" xr:uid="{00000000-0005-0000-0000-0000F9060000}"/>
    <cellStyle name="Comma 3 4" xfId="133" xr:uid="{00000000-0005-0000-0000-0000FA060000}"/>
    <cellStyle name="Comma 3 4 2" xfId="945" xr:uid="{00000000-0005-0000-0000-0000FB060000}"/>
    <cellStyle name="Comma 3 4 2 2" xfId="1733" xr:uid="{00000000-0005-0000-0000-0000FC060000}"/>
    <cellStyle name="Comma 3 4 2 2 2" xfId="3977" xr:uid="{00000000-0005-0000-0000-0000FD060000}"/>
    <cellStyle name="Comma 3 4 2 3" xfId="2457" xr:uid="{00000000-0005-0000-0000-0000FE060000}"/>
    <cellStyle name="Comma 3 4 2 3 2" xfId="4701" xr:uid="{00000000-0005-0000-0000-0000FF060000}"/>
    <cellStyle name="Comma 3 4 2 4" xfId="3191" xr:uid="{00000000-0005-0000-0000-000000070000}"/>
    <cellStyle name="Comma 3 4 3" xfId="1198" xr:uid="{00000000-0005-0000-0000-000001070000}"/>
    <cellStyle name="Comma 3 4 3 2" xfId="1985" xr:uid="{00000000-0005-0000-0000-000002070000}"/>
    <cellStyle name="Comma 3 4 3 2 2" xfId="4229" xr:uid="{00000000-0005-0000-0000-000003070000}"/>
    <cellStyle name="Comma 3 4 3 3" xfId="2709" xr:uid="{00000000-0005-0000-0000-000004070000}"/>
    <cellStyle name="Comma 3 4 3 3 2" xfId="4953" xr:uid="{00000000-0005-0000-0000-000005070000}"/>
    <cellStyle name="Comma 3 4 3 4" xfId="3443" xr:uid="{00000000-0005-0000-0000-000006070000}"/>
    <cellStyle name="Comma 3 4 4" xfId="1413" xr:uid="{00000000-0005-0000-0000-000007070000}"/>
    <cellStyle name="Comma 3 4 4 2" xfId="3657" xr:uid="{00000000-0005-0000-0000-000008070000}"/>
    <cellStyle name="Comma 3 4 5" xfId="2199" xr:uid="{00000000-0005-0000-0000-000009070000}"/>
    <cellStyle name="Comma 3 4 5 2" xfId="4443" xr:uid="{00000000-0005-0000-0000-00000A070000}"/>
    <cellStyle name="Comma 3 4 6" xfId="2923" xr:uid="{00000000-0005-0000-0000-00000B070000}"/>
    <cellStyle name="Comma 3 40" xfId="134" xr:uid="{00000000-0005-0000-0000-00000C070000}"/>
    <cellStyle name="Comma 3 40 2" xfId="946" xr:uid="{00000000-0005-0000-0000-00000D070000}"/>
    <cellStyle name="Comma 3 40 2 2" xfId="1734" xr:uid="{00000000-0005-0000-0000-00000E070000}"/>
    <cellStyle name="Comma 3 40 2 2 2" xfId="3978" xr:uid="{00000000-0005-0000-0000-00000F070000}"/>
    <cellStyle name="Comma 3 40 2 3" xfId="2458" xr:uid="{00000000-0005-0000-0000-000010070000}"/>
    <cellStyle name="Comma 3 40 2 3 2" xfId="4702" xr:uid="{00000000-0005-0000-0000-000011070000}"/>
    <cellStyle name="Comma 3 40 2 4" xfId="3192" xr:uid="{00000000-0005-0000-0000-000012070000}"/>
    <cellStyle name="Comma 3 40 3" xfId="1199" xr:uid="{00000000-0005-0000-0000-000013070000}"/>
    <cellStyle name="Comma 3 40 3 2" xfId="1986" xr:uid="{00000000-0005-0000-0000-000014070000}"/>
    <cellStyle name="Comma 3 40 3 2 2" xfId="4230" xr:uid="{00000000-0005-0000-0000-000015070000}"/>
    <cellStyle name="Comma 3 40 3 3" xfId="2710" xr:uid="{00000000-0005-0000-0000-000016070000}"/>
    <cellStyle name="Comma 3 40 3 3 2" xfId="4954" xr:uid="{00000000-0005-0000-0000-000017070000}"/>
    <cellStyle name="Comma 3 40 3 4" xfId="3444" xr:uid="{00000000-0005-0000-0000-000018070000}"/>
    <cellStyle name="Comma 3 40 4" xfId="1414" xr:uid="{00000000-0005-0000-0000-000019070000}"/>
    <cellStyle name="Comma 3 40 4 2" xfId="3658" xr:uid="{00000000-0005-0000-0000-00001A070000}"/>
    <cellStyle name="Comma 3 40 5" xfId="2200" xr:uid="{00000000-0005-0000-0000-00001B070000}"/>
    <cellStyle name="Comma 3 40 5 2" xfId="4444" xr:uid="{00000000-0005-0000-0000-00001C070000}"/>
    <cellStyle name="Comma 3 40 6" xfId="2924" xr:uid="{00000000-0005-0000-0000-00001D070000}"/>
    <cellStyle name="Comma 3 41" xfId="135" xr:uid="{00000000-0005-0000-0000-00001E070000}"/>
    <cellStyle name="Comma 3 41 2" xfId="947" xr:uid="{00000000-0005-0000-0000-00001F070000}"/>
    <cellStyle name="Comma 3 41 2 2" xfId="1735" xr:uid="{00000000-0005-0000-0000-000020070000}"/>
    <cellStyle name="Comma 3 41 2 2 2" xfId="3979" xr:uid="{00000000-0005-0000-0000-000021070000}"/>
    <cellStyle name="Comma 3 41 2 3" xfId="2459" xr:uid="{00000000-0005-0000-0000-000022070000}"/>
    <cellStyle name="Comma 3 41 2 3 2" xfId="4703" xr:uid="{00000000-0005-0000-0000-000023070000}"/>
    <cellStyle name="Comma 3 41 2 4" xfId="3193" xr:uid="{00000000-0005-0000-0000-000024070000}"/>
    <cellStyle name="Comma 3 41 3" xfId="1200" xr:uid="{00000000-0005-0000-0000-000025070000}"/>
    <cellStyle name="Comma 3 41 3 2" xfId="1987" xr:uid="{00000000-0005-0000-0000-000026070000}"/>
    <cellStyle name="Comma 3 41 3 2 2" xfId="4231" xr:uid="{00000000-0005-0000-0000-000027070000}"/>
    <cellStyle name="Comma 3 41 3 3" xfId="2711" xr:uid="{00000000-0005-0000-0000-000028070000}"/>
    <cellStyle name="Comma 3 41 3 3 2" xfId="4955" xr:uid="{00000000-0005-0000-0000-000029070000}"/>
    <cellStyle name="Comma 3 41 3 4" xfId="3445" xr:uid="{00000000-0005-0000-0000-00002A070000}"/>
    <cellStyle name="Comma 3 41 4" xfId="1415" xr:uid="{00000000-0005-0000-0000-00002B070000}"/>
    <cellStyle name="Comma 3 41 4 2" xfId="3659" xr:uid="{00000000-0005-0000-0000-00002C070000}"/>
    <cellStyle name="Comma 3 41 5" xfId="2201" xr:uid="{00000000-0005-0000-0000-00002D070000}"/>
    <cellStyle name="Comma 3 41 5 2" xfId="4445" xr:uid="{00000000-0005-0000-0000-00002E070000}"/>
    <cellStyle name="Comma 3 41 6" xfId="2925" xr:uid="{00000000-0005-0000-0000-00002F070000}"/>
    <cellStyle name="Comma 3 42" xfId="136" xr:uid="{00000000-0005-0000-0000-000030070000}"/>
    <cellStyle name="Comma 3 42 2" xfId="948" xr:uid="{00000000-0005-0000-0000-000031070000}"/>
    <cellStyle name="Comma 3 42 2 2" xfId="1736" xr:uid="{00000000-0005-0000-0000-000032070000}"/>
    <cellStyle name="Comma 3 42 2 2 2" xfId="3980" xr:uid="{00000000-0005-0000-0000-000033070000}"/>
    <cellStyle name="Comma 3 42 2 3" xfId="2460" xr:uid="{00000000-0005-0000-0000-000034070000}"/>
    <cellStyle name="Comma 3 42 2 3 2" xfId="4704" xr:uid="{00000000-0005-0000-0000-000035070000}"/>
    <cellStyle name="Comma 3 42 2 4" xfId="3194" xr:uid="{00000000-0005-0000-0000-000036070000}"/>
    <cellStyle name="Comma 3 42 3" xfId="1201" xr:uid="{00000000-0005-0000-0000-000037070000}"/>
    <cellStyle name="Comma 3 42 3 2" xfId="1988" xr:uid="{00000000-0005-0000-0000-000038070000}"/>
    <cellStyle name="Comma 3 42 3 2 2" xfId="4232" xr:uid="{00000000-0005-0000-0000-000039070000}"/>
    <cellStyle name="Comma 3 42 3 3" xfId="2712" xr:uid="{00000000-0005-0000-0000-00003A070000}"/>
    <cellStyle name="Comma 3 42 3 3 2" xfId="4956" xr:uid="{00000000-0005-0000-0000-00003B070000}"/>
    <cellStyle name="Comma 3 42 3 4" xfId="3446" xr:uid="{00000000-0005-0000-0000-00003C070000}"/>
    <cellStyle name="Comma 3 42 4" xfId="1416" xr:uid="{00000000-0005-0000-0000-00003D070000}"/>
    <cellStyle name="Comma 3 42 4 2" xfId="3660" xr:uid="{00000000-0005-0000-0000-00003E070000}"/>
    <cellStyle name="Comma 3 42 5" xfId="2202" xr:uid="{00000000-0005-0000-0000-00003F070000}"/>
    <cellStyle name="Comma 3 42 5 2" xfId="4446" xr:uid="{00000000-0005-0000-0000-000040070000}"/>
    <cellStyle name="Comma 3 42 6" xfId="2926" xr:uid="{00000000-0005-0000-0000-000041070000}"/>
    <cellStyle name="Comma 3 43" xfId="137" xr:uid="{00000000-0005-0000-0000-000042070000}"/>
    <cellStyle name="Comma 3 43 2" xfId="949" xr:uid="{00000000-0005-0000-0000-000043070000}"/>
    <cellStyle name="Comma 3 43 2 2" xfId="1737" xr:uid="{00000000-0005-0000-0000-000044070000}"/>
    <cellStyle name="Comma 3 43 2 2 2" xfId="3981" xr:uid="{00000000-0005-0000-0000-000045070000}"/>
    <cellStyle name="Comma 3 43 2 3" xfId="2461" xr:uid="{00000000-0005-0000-0000-000046070000}"/>
    <cellStyle name="Comma 3 43 2 3 2" xfId="4705" xr:uid="{00000000-0005-0000-0000-000047070000}"/>
    <cellStyle name="Comma 3 43 2 4" xfId="3195" xr:uid="{00000000-0005-0000-0000-000048070000}"/>
    <cellStyle name="Comma 3 43 3" xfId="1202" xr:uid="{00000000-0005-0000-0000-000049070000}"/>
    <cellStyle name="Comma 3 43 3 2" xfId="1989" xr:uid="{00000000-0005-0000-0000-00004A070000}"/>
    <cellStyle name="Comma 3 43 3 2 2" xfId="4233" xr:uid="{00000000-0005-0000-0000-00004B070000}"/>
    <cellStyle name="Comma 3 43 3 3" xfId="2713" xr:uid="{00000000-0005-0000-0000-00004C070000}"/>
    <cellStyle name="Comma 3 43 3 3 2" xfId="4957" xr:uid="{00000000-0005-0000-0000-00004D070000}"/>
    <cellStyle name="Comma 3 43 3 4" xfId="3447" xr:uid="{00000000-0005-0000-0000-00004E070000}"/>
    <cellStyle name="Comma 3 43 4" xfId="1417" xr:uid="{00000000-0005-0000-0000-00004F070000}"/>
    <cellStyle name="Comma 3 43 4 2" xfId="3661" xr:uid="{00000000-0005-0000-0000-000050070000}"/>
    <cellStyle name="Comma 3 43 5" xfId="2203" xr:uid="{00000000-0005-0000-0000-000051070000}"/>
    <cellStyle name="Comma 3 43 5 2" xfId="4447" xr:uid="{00000000-0005-0000-0000-000052070000}"/>
    <cellStyle name="Comma 3 43 6" xfId="2927" xr:uid="{00000000-0005-0000-0000-000053070000}"/>
    <cellStyle name="Comma 3 44" xfId="138" xr:uid="{00000000-0005-0000-0000-000054070000}"/>
    <cellStyle name="Comma 3 44 2" xfId="950" xr:uid="{00000000-0005-0000-0000-000055070000}"/>
    <cellStyle name="Comma 3 44 2 2" xfId="1738" xr:uid="{00000000-0005-0000-0000-000056070000}"/>
    <cellStyle name="Comma 3 44 2 2 2" xfId="3982" xr:uid="{00000000-0005-0000-0000-000057070000}"/>
    <cellStyle name="Comma 3 44 2 3" xfId="2462" xr:uid="{00000000-0005-0000-0000-000058070000}"/>
    <cellStyle name="Comma 3 44 2 3 2" xfId="4706" xr:uid="{00000000-0005-0000-0000-000059070000}"/>
    <cellStyle name="Comma 3 44 2 4" xfId="3196" xr:uid="{00000000-0005-0000-0000-00005A070000}"/>
    <cellStyle name="Comma 3 44 3" xfId="1203" xr:uid="{00000000-0005-0000-0000-00005B070000}"/>
    <cellStyle name="Comma 3 44 3 2" xfId="1990" xr:uid="{00000000-0005-0000-0000-00005C070000}"/>
    <cellStyle name="Comma 3 44 3 2 2" xfId="4234" xr:uid="{00000000-0005-0000-0000-00005D070000}"/>
    <cellStyle name="Comma 3 44 3 3" xfId="2714" xr:uid="{00000000-0005-0000-0000-00005E070000}"/>
    <cellStyle name="Comma 3 44 3 3 2" xfId="4958" xr:uid="{00000000-0005-0000-0000-00005F070000}"/>
    <cellStyle name="Comma 3 44 3 4" xfId="3448" xr:uid="{00000000-0005-0000-0000-000060070000}"/>
    <cellStyle name="Comma 3 44 4" xfId="1418" xr:uid="{00000000-0005-0000-0000-000061070000}"/>
    <cellStyle name="Comma 3 44 4 2" xfId="3662" xr:uid="{00000000-0005-0000-0000-000062070000}"/>
    <cellStyle name="Comma 3 44 5" xfId="2204" xr:uid="{00000000-0005-0000-0000-000063070000}"/>
    <cellStyle name="Comma 3 44 5 2" xfId="4448" xr:uid="{00000000-0005-0000-0000-000064070000}"/>
    <cellStyle name="Comma 3 44 6" xfId="2928" xr:uid="{00000000-0005-0000-0000-000065070000}"/>
    <cellStyle name="Comma 3 45" xfId="139" xr:uid="{00000000-0005-0000-0000-000066070000}"/>
    <cellStyle name="Comma 3 45 2" xfId="951" xr:uid="{00000000-0005-0000-0000-000067070000}"/>
    <cellStyle name="Comma 3 45 2 2" xfId="1739" xr:uid="{00000000-0005-0000-0000-000068070000}"/>
    <cellStyle name="Comma 3 45 2 2 2" xfId="3983" xr:uid="{00000000-0005-0000-0000-000069070000}"/>
    <cellStyle name="Comma 3 45 2 3" xfId="2463" xr:uid="{00000000-0005-0000-0000-00006A070000}"/>
    <cellStyle name="Comma 3 45 2 3 2" xfId="4707" xr:uid="{00000000-0005-0000-0000-00006B070000}"/>
    <cellStyle name="Comma 3 45 2 4" xfId="3197" xr:uid="{00000000-0005-0000-0000-00006C070000}"/>
    <cellStyle name="Comma 3 45 3" xfId="1204" xr:uid="{00000000-0005-0000-0000-00006D070000}"/>
    <cellStyle name="Comma 3 45 3 2" xfId="1991" xr:uid="{00000000-0005-0000-0000-00006E070000}"/>
    <cellStyle name="Comma 3 45 3 2 2" xfId="4235" xr:uid="{00000000-0005-0000-0000-00006F070000}"/>
    <cellStyle name="Comma 3 45 3 3" xfId="2715" xr:uid="{00000000-0005-0000-0000-000070070000}"/>
    <cellStyle name="Comma 3 45 3 3 2" xfId="4959" xr:uid="{00000000-0005-0000-0000-000071070000}"/>
    <cellStyle name="Comma 3 45 3 4" xfId="3449" xr:uid="{00000000-0005-0000-0000-000072070000}"/>
    <cellStyle name="Comma 3 45 4" xfId="1419" xr:uid="{00000000-0005-0000-0000-000073070000}"/>
    <cellStyle name="Comma 3 45 4 2" xfId="3663" xr:uid="{00000000-0005-0000-0000-000074070000}"/>
    <cellStyle name="Comma 3 45 5" xfId="2205" xr:uid="{00000000-0005-0000-0000-000075070000}"/>
    <cellStyle name="Comma 3 45 5 2" xfId="4449" xr:uid="{00000000-0005-0000-0000-000076070000}"/>
    <cellStyle name="Comma 3 45 6" xfId="2929" xr:uid="{00000000-0005-0000-0000-000077070000}"/>
    <cellStyle name="Comma 3 46" xfId="140" xr:uid="{00000000-0005-0000-0000-000078070000}"/>
    <cellStyle name="Comma 3 46 2" xfId="952" xr:uid="{00000000-0005-0000-0000-000079070000}"/>
    <cellStyle name="Comma 3 46 2 2" xfId="1740" xr:uid="{00000000-0005-0000-0000-00007A070000}"/>
    <cellStyle name="Comma 3 46 2 2 2" xfId="3984" xr:uid="{00000000-0005-0000-0000-00007B070000}"/>
    <cellStyle name="Comma 3 46 2 3" xfId="2464" xr:uid="{00000000-0005-0000-0000-00007C070000}"/>
    <cellStyle name="Comma 3 46 2 3 2" xfId="4708" xr:uid="{00000000-0005-0000-0000-00007D070000}"/>
    <cellStyle name="Comma 3 46 2 4" xfId="3198" xr:uid="{00000000-0005-0000-0000-00007E070000}"/>
    <cellStyle name="Comma 3 46 3" xfId="1205" xr:uid="{00000000-0005-0000-0000-00007F070000}"/>
    <cellStyle name="Comma 3 46 3 2" xfId="1992" xr:uid="{00000000-0005-0000-0000-000080070000}"/>
    <cellStyle name="Comma 3 46 3 2 2" xfId="4236" xr:uid="{00000000-0005-0000-0000-000081070000}"/>
    <cellStyle name="Comma 3 46 3 3" xfId="2716" xr:uid="{00000000-0005-0000-0000-000082070000}"/>
    <cellStyle name="Comma 3 46 3 3 2" xfId="4960" xr:uid="{00000000-0005-0000-0000-000083070000}"/>
    <cellStyle name="Comma 3 46 3 4" xfId="3450" xr:uid="{00000000-0005-0000-0000-000084070000}"/>
    <cellStyle name="Comma 3 46 4" xfId="1420" xr:uid="{00000000-0005-0000-0000-000085070000}"/>
    <cellStyle name="Comma 3 46 4 2" xfId="3664" xr:uid="{00000000-0005-0000-0000-000086070000}"/>
    <cellStyle name="Comma 3 46 5" xfId="2206" xr:uid="{00000000-0005-0000-0000-000087070000}"/>
    <cellStyle name="Comma 3 46 5 2" xfId="4450" xr:uid="{00000000-0005-0000-0000-000088070000}"/>
    <cellStyle name="Comma 3 46 6" xfId="2930" xr:uid="{00000000-0005-0000-0000-000089070000}"/>
    <cellStyle name="Comma 3 47" xfId="141" xr:uid="{00000000-0005-0000-0000-00008A070000}"/>
    <cellStyle name="Comma 3 47 2" xfId="953" xr:uid="{00000000-0005-0000-0000-00008B070000}"/>
    <cellStyle name="Comma 3 47 2 2" xfId="1741" xr:uid="{00000000-0005-0000-0000-00008C070000}"/>
    <cellStyle name="Comma 3 47 2 2 2" xfId="3985" xr:uid="{00000000-0005-0000-0000-00008D070000}"/>
    <cellStyle name="Comma 3 47 2 3" xfId="2465" xr:uid="{00000000-0005-0000-0000-00008E070000}"/>
    <cellStyle name="Comma 3 47 2 3 2" xfId="4709" xr:uid="{00000000-0005-0000-0000-00008F070000}"/>
    <cellStyle name="Comma 3 47 2 4" xfId="3199" xr:uid="{00000000-0005-0000-0000-000090070000}"/>
    <cellStyle name="Comma 3 47 3" xfId="1206" xr:uid="{00000000-0005-0000-0000-000091070000}"/>
    <cellStyle name="Comma 3 47 3 2" xfId="1993" xr:uid="{00000000-0005-0000-0000-000092070000}"/>
    <cellStyle name="Comma 3 47 3 2 2" xfId="4237" xr:uid="{00000000-0005-0000-0000-000093070000}"/>
    <cellStyle name="Comma 3 47 3 3" xfId="2717" xr:uid="{00000000-0005-0000-0000-000094070000}"/>
    <cellStyle name="Comma 3 47 3 3 2" xfId="4961" xr:uid="{00000000-0005-0000-0000-000095070000}"/>
    <cellStyle name="Comma 3 47 3 4" xfId="3451" xr:uid="{00000000-0005-0000-0000-000096070000}"/>
    <cellStyle name="Comma 3 47 4" xfId="1421" xr:uid="{00000000-0005-0000-0000-000097070000}"/>
    <cellStyle name="Comma 3 47 4 2" xfId="3665" xr:uid="{00000000-0005-0000-0000-000098070000}"/>
    <cellStyle name="Comma 3 47 5" xfId="2207" xr:uid="{00000000-0005-0000-0000-000099070000}"/>
    <cellStyle name="Comma 3 47 5 2" xfId="4451" xr:uid="{00000000-0005-0000-0000-00009A070000}"/>
    <cellStyle name="Comma 3 47 6" xfId="2931" xr:uid="{00000000-0005-0000-0000-00009B070000}"/>
    <cellStyle name="Comma 3 48" xfId="142" xr:uid="{00000000-0005-0000-0000-00009C070000}"/>
    <cellStyle name="Comma 3 48 2" xfId="954" xr:uid="{00000000-0005-0000-0000-00009D070000}"/>
    <cellStyle name="Comma 3 48 2 2" xfId="1742" xr:uid="{00000000-0005-0000-0000-00009E070000}"/>
    <cellStyle name="Comma 3 48 2 2 2" xfId="3986" xr:uid="{00000000-0005-0000-0000-00009F070000}"/>
    <cellStyle name="Comma 3 48 2 3" xfId="2466" xr:uid="{00000000-0005-0000-0000-0000A0070000}"/>
    <cellStyle name="Comma 3 48 2 3 2" xfId="4710" xr:uid="{00000000-0005-0000-0000-0000A1070000}"/>
    <cellStyle name="Comma 3 48 2 4" xfId="3200" xr:uid="{00000000-0005-0000-0000-0000A2070000}"/>
    <cellStyle name="Comma 3 48 3" xfId="1207" xr:uid="{00000000-0005-0000-0000-0000A3070000}"/>
    <cellStyle name="Comma 3 48 3 2" xfId="1994" xr:uid="{00000000-0005-0000-0000-0000A4070000}"/>
    <cellStyle name="Comma 3 48 3 2 2" xfId="4238" xr:uid="{00000000-0005-0000-0000-0000A5070000}"/>
    <cellStyle name="Comma 3 48 3 3" xfId="2718" xr:uid="{00000000-0005-0000-0000-0000A6070000}"/>
    <cellStyle name="Comma 3 48 3 3 2" xfId="4962" xr:uid="{00000000-0005-0000-0000-0000A7070000}"/>
    <cellStyle name="Comma 3 48 3 4" xfId="3452" xr:uid="{00000000-0005-0000-0000-0000A8070000}"/>
    <cellStyle name="Comma 3 48 4" xfId="1422" xr:uid="{00000000-0005-0000-0000-0000A9070000}"/>
    <cellStyle name="Comma 3 48 4 2" xfId="3666" xr:uid="{00000000-0005-0000-0000-0000AA070000}"/>
    <cellStyle name="Comma 3 48 5" xfId="2208" xr:uid="{00000000-0005-0000-0000-0000AB070000}"/>
    <cellStyle name="Comma 3 48 5 2" xfId="4452" xr:uid="{00000000-0005-0000-0000-0000AC070000}"/>
    <cellStyle name="Comma 3 48 6" xfId="2932" xr:uid="{00000000-0005-0000-0000-0000AD070000}"/>
    <cellStyle name="Comma 3 49" xfId="143" xr:uid="{00000000-0005-0000-0000-0000AE070000}"/>
    <cellStyle name="Comma 3 49 2" xfId="955" xr:uid="{00000000-0005-0000-0000-0000AF070000}"/>
    <cellStyle name="Comma 3 49 2 2" xfId="1743" xr:uid="{00000000-0005-0000-0000-0000B0070000}"/>
    <cellStyle name="Comma 3 49 2 2 2" xfId="3987" xr:uid="{00000000-0005-0000-0000-0000B1070000}"/>
    <cellStyle name="Comma 3 49 2 3" xfId="2467" xr:uid="{00000000-0005-0000-0000-0000B2070000}"/>
    <cellStyle name="Comma 3 49 2 3 2" xfId="4711" xr:uid="{00000000-0005-0000-0000-0000B3070000}"/>
    <cellStyle name="Comma 3 49 2 4" xfId="3201" xr:uid="{00000000-0005-0000-0000-0000B4070000}"/>
    <cellStyle name="Comma 3 49 3" xfId="1208" xr:uid="{00000000-0005-0000-0000-0000B5070000}"/>
    <cellStyle name="Comma 3 49 3 2" xfId="1995" xr:uid="{00000000-0005-0000-0000-0000B6070000}"/>
    <cellStyle name="Comma 3 49 3 2 2" xfId="4239" xr:uid="{00000000-0005-0000-0000-0000B7070000}"/>
    <cellStyle name="Comma 3 49 3 3" xfId="2719" xr:uid="{00000000-0005-0000-0000-0000B8070000}"/>
    <cellStyle name="Comma 3 49 3 3 2" xfId="4963" xr:uid="{00000000-0005-0000-0000-0000B9070000}"/>
    <cellStyle name="Comma 3 49 3 4" xfId="3453" xr:uid="{00000000-0005-0000-0000-0000BA070000}"/>
    <cellStyle name="Comma 3 49 4" xfId="1423" xr:uid="{00000000-0005-0000-0000-0000BB070000}"/>
    <cellStyle name="Comma 3 49 4 2" xfId="3667" xr:uid="{00000000-0005-0000-0000-0000BC070000}"/>
    <cellStyle name="Comma 3 49 5" xfId="2209" xr:uid="{00000000-0005-0000-0000-0000BD070000}"/>
    <cellStyle name="Comma 3 49 5 2" xfId="4453" xr:uid="{00000000-0005-0000-0000-0000BE070000}"/>
    <cellStyle name="Comma 3 49 6" xfId="2933" xr:uid="{00000000-0005-0000-0000-0000BF070000}"/>
    <cellStyle name="Comma 3 5" xfId="144" xr:uid="{00000000-0005-0000-0000-0000C0070000}"/>
    <cellStyle name="Comma 3 5 2" xfId="956" xr:uid="{00000000-0005-0000-0000-0000C1070000}"/>
    <cellStyle name="Comma 3 5 2 2" xfId="1744" xr:uid="{00000000-0005-0000-0000-0000C2070000}"/>
    <cellStyle name="Comma 3 5 2 2 2" xfId="3988" xr:uid="{00000000-0005-0000-0000-0000C3070000}"/>
    <cellStyle name="Comma 3 5 2 3" xfId="2468" xr:uid="{00000000-0005-0000-0000-0000C4070000}"/>
    <cellStyle name="Comma 3 5 2 3 2" xfId="4712" xr:uid="{00000000-0005-0000-0000-0000C5070000}"/>
    <cellStyle name="Comma 3 5 2 4" xfId="3202" xr:uid="{00000000-0005-0000-0000-0000C6070000}"/>
    <cellStyle name="Comma 3 5 3" xfId="1209" xr:uid="{00000000-0005-0000-0000-0000C7070000}"/>
    <cellStyle name="Comma 3 5 3 2" xfId="1996" xr:uid="{00000000-0005-0000-0000-0000C8070000}"/>
    <cellStyle name="Comma 3 5 3 2 2" xfId="4240" xr:uid="{00000000-0005-0000-0000-0000C9070000}"/>
    <cellStyle name="Comma 3 5 3 3" xfId="2720" xr:uid="{00000000-0005-0000-0000-0000CA070000}"/>
    <cellStyle name="Comma 3 5 3 3 2" xfId="4964" xr:uid="{00000000-0005-0000-0000-0000CB070000}"/>
    <cellStyle name="Comma 3 5 3 4" xfId="3454" xr:uid="{00000000-0005-0000-0000-0000CC070000}"/>
    <cellStyle name="Comma 3 5 4" xfId="1424" xr:uid="{00000000-0005-0000-0000-0000CD070000}"/>
    <cellStyle name="Comma 3 5 4 2" xfId="3668" xr:uid="{00000000-0005-0000-0000-0000CE070000}"/>
    <cellStyle name="Comma 3 5 5" xfId="2210" xr:uid="{00000000-0005-0000-0000-0000CF070000}"/>
    <cellStyle name="Comma 3 5 5 2" xfId="4454" xr:uid="{00000000-0005-0000-0000-0000D0070000}"/>
    <cellStyle name="Comma 3 5 6" xfId="2934" xr:uid="{00000000-0005-0000-0000-0000D1070000}"/>
    <cellStyle name="Comma 3 50" xfId="145" xr:uid="{00000000-0005-0000-0000-0000D2070000}"/>
    <cellStyle name="Comma 3 50 2" xfId="957" xr:uid="{00000000-0005-0000-0000-0000D3070000}"/>
    <cellStyle name="Comma 3 50 2 2" xfId="1745" xr:uid="{00000000-0005-0000-0000-0000D4070000}"/>
    <cellStyle name="Comma 3 50 2 2 2" xfId="3989" xr:uid="{00000000-0005-0000-0000-0000D5070000}"/>
    <cellStyle name="Comma 3 50 2 3" xfId="2469" xr:uid="{00000000-0005-0000-0000-0000D6070000}"/>
    <cellStyle name="Comma 3 50 2 3 2" xfId="4713" xr:uid="{00000000-0005-0000-0000-0000D7070000}"/>
    <cellStyle name="Comma 3 50 2 4" xfId="3203" xr:uid="{00000000-0005-0000-0000-0000D8070000}"/>
    <cellStyle name="Comma 3 50 3" xfId="1210" xr:uid="{00000000-0005-0000-0000-0000D9070000}"/>
    <cellStyle name="Comma 3 50 3 2" xfId="1997" xr:uid="{00000000-0005-0000-0000-0000DA070000}"/>
    <cellStyle name="Comma 3 50 3 2 2" xfId="4241" xr:uid="{00000000-0005-0000-0000-0000DB070000}"/>
    <cellStyle name="Comma 3 50 3 3" xfId="2721" xr:uid="{00000000-0005-0000-0000-0000DC070000}"/>
    <cellStyle name="Comma 3 50 3 3 2" xfId="4965" xr:uid="{00000000-0005-0000-0000-0000DD070000}"/>
    <cellStyle name="Comma 3 50 3 4" xfId="3455" xr:uid="{00000000-0005-0000-0000-0000DE070000}"/>
    <cellStyle name="Comma 3 50 4" xfId="1425" xr:uid="{00000000-0005-0000-0000-0000DF070000}"/>
    <cellStyle name="Comma 3 50 4 2" xfId="3669" xr:uid="{00000000-0005-0000-0000-0000E0070000}"/>
    <cellStyle name="Comma 3 50 5" xfId="2211" xr:uid="{00000000-0005-0000-0000-0000E1070000}"/>
    <cellStyle name="Comma 3 50 5 2" xfId="4455" xr:uid="{00000000-0005-0000-0000-0000E2070000}"/>
    <cellStyle name="Comma 3 50 6" xfId="2935" xr:uid="{00000000-0005-0000-0000-0000E3070000}"/>
    <cellStyle name="Comma 3 51" xfId="146" xr:uid="{00000000-0005-0000-0000-0000E4070000}"/>
    <cellStyle name="Comma 3 51 2" xfId="958" xr:uid="{00000000-0005-0000-0000-0000E5070000}"/>
    <cellStyle name="Comma 3 51 2 2" xfId="1746" xr:uid="{00000000-0005-0000-0000-0000E6070000}"/>
    <cellStyle name="Comma 3 51 2 2 2" xfId="3990" xr:uid="{00000000-0005-0000-0000-0000E7070000}"/>
    <cellStyle name="Comma 3 51 2 3" xfId="2470" xr:uid="{00000000-0005-0000-0000-0000E8070000}"/>
    <cellStyle name="Comma 3 51 2 3 2" xfId="4714" xr:uid="{00000000-0005-0000-0000-0000E9070000}"/>
    <cellStyle name="Comma 3 51 2 4" xfId="3204" xr:uid="{00000000-0005-0000-0000-0000EA070000}"/>
    <cellStyle name="Comma 3 51 3" xfId="1211" xr:uid="{00000000-0005-0000-0000-0000EB070000}"/>
    <cellStyle name="Comma 3 51 3 2" xfId="1998" xr:uid="{00000000-0005-0000-0000-0000EC070000}"/>
    <cellStyle name="Comma 3 51 3 2 2" xfId="4242" xr:uid="{00000000-0005-0000-0000-0000ED070000}"/>
    <cellStyle name="Comma 3 51 3 3" xfId="2722" xr:uid="{00000000-0005-0000-0000-0000EE070000}"/>
    <cellStyle name="Comma 3 51 3 3 2" xfId="4966" xr:uid="{00000000-0005-0000-0000-0000EF070000}"/>
    <cellStyle name="Comma 3 51 3 4" xfId="3456" xr:uid="{00000000-0005-0000-0000-0000F0070000}"/>
    <cellStyle name="Comma 3 51 4" xfId="1426" xr:uid="{00000000-0005-0000-0000-0000F1070000}"/>
    <cellStyle name="Comma 3 51 4 2" xfId="3670" xr:uid="{00000000-0005-0000-0000-0000F2070000}"/>
    <cellStyle name="Comma 3 51 5" xfId="2212" xr:uid="{00000000-0005-0000-0000-0000F3070000}"/>
    <cellStyle name="Comma 3 51 5 2" xfId="4456" xr:uid="{00000000-0005-0000-0000-0000F4070000}"/>
    <cellStyle name="Comma 3 51 6" xfId="2936" xr:uid="{00000000-0005-0000-0000-0000F5070000}"/>
    <cellStyle name="Comma 3 52" xfId="147" xr:uid="{00000000-0005-0000-0000-0000F6070000}"/>
    <cellStyle name="Comma 3 52 2" xfId="959" xr:uid="{00000000-0005-0000-0000-0000F7070000}"/>
    <cellStyle name="Comma 3 52 2 2" xfId="1747" xr:uid="{00000000-0005-0000-0000-0000F8070000}"/>
    <cellStyle name="Comma 3 52 2 2 2" xfId="3991" xr:uid="{00000000-0005-0000-0000-0000F9070000}"/>
    <cellStyle name="Comma 3 52 2 3" xfId="2471" xr:uid="{00000000-0005-0000-0000-0000FA070000}"/>
    <cellStyle name="Comma 3 52 2 3 2" xfId="4715" xr:uid="{00000000-0005-0000-0000-0000FB070000}"/>
    <cellStyle name="Comma 3 52 2 4" xfId="3205" xr:uid="{00000000-0005-0000-0000-0000FC070000}"/>
    <cellStyle name="Comma 3 52 3" xfId="1212" xr:uid="{00000000-0005-0000-0000-0000FD070000}"/>
    <cellStyle name="Comma 3 52 3 2" xfId="1999" xr:uid="{00000000-0005-0000-0000-0000FE070000}"/>
    <cellStyle name="Comma 3 52 3 2 2" xfId="4243" xr:uid="{00000000-0005-0000-0000-0000FF070000}"/>
    <cellStyle name="Comma 3 52 3 3" xfId="2723" xr:uid="{00000000-0005-0000-0000-000000080000}"/>
    <cellStyle name="Comma 3 52 3 3 2" xfId="4967" xr:uid="{00000000-0005-0000-0000-000001080000}"/>
    <cellStyle name="Comma 3 52 3 4" xfId="3457" xr:uid="{00000000-0005-0000-0000-000002080000}"/>
    <cellStyle name="Comma 3 52 4" xfId="1427" xr:uid="{00000000-0005-0000-0000-000003080000}"/>
    <cellStyle name="Comma 3 52 4 2" xfId="3671" xr:uid="{00000000-0005-0000-0000-000004080000}"/>
    <cellStyle name="Comma 3 52 5" xfId="2213" xr:uid="{00000000-0005-0000-0000-000005080000}"/>
    <cellStyle name="Comma 3 52 5 2" xfId="4457" xr:uid="{00000000-0005-0000-0000-000006080000}"/>
    <cellStyle name="Comma 3 52 6" xfId="2937" xr:uid="{00000000-0005-0000-0000-000007080000}"/>
    <cellStyle name="Comma 3 53" xfId="148" xr:uid="{00000000-0005-0000-0000-000008080000}"/>
    <cellStyle name="Comma 3 53 2" xfId="960" xr:uid="{00000000-0005-0000-0000-000009080000}"/>
    <cellStyle name="Comma 3 53 2 2" xfId="1748" xr:uid="{00000000-0005-0000-0000-00000A080000}"/>
    <cellStyle name="Comma 3 53 2 2 2" xfId="3992" xr:uid="{00000000-0005-0000-0000-00000B080000}"/>
    <cellStyle name="Comma 3 53 2 3" xfId="2472" xr:uid="{00000000-0005-0000-0000-00000C080000}"/>
    <cellStyle name="Comma 3 53 2 3 2" xfId="4716" xr:uid="{00000000-0005-0000-0000-00000D080000}"/>
    <cellStyle name="Comma 3 53 2 4" xfId="3206" xr:uid="{00000000-0005-0000-0000-00000E080000}"/>
    <cellStyle name="Comma 3 53 3" xfId="1213" xr:uid="{00000000-0005-0000-0000-00000F080000}"/>
    <cellStyle name="Comma 3 53 3 2" xfId="2000" xr:uid="{00000000-0005-0000-0000-000010080000}"/>
    <cellStyle name="Comma 3 53 3 2 2" xfId="4244" xr:uid="{00000000-0005-0000-0000-000011080000}"/>
    <cellStyle name="Comma 3 53 3 3" xfId="2724" xr:uid="{00000000-0005-0000-0000-000012080000}"/>
    <cellStyle name="Comma 3 53 3 3 2" xfId="4968" xr:uid="{00000000-0005-0000-0000-000013080000}"/>
    <cellStyle name="Comma 3 53 3 4" xfId="3458" xr:uid="{00000000-0005-0000-0000-000014080000}"/>
    <cellStyle name="Comma 3 53 4" xfId="1428" xr:uid="{00000000-0005-0000-0000-000015080000}"/>
    <cellStyle name="Comma 3 53 4 2" xfId="3672" xr:uid="{00000000-0005-0000-0000-000016080000}"/>
    <cellStyle name="Comma 3 53 5" xfId="2214" xr:uid="{00000000-0005-0000-0000-000017080000}"/>
    <cellStyle name="Comma 3 53 5 2" xfId="4458" xr:uid="{00000000-0005-0000-0000-000018080000}"/>
    <cellStyle name="Comma 3 53 6" xfId="2938" xr:uid="{00000000-0005-0000-0000-000019080000}"/>
    <cellStyle name="Comma 3 54" xfId="100" xr:uid="{00000000-0005-0000-0000-00001A080000}"/>
    <cellStyle name="Comma 3 54 2" xfId="912" xr:uid="{00000000-0005-0000-0000-00001B080000}"/>
    <cellStyle name="Comma 3 54 2 2" xfId="1700" xr:uid="{00000000-0005-0000-0000-00001C080000}"/>
    <cellStyle name="Comma 3 54 2 2 2" xfId="3944" xr:uid="{00000000-0005-0000-0000-00001D080000}"/>
    <cellStyle name="Comma 3 54 2 3" xfId="2424" xr:uid="{00000000-0005-0000-0000-00001E080000}"/>
    <cellStyle name="Comma 3 54 2 3 2" xfId="4668" xr:uid="{00000000-0005-0000-0000-00001F080000}"/>
    <cellStyle name="Comma 3 54 2 4" xfId="3158" xr:uid="{00000000-0005-0000-0000-000020080000}"/>
    <cellStyle name="Comma 3 54 3" xfId="1165" xr:uid="{00000000-0005-0000-0000-000021080000}"/>
    <cellStyle name="Comma 3 54 3 2" xfId="1952" xr:uid="{00000000-0005-0000-0000-000022080000}"/>
    <cellStyle name="Comma 3 54 3 2 2" xfId="4196" xr:uid="{00000000-0005-0000-0000-000023080000}"/>
    <cellStyle name="Comma 3 54 3 3" xfId="2676" xr:uid="{00000000-0005-0000-0000-000024080000}"/>
    <cellStyle name="Comma 3 54 3 3 2" xfId="4920" xr:uid="{00000000-0005-0000-0000-000025080000}"/>
    <cellStyle name="Comma 3 54 3 4" xfId="3410" xr:uid="{00000000-0005-0000-0000-000026080000}"/>
    <cellStyle name="Comma 3 54 4" xfId="1380" xr:uid="{00000000-0005-0000-0000-000027080000}"/>
    <cellStyle name="Comma 3 54 4 2" xfId="3624" xr:uid="{00000000-0005-0000-0000-000028080000}"/>
    <cellStyle name="Comma 3 54 5" xfId="2166" xr:uid="{00000000-0005-0000-0000-000029080000}"/>
    <cellStyle name="Comma 3 54 5 2" xfId="4410" xr:uid="{00000000-0005-0000-0000-00002A080000}"/>
    <cellStyle name="Comma 3 54 6" xfId="2890" xr:uid="{00000000-0005-0000-0000-00002B080000}"/>
    <cellStyle name="Comma 3 55" xfId="868" xr:uid="{00000000-0005-0000-0000-00002C080000}"/>
    <cellStyle name="Comma 3 55 2" xfId="1656" xr:uid="{00000000-0005-0000-0000-00002D080000}"/>
    <cellStyle name="Comma 3 55 2 2" xfId="3900" xr:uid="{00000000-0005-0000-0000-00002E080000}"/>
    <cellStyle name="Comma 3 55 3" xfId="2380" xr:uid="{00000000-0005-0000-0000-00002F080000}"/>
    <cellStyle name="Comma 3 55 3 2" xfId="4624" xr:uid="{00000000-0005-0000-0000-000030080000}"/>
    <cellStyle name="Comma 3 55 4" xfId="3114" xr:uid="{00000000-0005-0000-0000-000031080000}"/>
    <cellStyle name="Comma 3 56" xfId="1076" xr:uid="{00000000-0005-0000-0000-000032080000}"/>
    <cellStyle name="Comma 3 56 2" xfId="1863" xr:uid="{00000000-0005-0000-0000-000033080000}"/>
    <cellStyle name="Comma 3 56 2 2" xfId="4107" xr:uid="{00000000-0005-0000-0000-000034080000}"/>
    <cellStyle name="Comma 3 56 3" xfId="2587" xr:uid="{00000000-0005-0000-0000-000035080000}"/>
    <cellStyle name="Comma 3 56 3 2" xfId="4831" xr:uid="{00000000-0005-0000-0000-000036080000}"/>
    <cellStyle name="Comma 3 56 4" xfId="3321" xr:uid="{00000000-0005-0000-0000-000037080000}"/>
    <cellStyle name="Comma 3 57" xfId="1098" xr:uid="{00000000-0005-0000-0000-000038080000}"/>
    <cellStyle name="Comma 3 57 2" xfId="1885" xr:uid="{00000000-0005-0000-0000-000039080000}"/>
    <cellStyle name="Comma 3 57 2 2" xfId="4129" xr:uid="{00000000-0005-0000-0000-00003A080000}"/>
    <cellStyle name="Comma 3 57 3" xfId="2609" xr:uid="{00000000-0005-0000-0000-00003B080000}"/>
    <cellStyle name="Comma 3 57 3 2" xfId="4853" xr:uid="{00000000-0005-0000-0000-00003C080000}"/>
    <cellStyle name="Comma 3 57 4" xfId="3343" xr:uid="{00000000-0005-0000-0000-00003D080000}"/>
    <cellStyle name="Comma 3 58" xfId="1120" xr:uid="{00000000-0005-0000-0000-00003E080000}"/>
    <cellStyle name="Comma 3 58 2" xfId="1907" xr:uid="{00000000-0005-0000-0000-00003F080000}"/>
    <cellStyle name="Comma 3 58 2 2" xfId="4151" xr:uid="{00000000-0005-0000-0000-000040080000}"/>
    <cellStyle name="Comma 3 58 3" xfId="2631" xr:uid="{00000000-0005-0000-0000-000041080000}"/>
    <cellStyle name="Comma 3 58 3 2" xfId="4875" xr:uid="{00000000-0005-0000-0000-000042080000}"/>
    <cellStyle name="Comma 3 58 4" xfId="3365" xr:uid="{00000000-0005-0000-0000-000043080000}"/>
    <cellStyle name="Comma 3 59" xfId="1336" xr:uid="{00000000-0005-0000-0000-000044080000}"/>
    <cellStyle name="Comma 3 59 2" xfId="3580" xr:uid="{00000000-0005-0000-0000-000045080000}"/>
    <cellStyle name="Comma 3 6" xfId="149" xr:uid="{00000000-0005-0000-0000-000046080000}"/>
    <cellStyle name="Comma 3 6 2" xfId="961" xr:uid="{00000000-0005-0000-0000-000047080000}"/>
    <cellStyle name="Comma 3 6 2 2" xfId="1749" xr:uid="{00000000-0005-0000-0000-000048080000}"/>
    <cellStyle name="Comma 3 6 2 2 2" xfId="3993" xr:uid="{00000000-0005-0000-0000-000049080000}"/>
    <cellStyle name="Comma 3 6 2 3" xfId="2473" xr:uid="{00000000-0005-0000-0000-00004A080000}"/>
    <cellStyle name="Comma 3 6 2 3 2" xfId="4717" xr:uid="{00000000-0005-0000-0000-00004B080000}"/>
    <cellStyle name="Comma 3 6 2 4" xfId="3207" xr:uid="{00000000-0005-0000-0000-00004C080000}"/>
    <cellStyle name="Comma 3 6 3" xfId="1214" xr:uid="{00000000-0005-0000-0000-00004D080000}"/>
    <cellStyle name="Comma 3 6 3 2" xfId="2001" xr:uid="{00000000-0005-0000-0000-00004E080000}"/>
    <cellStyle name="Comma 3 6 3 2 2" xfId="4245" xr:uid="{00000000-0005-0000-0000-00004F080000}"/>
    <cellStyle name="Comma 3 6 3 3" xfId="2725" xr:uid="{00000000-0005-0000-0000-000050080000}"/>
    <cellStyle name="Comma 3 6 3 3 2" xfId="4969" xr:uid="{00000000-0005-0000-0000-000051080000}"/>
    <cellStyle name="Comma 3 6 3 4" xfId="3459" xr:uid="{00000000-0005-0000-0000-000052080000}"/>
    <cellStyle name="Comma 3 6 4" xfId="1429" xr:uid="{00000000-0005-0000-0000-000053080000}"/>
    <cellStyle name="Comma 3 6 4 2" xfId="3673" xr:uid="{00000000-0005-0000-0000-000054080000}"/>
    <cellStyle name="Comma 3 6 5" xfId="2215" xr:uid="{00000000-0005-0000-0000-000055080000}"/>
    <cellStyle name="Comma 3 6 5 2" xfId="4459" xr:uid="{00000000-0005-0000-0000-000056080000}"/>
    <cellStyle name="Comma 3 6 6" xfId="2939" xr:uid="{00000000-0005-0000-0000-000057080000}"/>
    <cellStyle name="Comma 3 60" xfId="2122" xr:uid="{00000000-0005-0000-0000-000058080000}"/>
    <cellStyle name="Comma 3 60 2" xfId="4366" xr:uid="{00000000-0005-0000-0000-000059080000}"/>
    <cellStyle name="Comma 3 61" xfId="2846" xr:uid="{00000000-0005-0000-0000-00005A080000}"/>
    <cellStyle name="Comma 3 62" xfId="5088" xr:uid="{00000000-0005-0000-0000-00005B080000}"/>
    <cellStyle name="Comma 3 63" xfId="5097" xr:uid="{00000000-0005-0000-0000-00005C080000}"/>
    <cellStyle name="Comma 3 7" xfId="150" xr:uid="{00000000-0005-0000-0000-00005D080000}"/>
    <cellStyle name="Comma 3 7 2" xfId="962" xr:uid="{00000000-0005-0000-0000-00005E080000}"/>
    <cellStyle name="Comma 3 7 2 2" xfId="1750" xr:uid="{00000000-0005-0000-0000-00005F080000}"/>
    <cellStyle name="Comma 3 7 2 2 2" xfId="3994" xr:uid="{00000000-0005-0000-0000-000060080000}"/>
    <cellStyle name="Comma 3 7 2 3" xfId="2474" xr:uid="{00000000-0005-0000-0000-000061080000}"/>
    <cellStyle name="Comma 3 7 2 3 2" xfId="4718" xr:uid="{00000000-0005-0000-0000-000062080000}"/>
    <cellStyle name="Comma 3 7 2 4" xfId="3208" xr:uid="{00000000-0005-0000-0000-000063080000}"/>
    <cellStyle name="Comma 3 7 3" xfId="1215" xr:uid="{00000000-0005-0000-0000-000064080000}"/>
    <cellStyle name="Comma 3 7 3 2" xfId="2002" xr:uid="{00000000-0005-0000-0000-000065080000}"/>
    <cellStyle name="Comma 3 7 3 2 2" xfId="4246" xr:uid="{00000000-0005-0000-0000-000066080000}"/>
    <cellStyle name="Comma 3 7 3 3" xfId="2726" xr:uid="{00000000-0005-0000-0000-000067080000}"/>
    <cellStyle name="Comma 3 7 3 3 2" xfId="4970" xr:uid="{00000000-0005-0000-0000-000068080000}"/>
    <cellStyle name="Comma 3 7 3 4" xfId="3460" xr:uid="{00000000-0005-0000-0000-000069080000}"/>
    <cellStyle name="Comma 3 7 4" xfId="1430" xr:uid="{00000000-0005-0000-0000-00006A080000}"/>
    <cellStyle name="Comma 3 7 4 2" xfId="3674" xr:uid="{00000000-0005-0000-0000-00006B080000}"/>
    <cellStyle name="Comma 3 7 5" xfId="2216" xr:uid="{00000000-0005-0000-0000-00006C080000}"/>
    <cellStyle name="Comma 3 7 5 2" xfId="4460" xr:uid="{00000000-0005-0000-0000-00006D080000}"/>
    <cellStyle name="Comma 3 7 6" xfId="2940" xr:uid="{00000000-0005-0000-0000-00006E080000}"/>
    <cellStyle name="Comma 3 8" xfId="151" xr:uid="{00000000-0005-0000-0000-00006F080000}"/>
    <cellStyle name="Comma 3 8 2" xfId="963" xr:uid="{00000000-0005-0000-0000-000070080000}"/>
    <cellStyle name="Comma 3 8 2 2" xfId="1751" xr:uid="{00000000-0005-0000-0000-000071080000}"/>
    <cellStyle name="Comma 3 8 2 2 2" xfId="3995" xr:uid="{00000000-0005-0000-0000-000072080000}"/>
    <cellStyle name="Comma 3 8 2 3" xfId="2475" xr:uid="{00000000-0005-0000-0000-000073080000}"/>
    <cellStyle name="Comma 3 8 2 3 2" xfId="4719" xr:uid="{00000000-0005-0000-0000-000074080000}"/>
    <cellStyle name="Comma 3 8 2 4" xfId="3209" xr:uid="{00000000-0005-0000-0000-000075080000}"/>
    <cellStyle name="Comma 3 8 3" xfId="1216" xr:uid="{00000000-0005-0000-0000-000076080000}"/>
    <cellStyle name="Comma 3 8 3 2" xfId="2003" xr:uid="{00000000-0005-0000-0000-000077080000}"/>
    <cellStyle name="Comma 3 8 3 2 2" xfId="4247" xr:uid="{00000000-0005-0000-0000-000078080000}"/>
    <cellStyle name="Comma 3 8 3 3" xfId="2727" xr:uid="{00000000-0005-0000-0000-000079080000}"/>
    <cellStyle name="Comma 3 8 3 3 2" xfId="4971" xr:uid="{00000000-0005-0000-0000-00007A080000}"/>
    <cellStyle name="Comma 3 8 3 4" xfId="3461" xr:uid="{00000000-0005-0000-0000-00007B080000}"/>
    <cellStyle name="Comma 3 8 4" xfId="1431" xr:uid="{00000000-0005-0000-0000-00007C080000}"/>
    <cellStyle name="Comma 3 8 4 2" xfId="3675" xr:uid="{00000000-0005-0000-0000-00007D080000}"/>
    <cellStyle name="Comma 3 8 5" xfId="2217" xr:uid="{00000000-0005-0000-0000-00007E080000}"/>
    <cellStyle name="Comma 3 8 5 2" xfId="4461" xr:uid="{00000000-0005-0000-0000-00007F080000}"/>
    <cellStyle name="Comma 3 8 6" xfId="2941" xr:uid="{00000000-0005-0000-0000-000080080000}"/>
    <cellStyle name="Comma 3 9" xfId="152" xr:uid="{00000000-0005-0000-0000-000081080000}"/>
    <cellStyle name="Comma 3 9 2" xfId="964" xr:uid="{00000000-0005-0000-0000-000082080000}"/>
    <cellStyle name="Comma 3 9 2 2" xfId="1752" xr:uid="{00000000-0005-0000-0000-000083080000}"/>
    <cellStyle name="Comma 3 9 2 2 2" xfId="3996" xr:uid="{00000000-0005-0000-0000-000084080000}"/>
    <cellStyle name="Comma 3 9 2 3" xfId="2476" xr:uid="{00000000-0005-0000-0000-000085080000}"/>
    <cellStyle name="Comma 3 9 2 3 2" xfId="4720" xr:uid="{00000000-0005-0000-0000-000086080000}"/>
    <cellStyle name="Comma 3 9 2 4" xfId="3210" xr:uid="{00000000-0005-0000-0000-000087080000}"/>
    <cellStyle name="Comma 3 9 3" xfId="1217" xr:uid="{00000000-0005-0000-0000-000088080000}"/>
    <cellStyle name="Comma 3 9 3 2" xfId="2004" xr:uid="{00000000-0005-0000-0000-000089080000}"/>
    <cellStyle name="Comma 3 9 3 2 2" xfId="4248" xr:uid="{00000000-0005-0000-0000-00008A080000}"/>
    <cellStyle name="Comma 3 9 3 3" xfId="2728" xr:uid="{00000000-0005-0000-0000-00008B080000}"/>
    <cellStyle name="Comma 3 9 3 3 2" xfId="4972" xr:uid="{00000000-0005-0000-0000-00008C080000}"/>
    <cellStyle name="Comma 3 9 3 4" xfId="3462" xr:uid="{00000000-0005-0000-0000-00008D080000}"/>
    <cellStyle name="Comma 3 9 4" xfId="1432" xr:uid="{00000000-0005-0000-0000-00008E080000}"/>
    <cellStyle name="Comma 3 9 4 2" xfId="3676" xr:uid="{00000000-0005-0000-0000-00008F080000}"/>
    <cellStyle name="Comma 3 9 5" xfId="2218" xr:uid="{00000000-0005-0000-0000-000090080000}"/>
    <cellStyle name="Comma 3 9 5 2" xfId="4462" xr:uid="{00000000-0005-0000-0000-000091080000}"/>
    <cellStyle name="Comma 3 9 6" xfId="2942" xr:uid="{00000000-0005-0000-0000-000092080000}"/>
    <cellStyle name="Comma 30" xfId="816" xr:uid="{00000000-0005-0000-0000-000093080000}"/>
    <cellStyle name="Comma 30 2" xfId="1050" xr:uid="{00000000-0005-0000-0000-000094080000}"/>
    <cellStyle name="Comma 30 2 2" xfId="1838" xr:uid="{00000000-0005-0000-0000-000095080000}"/>
    <cellStyle name="Comma 30 2 2 2" xfId="4082" xr:uid="{00000000-0005-0000-0000-000096080000}"/>
    <cellStyle name="Comma 30 2 3" xfId="2562" xr:uid="{00000000-0005-0000-0000-000097080000}"/>
    <cellStyle name="Comma 30 2 3 2" xfId="4806" xr:uid="{00000000-0005-0000-0000-000098080000}"/>
    <cellStyle name="Comma 30 2 4" xfId="3296" xr:uid="{00000000-0005-0000-0000-000099080000}"/>
    <cellStyle name="Comma 30 3" xfId="1304" xr:uid="{00000000-0005-0000-0000-00009A080000}"/>
    <cellStyle name="Comma 30 3 2" xfId="2091" xr:uid="{00000000-0005-0000-0000-00009B080000}"/>
    <cellStyle name="Comma 30 3 2 2" xfId="4335" xr:uid="{00000000-0005-0000-0000-00009C080000}"/>
    <cellStyle name="Comma 30 3 3" xfId="2813" xr:uid="{00000000-0005-0000-0000-00009D080000}"/>
    <cellStyle name="Comma 30 3 3 2" xfId="5057" xr:uid="{00000000-0005-0000-0000-00009E080000}"/>
    <cellStyle name="Comma 30 3 4" xfId="3549" xr:uid="{00000000-0005-0000-0000-00009F080000}"/>
    <cellStyle name="Comma 30 4" xfId="1624" xr:uid="{00000000-0005-0000-0000-0000A0080000}"/>
    <cellStyle name="Comma 30 4 2" xfId="3868" xr:uid="{00000000-0005-0000-0000-0000A1080000}"/>
    <cellStyle name="Comma 30 5" xfId="2348" xr:uid="{00000000-0005-0000-0000-0000A2080000}"/>
    <cellStyle name="Comma 30 5 2" xfId="4592" xr:uid="{00000000-0005-0000-0000-0000A3080000}"/>
    <cellStyle name="Comma 30 6" xfId="3082" xr:uid="{00000000-0005-0000-0000-0000A4080000}"/>
    <cellStyle name="Comma 31" xfId="727" xr:uid="{00000000-0005-0000-0000-0000A5080000}"/>
    <cellStyle name="Comma 31 2" xfId="1040" xr:uid="{00000000-0005-0000-0000-0000A6080000}"/>
    <cellStyle name="Comma 31 2 2" xfId="1828" xr:uid="{00000000-0005-0000-0000-0000A7080000}"/>
    <cellStyle name="Comma 31 2 2 2" xfId="4072" xr:uid="{00000000-0005-0000-0000-0000A8080000}"/>
    <cellStyle name="Comma 31 2 3" xfId="2552" xr:uid="{00000000-0005-0000-0000-0000A9080000}"/>
    <cellStyle name="Comma 31 2 3 2" xfId="4796" xr:uid="{00000000-0005-0000-0000-0000AA080000}"/>
    <cellStyle name="Comma 31 2 4" xfId="3286" xr:uid="{00000000-0005-0000-0000-0000AB080000}"/>
    <cellStyle name="Comma 31 3" xfId="1293" xr:uid="{00000000-0005-0000-0000-0000AC080000}"/>
    <cellStyle name="Comma 31 3 2" xfId="2080" xr:uid="{00000000-0005-0000-0000-0000AD080000}"/>
    <cellStyle name="Comma 31 3 2 2" xfId="4324" xr:uid="{00000000-0005-0000-0000-0000AE080000}"/>
    <cellStyle name="Comma 31 3 3" xfId="2803" xr:uid="{00000000-0005-0000-0000-0000AF080000}"/>
    <cellStyle name="Comma 31 3 3 2" xfId="5047" xr:uid="{00000000-0005-0000-0000-0000B0080000}"/>
    <cellStyle name="Comma 31 3 4" xfId="3538" xr:uid="{00000000-0005-0000-0000-0000B1080000}"/>
    <cellStyle name="Comma 31 4" xfId="1560" xr:uid="{00000000-0005-0000-0000-0000B2080000}"/>
    <cellStyle name="Comma 31 4 2" xfId="3804" xr:uid="{00000000-0005-0000-0000-0000B3080000}"/>
    <cellStyle name="Comma 31 5" xfId="2338" xr:uid="{00000000-0005-0000-0000-0000B4080000}"/>
    <cellStyle name="Comma 31 5 2" xfId="4582" xr:uid="{00000000-0005-0000-0000-0000B5080000}"/>
    <cellStyle name="Comma 31 6" xfId="3018" xr:uid="{00000000-0005-0000-0000-0000B6080000}"/>
    <cellStyle name="Comma 32" xfId="824" xr:uid="{00000000-0005-0000-0000-0000B7080000}"/>
    <cellStyle name="Comma 32 2" xfId="1053" xr:uid="{00000000-0005-0000-0000-0000B8080000}"/>
    <cellStyle name="Comma 32 2 2" xfId="1841" xr:uid="{00000000-0005-0000-0000-0000B9080000}"/>
    <cellStyle name="Comma 32 2 2 2" xfId="4085" xr:uid="{00000000-0005-0000-0000-0000BA080000}"/>
    <cellStyle name="Comma 32 2 3" xfId="2565" xr:uid="{00000000-0005-0000-0000-0000BB080000}"/>
    <cellStyle name="Comma 32 2 3 2" xfId="4809" xr:uid="{00000000-0005-0000-0000-0000BC080000}"/>
    <cellStyle name="Comma 32 2 4" xfId="3299" xr:uid="{00000000-0005-0000-0000-0000BD080000}"/>
    <cellStyle name="Comma 32 3" xfId="1307" xr:uid="{00000000-0005-0000-0000-0000BE080000}"/>
    <cellStyle name="Comma 32 3 2" xfId="2094" xr:uid="{00000000-0005-0000-0000-0000BF080000}"/>
    <cellStyle name="Comma 32 3 2 2" xfId="4338" xr:uid="{00000000-0005-0000-0000-0000C0080000}"/>
    <cellStyle name="Comma 32 3 3" xfId="2816" xr:uid="{00000000-0005-0000-0000-0000C1080000}"/>
    <cellStyle name="Comma 32 3 3 2" xfId="5060" xr:uid="{00000000-0005-0000-0000-0000C2080000}"/>
    <cellStyle name="Comma 32 3 4" xfId="3552" xr:uid="{00000000-0005-0000-0000-0000C3080000}"/>
    <cellStyle name="Comma 32 4" xfId="1627" xr:uid="{00000000-0005-0000-0000-0000C4080000}"/>
    <cellStyle name="Comma 32 4 2" xfId="3871" xr:uid="{00000000-0005-0000-0000-0000C5080000}"/>
    <cellStyle name="Comma 32 5" xfId="2351" xr:uid="{00000000-0005-0000-0000-0000C6080000}"/>
    <cellStyle name="Comma 32 5 2" xfId="4595" xr:uid="{00000000-0005-0000-0000-0000C7080000}"/>
    <cellStyle name="Comma 32 6" xfId="3085" xr:uid="{00000000-0005-0000-0000-0000C8080000}"/>
    <cellStyle name="Comma 33" xfId="153" xr:uid="{00000000-0005-0000-0000-0000C9080000}"/>
    <cellStyle name="Comma 33 2" xfId="965" xr:uid="{00000000-0005-0000-0000-0000CA080000}"/>
    <cellStyle name="Comma 33 2 2" xfId="1753" xr:uid="{00000000-0005-0000-0000-0000CB080000}"/>
    <cellStyle name="Comma 33 2 2 2" xfId="3997" xr:uid="{00000000-0005-0000-0000-0000CC080000}"/>
    <cellStyle name="Comma 33 2 3" xfId="2477" xr:uid="{00000000-0005-0000-0000-0000CD080000}"/>
    <cellStyle name="Comma 33 2 3 2" xfId="4721" xr:uid="{00000000-0005-0000-0000-0000CE080000}"/>
    <cellStyle name="Comma 33 2 4" xfId="3211" xr:uid="{00000000-0005-0000-0000-0000CF080000}"/>
    <cellStyle name="Comma 33 3" xfId="1218" xr:uid="{00000000-0005-0000-0000-0000D0080000}"/>
    <cellStyle name="Comma 33 3 2" xfId="2005" xr:uid="{00000000-0005-0000-0000-0000D1080000}"/>
    <cellStyle name="Comma 33 3 2 2" xfId="4249" xr:uid="{00000000-0005-0000-0000-0000D2080000}"/>
    <cellStyle name="Comma 33 3 3" xfId="2729" xr:uid="{00000000-0005-0000-0000-0000D3080000}"/>
    <cellStyle name="Comma 33 3 3 2" xfId="4973" xr:uid="{00000000-0005-0000-0000-0000D4080000}"/>
    <cellStyle name="Comma 33 3 4" xfId="3463" xr:uid="{00000000-0005-0000-0000-0000D5080000}"/>
    <cellStyle name="Comma 33 4" xfId="1433" xr:uid="{00000000-0005-0000-0000-0000D6080000}"/>
    <cellStyle name="Comma 33 4 2" xfId="3677" xr:uid="{00000000-0005-0000-0000-0000D7080000}"/>
    <cellStyle name="Comma 33 5" xfId="2219" xr:uid="{00000000-0005-0000-0000-0000D8080000}"/>
    <cellStyle name="Comma 33 5 2" xfId="4463" xr:uid="{00000000-0005-0000-0000-0000D9080000}"/>
    <cellStyle name="Comma 33 6" xfId="2943" xr:uid="{00000000-0005-0000-0000-0000DA080000}"/>
    <cellStyle name="Comma 34" xfId="730" xr:uid="{00000000-0005-0000-0000-0000DB080000}"/>
    <cellStyle name="Comma 34 2" xfId="1043" xr:uid="{00000000-0005-0000-0000-0000DC080000}"/>
    <cellStyle name="Comma 34 2 2" xfId="1831" xr:uid="{00000000-0005-0000-0000-0000DD080000}"/>
    <cellStyle name="Comma 34 2 2 2" xfId="4075" xr:uid="{00000000-0005-0000-0000-0000DE080000}"/>
    <cellStyle name="Comma 34 2 3" xfId="2555" xr:uid="{00000000-0005-0000-0000-0000DF080000}"/>
    <cellStyle name="Comma 34 2 3 2" xfId="4799" xr:uid="{00000000-0005-0000-0000-0000E0080000}"/>
    <cellStyle name="Comma 34 2 4" xfId="3289" xr:uid="{00000000-0005-0000-0000-0000E1080000}"/>
    <cellStyle name="Comma 34 3" xfId="1296" xr:uid="{00000000-0005-0000-0000-0000E2080000}"/>
    <cellStyle name="Comma 34 3 2" xfId="2083" xr:uid="{00000000-0005-0000-0000-0000E3080000}"/>
    <cellStyle name="Comma 34 3 2 2" xfId="4327" xr:uid="{00000000-0005-0000-0000-0000E4080000}"/>
    <cellStyle name="Comma 34 3 3" xfId="2806" xr:uid="{00000000-0005-0000-0000-0000E5080000}"/>
    <cellStyle name="Comma 34 3 3 2" xfId="5050" xr:uid="{00000000-0005-0000-0000-0000E6080000}"/>
    <cellStyle name="Comma 34 3 4" xfId="3541" xr:uid="{00000000-0005-0000-0000-0000E7080000}"/>
    <cellStyle name="Comma 34 4" xfId="1563" xr:uid="{00000000-0005-0000-0000-0000E8080000}"/>
    <cellStyle name="Comma 34 4 2" xfId="3807" xr:uid="{00000000-0005-0000-0000-0000E9080000}"/>
    <cellStyle name="Comma 34 5" xfId="2341" xr:uid="{00000000-0005-0000-0000-0000EA080000}"/>
    <cellStyle name="Comma 34 5 2" xfId="4585" xr:uid="{00000000-0005-0000-0000-0000EB080000}"/>
    <cellStyle name="Comma 34 6" xfId="3021" xr:uid="{00000000-0005-0000-0000-0000EC080000}"/>
    <cellStyle name="Comma 35" xfId="823" xr:uid="{00000000-0005-0000-0000-0000ED080000}"/>
    <cellStyle name="Comma 35 2" xfId="1052" xr:uid="{00000000-0005-0000-0000-0000EE080000}"/>
    <cellStyle name="Comma 35 2 2" xfId="1840" xr:uid="{00000000-0005-0000-0000-0000EF080000}"/>
    <cellStyle name="Comma 35 2 2 2" xfId="4084" xr:uid="{00000000-0005-0000-0000-0000F0080000}"/>
    <cellStyle name="Comma 35 2 3" xfId="2564" xr:uid="{00000000-0005-0000-0000-0000F1080000}"/>
    <cellStyle name="Comma 35 2 3 2" xfId="4808" xr:uid="{00000000-0005-0000-0000-0000F2080000}"/>
    <cellStyle name="Comma 35 2 4" xfId="3298" xr:uid="{00000000-0005-0000-0000-0000F3080000}"/>
    <cellStyle name="Comma 35 3" xfId="1306" xr:uid="{00000000-0005-0000-0000-0000F4080000}"/>
    <cellStyle name="Comma 35 3 2" xfId="2093" xr:uid="{00000000-0005-0000-0000-0000F5080000}"/>
    <cellStyle name="Comma 35 3 2 2" xfId="4337" xr:uid="{00000000-0005-0000-0000-0000F6080000}"/>
    <cellStyle name="Comma 35 3 3" xfId="2815" xr:uid="{00000000-0005-0000-0000-0000F7080000}"/>
    <cellStyle name="Comma 35 3 3 2" xfId="5059" xr:uid="{00000000-0005-0000-0000-0000F8080000}"/>
    <cellStyle name="Comma 35 3 4" xfId="3551" xr:uid="{00000000-0005-0000-0000-0000F9080000}"/>
    <cellStyle name="Comma 35 4" xfId="1626" xr:uid="{00000000-0005-0000-0000-0000FA080000}"/>
    <cellStyle name="Comma 35 4 2" xfId="3870" xr:uid="{00000000-0005-0000-0000-0000FB080000}"/>
    <cellStyle name="Comma 35 5" xfId="2350" xr:uid="{00000000-0005-0000-0000-0000FC080000}"/>
    <cellStyle name="Comma 35 5 2" xfId="4594" xr:uid="{00000000-0005-0000-0000-0000FD080000}"/>
    <cellStyle name="Comma 35 6" xfId="3084" xr:uid="{00000000-0005-0000-0000-0000FE080000}"/>
    <cellStyle name="Comma 36" xfId="23" xr:uid="{00000000-0005-0000-0000-0000FF080000}"/>
    <cellStyle name="Comma 36 10" xfId="5089" xr:uid="{00000000-0005-0000-0000-000000090000}"/>
    <cellStyle name="Comma 36 2" xfId="26" xr:uid="{00000000-0005-0000-0000-000001090000}"/>
    <cellStyle name="Comma 36 2 2" xfId="871" xr:uid="{00000000-0005-0000-0000-000002090000}"/>
    <cellStyle name="Comma 36 2 2 2" xfId="1659" xr:uid="{00000000-0005-0000-0000-000003090000}"/>
    <cellStyle name="Comma 36 2 2 2 2" xfId="3903" xr:uid="{00000000-0005-0000-0000-000004090000}"/>
    <cellStyle name="Comma 36 2 2 3" xfId="2383" xr:uid="{00000000-0005-0000-0000-000005090000}"/>
    <cellStyle name="Comma 36 2 2 3 2" xfId="4627" xr:uid="{00000000-0005-0000-0000-000006090000}"/>
    <cellStyle name="Comma 36 2 2 4" xfId="3117" xr:uid="{00000000-0005-0000-0000-000007090000}"/>
    <cellStyle name="Comma 36 2 3" xfId="1079" xr:uid="{00000000-0005-0000-0000-000008090000}"/>
    <cellStyle name="Comma 36 2 3 2" xfId="1866" xr:uid="{00000000-0005-0000-0000-000009090000}"/>
    <cellStyle name="Comma 36 2 3 2 2" xfId="4110" xr:uid="{00000000-0005-0000-0000-00000A090000}"/>
    <cellStyle name="Comma 36 2 3 3" xfId="2590" xr:uid="{00000000-0005-0000-0000-00000B090000}"/>
    <cellStyle name="Comma 36 2 3 3 2" xfId="4834" xr:uid="{00000000-0005-0000-0000-00000C090000}"/>
    <cellStyle name="Comma 36 2 3 4" xfId="3324" xr:uid="{00000000-0005-0000-0000-00000D090000}"/>
    <cellStyle name="Comma 36 2 4" xfId="1101" xr:uid="{00000000-0005-0000-0000-00000E090000}"/>
    <cellStyle name="Comma 36 2 4 2" xfId="1888" xr:uid="{00000000-0005-0000-0000-00000F090000}"/>
    <cellStyle name="Comma 36 2 4 2 2" xfId="4132" xr:uid="{00000000-0005-0000-0000-000010090000}"/>
    <cellStyle name="Comma 36 2 4 3" xfId="2612" xr:uid="{00000000-0005-0000-0000-000011090000}"/>
    <cellStyle name="Comma 36 2 4 3 2" xfId="4856" xr:uid="{00000000-0005-0000-0000-000012090000}"/>
    <cellStyle name="Comma 36 2 4 4" xfId="3346" xr:uid="{00000000-0005-0000-0000-000013090000}"/>
    <cellStyle name="Comma 36 2 5" xfId="1123" xr:uid="{00000000-0005-0000-0000-000014090000}"/>
    <cellStyle name="Comma 36 2 5 2" xfId="1910" xr:uid="{00000000-0005-0000-0000-000015090000}"/>
    <cellStyle name="Comma 36 2 5 2 2" xfId="4154" xr:uid="{00000000-0005-0000-0000-000016090000}"/>
    <cellStyle name="Comma 36 2 5 3" xfId="2634" xr:uid="{00000000-0005-0000-0000-000017090000}"/>
    <cellStyle name="Comma 36 2 5 3 2" xfId="4878" xr:uid="{00000000-0005-0000-0000-000018090000}"/>
    <cellStyle name="Comma 36 2 5 4" xfId="3368" xr:uid="{00000000-0005-0000-0000-000019090000}"/>
    <cellStyle name="Comma 36 2 6" xfId="1339" xr:uid="{00000000-0005-0000-0000-00001A090000}"/>
    <cellStyle name="Comma 36 2 6 2" xfId="3583" xr:uid="{00000000-0005-0000-0000-00001B090000}"/>
    <cellStyle name="Comma 36 2 7" xfId="2125" xr:uid="{00000000-0005-0000-0000-00001C090000}"/>
    <cellStyle name="Comma 36 2 7 2" xfId="4369" xr:uid="{00000000-0005-0000-0000-00001D090000}"/>
    <cellStyle name="Comma 36 2 8" xfId="2849" xr:uid="{00000000-0005-0000-0000-00001E090000}"/>
    <cellStyle name="Comma 36 2 9" xfId="5091" xr:uid="{00000000-0005-0000-0000-00001F090000}"/>
    <cellStyle name="Comma 36 3" xfId="869" xr:uid="{00000000-0005-0000-0000-000020090000}"/>
    <cellStyle name="Comma 36 3 2" xfId="1657" xr:uid="{00000000-0005-0000-0000-000021090000}"/>
    <cellStyle name="Comma 36 3 2 2" xfId="3901" xr:uid="{00000000-0005-0000-0000-000022090000}"/>
    <cellStyle name="Comma 36 3 3" xfId="2381" xr:uid="{00000000-0005-0000-0000-000023090000}"/>
    <cellStyle name="Comma 36 3 3 2" xfId="4625" xr:uid="{00000000-0005-0000-0000-000024090000}"/>
    <cellStyle name="Comma 36 3 4" xfId="3115" xr:uid="{00000000-0005-0000-0000-000025090000}"/>
    <cellStyle name="Comma 36 4" xfId="1077" xr:uid="{00000000-0005-0000-0000-000026090000}"/>
    <cellStyle name="Comma 36 4 2" xfId="1864" xr:uid="{00000000-0005-0000-0000-000027090000}"/>
    <cellStyle name="Comma 36 4 2 2" xfId="4108" xr:uid="{00000000-0005-0000-0000-000028090000}"/>
    <cellStyle name="Comma 36 4 3" xfId="2588" xr:uid="{00000000-0005-0000-0000-000029090000}"/>
    <cellStyle name="Comma 36 4 3 2" xfId="4832" xr:uid="{00000000-0005-0000-0000-00002A090000}"/>
    <cellStyle name="Comma 36 4 4" xfId="3322" xr:uid="{00000000-0005-0000-0000-00002B090000}"/>
    <cellStyle name="Comma 36 5" xfId="1099" xr:uid="{00000000-0005-0000-0000-00002C090000}"/>
    <cellStyle name="Comma 36 5 2" xfId="1886" xr:uid="{00000000-0005-0000-0000-00002D090000}"/>
    <cellStyle name="Comma 36 5 2 2" xfId="4130" xr:uid="{00000000-0005-0000-0000-00002E090000}"/>
    <cellStyle name="Comma 36 5 3" xfId="2610" xr:uid="{00000000-0005-0000-0000-00002F090000}"/>
    <cellStyle name="Comma 36 5 3 2" xfId="4854" xr:uid="{00000000-0005-0000-0000-000030090000}"/>
    <cellStyle name="Comma 36 5 4" xfId="3344" xr:uid="{00000000-0005-0000-0000-000031090000}"/>
    <cellStyle name="Comma 36 6" xfId="1121" xr:uid="{00000000-0005-0000-0000-000032090000}"/>
    <cellStyle name="Comma 36 6 2" xfId="1908" xr:uid="{00000000-0005-0000-0000-000033090000}"/>
    <cellStyle name="Comma 36 6 2 2" xfId="4152" xr:uid="{00000000-0005-0000-0000-000034090000}"/>
    <cellStyle name="Comma 36 6 3" xfId="2632" xr:uid="{00000000-0005-0000-0000-000035090000}"/>
    <cellStyle name="Comma 36 6 3 2" xfId="4876" xr:uid="{00000000-0005-0000-0000-000036090000}"/>
    <cellStyle name="Comma 36 6 4" xfId="3366" xr:uid="{00000000-0005-0000-0000-000037090000}"/>
    <cellStyle name="Comma 36 7" xfId="1337" xr:uid="{00000000-0005-0000-0000-000038090000}"/>
    <cellStyle name="Comma 36 7 2" xfId="3581" xr:uid="{00000000-0005-0000-0000-000039090000}"/>
    <cellStyle name="Comma 36 8" xfId="2123" xr:uid="{00000000-0005-0000-0000-00003A090000}"/>
    <cellStyle name="Comma 36 8 2" xfId="4367" xr:uid="{00000000-0005-0000-0000-00003B090000}"/>
    <cellStyle name="Comma 36 9" xfId="2847" xr:uid="{00000000-0005-0000-0000-00003C090000}"/>
    <cellStyle name="Comma 37" xfId="726" xr:uid="{00000000-0005-0000-0000-00003D090000}"/>
    <cellStyle name="Comma 37 2" xfId="1039" xr:uid="{00000000-0005-0000-0000-00003E090000}"/>
    <cellStyle name="Comma 37 2 2" xfId="1827" xr:uid="{00000000-0005-0000-0000-00003F090000}"/>
    <cellStyle name="Comma 37 2 2 2" xfId="4071" xr:uid="{00000000-0005-0000-0000-000040090000}"/>
    <cellStyle name="Comma 37 2 3" xfId="2551" xr:uid="{00000000-0005-0000-0000-000041090000}"/>
    <cellStyle name="Comma 37 2 3 2" xfId="4795" xr:uid="{00000000-0005-0000-0000-000042090000}"/>
    <cellStyle name="Comma 37 2 4" xfId="3285" xr:uid="{00000000-0005-0000-0000-000043090000}"/>
    <cellStyle name="Comma 37 3" xfId="1292" xr:uid="{00000000-0005-0000-0000-000044090000}"/>
    <cellStyle name="Comma 37 3 2" xfId="2079" xr:uid="{00000000-0005-0000-0000-000045090000}"/>
    <cellStyle name="Comma 37 3 2 2" xfId="4323" xr:uid="{00000000-0005-0000-0000-000046090000}"/>
    <cellStyle name="Comma 37 3 3" xfId="2802" xr:uid="{00000000-0005-0000-0000-000047090000}"/>
    <cellStyle name="Comma 37 3 3 2" xfId="5046" xr:uid="{00000000-0005-0000-0000-000048090000}"/>
    <cellStyle name="Comma 37 3 4" xfId="3537" xr:uid="{00000000-0005-0000-0000-000049090000}"/>
    <cellStyle name="Comma 37 4" xfId="1559" xr:uid="{00000000-0005-0000-0000-00004A090000}"/>
    <cellStyle name="Comma 37 4 2" xfId="3803" xr:uid="{00000000-0005-0000-0000-00004B090000}"/>
    <cellStyle name="Comma 37 5" xfId="2337" xr:uid="{00000000-0005-0000-0000-00004C090000}"/>
    <cellStyle name="Comma 37 5 2" xfId="4581" xr:uid="{00000000-0005-0000-0000-00004D090000}"/>
    <cellStyle name="Comma 37 6" xfId="3017" xr:uid="{00000000-0005-0000-0000-00004E090000}"/>
    <cellStyle name="Comma 38" xfId="825" xr:uid="{00000000-0005-0000-0000-00004F090000}"/>
    <cellStyle name="Comma 38 2" xfId="1054" xr:uid="{00000000-0005-0000-0000-000050090000}"/>
    <cellStyle name="Comma 38 2 2" xfId="1842" xr:uid="{00000000-0005-0000-0000-000051090000}"/>
    <cellStyle name="Comma 38 2 2 2" xfId="4086" xr:uid="{00000000-0005-0000-0000-000052090000}"/>
    <cellStyle name="Comma 38 2 3" xfId="2566" xr:uid="{00000000-0005-0000-0000-000053090000}"/>
    <cellStyle name="Comma 38 2 3 2" xfId="4810" xr:uid="{00000000-0005-0000-0000-000054090000}"/>
    <cellStyle name="Comma 38 2 4" xfId="3300" xr:uid="{00000000-0005-0000-0000-000055090000}"/>
    <cellStyle name="Comma 38 3" xfId="1308" xr:uid="{00000000-0005-0000-0000-000056090000}"/>
    <cellStyle name="Comma 38 3 2" xfId="2095" xr:uid="{00000000-0005-0000-0000-000057090000}"/>
    <cellStyle name="Comma 38 3 2 2" xfId="4339" xr:uid="{00000000-0005-0000-0000-000058090000}"/>
    <cellStyle name="Comma 38 3 3" xfId="2817" xr:uid="{00000000-0005-0000-0000-000059090000}"/>
    <cellStyle name="Comma 38 3 3 2" xfId="5061" xr:uid="{00000000-0005-0000-0000-00005A090000}"/>
    <cellStyle name="Comma 38 3 4" xfId="3553" xr:uid="{00000000-0005-0000-0000-00005B090000}"/>
    <cellStyle name="Comma 38 4" xfId="1628" xr:uid="{00000000-0005-0000-0000-00005C090000}"/>
    <cellStyle name="Comma 38 4 2" xfId="3872" xr:uid="{00000000-0005-0000-0000-00005D090000}"/>
    <cellStyle name="Comma 38 5" xfId="2352" xr:uid="{00000000-0005-0000-0000-00005E090000}"/>
    <cellStyle name="Comma 38 5 2" xfId="4596" xr:uid="{00000000-0005-0000-0000-00005F090000}"/>
    <cellStyle name="Comma 38 6" xfId="3086" xr:uid="{00000000-0005-0000-0000-000060090000}"/>
    <cellStyle name="Comma 39" xfId="729" xr:uid="{00000000-0005-0000-0000-000061090000}"/>
    <cellStyle name="Comma 39 2" xfId="1042" xr:uid="{00000000-0005-0000-0000-000062090000}"/>
    <cellStyle name="Comma 39 2 2" xfId="1830" xr:uid="{00000000-0005-0000-0000-000063090000}"/>
    <cellStyle name="Comma 39 2 2 2" xfId="4074" xr:uid="{00000000-0005-0000-0000-000064090000}"/>
    <cellStyle name="Comma 39 2 3" xfId="2554" xr:uid="{00000000-0005-0000-0000-000065090000}"/>
    <cellStyle name="Comma 39 2 3 2" xfId="4798" xr:uid="{00000000-0005-0000-0000-000066090000}"/>
    <cellStyle name="Comma 39 2 4" xfId="3288" xr:uid="{00000000-0005-0000-0000-000067090000}"/>
    <cellStyle name="Comma 39 3" xfId="1295" xr:uid="{00000000-0005-0000-0000-000068090000}"/>
    <cellStyle name="Comma 39 3 2" xfId="2082" xr:uid="{00000000-0005-0000-0000-000069090000}"/>
    <cellStyle name="Comma 39 3 2 2" xfId="4326" xr:uid="{00000000-0005-0000-0000-00006A090000}"/>
    <cellStyle name="Comma 39 3 3" xfId="2805" xr:uid="{00000000-0005-0000-0000-00006B090000}"/>
    <cellStyle name="Comma 39 3 3 2" xfId="5049" xr:uid="{00000000-0005-0000-0000-00006C090000}"/>
    <cellStyle name="Comma 39 3 4" xfId="3540" xr:uid="{00000000-0005-0000-0000-00006D090000}"/>
    <cellStyle name="Comma 39 4" xfId="1562" xr:uid="{00000000-0005-0000-0000-00006E090000}"/>
    <cellStyle name="Comma 39 4 2" xfId="3806" xr:uid="{00000000-0005-0000-0000-00006F090000}"/>
    <cellStyle name="Comma 39 5" xfId="2340" xr:uid="{00000000-0005-0000-0000-000070090000}"/>
    <cellStyle name="Comma 39 5 2" xfId="4584" xr:uid="{00000000-0005-0000-0000-000071090000}"/>
    <cellStyle name="Comma 39 6" xfId="3020" xr:uid="{00000000-0005-0000-0000-000072090000}"/>
    <cellStyle name="Comma 4" xfId="13" xr:uid="{00000000-0005-0000-0000-000073090000}"/>
    <cellStyle name="Comma 4 10" xfId="5080" xr:uid="{00000000-0005-0000-0000-000074090000}"/>
    <cellStyle name="Comma 4 2" xfId="155" xr:uid="{00000000-0005-0000-0000-000075090000}"/>
    <cellStyle name="Comma 4 2 2" xfId="967" xr:uid="{00000000-0005-0000-0000-000076090000}"/>
    <cellStyle name="Comma 4 2 2 2" xfId="1755" xr:uid="{00000000-0005-0000-0000-000077090000}"/>
    <cellStyle name="Comma 4 2 2 2 2" xfId="3999" xr:uid="{00000000-0005-0000-0000-000078090000}"/>
    <cellStyle name="Comma 4 2 2 3" xfId="2479" xr:uid="{00000000-0005-0000-0000-000079090000}"/>
    <cellStyle name="Comma 4 2 2 3 2" xfId="4723" xr:uid="{00000000-0005-0000-0000-00007A090000}"/>
    <cellStyle name="Comma 4 2 2 4" xfId="3213" xr:uid="{00000000-0005-0000-0000-00007B090000}"/>
    <cellStyle name="Comma 4 2 3" xfId="1220" xr:uid="{00000000-0005-0000-0000-00007C090000}"/>
    <cellStyle name="Comma 4 2 3 2" xfId="2007" xr:uid="{00000000-0005-0000-0000-00007D090000}"/>
    <cellStyle name="Comma 4 2 3 2 2" xfId="4251" xr:uid="{00000000-0005-0000-0000-00007E090000}"/>
    <cellStyle name="Comma 4 2 3 3" xfId="2731" xr:uid="{00000000-0005-0000-0000-00007F090000}"/>
    <cellStyle name="Comma 4 2 3 3 2" xfId="4975" xr:uid="{00000000-0005-0000-0000-000080090000}"/>
    <cellStyle name="Comma 4 2 3 4" xfId="3465" xr:uid="{00000000-0005-0000-0000-000081090000}"/>
    <cellStyle name="Comma 4 2 4" xfId="1435" xr:uid="{00000000-0005-0000-0000-000082090000}"/>
    <cellStyle name="Comma 4 2 4 2" xfId="3679" xr:uid="{00000000-0005-0000-0000-000083090000}"/>
    <cellStyle name="Comma 4 2 5" xfId="2221" xr:uid="{00000000-0005-0000-0000-000084090000}"/>
    <cellStyle name="Comma 4 2 5 2" xfId="4465" xr:uid="{00000000-0005-0000-0000-000085090000}"/>
    <cellStyle name="Comma 4 2 6" xfId="2945" xr:uid="{00000000-0005-0000-0000-000086090000}"/>
    <cellStyle name="Comma 4 3" xfId="154" xr:uid="{00000000-0005-0000-0000-000087090000}"/>
    <cellStyle name="Comma 4 3 2" xfId="966" xr:uid="{00000000-0005-0000-0000-000088090000}"/>
    <cellStyle name="Comma 4 3 2 2" xfId="1754" xr:uid="{00000000-0005-0000-0000-000089090000}"/>
    <cellStyle name="Comma 4 3 2 2 2" xfId="3998" xr:uid="{00000000-0005-0000-0000-00008A090000}"/>
    <cellStyle name="Comma 4 3 2 3" xfId="2478" xr:uid="{00000000-0005-0000-0000-00008B090000}"/>
    <cellStyle name="Comma 4 3 2 3 2" xfId="4722" xr:uid="{00000000-0005-0000-0000-00008C090000}"/>
    <cellStyle name="Comma 4 3 2 4" xfId="3212" xr:uid="{00000000-0005-0000-0000-00008D090000}"/>
    <cellStyle name="Comma 4 3 3" xfId="1219" xr:uid="{00000000-0005-0000-0000-00008E090000}"/>
    <cellStyle name="Comma 4 3 3 2" xfId="2006" xr:uid="{00000000-0005-0000-0000-00008F090000}"/>
    <cellStyle name="Comma 4 3 3 2 2" xfId="4250" xr:uid="{00000000-0005-0000-0000-000090090000}"/>
    <cellStyle name="Comma 4 3 3 3" xfId="2730" xr:uid="{00000000-0005-0000-0000-000091090000}"/>
    <cellStyle name="Comma 4 3 3 3 2" xfId="4974" xr:uid="{00000000-0005-0000-0000-000092090000}"/>
    <cellStyle name="Comma 4 3 3 4" xfId="3464" xr:uid="{00000000-0005-0000-0000-000093090000}"/>
    <cellStyle name="Comma 4 3 4" xfId="1434" xr:uid="{00000000-0005-0000-0000-000094090000}"/>
    <cellStyle name="Comma 4 3 4 2" xfId="3678" xr:uid="{00000000-0005-0000-0000-000095090000}"/>
    <cellStyle name="Comma 4 3 5" xfId="2220" xr:uid="{00000000-0005-0000-0000-000096090000}"/>
    <cellStyle name="Comma 4 3 5 2" xfId="4464" xr:uid="{00000000-0005-0000-0000-000097090000}"/>
    <cellStyle name="Comma 4 3 6" xfId="2944" xr:uid="{00000000-0005-0000-0000-000098090000}"/>
    <cellStyle name="Comma 4 4" xfId="860" xr:uid="{00000000-0005-0000-0000-000099090000}"/>
    <cellStyle name="Comma 4 4 2" xfId="1648" xr:uid="{00000000-0005-0000-0000-00009A090000}"/>
    <cellStyle name="Comma 4 4 2 2" xfId="3892" xr:uid="{00000000-0005-0000-0000-00009B090000}"/>
    <cellStyle name="Comma 4 4 3" xfId="2372" xr:uid="{00000000-0005-0000-0000-00009C090000}"/>
    <cellStyle name="Comma 4 4 3 2" xfId="4616" xr:uid="{00000000-0005-0000-0000-00009D090000}"/>
    <cellStyle name="Comma 4 4 4" xfId="3106" xr:uid="{00000000-0005-0000-0000-00009E090000}"/>
    <cellStyle name="Comma 4 5" xfId="1090" xr:uid="{00000000-0005-0000-0000-00009F090000}"/>
    <cellStyle name="Comma 4 5 2" xfId="1877" xr:uid="{00000000-0005-0000-0000-0000A0090000}"/>
    <cellStyle name="Comma 4 5 2 2" xfId="4121" xr:uid="{00000000-0005-0000-0000-0000A1090000}"/>
    <cellStyle name="Comma 4 5 3" xfId="2601" xr:uid="{00000000-0005-0000-0000-0000A2090000}"/>
    <cellStyle name="Comma 4 5 3 2" xfId="4845" xr:uid="{00000000-0005-0000-0000-0000A3090000}"/>
    <cellStyle name="Comma 4 5 4" xfId="3335" xr:uid="{00000000-0005-0000-0000-0000A4090000}"/>
    <cellStyle name="Comma 4 6" xfId="1112" xr:uid="{00000000-0005-0000-0000-0000A5090000}"/>
    <cellStyle name="Comma 4 6 2" xfId="1899" xr:uid="{00000000-0005-0000-0000-0000A6090000}"/>
    <cellStyle name="Comma 4 6 2 2" xfId="4143" xr:uid="{00000000-0005-0000-0000-0000A7090000}"/>
    <cellStyle name="Comma 4 6 3" xfId="2623" xr:uid="{00000000-0005-0000-0000-0000A8090000}"/>
    <cellStyle name="Comma 4 6 3 2" xfId="4867" xr:uid="{00000000-0005-0000-0000-0000A9090000}"/>
    <cellStyle name="Comma 4 6 4" xfId="3357" xr:uid="{00000000-0005-0000-0000-0000AA090000}"/>
    <cellStyle name="Comma 4 7" xfId="1328" xr:uid="{00000000-0005-0000-0000-0000AB090000}"/>
    <cellStyle name="Comma 4 7 2" xfId="3572" xr:uid="{00000000-0005-0000-0000-0000AC090000}"/>
    <cellStyle name="Comma 4 8" xfId="2114" xr:uid="{00000000-0005-0000-0000-0000AD090000}"/>
    <cellStyle name="Comma 4 8 2" xfId="4358" xr:uid="{00000000-0005-0000-0000-0000AE090000}"/>
    <cellStyle name="Comma 4 9" xfId="2838" xr:uid="{00000000-0005-0000-0000-0000AF090000}"/>
    <cellStyle name="Comma 40" xfId="826" xr:uid="{00000000-0005-0000-0000-0000B0090000}"/>
    <cellStyle name="Comma 40 2" xfId="1055" xr:uid="{00000000-0005-0000-0000-0000B1090000}"/>
    <cellStyle name="Comma 40 2 2" xfId="1843" xr:uid="{00000000-0005-0000-0000-0000B2090000}"/>
    <cellStyle name="Comma 40 2 2 2" xfId="4087" xr:uid="{00000000-0005-0000-0000-0000B3090000}"/>
    <cellStyle name="Comma 40 2 3" xfId="2567" xr:uid="{00000000-0005-0000-0000-0000B4090000}"/>
    <cellStyle name="Comma 40 2 3 2" xfId="4811" xr:uid="{00000000-0005-0000-0000-0000B5090000}"/>
    <cellStyle name="Comma 40 2 4" xfId="3301" xr:uid="{00000000-0005-0000-0000-0000B6090000}"/>
    <cellStyle name="Comma 40 3" xfId="1309" xr:uid="{00000000-0005-0000-0000-0000B7090000}"/>
    <cellStyle name="Comma 40 3 2" xfId="2096" xr:uid="{00000000-0005-0000-0000-0000B8090000}"/>
    <cellStyle name="Comma 40 3 2 2" xfId="4340" xr:uid="{00000000-0005-0000-0000-0000B9090000}"/>
    <cellStyle name="Comma 40 3 3" xfId="2818" xr:uid="{00000000-0005-0000-0000-0000BA090000}"/>
    <cellStyle name="Comma 40 3 3 2" xfId="5062" xr:uid="{00000000-0005-0000-0000-0000BB090000}"/>
    <cellStyle name="Comma 40 3 4" xfId="3554" xr:uid="{00000000-0005-0000-0000-0000BC090000}"/>
    <cellStyle name="Comma 40 4" xfId="1629" xr:uid="{00000000-0005-0000-0000-0000BD090000}"/>
    <cellStyle name="Comma 40 4 2" xfId="3873" xr:uid="{00000000-0005-0000-0000-0000BE090000}"/>
    <cellStyle name="Comma 40 5" xfId="2353" xr:uid="{00000000-0005-0000-0000-0000BF090000}"/>
    <cellStyle name="Comma 40 5 2" xfId="4597" xr:uid="{00000000-0005-0000-0000-0000C0090000}"/>
    <cellStyle name="Comma 40 6" xfId="3087" xr:uid="{00000000-0005-0000-0000-0000C1090000}"/>
    <cellStyle name="Comma 41" xfId="728" xr:uid="{00000000-0005-0000-0000-0000C2090000}"/>
    <cellStyle name="Comma 41 2" xfId="1041" xr:uid="{00000000-0005-0000-0000-0000C3090000}"/>
    <cellStyle name="Comma 41 2 2" xfId="1829" xr:uid="{00000000-0005-0000-0000-0000C4090000}"/>
    <cellStyle name="Comma 41 2 2 2" xfId="4073" xr:uid="{00000000-0005-0000-0000-0000C5090000}"/>
    <cellStyle name="Comma 41 2 3" xfId="2553" xr:uid="{00000000-0005-0000-0000-0000C6090000}"/>
    <cellStyle name="Comma 41 2 3 2" xfId="4797" xr:uid="{00000000-0005-0000-0000-0000C7090000}"/>
    <cellStyle name="Comma 41 2 4" xfId="3287" xr:uid="{00000000-0005-0000-0000-0000C8090000}"/>
    <cellStyle name="Comma 41 3" xfId="1294" xr:uid="{00000000-0005-0000-0000-0000C9090000}"/>
    <cellStyle name="Comma 41 3 2" xfId="2081" xr:uid="{00000000-0005-0000-0000-0000CA090000}"/>
    <cellStyle name="Comma 41 3 2 2" xfId="4325" xr:uid="{00000000-0005-0000-0000-0000CB090000}"/>
    <cellStyle name="Comma 41 3 3" xfId="2804" xr:uid="{00000000-0005-0000-0000-0000CC090000}"/>
    <cellStyle name="Comma 41 3 3 2" xfId="5048" xr:uid="{00000000-0005-0000-0000-0000CD090000}"/>
    <cellStyle name="Comma 41 3 4" xfId="3539" xr:uid="{00000000-0005-0000-0000-0000CE090000}"/>
    <cellStyle name="Comma 41 4" xfId="1561" xr:uid="{00000000-0005-0000-0000-0000CF090000}"/>
    <cellStyle name="Comma 41 4 2" xfId="3805" xr:uid="{00000000-0005-0000-0000-0000D0090000}"/>
    <cellStyle name="Comma 41 5" xfId="2339" xr:uid="{00000000-0005-0000-0000-0000D1090000}"/>
    <cellStyle name="Comma 41 5 2" xfId="4583" xr:uid="{00000000-0005-0000-0000-0000D2090000}"/>
    <cellStyle name="Comma 41 6" xfId="3019" xr:uid="{00000000-0005-0000-0000-0000D3090000}"/>
    <cellStyle name="Comma 42" xfId="827" xr:uid="{00000000-0005-0000-0000-0000D4090000}"/>
    <cellStyle name="Comma 42 2" xfId="1056" xr:uid="{00000000-0005-0000-0000-0000D5090000}"/>
    <cellStyle name="Comma 42 2 2" xfId="1844" xr:uid="{00000000-0005-0000-0000-0000D6090000}"/>
    <cellStyle name="Comma 42 2 2 2" xfId="4088" xr:uid="{00000000-0005-0000-0000-0000D7090000}"/>
    <cellStyle name="Comma 42 2 3" xfId="2568" xr:uid="{00000000-0005-0000-0000-0000D8090000}"/>
    <cellStyle name="Comma 42 2 3 2" xfId="4812" xr:uid="{00000000-0005-0000-0000-0000D9090000}"/>
    <cellStyle name="Comma 42 2 4" xfId="3302" xr:uid="{00000000-0005-0000-0000-0000DA090000}"/>
    <cellStyle name="Comma 42 3" xfId="1310" xr:uid="{00000000-0005-0000-0000-0000DB090000}"/>
    <cellStyle name="Comma 42 3 2" xfId="2097" xr:uid="{00000000-0005-0000-0000-0000DC090000}"/>
    <cellStyle name="Comma 42 3 2 2" xfId="4341" xr:uid="{00000000-0005-0000-0000-0000DD090000}"/>
    <cellStyle name="Comma 42 3 3" xfId="2819" xr:uid="{00000000-0005-0000-0000-0000DE090000}"/>
    <cellStyle name="Comma 42 3 3 2" xfId="5063" xr:uid="{00000000-0005-0000-0000-0000DF090000}"/>
    <cellStyle name="Comma 42 3 4" xfId="3555" xr:uid="{00000000-0005-0000-0000-0000E0090000}"/>
    <cellStyle name="Comma 42 4" xfId="1630" xr:uid="{00000000-0005-0000-0000-0000E1090000}"/>
    <cellStyle name="Comma 42 4 2" xfId="3874" xr:uid="{00000000-0005-0000-0000-0000E2090000}"/>
    <cellStyle name="Comma 42 5" xfId="2354" xr:uid="{00000000-0005-0000-0000-0000E3090000}"/>
    <cellStyle name="Comma 42 5 2" xfId="4598" xr:uid="{00000000-0005-0000-0000-0000E4090000}"/>
    <cellStyle name="Comma 42 6" xfId="3088" xr:uid="{00000000-0005-0000-0000-0000E5090000}"/>
    <cellStyle name="Comma 43" xfId="731" xr:uid="{00000000-0005-0000-0000-0000E6090000}"/>
    <cellStyle name="Comma 43 2" xfId="1044" xr:uid="{00000000-0005-0000-0000-0000E7090000}"/>
    <cellStyle name="Comma 43 2 2" xfId="1832" xr:uid="{00000000-0005-0000-0000-0000E8090000}"/>
    <cellStyle name="Comma 43 2 2 2" xfId="4076" xr:uid="{00000000-0005-0000-0000-0000E9090000}"/>
    <cellStyle name="Comma 43 2 3" xfId="2556" xr:uid="{00000000-0005-0000-0000-0000EA090000}"/>
    <cellStyle name="Comma 43 2 3 2" xfId="4800" xr:uid="{00000000-0005-0000-0000-0000EB090000}"/>
    <cellStyle name="Comma 43 2 4" xfId="3290" xr:uid="{00000000-0005-0000-0000-0000EC090000}"/>
    <cellStyle name="Comma 43 3" xfId="1297" xr:uid="{00000000-0005-0000-0000-0000ED090000}"/>
    <cellStyle name="Comma 43 3 2" xfId="2084" xr:uid="{00000000-0005-0000-0000-0000EE090000}"/>
    <cellStyle name="Comma 43 3 2 2" xfId="4328" xr:uid="{00000000-0005-0000-0000-0000EF090000}"/>
    <cellStyle name="Comma 43 3 3" xfId="2807" xr:uid="{00000000-0005-0000-0000-0000F0090000}"/>
    <cellStyle name="Comma 43 3 3 2" xfId="5051" xr:uid="{00000000-0005-0000-0000-0000F1090000}"/>
    <cellStyle name="Comma 43 3 4" xfId="3542" xr:uid="{00000000-0005-0000-0000-0000F2090000}"/>
    <cellStyle name="Comma 43 4" xfId="1564" xr:uid="{00000000-0005-0000-0000-0000F3090000}"/>
    <cellStyle name="Comma 43 4 2" xfId="3808" xr:uid="{00000000-0005-0000-0000-0000F4090000}"/>
    <cellStyle name="Comma 43 5" xfId="2342" xr:uid="{00000000-0005-0000-0000-0000F5090000}"/>
    <cellStyle name="Comma 43 5 2" xfId="4586" xr:uid="{00000000-0005-0000-0000-0000F6090000}"/>
    <cellStyle name="Comma 43 6" xfId="3022" xr:uid="{00000000-0005-0000-0000-0000F7090000}"/>
    <cellStyle name="Comma 44" xfId="156" xr:uid="{00000000-0005-0000-0000-0000F8090000}"/>
    <cellStyle name="Comma 44 2" xfId="968" xr:uid="{00000000-0005-0000-0000-0000F9090000}"/>
    <cellStyle name="Comma 44 2 2" xfId="1756" xr:uid="{00000000-0005-0000-0000-0000FA090000}"/>
    <cellStyle name="Comma 44 2 2 2" xfId="4000" xr:uid="{00000000-0005-0000-0000-0000FB090000}"/>
    <cellStyle name="Comma 44 2 3" xfId="2480" xr:uid="{00000000-0005-0000-0000-0000FC090000}"/>
    <cellStyle name="Comma 44 2 3 2" xfId="4724" xr:uid="{00000000-0005-0000-0000-0000FD090000}"/>
    <cellStyle name="Comma 44 2 4" xfId="3214" xr:uid="{00000000-0005-0000-0000-0000FE090000}"/>
    <cellStyle name="Comma 44 3" xfId="1221" xr:uid="{00000000-0005-0000-0000-0000FF090000}"/>
    <cellStyle name="Comma 44 3 2" xfId="2008" xr:uid="{00000000-0005-0000-0000-0000000A0000}"/>
    <cellStyle name="Comma 44 3 2 2" xfId="4252" xr:uid="{00000000-0005-0000-0000-0000010A0000}"/>
    <cellStyle name="Comma 44 3 3" xfId="2732" xr:uid="{00000000-0005-0000-0000-0000020A0000}"/>
    <cellStyle name="Comma 44 3 3 2" xfId="4976" xr:uid="{00000000-0005-0000-0000-0000030A0000}"/>
    <cellStyle name="Comma 44 3 4" xfId="3466" xr:uid="{00000000-0005-0000-0000-0000040A0000}"/>
    <cellStyle name="Comma 44 4" xfId="1436" xr:uid="{00000000-0005-0000-0000-0000050A0000}"/>
    <cellStyle name="Comma 44 4 2" xfId="3680" xr:uid="{00000000-0005-0000-0000-0000060A0000}"/>
    <cellStyle name="Comma 44 5" xfId="2222" xr:uid="{00000000-0005-0000-0000-0000070A0000}"/>
    <cellStyle name="Comma 44 5 2" xfId="4466" xr:uid="{00000000-0005-0000-0000-0000080A0000}"/>
    <cellStyle name="Comma 44 6" xfId="2946" xr:uid="{00000000-0005-0000-0000-0000090A0000}"/>
    <cellStyle name="Comma 45" xfId="828" xr:uid="{00000000-0005-0000-0000-00000A0A0000}"/>
    <cellStyle name="Comma 45 2" xfId="1057" xr:uid="{00000000-0005-0000-0000-00000B0A0000}"/>
    <cellStyle name="Comma 45 2 2" xfId="1845" xr:uid="{00000000-0005-0000-0000-00000C0A0000}"/>
    <cellStyle name="Comma 45 2 2 2" xfId="4089" xr:uid="{00000000-0005-0000-0000-00000D0A0000}"/>
    <cellStyle name="Comma 45 2 3" xfId="2569" xr:uid="{00000000-0005-0000-0000-00000E0A0000}"/>
    <cellStyle name="Comma 45 2 3 2" xfId="4813" xr:uid="{00000000-0005-0000-0000-00000F0A0000}"/>
    <cellStyle name="Comma 45 2 4" xfId="3303" xr:uid="{00000000-0005-0000-0000-0000100A0000}"/>
    <cellStyle name="Comma 45 3" xfId="1311" xr:uid="{00000000-0005-0000-0000-0000110A0000}"/>
    <cellStyle name="Comma 45 3 2" xfId="2098" xr:uid="{00000000-0005-0000-0000-0000120A0000}"/>
    <cellStyle name="Comma 45 3 2 2" xfId="4342" xr:uid="{00000000-0005-0000-0000-0000130A0000}"/>
    <cellStyle name="Comma 45 3 3" xfId="2820" xr:uid="{00000000-0005-0000-0000-0000140A0000}"/>
    <cellStyle name="Comma 45 3 3 2" xfId="5064" xr:uid="{00000000-0005-0000-0000-0000150A0000}"/>
    <cellStyle name="Comma 45 3 4" xfId="3556" xr:uid="{00000000-0005-0000-0000-0000160A0000}"/>
    <cellStyle name="Comma 45 4" xfId="1631" xr:uid="{00000000-0005-0000-0000-0000170A0000}"/>
    <cellStyle name="Comma 45 4 2" xfId="3875" xr:uid="{00000000-0005-0000-0000-0000180A0000}"/>
    <cellStyle name="Comma 45 5" xfId="2355" xr:uid="{00000000-0005-0000-0000-0000190A0000}"/>
    <cellStyle name="Comma 45 5 2" xfId="4599" xr:uid="{00000000-0005-0000-0000-00001A0A0000}"/>
    <cellStyle name="Comma 45 6" xfId="3089" xr:uid="{00000000-0005-0000-0000-00001B0A0000}"/>
    <cellStyle name="Comma 46" xfId="840" xr:uid="{00000000-0005-0000-0000-00001C0A0000}"/>
    <cellStyle name="Comma 46 2" xfId="1059" xr:uid="{00000000-0005-0000-0000-00001D0A0000}"/>
    <cellStyle name="Comma 46 2 2" xfId="1847" xr:uid="{00000000-0005-0000-0000-00001E0A0000}"/>
    <cellStyle name="Comma 46 2 2 2" xfId="4091" xr:uid="{00000000-0005-0000-0000-00001F0A0000}"/>
    <cellStyle name="Comma 46 2 3" xfId="2571" xr:uid="{00000000-0005-0000-0000-0000200A0000}"/>
    <cellStyle name="Comma 46 2 3 2" xfId="4815" xr:uid="{00000000-0005-0000-0000-0000210A0000}"/>
    <cellStyle name="Comma 46 2 4" xfId="3305" xr:uid="{00000000-0005-0000-0000-0000220A0000}"/>
    <cellStyle name="Comma 46 3" xfId="1313" xr:uid="{00000000-0005-0000-0000-0000230A0000}"/>
    <cellStyle name="Comma 46 3 2" xfId="2100" xr:uid="{00000000-0005-0000-0000-0000240A0000}"/>
    <cellStyle name="Comma 46 3 2 2" xfId="4344" xr:uid="{00000000-0005-0000-0000-0000250A0000}"/>
    <cellStyle name="Comma 46 3 3" xfId="2822" xr:uid="{00000000-0005-0000-0000-0000260A0000}"/>
    <cellStyle name="Comma 46 3 3 2" xfId="5066" xr:uid="{00000000-0005-0000-0000-0000270A0000}"/>
    <cellStyle name="Comma 46 3 4" xfId="3558" xr:uid="{00000000-0005-0000-0000-0000280A0000}"/>
    <cellStyle name="Comma 46 4" xfId="1633" xr:uid="{00000000-0005-0000-0000-0000290A0000}"/>
    <cellStyle name="Comma 46 4 2" xfId="3877" xr:uid="{00000000-0005-0000-0000-00002A0A0000}"/>
    <cellStyle name="Comma 46 5" xfId="2357" xr:uid="{00000000-0005-0000-0000-00002B0A0000}"/>
    <cellStyle name="Comma 46 5 2" xfId="4601" xr:uid="{00000000-0005-0000-0000-00002C0A0000}"/>
    <cellStyle name="Comma 46 6" xfId="3091" xr:uid="{00000000-0005-0000-0000-00002D0A0000}"/>
    <cellStyle name="Comma 47" xfId="841" xr:uid="{00000000-0005-0000-0000-00002E0A0000}"/>
    <cellStyle name="Comma 47 2" xfId="1060" xr:uid="{00000000-0005-0000-0000-00002F0A0000}"/>
    <cellStyle name="Comma 47 2 2" xfId="1848" xr:uid="{00000000-0005-0000-0000-0000300A0000}"/>
    <cellStyle name="Comma 47 2 2 2" xfId="4092" xr:uid="{00000000-0005-0000-0000-0000310A0000}"/>
    <cellStyle name="Comma 47 2 3" xfId="2572" xr:uid="{00000000-0005-0000-0000-0000320A0000}"/>
    <cellStyle name="Comma 47 2 3 2" xfId="4816" xr:uid="{00000000-0005-0000-0000-0000330A0000}"/>
    <cellStyle name="Comma 47 2 4" xfId="3306" xr:uid="{00000000-0005-0000-0000-0000340A0000}"/>
    <cellStyle name="Comma 47 3" xfId="1314" xr:uid="{00000000-0005-0000-0000-0000350A0000}"/>
    <cellStyle name="Comma 47 3 2" xfId="2101" xr:uid="{00000000-0005-0000-0000-0000360A0000}"/>
    <cellStyle name="Comma 47 3 2 2" xfId="4345" xr:uid="{00000000-0005-0000-0000-0000370A0000}"/>
    <cellStyle name="Comma 47 3 3" xfId="2823" xr:uid="{00000000-0005-0000-0000-0000380A0000}"/>
    <cellStyle name="Comma 47 3 3 2" xfId="5067" xr:uid="{00000000-0005-0000-0000-0000390A0000}"/>
    <cellStyle name="Comma 47 3 4" xfId="3559" xr:uid="{00000000-0005-0000-0000-00003A0A0000}"/>
    <cellStyle name="Comma 47 4" xfId="1634" xr:uid="{00000000-0005-0000-0000-00003B0A0000}"/>
    <cellStyle name="Comma 47 4 2" xfId="3878" xr:uid="{00000000-0005-0000-0000-00003C0A0000}"/>
    <cellStyle name="Comma 47 5" xfId="2358" xr:uid="{00000000-0005-0000-0000-00003D0A0000}"/>
    <cellStyle name="Comma 47 5 2" xfId="4602" xr:uid="{00000000-0005-0000-0000-00003E0A0000}"/>
    <cellStyle name="Comma 47 6" xfId="3092" xr:uid="{00000000-0005-0000-0000-00003F0A0000}"/>
    <cellStyle name="Comma 48" xfId="157" xr:uid="{00000000-0005-0000-0000-0000400A0000}"/>
    <cellStyle name="Comma 48 2" xfId="969" xr:uid="{00000000-0005-0000-0000-0000410A0000}"/>
    <cellStyle name="Comma 48 2 2" xfId="1757" xr:uid="{00000000-0005-0000-0000-0000420A0000}"/>
    <cellStyle name="Comma 48 2 2 2" xfId="4001" xr:uid="{00000000-0005-0000-0000-0000430A0000}"/>
    <cellStyle name="Comma 48 2 3" xfId="2481" xr:uid="{00000000-0005-0000-0000-0000440A0000}"/>
    <cellStyle name="Comma 48 2 3 2" xfId="4725" xr:uid="{00000000-0005-0000-0000-0000450A0000}"/>
    <cellStyle name="Comma 48 2 4" xfId="3215" xr:uid="{00000000-0005-0000-0000-0000460A0000}"/>
    <cellStyle name="Comma 48 3" xfId="1222" xr:uid="{00000000-0005-0000-0000-0000470A0000}"/>
    <cellStyle name="Comma 48 3 2" xfId="2009" xr:uid="{00000000-0005-0000-0000-0000480A0000}"/>
    <cellStyle name="Comma 48 3 2 2" xfId="4253" xr:uid="{00000000-0005-0000-0000-0000490A0000}"/>
    <cellStyle name="Comma 48 3 3" xfId="2733" xr:uid="{00000000-0005-0000-0000-00004A0A0000}"/>
    <cellStyle name="Comma 48 3 3 2" xfId="4977" xr:uid="{00000000-0005-0000-0000-00004B0A0000}"/>
    <cellStyle name="Comma 48 3 4" xfId="3467" xr:uid="{00000000-0005-0000-0000-00004C0A0000}"/>
    <cellStyle name="Comma 48 4" xfId="1437" xr:uid="{00000000-0005-0000-0000-00004D0A0000}"/>
    <cellStyle name="Comma 48 4 2" xfId="3681" xr:uid="{00000000-0005-0000-0000-00004E0A0000}"/>
    <cellStyle name="Comma 48 5" xfId="2223" xr:uid="{00000000-0005-0000-0000-00004F0A0000}"/>
    <cellStyle name="Comma 48 5 2" xfId="4467" xr:uid="{00000000-0005-0000-0000-0000500A0000}"/>
    <cellStyle name="Comma 48 6" xfId="2947" xr:uid="{00000000-0005-0000-0000-0000510A0000}"/>
    <cellStyle name="Comma 49" xfId="735" xr:uid="{00000000-0005-0000-0000-0000520A0000}"/>
    <cellStyle name="Comma 49 2" xfId="1047" xr:uid="{00000000-0005-0000-0000-0000530A0000}"/>
    <cellStyle name="Comma 49 2 2" xfId="1835" xr:uid="{00000000-0005-0000-0000-0000540A0000}"/>
    <cellStyle name="Comma 49 2 2 2" xfId="4079" xr:uid="{00000000-0005-0000-0000-0000550A0000}"/>
    <cellStyle name="Comma 49 2 3" xfId="2559" xr:uid="{00000000-0005-0000-0000-0000560A0000}"/>
    <cellStyle name="Comma 49 2 3 2" xfId="4803" xr:uid="{00000000-0005-0000-0000-0000570A0000}"/>
    <cellStyle name="Comma 49 2 4" xfId="3293" xr:uid="{00000000-0005-0000-0000-0000580A0000}"/>
    <cellStyle name="Comma 49 3" xfId="1300" xr:uid="{00000000-0005-0000-0000-0000590A0000}"/>
    <cellStyle name="Comma 49 3 2" xfId="2087" xr:uid="{00000000-0005-0000-0000-00005A0A0000}"/>
    <cellStyle name="Comma 49 3 2 2" xfId="4331" xr:uid="{00000000-0005-0000-0000-00005B0A0000}"/>
    <cellStyle name="Comma 49 3 3" xfId="2810" xr:uid="{00000000-0005-0000-0000-00005C0A0000}"/>
    <cellStyle name="Comma 49 3 3 2" xfId="5054" xr:uid="{00000000-0005-0000-0000-00005D0A0000}"/>
    <cellStyle name="Comma 49 3 4" xfId="3545" xr:uid="{00000000-0005-0000-0000-00005E0A0000}"/>
    <cellStyle name="Comma 49 4" xfId="1567" xr:uid="{00000000-0005-0000-0000-00005F0A0000}"/>
    <cellStyle name="Comma 49 4 2" xfId="3811" xr:uid="{00000000-0005-0000-0000-0000600A0000}"/>
    <cellStyle name="Comma 49 5" xfId="2345" xr:uid="{00000000-0005-0000-0000-0000610A0000}"/>
    <cellStyle name="Comma 49 5 2" xfId="4589" xr:uid="{00000000-0005-0000-0000-0000620A0000}"/>
    <cellStyle name="Comma 49 6" xfId="3025" xr:uid="{00000000-0005-0000-0000-0000630A0000}"/>
    <cellStyle name="Comma 5" xfId="158" xr:uid="{00000000-0005-0000-0000-0000640A0000}"/>
    <cellStyle name="Comma 5 10" xfId="159" xr:uid="{00000000-0005-0000-0000-0000650A0000}"/>
    <cellStyle name="Comma 5 2" xfId="160" xr:uid="{00000000-0005-0000-0000-0000660A0000}"/>
    <cellStyle name="Comma 5 3" xfId="161" xr:uid="{00000000-0005-0000-0000-0000670A0000}"/>
    <cellStyle name="Comma 5 3 2" xfId="971" xr:uid="{00000000-0005-0000-0000-0000680A0000}"/>
    <cellStyle name="Comma 5 3 2 2" xfId="1759" xr:uid="{00000000-0005-0000-0000-0000690A0000}"/>
    <cellStyle name="Comma 5 3 2 2 2" xfId="4003" xr:uid="{00000000-0005-0000-0000-00006A0A0000}"/>
    <cellStyle name="Comma 5 3 2 3" xfId="2483" xr:uid="{00000000-0005-0000-0000-00006B0A0000}"/>
    <cellStyle name="Comma 5 3 2 3 2" xfId="4727" xr:uid="{00000000-0005-0000-0000-00006C0A0000}"/>
    <cellStyle name="Comma 5 3 2 4" xfId="3217" xr:uid="{00000000-0005-0000-0000-00006D0A0000}"/>
    <cellStyle name="Comma 5 3 3" xfId="1224" xr:uid="{00000000-0005-0000-0000-00006E0A0000}"/>
    <cellStyle name="Comma 5 3 3 2" xfId="2011" xr:uid="{00000000-0005-0000-0000-00006F0A0000}"/>
    <cellStyle name="Comma 5 3 3 2 2" xfId="4255" xr:uid="{00000000-0005-0000-0000-0000700A0000}"/>
    <cellStyle name="Comma 5 3 3 3" xfId="2735" xr:uid="{00000000-0005-0000-0000-0000710A0000}"/>
    <cellStyle name="Comma 5 3 3 3 2" xfId="4979" xr:uid="{00000000-0005-0000-0000-0000720A0000}"/>
    <cellStyle name="Comma 5 3 3 4" xfId="3469" xr:uid="{00000000-0005-0000-0000-0000730A0000}"/>
    <cellStyle name="Comma 5 3 4" xfId="1439" xr:uid="{00000000-0005-0000-0000-0000740A0000}"/>
    <cellStyle name="Comma 5 3 4 2" xfId="3683" xr:uid="{00000000-0005-0000-0000-0000750A0000}"/>
    <cellStyle name="Comma 5 3 5" xfId="2225" xr:uid="{00000000-0005-0000-0000-0000760A0000}"/>
    <cellStyle name="Comma 5 3 5 2" xfId="4469" xr:uid="{00000000-0005-0000-0000-0000770A0000}"/>
    <cellStyle name="Comma 5 3 6" xfId="2949" xr:uid="{00000000-0005-0000-0000-0000780A0000}"/>
    <cellStyle name="Comma 5 4" xfId="970" xr:uid="{00000000-0005-0000-0000-0000790A0000}"/>
    <cellStyle name="Comma 5 4 2" xfId="1758" xr:uid="{00000000-0005-0000-0000-00007A0A0000}"/>
    <cellStyle name="Comma 5 4 2 2" xfId="4002" xr:uid="{00000000-0005-0000-0000-00007B0A0000}"/>
    <cellStyle name="Comma 5 4 3" xfId="2482" xr:uid="{00000000-0005-0000-0000-00007C0A0000}"/>
    <cellStyle name="Comma 5 4 3 2" xfId="4726" xr:uid="{00000000-0005-0000-0000-00007D0A0000}"/>
    <cellStyle name="Comma 5 4 4" xfId="3216" xr:uid="{00000000-0005-0000-0000-00007E0A0000}"/>
    <cellStyle name="Comma 5 5" xfId="1223" xr:uid="{00000000-0005-0000-0000-00007F0A0000}"/>
    <cellStyle name="Comma 5 5 2" xfId="2010" xr:uid="{00000000-0005-0000-0000-0000800A0000}"/>
    <cellStyle name="Comma 5 5 2 2" xfId="4254" xr:uid="{00000000-0005-0000-0000-0000810A0000}"/>
    <cellStyle name="Comma 5 5 3" xfId="2734" xr:uid="{00000000-0005-0000-0000-0000820A0000}"/>
    <cellStyle name="Comma 5 5 3 2" xfId="4978" xr:uid="{00000000-0005-0000-0000-0000830A0000}"/>
    <cellStyle name="Comma 5 5 4" xfId="3468" xr:uid="{00000000-0005-0000-0000-0000840A0000}"/>
    <cellStyle name="Comma 5 6" xfId="1438" xr:uid="{00000000-0005-0000-0000-0000850A0000}"/>
    <cellStyle name="Comma 5 6 2" xfId="3682" xr:uid="{00000000-0005-0000-0000-0000860A0000}"/>
    <cellStyle name="Comma 5 7" xfId="2224" xr:uid="{00000000-0005-0000-0000-0000870A0000}"/>
    <cellStyle name="Comma 5 7 2" xfId="4468" xr:uid="{00000000-0005-0000-0000-0000880A0000}"/>
    <cellStyle name="Comma 5 8" xfId="2948" xr:uid="{00000000-0005-0000-0000-0000890A0000}"/>
    <cellStyle name="Comma 50" xfId="843" xr:uid="{00000000-0005-0000-0000-00008A0A0000}"/>
    <cellStyle name="Comma 50 2" xfId="1061" xr:uid="{00000000-0005-0000-0000-00008B0A0000}"/>
    <cellStyle name="Comma 50 2 2" xfId="1849" xr:uid="{00000000-0005-0000-0000-00008C0A0000}"/>
    <cellStyle name="Comma 50 2 2 2" xfId="4093" xr:uid="{00000000-0005-0000-0000-00008D0A0000}"/>
    <cellStyle name="Comma 50 2 3" xfId="2573" xr:uid="{00000000-0005-0000-0000-00008E0A0000}"/>
    <cellStyle name="Comma 50 2 3 2" xfId="4817" xr:uid="{00000000-0005-0000-0000-00008F0A0000}"/>
    <cellStyle name="Comma 50 2 4" xfId="3307" xr:uid="{00000000-0005-0000-0000-0000900A0000}"/>
    <cellStyle name="Comma 50 3" xfId="1315" xr:uid="{00000000-0005-0000-0000-0000910A0000}"/>
    <cellStyle name="Comma 50 3 2" xfId="2102" xr:uid="{00000000-0005-0000-0000-0000920A0000}"/>
    <cellStyle name="Comma 50 3 2 2" xfId="4346" xr:uid="{00000000-0005-0000-0000-0000930A0000}"/>
    <cellStyle name="Comma 50 3 3" xfId="2824" xr:uid="{00000000-0005-0000-0000-0000940A0000}"/>
    <cellStyle name="Comma 50 3 3 2" xfId="5068" xr:uid="{00000000-0005-0000-0000-0000950A0000}"/>
    <cellStyle name="Comma 50 3 4" xfId="3560" xr:uid="{00000000-0005-0000-0000-0000960A0000}"/>
    <cellStyle name="Comma 50 4" xfId="1635" xr:uid="{00000000-0005-0000-0000-0000970A0000}"/>
    <cellStyle name="Comma 50 4 2" xfId="3879" xr:uid="{00000000-0005-0000-0000-0000980A0000}"/>
    <cellStyle name="Comma 50 5" xfId="2359" xr:uid="{00000000-0005-0000-0000-0000990A0000}"/>
    <cellStyle name="Comma 50 5 2" xfId="4603" xr:uid="{00000000-0005-0000-0000-00009A0A0000}"/>
    <cellStyle name="Comma 50 6" xfId="3093" xr:uid="{00000000-0005-0000-0000-00009B0A0000}"/>
    <cellStyle name="Comma 51" xfId="835" xr:uid="{00000000-0005-0000-0000-00009C0A0000}"/>
    <cellStyle name="Comma 51 2" xfId="1058" xr:uid="{00000000-0005-0000-0000-00009D0A0000}"/>
    <cellStyle name="Comma 51 2 2" xfId="1846" xr:uid="{00000000-0005-0000-0000-00009E0A0000}"/>
    <cellStyle name="Comma 51 2 2 2" xfId="4090" xr:uid="{00000000-0005-0000-0000-00009F0A0000}"/>
    <cellStyle name="Comma 51 2 3" xfId="2570" xr:uid="{00000000-0005-0000-0000-0000A00A0000}"/>
    <cellStyle name="Comma 51 2 3 2" xfId="4814" xr:uid="{00000000-0005-0000-0000-0000A10A0000}"/>
    <cellStyle name="Comma 51 2 4" xfId="3304" xr:uid="{00000000-0005-0000-0000-0000A20A0000}"/>
    <cellStyle name="Comma 51 3" xfId="1312" xr:uid="{00000000-0005-0000-0000-0000A30A0000}"/>
    <cellStyle name="Comma 51 3 2" xfId="2099" xr:uid="{00000000-0005-0000-0000-0000A40A0000}"/>
    <cellStyle name="Comma 51 3 2 2" xfId="4343" xr:uid="{00000000-0005-0000-0000-0000A50A0000}"/>
    <cellStyle name="Comma 51 3 3" xfId="2821" xr:uid="{00000000-0005-0000-0000-0000A60A0000}"/>
    <cellStyle name="Comma 51 3 3 2" xfId="5065" xr:uid="{00000000-0005-0000-0000-0000A70A0000}"/>
    <cellStyle name="Comma 51 3 4" xfId="3557" xr:uid="{00000000-0005-0000-0000-0000A80A0000}"/>
    <cellStyle name="Comma 51 4" xfId="1632" xr:uid="{00000000-0005-0000-0000-0000A90A0000}"/>
    <cellStyle name="Comma 51 4 2" xfId="3876" xr:uid="{00000000-0005-0000-0000-0000AA0A0000}"/>
    <cellStyle name="Comma 51 5" xfId="2356" xr:uid="{00000000-0005-0000-0000-0000AB0A0000}"/>
    <cellStyle name="Comma 51 5 2" xfId="4600" xr:uid="{00000000-0005-0000-0000-0000AC0A0000}"/>
    <cellStyle name="Comma 51 6" xfId="3090" xr:uid="{00000000-0005-0000-0000-0000AD0A0000}"/>
    <cellStyle name="Comma 52" xfId="845" xr:uid="{00000000-0005-0000-0000-0000AE0A0000}"/>
    <cellStyle name="Comma 52 2" xfId="1062" xr:uid="{00000000-0005-0000-0000-0000AF0A0000}"/>
    <cellStyle name="Comma 52 2 2" xfId="1850" xr:uid="{00000000-0005-0000-0000-0000B00A0000}"/>
    <cellStyle name="Comma 52 2 2 2" xfId="4094" xr:uid="{00000000-0005-0000-0000-0000B10A0000}"/>
    <cellStyle name="Comma 52 2 3" xfId="2574" xr:uid="{00000000-0005-0000-0000-0000B20A0000}"/>
    <cellStyle name="Comma 52 2 3 2" xfId="4818" xr:uid="{00000000-0005-0000-0000-0000B30A0000}"/>
    <cellStyle name="Comma 52 2 4" xfId="3308" xr:uid="{00000000-0005-0000-0000-0000B40A0000}"/>
    <cellStyle name="Comma 52 3" xfId="1316" xr:uid="{00000000-0005-0000-0000-0000B50A0000}"/>
    <cellStyle name="Comma 52 3 2" xfId="2103" xr:uid="{00000000-0005-0000-0000-0000B60A0000}"/>
    <cellStyle name="Comma 52 3 2 2" xfId="4347" xr:uid="{00000000-0005-0000-0000-0000B70A0000}"/>
    <cellStyle name="Comma 52 3 3" xfId="2825" xr:uid="{00000000-0005-0000-0000-0000B80A0000}"/>
    <cellStyle name="Comma 52 3 3 2" xfId="5069" xr:uid="{00000000-0005-0000-0000-0000B90A0000}"/>
    <cellStyle name="Comma 52 3 4" xfId="3561" xr:uid="{00000000-0005-0000-0000-0000BA0A0000}"/>
    <cellStyle name="Comma 52 4" xfId="1636" xr:uid="{00000000-0005-0000-0000-0000BB0A0000}"/>
    <cellStyle name="Comma 52 4 2" xfId="3880" xr:uid="{00000000-0005-0000-0000-0000BC0A0000}"/>
    <cellStyle name="Comma 52 5" xfId="2360" xr:uid="{00000000-0005-0000-0000-0000BD0A0000}"/>
    <cellStyle name="Comma 52 5 2" xfId="4604" xr:uid="{00000000-0005-0000-0000-0000BE0A0000}"/>
    <cellStyle name="Comma 52 6" xfId="3094" xr:uid="{00000000-0005-0000-0000-0000BF0A0000}"/>
    <cellStyle name="Comma 53" xfId="162" xr:uid="{00000000-0005-0000-0000-0000C00A0000}"/>
    <cellStyle name="Comma 53 2" xfId="972" xr:uid="{00000000-0005-0000-0000-0000C10A0000}"/>
    <cellStyle name="Comma 53 2 2" xfId="1760" xr:uid="{00000000-0005-0000-0000-0000C20A0000}"/>
    <cellStyle name="Comma 53 2 2 2" xfId="4004" xr:uid="{00000000-0005-0000-0000-0000C30A0000}"/>
    <cellStyle name="Comma 53 2 3" xfId="2484" xr:uid="{00000000-0005-0000-0000-0000C40A0000}"/>
    <cellStyle name="Comma 53 2 3 2" xfId="4728" xr:uid="{00000000-0005-0000-0000-0000C50A0000}"/>
    <cellStyle name="Comma 53 2 4" xfId="3218" xr:uid="{00000000-0005-0000-0000-0000C60A0000}"/>
    <cellStyle name="Comma 53 3" xfId="1225" xr:uid="{00000000-0005-0000-0000-0000C70A0000}"/>
    <cellStyle name="Comma 53 3 2" xfId="2012" xr:uid="{00000000-0005-0000-0000-0000C80A0000}"/>
    <cellStyle name="Comma 53 3 2 2" xfId="4256" xr:uid="{00000000-0005-0000-0000-0000C90A0000}"/>
    <cellStyle name="Comma 53 3 3" xfId="2736" xr:uid="{00000000-0005-0000-0000-0000CA0A0000}"/>
    <cellStyle name="Comma 53 3 3 2" xfId="4980" xr:uid="{00000000-0005-0000-0000-0000CB0A0000}"/>
    <cellStyle name="Comma 53 3 4" xfId="3470" xr:uid="{00000000-0005-0000-0000-0000CC0A0000}"/>
    <cellStyle name="Comma 53 4" xfId="1440" xr:uid="{00000000-0005-0000-0000-0000CD0A0000}"/>
    <cellStyle name="Comma 53 4 2" xfId="3684" xr:uid="{00000000-0005-0000-0000-0000CE0A0000}"/>
    <cellStyle name="Comma 53 5" xfId="2226" xr:uid="{00000000-0005-0000-0000-0000CF0A0000}"/>
    <cellStyle name="Comma 53 5 2" xfId="4470" xr:uid="{00000000-0005-0000-0000-0000D00A0000}"/>
    <cellStyle name="Comma 53 6" xfId="2950" xr:uid="{00000000-0005-0000-0000-0000D10A0000}"/>
    <cellStyle name="Comma 54" xfId="734" xr:uid="{00000000-0005-0000-0000-0000D20A0000}"/>
    <cellStyle name="Comma 54 2" xfId="1046" xr:uid="{00000000-0005-0000-0000-0000D30A0000}"/>
    <cellStyle name="Comma 54 2 2" xfId="1834" xr:uid="{00000000-0005-0000-0000-0000D40A0000}"/>
    <cellStyle name="Comma 54 2 2 2" xfId="4078" xr:uid="{00000000-0005-0000-0000-0000D50A0000}"/>
    <cellStyle name="Comma 54 2 3" xfId="2558" xr:uid="{00000000-0005-0000-0000-0000D60A0000}"/>
    <cellStyle name="Comma 54 2 3 2" xfId="4802" xr:uid="{00000000-0005-0000-0000-0000D70A0000}"/>
    <cellStyle name="Comma 54 2 4" xfId="3292" xr:uid="{00000000-0005-0000-0000-0000D80A0000}"/>
    <cellStyle name="Comma 54 3" xfId="1299" xr:uid="{00000000-0005-0000-0000-0000D90A0000}"/>
    <cellStyle name="Comma 54 3 2" xfId="2086" xr:uid="{00000000-0005-0000-0000-0000DA0A0000}"/>
    <cellStyle name="Comma 54 3 2 2" xfId="4330" xr:uid="{00000000-0005-0000-0000-0000DB0A0000}"/>
    <cellStyle name="Comma 54 3 3" xfId="2809" xr:uid="{00000000-0005-0000-0000-0000DC0A0000}"/>
    <cellStyle name="Comma 54 3 3 2" xfId="5053" xr:uid="{00000000-0005-0000-0000-0000DD0A0000}"/>
    <cellStyle name="Comma 54 3 4" xfId="3544" xr:uid="{00000000-0005-0000-0000-0000DE0A0000}"/>
    <cellStyle name="Comma 54 4" xfId="1566" xr:uid="{00000000-0005-0000-0000-0000DF0A0000}"/>
    <cellStyle name="Comma 54 4 2" xfId="3810" xr:uid="{00000000-0005-0000-0000-0000E00A0000}"/>
    <cellStyle name="Comma 54 5" xfId="2344" xr:uid="{00000000-0005-0000-0000-0000E10A0000}"/>
    <cellStyle name="Comma 54 5 2" xfId="4588" xr:uid="{00000000-0005-0000-0000-0000E20A0000}"/>
    <cellStyle name="Comma 54 6" xfId="3024" xr:uid="{00000000-0005-0000-0000-0000E30A0000}"/>
    <cellStyle name="Comma 55" xfId="847" xr:uid="{00000000-0005-0000-0000-0000E40A0000}"/>
    <cellStyle name="Comma 55 2" xfId="1064" xr:uid="{00000000-0005-0000-0000-0000E50A0000}"/>
    <cellStyle name="Comma 55 2 2" xfId="1852" xr:uid="{00000000-0005-0000-0000-0000E60A0000}"/>
    <cellStyle name="Comma 55 2 2 2" xfId="4096" xr:uid="{00000000-0005-0000-0000-0000E70A0000}"/>
    <cellStyle name="Comma 55 2 3" xfId="2576" xr:uid="{00000000-0005-0000-0000-0000E80A0000}"/>
    <cellStyle name="Comma 55 2 3 2" xfId="4820" xr:uid="{00000000-0005-0000-0000-0000E90A0000}"/>
    <cellStyle name="Comma 55 2 4" xfId="3310" xr:uid="{00000000-0005-0000-0000-0000EA0A0000}"/>
    <cellStyle name="Comma 55 3" xfId="1318" xr:uid="{00000000-0005-0000-0000-0000EB0A0000}"/>
    <cellStyle name="Comma 55 3 2" xfId="2105" xr:uid="{00000000-0005-0000-0000-0000EC0A0000}"/>
    <cellStyle name="Comma 55 3 2 2" xfId="4349" xr:uid="{00000000-0005-0000-0000-0000ED0A0000}"/>
    <cellStyle name="Comma 55 3 3" xfId="2827" xr:uid="{00000000-0005-0000-0000-0000EE0A0000}"/>
    <cellStyle name="Comma 55 3 3 2" xfId="5071" xr:uid="{00000000-0005-0000-0000-0000EF0A0000}"/>
    <cellStyle name="Comma 55 3 4" xfId="3563" xr:uid="{00000000-0005-0000-0000-0000F00A0000}"/>
    <cellStyle name="Comma 55 4" xfId="1638" xr:uid="{00000000-0005-0000-0000-0000F10A0000}"/>
    <cellStyle name="Comma 55 4 2" xfId="3882" xr:uid="{00000000-0005-0000-0000-0000F20A0000}"/>
    <cellStyle name="Comma 55 5" xfId="2362" xr:uid="{00000000-0005-0000-0000-0000F30A0000}"/>
    <cellStyle name="Comma 55 5 2" xfId="4606" xr:uid="{00000000-0005-0000-0000-0000F40A0000}"/>
    <cellStyle name="Comma 55 6" xfId="3096" xr:uid="{00000000-0005-0000-0000-0000F50A0000}"/>
    <cellStyle name="Comma 56" xfId="733" xr:uid="{00000000-0005-0000-0000-0000F60A0000}"/>
    <cellStyle name="Comma 56 2" xfId="1045" xr:uid="{00000000-0005-0000-0000-0000F70A0000}"/>
    <cellStyle name="Comma 56 2 2" xfId="1833" xr:uid="{00000000-0005-0000-0000-0000F80A0000}"/>
    <cellStyle name="Comma 56 2 2 2" xfId="4077" xr:uid="{00000000-0005-0000-0000-0000F90A0000}"/>
    <cellStyle name="Comma 56 2 3" xfId="2557" xr:uid="{00000000-0005-0000-0000-0000FA0A0000}"/>
    <cellStyle name="Comma 56 2 3 2" xfId="4801" xr:uid="{00000000-0005-0000-0000-0000FB0A0000}"/>
    <cellStyle name="Comma 56 2 4" xfId="3291" xr:uid="{00000000-0005-0000-0000-0000FC0A0000}"/>
    <cellStyle name="Comma 56 3" xfId="1298" xr:uid="{00000000-0005-0000-0000-0000FD0A0000}"/>
    <cellStyle name="Comma 56 3 2" xfId="2085" xr:uid="{00000000-0005-0000-0000-0000FE0A0000}"/>
    <cellStyle name="Comma 56 3 2 2" xfId="4329" xr:uid="{00000000-0005-0000-0000-0000FF0A0000}"/>
    <cellStyle name="Comma 56 3 3" xfId="2808" xr:uid="{00000000-0005-0000-0000-0000000B0000}"/>
    <cellStyle name="Comma 56 3 3 2" xfId="5052" xr:uid="{00000000-0005-0000-0000-0000010B0000}"/>
    <cellStyle name="Comma 56 3 4" xfId="3543" xr:uid="{00000000-0005-0000-0000-0000020B0000}"/>
    <cellStyle name="Comma 56 4" xfId="1565" xr:uid="{00000000-0005-0000-0000-0000030B0000}"/>
    <cellStyle name="Comma 56 4 2" xfId="3809" xr:uid="{00000000-0005-0000-0000-0000040B0000}"/>
    <cellStyle name="Comma 56 5" xfId="2343" xr:uid="{00000000-0005-0000-0000-0000050B0000}"/>
    <cellStyle name="Comma 56 5 2" xfId="4587" xr:uid="{00000000-0005-0000-0000-0000060B0000}"/>
    <cellStyle name="Comma 56 6" xfId="3023" xr:uid="{00000000-0005-0000-0000-0000070B0000}"/>
    <cellStyle name="Comma 57" xfId="846" xr:uid="{00000000-0005-0000-0000-0000080B0000}"/>
    <cellStyle name="Comma 57 2" xfId="1063" xr:uid="{00000000-0005-0000-0000-0000090B0000}"/>
    <cellStyle name="Comma 57 2 2" xfId="1851" xr:uid="{00000000-0005-0000-0000-00000A0B0000}"/>
    <cellStyle name="Comma 57 2 2 2" xfId="4095" xr:uid="{00000000-0005-0000-0000-00000B0B0000}"/>
    <cellStyle name="Comma 57 2 3" xfId="2575" xr:uid="{00000000-0005-0000-0000-00000C0B0000}"/>
    <cellStyle name="Comma 57 2 3 2" xfId="4819" xr:uid="{00000000-0005-0000-0000-00000D0B0000}"/>
    <cellStyle name="Comma 57 2 4" xfId="3309" xr:uid="{00000000-0005-0000-0000-00000E0B0000}"/>
    <cellStyle name="Comma 57 3" xfId="1317" xr:uid="{00000000-0005-0000-0000-00000F0B0000}"/>
    <cellStyle name="Comma 57 3 2" xfId="2104" xr:uid="{00000000-0005-0000-0000-0000100B0000}"/>
    <cellStyle name="Comma 57 3 2 2" xfId="4348" xr:uid="{00000000-0005-0000-0000-0000110B0000}"/>
    <cellStyle name="Comma 57 3 3" xfId="2826" xr:uid="{00000000-0005-0000-0000-0000120B0000}"/>
    <cellStyle name="Comma 57 3 3 2" xfId="5070" xr:uid="{00000000-0005-0000-0000-0000130B0000}"/>
    <cellStyle name="Comma 57 3 4" xfId="3562" xr:uid="{00000000-0005-0000-0000-0000140B0000}"/>
    <cellStyle name="Comma 57 4" xfId="1637" xr:uid="{00000000-0005-0000-0000-0000150B0000}"/>
    <cellStyle name="Comma 57 4 2" xfId="3881" xr:uid="{00000000-0005-0000-0000-0000160B0000}"/>
    <cellStyle name="Comma 57 5" xfId="2361" xr:uid="{00000000-0005-0000-0000-0000170B0000}"/>
    <cellStyle name="Comma 57 5 2" xfId="4605" xr:uid="{00000000-0005-0000-0000-0000180B0000}"/>
    <cellStyle name="Comma 57 6" xfId="3095" xr:uid="{00000000-0005-0000-0000-0000190B0000}"/>
    <cellStyle name="Comma 58" xfId="163" xr:uid="{00000000-0005-0000-0000-00001A0B0000}"/>
    <cellStyle name="Comma 58 2" xfId="973" xr:uid="{00000000-0005-0000-0000-00001B0B0000}"/>
    <cellStyle name="Comma 58 2 2" xfId="1761" xr:uid="{00000000-0005-0000-0000-00001C0B0000}"/>
    <cellStyle name="Comma 58 2 2 2" xfId="4005" xr:uid="{00000000-0005-0000-0000-00001D0B0000}"/>
    <cellStyle name="Comma 58 2 3" xfId="2485" xr:uid="{00000000-0005-0000-0000-00001E0B0000}"/>
    <cellStyle name="Comma 58 2 3 2" xfId="4729" xr:uid="{00000000-0005-0000-0000-00001F0B0000}"/>
    <cellStyle name="Comma 58 2 4" xfId="3219" xr:uid="{00000000-0005-0000-0000-0000200B0000}"/>
    <cellStyle name="Comma 58 3" xfId="1226" xr:uid="{00000000-0005-0000-0000-0000210B0000}"/>
    <cellStyle name="Comma 58 3 2" xfId="2013" xr:uid="{00000000-0005-0000-0000-0000220B0000}"/>
    <cellStyle name="Comma 58 3 2 2" xfId="4257" xr:uid="{00000000-0005-0000-0000-0000230B0000}"/>
    <cellStyle name="Comma 58 3 3" xfId="2737" xr:uid="{00000000-0005-0000-0000-0000240B0000}"/>
    <cellStyle name="Comma 58 3 3 2" xfId="4981" xr:uid="{00000000-0005-0000-0000-0000250B0000}"/>
    <cellStyle name="Comma 58 3 4" xfId="3471" xr:uid="{00000000-0005-0000-0000-0000260B0000}"/>
    <cellStyle name="Comma 58 4" xfId="1441" xr:uid="{00000000-0005-0000-0000-0000270B0000}"/>
    <cellStyle name="Comma 58 4 2" xfId="3685" xr:uid="{00000000-0005-0000-0000-0000280B0000}"/>
    <cellStyle name="Comma 58 5" xfId="2227" xr:uid="{00000000-0005-0000-0000-0000290B0000}"/>
    <cellStyle name="Comma 58 5 2" xfId="4471" xr:uid="{00000000-0005-0000-0000-00002A0B0000}"/>
    <cellStyle name="Comma 58 6" xfId="2951" xr:uid="{00000000-0005-0000-0000-00002B0B0000}"/>
    <cellStyle name="Comma 59" xfId="851" xr:uid="{00000000-0005-0000-0000-00002C0B0000}"/>
    <cellStyle name="Comma 59 2" xfId="1639" xr:uid="{00000000-0005-0000-0000-00002D0B0000}"/>
    <cellStyle name="Comma 59 2 2" xfId="3883" xr:uid="{00000000-0005-0000-0000-00002E0B0000}"/>
    <cellStyle name="Comma 59 3" xfId="2363" xr:uid="{00000000-0005-0000-0000-00002F0B0000}"/>
    <cellStyle name="Comma 59 3 2" xfId="4607" xr:uid="{00000000-0005-0000-0000-0000300B0000}"/>
    <cellStyle name="Comma 59 4" xfId="3097" xr:uid="{00000000-0005-0000-0000-0000310B0000}"/>
    <cellStyle name="Comma 6" xfId="164" xr:uid="{00000000-0005-0000-0000-0000320B0000}"/>
    <cellStyle name="Comma 6 10" xfId="165" xr:uid="{00000000-0005-0000-0000-0000330B0000}"/>
    <cellStyle name="Comma 6 10 2" xfId="975" xr:uid="{00000000-0005-0000-0000-0000340B0000}"/>
    <cellStyle name="Comma 6 10 2 2" xfId="1763" xr:uid="{00000000-0005-0000-0000-0000350B0000}"/>
    <cellStyle name="Comma 6 10 2 2 2" xfId="4007" xr:uid="{00000000-0005-0000-0000-0000360B0000}"/>
    <cellStyle name="Comma 6 10 2 3" xfId="2487" xr:uid="{00000000-0005-0000-0000-0000370B0000}"/>
    <cellStyle name="Comma 6 10 2 3 2" xfId="4731" xr:uid="{00000000-0005-0000-0000-0000380B0000}"/>
    <cellStyle name="Comma 6 10 2 4" xfId="3221" xr:uid="{00000000-0005-0000-0000-0000390B0000}"/>
    <cellStyle name="Comma 6 10 3" xfId="1228" xr:uid="{00000000-0005-0000-0000-00003A0B0000}"/>
    <cellStyle name="Comma 6 10 3 2" xfId="2015" xr:uid="{00000000-0005-0000-0000-00003B0B0000}"/>
    <cellStyle name="Comma 6 10 3 2 2" xfId="4259" xr:uid="{00000000-0005-0000-0000-00003C0B0000}"/>
    <cellStyle name="Comma 6 10 3 3" xfId="2739" xr:uid="{00000000-0005-0000-0000-00003D0B0000}"/>
    <cellStyle name="Comma 6 10 3 3 2" xfId="4983" xr:uid="{00000000-0005-0000-0000-00003E0B0000}"/>
    <cellStyle name="Comma 6 10 3 4" xfId="3473" xr:uid="{00000000-0005-0000-0000-00003F0B0000}"/>
    <cellStyle name="Comma 6 10 4" xfId="1443" xr:uid="{00000000-0005-0000-0000-0000400B0000}"/>
    <cellStyle name="Comma 6 10 4 2" xfId="3687" xr:uid="{00000000-0005-0000-0000-0000410B0000}"/>
    <cellStyle name="Comma 6 10 5" xfId="2229" xr:uid="{00000000-0005-0000-0000-0000420B0000}"/>
    <cellStyle name="Comma 6 10 5 2" xfId="4473" xr:uid="{00000000-0005-0000-0000-0000430B0000}"/>
    <cellStyle name="Comma 6 10 6" xfId="2953" xr:uid="{00000000-0005-0000-0000-0000440B0000}"/>
    <cellStyle name="Comma 6 11" xfId="166" xr:uid="{00000000-0005-0000-0000-0000450B0000}"/>
    <cellStyle name="Comma 6 11 2" xfId="976" xr:uid="{00000000-0005-0000-0000-0000460B0000}"/>
    <cellStyle name="Comma 6 11 2 2" xfId="1764" xr:uid="{00000000-0005-0000-0000-0000470B0000}"/>
    <cellStyle name="Comma 6 11 2 2 2" xfId="4008" xr:uid="{00000000-0005-0000-0000-0000480B0000}"/>
    <cellStyle name="Comma 6 11 2 3" xfId="2488" xr:uid="{00000000-0005-0000-0000-0000490B0000}"/>
    <cellStyle name="Comma 6 11 2 3 2" xfId="4732" xr:uid="{00000000-0005-0000-0000-00004A0B0000}"/>
    <cellStyle name="Comma 6 11 2 4" xfId="3222" xr:uid="{00000000-0005-0000-0000-00004B0B0000}"/>
    <cellStyle name="Comma 6 11 3" xfId="1229" xr:uid="{00000000-0005-0000-0000-00004C0B0000}"/>
    <cellStyle name="Comma 6 11 3 2" xfId="2016" xr:uid="{00000000-0005-0000-0000-00004D0B0000}"/>
    <cellStyle name="Comma 6 11 3 2 2" xfId="4260" xr:uid="{00000000-0005-0000-0000-00004E0B0000}"/>
    <cellStyle name="Comma 6 11 3 3" xfId="2740" xr:uid="{00000000-0005-0000-0000-00004F0B0000}"/>
    <cellStyle name="Comma 6 11 3 3 2" xfId="4984" xr:uid="{00000000-0005-0000-0000-0000500B0000}"/>
    <cellStyle name="Comma 6 11 3 4" xfId="3474" xr:uid="{00000000-0005-0000-0000-0000510B0000}"/>
    <cellStyle name="Comma 6 11 4" xfId="1444" xr:uid="{00000000-0005-0000-0000-0000520B0000}"/>
    <cellStyle name="Comma 6 11 4 2" xfId="3688" xr:uid="{00000000-0005-0000-0000-0000530B0000}"/>
    <cellStyle name="Comma 6 11 5" xfId="2230" xr:uid="{00000000-0005-0000-0000-0000540B0000}"/>
    <cellStyle name="Comma 6 11 5 2" xfId="4474" xr:uid="{00000000-0005-0000-0000-0000550B0000}"/>
    <cellStyle name="Comma 6 11 6" xfId="2954" xr:uid="{00000000-0005-0000-0000-0000560B0000}"/>
    <cellStyle name="Comma 6 12" xfId="167" xr:uid="{00000000-0005-0000-0000-0000570B0000}"/>
    <cellStyle name="Comma 6 12 2" xfId="977" xr:uid="{00000000-0005-0000-0000-0000580B0000}"/>
    <cellStyle name="Comma 6 12 2 2" xfId="1765" xr:uid="{00000000-0005-0000-0000-0000590B0000}"/>
    <cellStyle name="Comma 6 12 2 2 2" xfId="4009" xr:uid="{00000000-0005-0000-0000-00005A0B0000}"/>
    <cellStyle name="Comma 6 12 2 3" xfId="2489" xr:uid="{00000000-0005-0000-0000-00005B0B0000}"/>
    <cellStyle name="Comma 6 12 2 3 2" xfId="4733" xr:uid="{00000000-0005-0000-0000-00005C0B0000}"/>
    <cellStyle name="Comma 6 12 2 4" xfId="3223" xr:uid="{00000000-0005-0000-0000-00005D0B0000}"/>
    <cellStyle name="Comma 6 12 3" xfId="1230" xr:uid="{00000000-0005-0000-0000-00005E0B0000}"/>
    <cellStyle name="Comma 6 12 3 2" xfId="2017" xr:uid="{00000000-0005-0000-0000-00005F0B0000}"/>
    <cellStyle name="Comma 6 12 3 2 2" xfId="4261" xr:uid="{00000000-0005-0000-0000-0000600B0000}"/>
    <cellStyle name="Comma 6 12 3 3" xfId="2741" xr:uid="{00000000-0005-0000-0000-0000610B0000}"/>
    <cellStyle name="Comma 6 12 3 3 2" xfId="4985" xr:uid="{00000000-0005-0000-0000-0000620B0000}"/>
    <cellStyle name="Comma 6 12 3 4" xfId="3475" xr:uid="{00000000-0005-0000-0000-0000630B0000}"/>
    <cellStyle name="Comma 6 12 4" xfId="1445" xr:uid="{00000000-0005-0000-0000-0000640B0000}"/>
    <cellStyle name="Comma 6 12 4 2" xfId="3689" xr:uid="{00000000-0005-0000-0000-0000650B0000}"/>
    <cellStyle name="Comma 6 12 5" xfId="2231" xr:uid="{00000000-0005-0000-0000-0000660B0000}"/>
    <cellStyle name="Comma 6 12 5 2" xfId="4475" xr:uid="{00000000-0005-0000-0000-0000670B0000}"/>
    <cellStyle name="Comma 6 12 6" xfId="2955" xr:uid="{00000000-0005-0000-0000-0000680B0000}"/>
    <cellStyle name="Comma 6 13" xfId="168" xr:uid="{00000000-0005-0000-0000-0000690B0000}"/>
    <cellStyle name="Comma 6 13 2" xfId="978" xr:uid="{00000000-0005-0000-0000-00006A0B0000}"/>
    <cellStyle name="Comma 6 13 2 2" xfId="1766" xr:uid="{00000000-0005-0000-0000-00006B0B0000}"/>
    <cellStyle name="Comma 6 13 2 2 2" xfId="4010" xr:uid="{00000000-0005-0000-0000-00006C0B0000}"/>
    <cellStyle name="Comma 6 13 2 3" xfId="2490" xr:uid="{00000000-0005-0000-0000-00006D0B0000}"/>
    <cellStyle name="Comma 6 13 2 3 2" xfId="4734" xr:uid="{00000000-0005-0000-0000-00006E0B0000}"/>
    <cellStyle name="Comma 6 13 2 4" xfId="3224" xr:uid="{00000000-0005-0000-0000-00006F0B0000}"/>
    <cellStyle name="Comma 6 13 3" xfId="1231" xr:uid="{00000000-0005-0000-0000-0000700B0000}"/>
    <cellStyle name="Comma 6 13 3 2" xfId="2018" xr:uid="{00000000-0005-0000-0000-0000710B0000}"/>
    <cellStyle name="Comma 6 13 3 2 2" xfId="4262" xr:uid="{00000000-0005-0000-0000-0000720B0000}"/>
    <cellStyle name="Comma 6 13 3 3" xfId="2742" xr:uid="{00000000-0005-0000-0000-0000730B0000}"/>
    <cellStyle name="Comma 6 13 3 3 2" xfId="4986" xr:uid="{00000000-0005-0000-0000-0000740B0000}"/>
    <cellStyle name="Comma 6 13 3 4" xfId="3476" xr:uid="{00000000-0005-0000-0000-0000750B0000}"/>
    <cellStyle name="Comma 6 13 4" xfId="1446" xr:uid="{00000000-0005-0000-0000-0000760B0000}"/>
    <cellStyle name="Comma 6 13 4 2" xfId="3690" xr:uid="{00000000-0005-0000-0000-0000770B0000}"/>
    <cellStyle name="Comma 6 13 5" xfId="2232" xr:uid="{00000000-0005-0000-0000-0000780B0000}"/>
    <cellStyle name="Comma 6 13 5 2" xfId="4476" xr:uid="{00000000-0005-0000-0000-0000790B0000}"/>
    <cellStyle name="Comma 6 13 6" xfId="2956" xr:uid="{00000000-0005-0000-0000-00007A0B0000}"/>
    <cellStyle name="Comma 6 14" xfId="169" xr:uid="{00000000-0005-0000-0000-00007B0B0000}"/>
    <cellStyle name="Comma 6 14 2" xfId="979" xr:uid="{00000000-0005-0000-0000-00007C0B0000}"/>
    <cellStyle name="Comma 6 14 2 2" xfId="1767" xr:uid="{00000000-0005-0000-0000-00007D0B0000}"/>
    <cellStyle name="Comma 6 14 2 2 2" xfId="4011" xr:uid="{00000000-0005-0000-0000-00007E0B0000}"/>
    <cellStyle name="Comma 6 14 2 3" xfId="2491" xr:uid="{00000000-0005-0000-0000-00007F0B0000}"/>
    <cellStyle name="Comma 6 14 2 3 2" xfId="4735" xr:uid="{00000000-0005-0000-0000-0000800B0000}"/>
    <cellStyle name="Comma 6 14 2 4" xfId="3225" xr:uid="{00000000-0005-0000-0000-0000810B0000}"/>
    <cellStyle name="Comma 6 14 3" xfId="1232" xr:uid="{00000000-0005-0000-0000-0000820B0000}"/>
    <cellStyle name="Comma 6 14 3 2" xfId="2019" xr:uid="{00000000-0005-0000-0000-0000830B0000}"/>
    <cellStyle name="Comma 6 14 3 2 2" xfId="4263" xr:uid="{00000000-0005-0000-0000-0000840B0000}"/>
    <cellStyle name="Comma 6 14 3 3" xfId="2743" xr:uid="{00000000-0005-0000-0000-0000850B0000}"/>
    <cellStyle name="Comma 6 14 3 3 2" xfId="4987" xr:uid="{00000000-0005-0000-0000-0000860B0000}"/>
    <cellStyle name="Comma 6 14 3 4" xfId="3477" xr:uid="{00000000-0005-0000-0000-0000870B0000}"/>
    <cellStyle name="Comma 6 14 4" xfId="1447" xr:uid="{00000000-0005-0000-0000-0000880B0000}"/>
    <cellStyle name="Comma 6 14 4 2" xfId="3691" xr:uid="{00000000-0005-0000-0000-0000890B0000}"/>
    <cellStyle name="Comma 6 14 5" xfId="2233" xr:uid="{00000000-0005-0000-0000-00008A0B0000}"/>
    <cellStyle name="Comma 6 14 5 2" xfId="4477" xr:uid="{00000000-0005-0000-0000-00008B0B0000}"/>
    <cellStyle name="Comma 6 14 6" xfId="2957" xr:uid="{00000000-0005-0000-0000-00008C0B0000}"/>
    <cellStyle name="Comma 6 15" xfId="170" xr:uid="{00000000-0005-0000-0000-00008D0B0000}"/>
    <cellStyle name="Comma 6 15 2" xfId="980" xr:uid="{00000000-0005-0000-0000-00008E0B0000}"/>
    <cellStyle name="Comma 6 15 2 2" xfId="1768" xr:uid="{00000000-0005-0000-0000-00008F0B0000}"/>
    <cellStyle name="Comma 6 15 2 2 2" xfId="4012" xr:uid="{00000000-0005-0000-0000-0000900B0000}"/>
    <cellStyle name="Comma 6 15 2 3" xfId="2492" xr:uid="{00000000-0005-0000-0000-0000910B0000}"/>
    <cellStyle name="Comma 6 15 2 3 2" xfId="4736" xr:uid="{00000000-0005-0000-0000-0000920B0000}"/>
    <cellStyle name="Comma 6 15 2 4" xfId="3226" xr:uid="{00000000-0005-0000-0000-0000930B0000}"/>
    <cellStyle name="Comma 6 15 3" xfId="1233" xr:uid="{00000000-0005-0000-0000-0000940B0000}"/>
    <cellStyle name="Comma 6 15 3 2" xfId="2020" xr:uid="{00000000-0005-0000-0000-0000950B0000}"/>
    <cellStyle name="Comma 6 15 3 2 2" xfId="4264" xr:uid="{00000000-0005-0000-0000-0000960B0000}"/>
    <cellStyle name="Comma 6 15 3 3" xfId="2744" xr:uid="{00000000-0005-0000-0000-0000970B0000}"/>
    <cellStyle name="Comma 6 15 3 3 2" xfId="4988" xr:uid="{00000000-0005-0000-0000-0000980B0000}"/>
    <cellStyle name="Comma 6 15 3 4" xfId="3478" xr:uid="{00000000-0005-0000-0000-0000990B0000}"/>
    <cellStyle name="Comma 6 15 4" xfId="1448" xr:uid="{00000000-0005-0000-0000-00009A0B0000}"/>
    <cellStyle name="Comma 6 15 4 2" xfId="3692" xr:uid="{00000000-0005-0000-0000-00009B0B0000}"/>
    <cellStyle name="Comma 6 15 5" xfId="2234" xr:uid="{00000000-0005-0000-0000-00009C0B0000}"/>
    <cellStyle name="Comma 6 15 5 2" xfId="4478" xr:uid="{00000000-0005-0000-0000-00009D0B0000}"/>
    <cellStyle name="Comma 6 15 6" xfId="2958" xr:uid="{00000000-0005-0000-0000-00009E0B0000}"/>
    <cellStyle name="Comma 6 16" xfId="171" xr:uid="{00000000-0005-0000-0000-00009F0B0000}"/>
    <cellStyle name="Comma 6 16 2" xfId="981" xr:uid="{00000000-0005-0000-0000-0000A00B0000}"/>
    <cellStyle name="Comma 6 16 2 2" xfId="1769" xr:uid="{00000000-0005-0000-0000-0000A10B0000}"/>
    <cellStyle name="Comma 6 16 2 2 2" xfId="4013" xr:uid="{00000000-0005-0000-0000-0000A20B0000}"/>
    <cellStyle name="Comma 6 16 2 3" xfId="2493" xr:uid="{00000000-0005-0000-0000-0000A30B0000}"/>
    <cellStyle name="Comma 6 16 2 3 2" xfId="4737" xr:uid="{00000000-0005-0000-0000-0000A40B0000}"/>
    <cellStyle name="Comma 6 16 2 4" xfId="3227" xr:uid="{00000000-0005-0000-0000-0000A50B0000}"/>
    <cellStyle name="Comma 6 16 3" xfId="1234" xr:uid="{00000000-0005-0000-0000-0000A60B0000}"/>
    <cellStyle name="Comma 6 16 3 2" xfId="2021" xr:uid="{00000000-0005-0000-0000-0000A70B0000}"/>
    <cellStyle name="Comma 6 16 3 2 2" xfId="4265" xr:uid="{00000000-0005-0000-0000-0000A80B0000}"/>
    <cellStyle name="Comma 6 16 3 3" xfId="2745" xr:uid="{00000000-0005-0000-0000-0000A90B0000}"/>
    <cellStyle name="Comma 6 16 3 3 2" xfId="4989" xr:uid="{00000000-0005-0000-0000-0000AA0B0000}"/>
    <cellStyle name="Comma 6 16 3 4" xfId="3479" xr:uid="{00000000-0005-0000-0000-0000AB0B0000}"/>
    <cellStyle name="Comma 6 16 4" xfId="1449" xr:uid="{00000000-0005-0000-0000-0000AC0B0000}"/>
    <cellStyle name="Comma 6 16 4 2" xfId="3693" xr:uid="{00000000-0005-0000-0000-0000AD0B0000}"/>
    <cellStyle name="Comma 6 16 5" xfId="2235" xr:uid="{00000000-0005-0000-0000-0000AE0B0000}"/>
    <cellStyle name="Comma 6 16 5 2" xfId="4479" xr:uid="{00000000-0005-0000-0000-0000AF0B0000}"/>
    <cellStyle name="Comma 6 16 6" xfId="2959" xr:uid="{00000000-0005-0000-0000-0000B00B0000}"/>
    <cellStyle name="Comma 6 17" xfId="172" xr:uid="{00000000-0005-0000-0000-0000B10B0000}"/>
    <cellStyle name="Comma 6 17 2" xfId="982" xr:uid="{00000000-0005-0000-0000-0000B20B0000}"/>
    <cellStyle name="Comma 6 17 2 2" xfId="1770" xr:uid="{00000000-0005-0000-0000-0000B30B0000}"/>
    <cellStyle name="Comma 6 17 2 2 2" xfId="4014" xr:uid="{00000000-0005-0000-0000-0000B40B0000}"/>
    <cellStyle name="Comma 6 17 2 3" xfId="2494" xr:uid="{00000000-0005-0000-0000-0000B50B0000}"/>
    <cellStyle name="Comma 6 17 2 3 2" xfId="4738" xr:uid="{00000000-0005-0000-0000-0000B60B0000}"/>
    <cellStyle name="Comma 6 17 2 4" xfId="3228" xr:uid="{00000000-0005-0000-0000-0000B70B0000}"/>
    <cellStyle name="Comma 6 17 3" xfId="1235" xr:uid="{00000000-0005-0000-0000-0000B80B0000}"/>
    <cellStyle name="Comma 6 17 3 2" xfId="2022" xr:uid="{00000000-0005-0000-0000-0000B90B0000}"/>
    <cellStyle name="Comma 6 17 3 2 2" xfId="4266" xr:uid="{00000000-0005-0000-0000-0000BA0B0000}"/>
    <cellStyle name="Comma 6 17 3 3" xfId="2746" xr:uid="{00000000-0005-0000-0000-0000BB0B0000}"/>
    <cellStyle name="Comma 6 17 3 3 2" xfId="4990" xr:uid="{00000000-0005-0000-0000-0000BC0B0000}"/>
    <cellStyle name="Comma 6 17 3 4" xfId="3480" xr:uid="{00000000-0005-0000-0000-0000BD0B0000}"/>
    <cellStyle name="Comma 6 17 4" xfId="1450" xr:uid="{00000000-0005-0000-0000-0000BE0B0000}"/>
    <cellStyle name="Comma 6 17 4 2" xfId="3694" xr:uid="{00000000-0005-0000-0000-0000BF0B0000}"/>
    <cellStyle name="Comma 6 17 5" xfId="2236" xr:uid="{00000000-0005-0000-0000-0000C00B0000}"/>
    <cellStyle name="Comma 6 17 5 2" xfId="4480" xr:uid="{00000000-0005-0000-0000-0000C10B0000}"/>
    <cellStyle name="Comma 6 17 6" xfId="2960" xr:uid="{00000000-0005-0000-0000-0000C20B0000}"/>
    <cellStyle name="Comma 6 18" xfId="173" xr:uid="{00000000-0005-0000-0000-0000C30B0000}"/>
    <cellStyle name="Comma 6 18 2" xfId="983" xr:uid="{00000000-0005-0000-0000-0000C40B0000}"/>
    <cellStyle name="Comma 6 18 2 2" xfId="1771" xr:uid="{00000000-0005-0000-0000-0000C50B0000}"/>
    <cellStyle name="Comma 6 18 2 2 2" xfId="4015" xr:uid="{00000000-0005-0000-0000-0000C60B0000}"/>
    <cellStyle name="Comma 6 18 2 3" xfId="2495" xr:uid="{00000000-0005-0000-0000-0000C70B0000}"/>
    <cellStyle name="Comma 6 18 2 3 2" xfId="4739" xr:uid="{00000000-0005-0000-0000-0000C80B0000}"/>
    <cellStyle name="Comma 6 18 2 4" xfId="3229" xr:uid="{00000000-0005-0000-0000-0000C90B0000}"/>
    <cellStyle name="Comma 6 18 3" xfId="1236" xr:uid="{00000000-0005-0000-0000-0000CA0B0000}"/>
    <cellStyle name="Comma 6 18 3 2" xfId="2023" xr:uid="{00000000-0005-0000-0000-0000CB0B0000}"/>
    <cellStyle name="Comma 6 18 3 2 2" xfId="4267" xr:uid="{00000000-0005-0000-0000-0000CC0B0000}"/>
    <cellStyle name="Comma 6 18 3 3" xfId="2747" xr:uid="{00000000-0005-0000-0000-0000CD0B0000}"/>
    <cellStyle name="Comma 6 18 3 3 2" xfId="4991" xr:uid="{00000000-0005-0000-0000-0000CE0B0000}"/>
    <cellStyle name="Comma 6 18 3 4" xfId="3481" xr:uid="{00000000-0005-0000-0000-0000CF0B0000}"/>
    <cellStyle name="Comma 6 18 4" xfId="1451" xr:uid="{00000000-0005-0000-0000-0000D00B0000}"/>
    <cellStyle name="Comma 6 18 4 2" xfId="3695" xr:uid="{00000000-0005-0000-0000-0000D10B0000}"/>
    <cellStyle name="Comma 6 18 5" xfId="2237" xr:uid="{00000000-0005-0000-0000-0000D20B0000}"/>
    <cellStyle name="Comma 6 18 5 2" xfId="4481" xr:uid="{00000000-0005-0000-0000-0000D30B0000}"/>
    <cellStyle name="Comma 6 18 6" xfId="2961" xr:uid="{00000000-0005-0000-0000-0000D40B0000}"/>
    <cellStyle name="Comma 6 19" xfId="174" xr:uid="{00000000-0005-0000-0000-0000D50B0000}"/>
    <cellStyle name="Comma 6 19 2" xfId="984" xr:uid="{00000000-0005-0000-0000-0000D60B0000}"/>
    <cellStyle name="Comma 6 19 2 2" xfId="1772" xr:uid="{00000000-0005-0000-0000-0000D70B0000}"/>
    <cellStyle name="Comma 6 19 2 2 2" xfId="4016" xr:uid="{00000000-0005-0000-0000-0000D80B0000}"/>
    <cellStyle name="Comma 6 19 2 3" xfId="2496" xr:uid="{00000000-0005-0000-0000-0000D90B0000}"/>
    <cellStyle name="Comma 6 19 2 3 2" xfId="4740" xr:uid="{00000000-0005-0000-0000-0000DA0B0000}"/>
    <cellStyle name="Comma 6 19 2 4" xfId="3230" xr:uid="{00000000-0005-0000-0000-0000DB0B0000}"/>
    <cellStyle name="Comma 6 19 3" xfId="1237" xr:uid="{00000000-0005-0000-0000-0000DC0B0000}"/>
    <cellStyle name="Comma 6 19 3 2" xfId="2024" xr:uid="{00000000-0005-0000-0000-0000DD0B0000}"/>
    <cellStyle name="Comma 6 19 3 2 2" xfId="4268" xr:uid="{00000000-0005-0000-0000-0000DE0B0000}"/>
    <cellStyle name="Comma 6 19 3 3" xfId="2748" xr:uid="{00000000-0005-0000-0000-0000DF0B0000}"/>
    <cellStyle name="Comma 6 19 3 3 2" xfId="4992" xr:uid="{00000000-0005-0000-0000-0000E00B0000}"/>
    <cellStyle name="Comma 6 19 3 4" xfId="3482" xr:uid="{00000000-0005-0000-0000-0000E10B0000}"/>
    <cellStyle name="Comma 6 19 4" xfId="1452" xr:uid="{00000000-0005-0000-0000-0000E20B0000}"/>
    <cellStyle name="Comma 6 19 4 2" xfId="3696" xr:uid="{00000000-0005-0000-0000-0000E30B0000}"/>
    <cellStyle name="Comma 6 19 5" xfId="2238" xr:uid="{00000000-0005-0000-0000-0000E40B0000}"/>
    <cellStyle name="Comma 6 19 5 2" xfId="4482" xr:uid="{00000000-0005-0000-0000-0000E50B0000}"/>
    <cellStyle name="Comma 6 19 6" xfId="2962" xr:uid="{00000000-0005-0000-0000-0000E60B0000}"/>
    <cellStyle name="Comma 6 2" xfId="175" xr:uid="{00000000-0005-0000-0000-0000E70B0000}"/>
    <cellStyle name="Comma 6 2 2" xfId="985" xr:uid="{00000000-0005-0000-0000-0000E80B0000}"/>
    <cellStyle name="Comma 6 2 2 2" xfId="1773" xr:uid="{00000000-0005-0000-0000-0000E90B0000}"/>
    <cellStyle name="Comma 6 2 2 2 2" xfId="4017" xr:uid="{00000000-0005-0000-0000-0000EA0B0000}"/>
    <cellStyle name="Comma 6 2 2 3" xfId="2497" xr:uid="{00000000-0005-0000-0000-0000EB0B0000}"/>
    <cellStyle name="Comma 6 2 2 3 2" xfId="4741" xr:uid="{00000000-0005-0000-0000-0000EC0B0000}"/>
    <cellStyle name="Comma 6 2 2 4" xfId="3231" xr:uid="{00000000-0005-0000-0000-0000ED0B0000}"/>
    <cellStyle name="Comma 6 2 3" xfId="1238" xr:uid="{00000000-0005-0000-0000-0000EE0B0000}"/>
    <cellStyle name="Comma 6 2 3 2" xfId="2025" xr:uid="{00000000-0005-0000-0000-0000EF0B0000}"/>
    <cellStyle name="Comma 6 2 3 2 2" xfId="4269" xr:uid="{00000000-0005-0000-0000-0000F00B0000}"/>
    <cellStyle name="Comma 6 2 3 3" xfId="2749" xr:uid="{00000000-0005-0000-0000-0000F10B0000}"/>
    <cellStyle name="Comma 6 2 3 3 2" xfId="4993" xr:uid="{00000000-0005-0000-0000-0000F20B0000}"/>
    <cellStyle name="Comma 6 2 3 4" xfId="3483" xr:uid="{00000000-0005-0000-0000-0000F30B0000}"/>
    <cellStyle name="Comma 6 2 4" xfId="1453" xr:uid="{00000000-0005-0000-0000-0000F40B0000}"/>
    <cellStyle name="Comma 6 2 4 2" xfId="3697" xr:uid="{00000000-0005-0000-0000-0000F50B0000}"/>
    <cellStyle name="Comma 6 2 5" xfId="2239" xr:uid="{00000000-0005-0000-0000-0000F60B0000}"/>
    <cellStyle name="Comma 6 2 5 2" xfId="4483" xr:uid="{00000000-0005-0000-0000-0000F70B0000}"/>
    <cellStyle name="Comma 6 2 6" xfId="2963" xr:uid="{00000000-0005-0000-0000-0000F80B0000}"/>
    <cellStyle name="Comma 6 20" xfId="176" xr:uid="{00000000-0005-0000-0000-0000F90B0000}"/>
    <cellStyle name="Comma 6 20 2" xfId="986" xr:uid="{00000000-0005-0000-0000-0000FA0B0000}"/>
    <cellStyle name="Comma 6 20 2 2" xfId="1774" xr:uid="{00000000-0005-0000-0000-0000FB0B0000}"/>
    <cellStyle name="Comma 6 20 2 2 2" xfId="4018" xr:uid="{00000000-0005-0000-0000-0000FC0B0000}"/>
    <cellStyle name="Comma 6 20 2 3" xfId="2498" xr:uid="{00000000-0005-0000-0000-0000FD0B0000}"/>
    <cellStyle name="Comma 6 20 2 3 2" xfId="4742" xr:uid="{00000000-0005-0000-0000-0000FE0B0000}"/>
    <cellStyle name="Comma 6 20 2 4" xfId="3232" xr:uid="{00000000-0005-0000-0000-0000FF0B0000}"/>
    <cellStyle name="Comma 6 20 3" xfId="1239" xr:uid="{00000000-0005-0000-0000-0000000C0000}"/>
    <cellStyle name="Comma 6 20 3 2" xfId="2026" xr:uid="{00000000-0005-0000-0000-0000010C0000}"/>
    <cellStyle name="Comma 6 20 3 2 2" xfId="4270" xr:uid="{00000000-0005-0000-0000-0000020C0000}"/>
    <cellStyle name="Comma 6 20 3 3" xfId="2750" xr:uid="{00000000-0005-0000-0000-0000030C0000}"/>
    <cellStyle name="Comma 6 20 3 3 2" xfId="4994" xr:uid="{00000000-0005-0000-0000-0000040C0000}"/>
    <cellStyle name="Comma 6 20 3 4" xfId="3484" xr:uid="{00000000-0005-0000-0000-0000050C0000}"/>
    <cellStyle name="Comma 6 20 4" xfId="1454" xr:uid="{00000000-0005-0000-0000-0000060C0000}"/>
    <cellStyle name="Comma 6 20 4 2" xfId="3698" xr:uid="{00000000-0005-0000-0000-0000070C0000}"/>
    <cellStyle name="Comma 6 20 5" xfId="2240" xr:uid="{00000000-0005-0000-0000-0000080C0000}"/>
    <cellStyle name="Comma 6 20 5 2" xfId="4484" xr:uid="{00000000-0005-0000-0000-0000090C0000}"/>
    <cellStyle name="Comma 6 20 6" xfId="2964" xr:uid="{00000000-0005-0000-0000-00000A0C0000}"/>
    <cellStyle name="Comma 6 21" xfId="177" xr:uid="{00000000-0005-0000-0000-00000B0C0000}"/>
    <cellStyle name="Comma 6 21 2" xfId="987" xr:uid="{00000000-0005-0000-0000-00000C0C0000}"/>
    <cellStyle name="Comma 6 21 2 2" xfId="1775" xr:uid="{00000000-0005-0000-0000-00000D0C0000}"/>
    <cellStyle name="Comma 6 21 2 2 2" xfId="4019" xr:uid="{00000000-0005-0000-0000-00000E0C0000}"/>
    <cellStyle name="Comma 6 21 2 3" xfId="2499" xr:uid="{00000000-0005-0000-0000-00000F0C0000}"/>
    <cellStyle name="Comma 6 21 2 3 2" xfId="4743" xr:uid="{00000000-0005-0000-0000-0000100C0000}"/>
    <cellStyle name="Comma 6 21 2 4" xfId="3233" xr:uid="{00000000-0005-0000-0000-0000110C0000}"/>
    <cellStyle name="Comma 6 21 3" xfId="1240" xr:uid="{00000000-0005-0000-0000-0000120C0000}"/>
    <cellStyle name="Comma 6 21 3 2" xfId="2027" xr:uid="{00000000-0005-0000-0000-0000130C0000}"/>
    <cellStyle name="Comma 6 21 3 2 2" xfId="4271" xr:uid="{00000000-0005-0000-0000-0000140C0000}"/>
    <cellStyle name="Comma 6 21 3 3" xfId="2751" xr:uid="{00000000-0005-0000-0000-0000150C0000}"/>
    <cellStyle name="Comma 6 21 3 3 2" xfId="4995" xr:uid="{00000000-0005-0000-0000-0000160C0000}"/>
    <cellStyle name="Comma 6 21 3 4" xfId="3485" xr:uid="{00000000-0005-0000-0000-0000170C0000}"/>
    <cellStyle name="Comma 6 21 4" xfId="1455" xr:uid="{00000000-0005-0000-0000-0000180C0000}"/>
    <cellStyle name="Comma 6 21 4 2" xfId="3699" xr:uid="{00000000-0005-0000-0000-0000190C0000}"/>
    <cellStyle name="Comma 6 21 5" xfId="2241" xr:uid="{00000000-0005-0000-0000-00001A0C0000}"/>
    <cellStyle name="Comma 6 21 5 2" xfId="4485" xr:uid="{00000000-0005-0000-0000-00001B0C0000}"/>
    <cellStyle name="Comma 6 21 6" xfId="2965" xr:uid="{00000000-0005-0000-0000-00001C0C0000}"/>
    <cellStyle name="Comma 6 22" xfId="178" xr:uid="{00000000-0005-0000-0000-00001D0C0000}"/>
    <cellStyle name="Comma 6 22 2" xfId="988" xr:uid="{00000000-0005-0000-0000-00001E0C0000}"/>
    <cellStyle name="Comma 6 22 2 2" xfId="1776" xr:uid="{00000000-0005-0000-0000-00001F0C0000}"/>
    <cellStyle name="Comma 6 22 2 2 2" xfId="4020" xr:uid="{00000000-0005-0000-0000-0000200C0000}"/>
    <cellStyle name="Comma 6 22 2 3" xfId="2500" xr:uid="{00000000-0005-0000-0000-0000210C0000}"/>
    <cellStyle name="Comma 6 22 2 3 2" xfId="4744" xr:uid="{00000000-0005-0000-0000-0000220C0000}"/>
    <cellStyle name="Comma 6 22 2 4" xfId="3234" xr:uid="{00000000-0005-0000-0000-0000230C0000}"/>
    <cellStyle name="Comma 6 22 3" xfId="1241" xr:uid="{00000000-0005-0000-0000-0000240C0000}"/>
    <cellStyle name="Comma 6 22 3 2" xfId="2028" xr:uid="{00000000-0005-0000-0000-0000250C0000}"/>
    <cellStyle name="Comma 6 22 3 2 2" xfId="4272" xr:uid="{00000000-0005-0000-0000-0000260C0000}"/>
    <cellStyle name="Comma 6 22 3 3" xfId="2752" xr:uid="{00000000-0005-0000-0000-0000270C0000}"/>
    <cellStyle name="Comma 6 22 3 3 2" xfId="4996" xr:uid="{00000000-0005-0000-0000-0000280C0000}"/>
    <cellStyle name="Comma 6 22 3 4" xfId="3486" xr:uid="{00000000-0005-0000-0000-0000290C0000}"/>
    <cellStyle name="Comma 6 22 4" xfId="1456" xr:uid="{00000000-0005-0000-0000-00002A0C0000}"/>
    <cellStyle name="Comma 6 22 4 2" xfId="3700" xr:uid="{00000000-0005-0000-0000-00002B0C0000}"/>
    <cellStyle name="Comma 6 22 5" xfId="2242" xr:uid="{00000000-0005-0000-0000-00002C0C0000}"/>
    <cellStyle name="Comma 6 22 5 2" xfId="4486" xr:uid="{00000000-0005-0000-0000-00002D0C0000}"/>
    <cellStyle name="Comma 6 22 6" xfId="2966" xr:uid="{00000000-0005-0000-0000-00002E0C0000}"/>
    <cellStyle name="Comma 6 23" xfId="179" xr:uid="{00000000-0005-0000-0000-00002F0C0000}"/>
    <cellStyle name="Comma 6 23 2" xfId="989" xr:uid="{00000000-0005-0000-0000-0000300C0000}"/>
    <cellStyle name="Comma 6 23 2 2" xfId="1777" xr:uid="{00000000-0005-0000-0000-0000310C0000}"/>
    <cellStyle name="Comma 6 23 2 2 2" xfId="4021" xr:uid="{00000000-0005-0000-0000-0000320C0000}"/>
    <cellStyle name="Comma 6 23 2 3" xfId="2501" xr:uid="{00000000-0005-0000-0000-0000330C0000}"/>
    <cellStyle name="Comma 6 23 2 3 2" xfId="4745" xr:uid="{00000000-0005-0000-0000-0000340C0000}"/>
    <cellStyle name="Comma 6 23 2 4" xfId="3235" xr:uid="{00000000-0005-0000-0000-0000350C0000}"/>
    <cellStyle name="Comma 6 23 3" xfId="1242" xr:uid="{00000000-0005-0000-0000-0000360C0000}"/>
    <cellStyle name="Comma 6 23 3 2" xfId="2029" xr:uid="{00000000-0005-0000-0000-0000370C0000}"/>
    <cellStyle name="Comma 6 23 3 2 2" xfId="4273" xr:uid="{00000000-0005-0000-0000-0000380C0000}"/>
    <cellStyle name="Comma 6 23 3 3" xfId="2753" xr:uid="{00000000-0005-0000-0000-0000390C0000}"/>
    <cellStyle name="Comma 6 23 3 3 2" xfId="4997" xr:uid="{00000000-0005-0000-0000-00003A0C0000}"/>
    <cellStyle name="Comma 6 23 3 4" xfId="3487" xr:uid="{00000000-0005-0000-0000-00003B0C0000}"/>
    <cellStyle name="Comma 6 23 4" xfId="1457" xr:uid="{00000000-0005-0000-0000-00003C0C0000}"/>
    <cellStyle name="Comma 6 23 4 2" xfId="3701" xr:uid="{00000000-0005-0000-0000-00003D0C0000}"/>
    <cellStyle name="Comma 6 23 5" xfId="2243" xr:uid="{00000000-0005-0000-0000-00003E0C0000}"/>
    <cellStyle name="Comma 6 23 5 2" xfId="4487" xr:uid="{00000000-0005-0000-0000-00003F0C0000}"/>
    <cellStyle name="Comma 6 23 6" xfId="2967" xr:uid="{00000000-0005-0000-0000-0000400C0000}"/>
    <cellStyle name="Comma 6 24" xfId="180" xr:uid="{00000000-0005-0000-0000-0000410C0000}"/>
    <cellStyle name="Comma 6 24 2" xfId="990" xr:uid="{00000000-0005-0000-0000-0000420C0000}"/>
    <cellStyle name="Comma 6 24 2 2" xfId="1778" xr:uid="{00000000-0005-0000-0000-0000430C0000}"/>
    <cellStyle name="Comma 6 24 2 2 2" xfId="4022" xr:uid="{00000000-0005-0000-0000-0000440C0000}"/>
    <cellStyle name="Comma 6 24 2 3" xfId="2502" xr:uid="{00000000-0005-0000-0000-0000450C0000}"/>
    <cellStyle name="Comma 6 24 2 3 2" xfId="4746" xr:uid="{00000000-0005-0000-0000-0000460C0000}"/>
    <cellStyle name="Comma 6 24 2 4" xfId="3236" xr:uid="{00000000-0005-0000-0000-0000470C0000}"/>
    <cellStyle name="Comma 6 24 3" xfId="1243" xr:uid="{00000000-0005-0000-0000-0000480C0000}"/>
    <cellStyle name="Comma 6 24 3 2" xfId="2030" xr:uid="{00000000-0005-0000-0000-0000490C0000}"/>
    <cellStyle name="Comma 6 24 3 2 2" xfId="4274" xr:uid="{00000000-0005-0000-0000-00004A0C0000}"/>
    <cellStyle name="Comma 6 24 3 3" xfId="2754" xr:uid="{00000000-0005-0000-0000-00004B0C0000}"/>
    <cellStyle name="Comma 6 24 3 3 2" xfId="4998" xr:uid="{00000000-0005-0000-0000-00004C0C0000}"/>
    <cellStyle name="Comma 6 24 3 4" xfId="3488" xr:uid="{00000000-0005-0000-0000-00004D0C0000}"/>
    <cellStyle name="Comma 6 24 4" xfId="1458" xr:uid="{00000000-0005-0000-0000-00004E0C0000}"/>
    <cellStyle name="Comma 6 24 4 2" xfId="3702" xr:uid="{00000000-0005-0000-0000-00004F0C0000}"/>
    <cellStyle name="Comma 6 24 5" xfId="2244" xr:uid="{00000000-0005-0000-0000-0000500C0000}"/>
    <cellStyle name="Comma 6 24 5 2" xfId="4488" xr:uid="{00000000-0005-0000-0000-0000510C0000}"/>
    <cellStyle name="Comma 6 24 6" xfId="2968" xr:uid="{00000000-0005-0000-0000-0000520C0000}"/>
    <cellStyle name="Comma 6 25" xfId="181" xr:uid="{00000000-0005-0000-0000-0000530C0000}"/>
    <cellStyle name="Comma 6 25 2" xfId="991" xr:uid="{00000000-0005-0000-0000-0000540C0000}"/>
    <cellStyle name="Comma 6 25 2 2" xfId="1779" xr:uid="{00000000-0005-0000-0000-0000550C0000}"/>
    <cellStyle name="Comma 6 25 2 2 2" xfId="4023" xr:uid="{00000000-0005-0000-0000-0000560C0000}"/>
    <cellStyle name="Comma 6 25 2 3" xfId="2503" xr:uid="{00000000-0005-0000-0000-0000570C0000}"/>
    <cellStyle name="Comma 6 25 2 3 2" xfId="4747" xr:uid="{00000000-0005-0000-0000-0000580C0000}"/>
    <cellStyle name="Comma 6 25 2 4" xfId="3237" xr:uid="{00000000-0005-0000-0000-0000590C0000}"/>
    <cellStyle name="Comma 6 25 3" xfId="1244" xr:uid="{00000000-0005-0000-0000-00005A0C0000}"/>
    <cellStyle name="Comma 6 25 3 2" xfId="2031" xr:uid="{00000000-0005-0000-0000-00005B0C0000}"/>
    <cellStyle name="Comma 6 25 3 2 2" xfId="4275" xr:uid="{00000000-0005-0000-0000-00005C0C0000}"/>
    <cellStyle name="Comma 6 25 3 3" xfId="2755" xr:uid="{00000000-0005-0000-0000-00005D0C0000}"/>
    <cellStyle name="Comma 6 25 3 3 2" xfId="4999" xr:uid="{00000000-0005-0000-0000-00005E0C0000}"/>
    <cellStyle name="Comma 6 25 3 4" xfId="3489" xr:uid="{00000000-0005-0000-0000-00005F0C0000}"/>
    <cellStyle name="Comma 6 25 4" xfId="1459" xr:uid="{00000000-0005-0000-0000-0000600C0000}"/>
    <cellStyle name="Comma 6 25 4 2" xfId="3703" xr:uid="{00000000-0005-0000-0000-0000610C0000}"/>
    <cellStyle name="Comma 6 25 5" xfId="2245" xr:uid="{00000000-0005-0000-0000-0000620C0000}"/>
    <cellStyle name="Comma 6 25 5 2" xfId="4489" xr:uid="{00000000-0005-0000-0000-0000630C0000}"/>
    <cellStyle name="Comma 6 25 6" xfId="2969" xr:uid="{00000000-0005-0000-0000-0000640C0000}"/>
    <cellStyle name="Comma 6 26" xfId="182" xr:uid="{00000000-0005-0000-0000-0000650C0000}"/>
    <cellStyle name="Comma 6 26 2" xfId="992" xr:uid="{00000000-0005-0000-0000-0000660C0000}"/>
    <cellStyle name="Comma 6 26 2 2" xfId="1780" xr:uid="{00000000-0005-0000-0000-0000670C0000}"/>
    <cellStyle name="Comma 6 26 2 2 2" xfId="4024" xr:uid="{00000000-0005-0000-0000-0000680C0000}"/>
    <cellStyle name="Comma 6 26 2 3" xfId="2504" xr:uid="{00000000-0005-0000-0000-0000690C0000}"/>
    <cellStyle name="Comma 6 26 2 3 2" xfId="4748" xr:uid="{00000000-0005-0000-0000-00006A0C0000}"/>
    <cellStyle name="Comma 6 26 2 4" xfId="3238" xr:uid="{00000000-0005-0000-0000-00006B0C0000}"/>
    <cellStyle name="Comma 6 26 3" xfId="1245" xr:uid="{00000000-0005-0000-0000-00006C0C0000}"/>
    <cellStyle name="Comma 6 26 3 2" xfId="2032" xr:uid="{00000000-0005-0000-0000-00006D0C0000}"/>
    <cellStyle name="Comma 6 26 3 2 2" xfId="4276" xr:uid="{00000000-0005-0000-0000-00006E0C0000}"/>
    <cellStyle name="Comma 6 26 3 3" xfId="2756" xr:uid="{00000000-0005-0000-0000-00006F0C0000}"/>
    <cellStyle name="Comma 6 26 3 3 2" xfId="5000" xr:uid="{00000000-0005-0000-0000-0000700C0000}"/>
    <cellStyle name="Comma 6 26 3 4" xfId="3490" xr:uid="{00000000-0005-0000-0000-0000710C0000}"/>
    <cellStyle name="Comma 6 26 4" xfId="1460" xr:uid="{00000000-0005-0000-0000-0000720C0000}"/>
    <cellStyle name="Comma 6 26 4 2" xfId="3704" xr:uid="{00000000-0005-0000-0000-0000730C0000}"/>
    <cellStyle name="Comma 6 26 5" xfId="2246" xr:uid="{00000000-0005-0000-0000-0000740C0000}"/>
    <cellStyle name="Comma 6 26 5 2" xfId="4490" xr:uid="{00000000-0005-0000-0000-0000750C0000}"/>
    <cellStyle name="Comma 6 26 6" xfId="2970" xr:uid="{00000000-0005-0000-0000-0000760C0000}"/>
    <cellStyle name="Comma 6 27" xfId="183" xr:uid="{00000000-0005-0000-0000-0000770C0000}"/>
    <cellStyle name="Comma 6 27 2" xfId="993" xr:uid="{00000000-0005-0000-0000-0000780C0000}"/>
    <cellStyle name="Comma 6 27 2 2" xfId="1781" xr:uid="{00000000-0005-0000-0000-0000790C0000}"/>
    <cellStyle name="Comma 6 27 2 2 2" xfId="4025" xr:uid="{00000000-0005-0000-0000-00007A0C0000}"/>
    <cellStyle name="Comma 6 27 2 3" xfId="2505" xr:uid="{00000000-0005-0000-0000-00007B0C0000}"/>
    <cellStyle name="Comma 6 27 2 3 2" xfId="4749" xr:uid="{00000000-0005-0000-0000-00007C0C0000}"/>
    <cellStyle name="Comma 6 27 2 4" xfId="3239" xr:uid="{00000000-0005-0000-0000-00007D0C0000}"/>
    <cellStyle name="Comma 6 27 3" xfId="1246" xr:uid="{00000000-0005-0000-0000-00007E0C0000}"/>
    <cellStyle name="Comma 6 27 3 2" xfId="2033" xr:uid="{00000000-0005-0000-0000-00007F0C0000}"/>
    <cellStyle name="Comma 6 27 3 2 2" xfId="4277" xr:uid="{00000000-0005-0000-0000-0000800C0000}"/>
    <cellStyle name="Comma 6 27 3 3" xfId="2757" xr:uid="{00000000-0005-0000-0000-0000810C0000}"/>
    <cellStyle name="Comma 6 27 3 3 2" xfId="5001" xr:uid="{00000000-0005-0000-0000-0000820C0000}"/>
    <cellStyle name="Comma 6 27 3 4" xfId="3491" xr:uid="{00000000-0005-0000-0000-0000830C0000}"/>
    <cellStyle name="Comma 6 27 4" xfId="1461" xr:uid="{00000000-0005-0000-0000-0000840C0000}"/>
    <cellStyle name="Comma 6 27 4 2" xfId="3705" xr:uid="{00000000-0005-0000-0000-0000850C0000}"/>
    <cellStyle name="Comma 6 27 5" xfId="2247" xr:uid="{00000000-0005-0000-0000-0000860C0000}"/>
    <cellStyle name="Comma 6 27 5 2" xfId="4491" xr:uid="{00000000-0005-0000-0000-0000870C0000}"/>
    <cellStyle name="Comma 6 27 6" xfId="2971" xr:uid="{00000000-0005-0000-0000-0000880C0000}"/>
    <cellStyle name="Comma 6 28" xfId="184" xr:uid="{00000000-0005-0000-0000-0000890C0000}"/>
    <cellStyle name="Comma 6 28 2" xfId="994" xr:uid="{00000000-0005-0000-0000-00008A0C0000}"/>
    <cellStyle name="Comma 6 28 2 2" xfId="1782" xr:uid="{00000000-0005-0000-0000-00008B0C0000}"/>
    <cellStyle name="Comma 6 28 2 2 2" xfId="4026" xr:uid="{00000000-0005-0000-0000-00008C0C0000}"/>
    <cellStyle name="Comma 6 28 2 3" xfId="2506" xr:uid="{00000000-0005-0000-0000-00008D0C0000}"/>
    <cellStyle name="Comma 6 28 2 3 2" xfId="4750" xr:uid="{00000000-0005-0000-0000-00008E0C0000}"/>
    <cellStyle name="Comma 6 28 2 4" xfId="3240" xr:uid="{00000000-0005-0000-0000-00008F0C0000}"/>
    <cellStyle name="Comma 6 28 3" xfId="1247" xr:uid="{00000000-0005-0000-0000-0000900C0000}"/>
    <cellStyle name="Comma 6 28 3 2" xfId="2034" xr:uid="{00000000-0005-0000-0000-0000910C0000}"/>
    <cellStyle name="Comma 6 28 3 2 2" xfId="4278" xr:uid="{00000000-0005-0000-0000-0000920C0000}"/>
    <cellStyle name="Comma 6 28 3 3" xfId="2758" xr:uid="{00000000-0005-0000-0000-0000930C0000}"/>
    <cellStyle name="Comma 6 28 3 3 2" xfId="5002" xr:uid="{00000000-0005-0000-0000-0000940C0000}"/>
    <cellStyle name="Comma 6 28 3 4" xfId="3492" xr:uid="{00000000-0005-0000-0000-0000950C0000}"/>
    <cellStyle name="Comma 6 28 4" xfId="1462" xr:uid="{00000000-0005-0000-0000-0000960C0000}"/>
    <cellStyle name="Comma 6 28 4 2" xfId="3706" xr:uid="{00000000-0005-0000-0000-0000970C0000}"/>
    <cellStyle name="Comma 6 28 5" xfId="2248" xr:uid="{00000000-0005-0000-0000-0000980C0000}"/>
    <cellStyle name="Comma 6 28 5 2" xfId="4492" xr:uid="{00000000-0005-0000-0000-0000990C0000}"/>
    <cellStyle name="Comma 6 28 6" xfId="2972" xr:uid="{00000000-0005-0000-0000-00009A0C0000}"/>
    <cellStyle name="Comma 6 29" xfId="185" xr:uid="{00000000-0005-0000-0000-00009B0C0000}"/>
    <cellStyle name="Comma 6 29 2" xfId="995" xr:uid="{00000000-0005-0000-0000-00009C0C0000}"/>
    <cellStyle name="Comma 6 29 2 2" xfId="1783" xr:uid="{00000000-0005-0000-0000-00009D0C0000}"/>
    <cellStyle name="Comma 6 29 2 2 2" xfId="4027" xr:uid="{00000000-0005-0000-0000-00009E0C0000}"/>
    <cellStyle name="Comma 6 29 2 3" xfId="2507" xr:uid="{00000000-0005-0000-0000-00009F0C0000}"/>
    <cellStyle name="Comma 6 29 2 3 2" xfId="4751" xr:uid="{00000000-0005-0000-0000-0000A00C0000}"/>
    <cellStyle name="Comma 6 29 2 4" xfId="3241" xr:uid="{00000000-0005-0000-0000-0000A10C0000}"/>
    <cellStyle name="Comma 6 29 3" xfId="1248" xr:uid="{00000000-0005-0000-0000-0000A20C0000}"/>
    <cellStyle name="Comma 6 29 3 2" xfId="2035" xr:uid="{00000000-0005-0000-0000-0000A30C0000}"/>
    <cellStyle name="Comma 6 29 3 2 2" xfId="4279" xr:uid="{00000000-0005-0000-0000-0000A40C0000}"/>
    <cellStyle name="Comma 6 29 3 3" xfId="2759" xr:uid="{00000000-0005-0000-0000-0000A50C0000}"/>
    <cellStyle name="Comma 6 29 3 3 2" xfId="5003" xr:uid="{00000000-0005-0000-0000-0000A60C0000}"/>
    <cellStyle name="Comma 6 29 3 4" xfId="3493" xr:uid="{00000000-0005-0000-0000-0000A70C0000}"/>
    <cellStyle name="Comma 6 29 4" xfId="1463" xr:uid="{00000000-0005-0000-0000-0000A80C0000}"/>
    <cellStyle name="Comma 6 29 4 2" xfId="3707" xr:uid="{00000000-0005-0000-0000-0000A90C0000}"/>
    <cellStyle name="Comma 6 29 5" xfId="2249" xr:uid="{00000000-0005-0000-0000-0000AA0C0000}"/>
    <cellStyle name="Comma 6 29 5 2" xfId="4493" xr:uid="{00000000-0005-0000-0000-0000AB0C0000}"/>
    <cellStyle name="Comma 6 29 6" xfId="2973" xr:uid="{00000000-0005-0000-0000-0000AC0C0000}"/>
    <cellStyle name="Comma 6 3" xfId="186" xr:uid="{00000000-0005-0000-0000-0000AD0C0000}"/>
    <cellStyle name="Comma 6 3 2" xfId="996" xr:uid="{00000000-0005-0000-0000-0000AE0C0000}"/>
    <cellStyle name="Comma 6 3 2 2" xfId="1784" xr:uid="{00000000-0005-0000-0000-0000AF0C0000}"/>
    <cellStyle name="Comma 6 3 2 2 2" xfId="4028" xr:uid="{00000000-0005-0000-0000-0000B00C0000}"/>
    <cellStyle name="Comma 6 3 2 3" xfId="2508" xr:uid="{00000000-0005-0000-0000-0000B10C0000}"/>
    <cellStyle name="Comma 6 3 2 3 2" xfId="4752" xr:uid="{00000000-0005-0000-0000-0000B20C0000}"/>
    <cellStyle name="Comma 6 3 2 4" xfId="3242" xr:uid="{00000000-0005-0000-0000-0000B30C0000}"/>
    <cellStyle name="Comma 6 3 3" xfId="1249" xr:uid="{00000000-0005-0000-0000-0000B40C0000}"/>
    <cellStyle name="Comma 6 3 3 2" xfId="2036" xr:uid="{00000000-0005-0000-0000-0000B50C0000}"/>
    <cellStyle name="Comma 6 3 3 2 2" xfId="4280" xr:uid="{00000000-0005-0000-0000-0000B60C0000}"/>
    <cellStyle name="Comma 6 3 3 3" xfId="2760" xr:uid="{00000000-0005-0000-0000-0000B70C0000}"/>
    <cellStyle name="Comma 6 3 3 3 2" xfId="5004" xr:uid="{00000000-0005-0000-0000-0000B80C0000}"/>
    <cellStyle name="Comma 6 3 3 4" xfId="3494" xr:uid="{00000000-0005-0000-0000-0000B90C0000}"/>
    <cellStyle name="Comma 6 3 4" xfId="1464" xr:uid="{00000000-0005-0000-0000-0000BA0C0000}"/>
    <cellStyle name="Comma 6 3 4 2" xfId="3708" xr:uid="{00000000-0005-0000-0000-0000BB0C0000}"/>
    <cellStyle name="Comma 6 3 5" xfId="2250" xr:uid="{00000000-0005-0000-0000-0000BC0C0000}"/>
    <cellStyle name="Comma 6 3 5 2" xfId="4494" xr:uid="{00000000-0005-0000-0000-0000BD0C0000}"/>
    <cellStyle name="Comma 6 3 6" xfId="2974" xr:uid="{00000000-0005-0000-0000-0000BE0C0000}"/>
    <cellStyle name="Comma 6 30" xfId="187" xr:uid="{00000000-0005-0000-0000-0000BF0C0000}"/>
    <cellStyle name="Comma 6 30 2" xfId="997" xr:uid="{00000000-0005-0000-0000-0000C00C0000}"/>
    <cellStyle name="Comma 6 30 2 2" xfId="1785" xr:uid="{00000000-0005-0000-0000-0000C10C0000}"/>
    <cellStyle name="Comma 6 30 2 2 2" xfId="4029" xr:uid="{00000000-0005-0000-0000-0000C20C0000}"/>
    <cellStyle name="Comma 6 30 2 3" xfId="2509" xr:uid="{00000000-0005-0000-0000-0000C30C0000}"/>
    <cellStyle name="Comma 6 30 2 3 2" xfId="4753" xr:uid="{00000000-0005-0000-0000-0000C40C0000}"/>
    <cellStyle name="Comma 6 30 2 4" xfId="3243" xr:uid="{00000000-0005-0000-0000-0000C50C0000}"/>
    <cellStyle name="Comma 6 30 3" xfId="1250" xr:uid="{00000000-0005-0000-0000-0000C60C0000}"/>
    <cellStyle name="Comma 6 30 3 2" xfId="2037" xr:uid="{00000000-0005-0000-0000-0000C70C0000}"/>
    <cellStyle name="Comma 6 30 3 2 2" xfId="4281" xr:uid="{00000000-0005-0000-0000-0000C80C0000}"/>
    <cellStyle name="Comma 6 30 3 3" xfId="2761" xr:uid="{00000000-0005-0000-0000-0000C90C0000}"/>
    <cellStyle name="Comma 6 30 3 3 2" xfId="5005" xr:uid="{00000000-0005-0000-0000-0000CA0C0000}"/>
    <cellStyle name="Comma 6 30 3 4" xfId="3495" xr:uid="{00000000-0005-0000-0000-0000CB0C0000}"/>
    <cellStyle name="Comma 6 30 4" xfId="1465" xr:uid="{00000000-0005-0000-0000-0000CC0C0000}"/>
    <cellStyle name="Comma 6 30 4 2" xfId="3709" xr:uid="{00000000-0005-0000-0000-0000CD0C0000}"/>
    <cellStyle name="Comma 6 30 5" xfId="2251" xr:uid="{00000000-0005-0000-0000-0000CE0C0000}"/>
    <cellStyle name="Comma 6 30 5 2" xfId="4495" xr:uid="{00000000-0005-0000-0000-0000CF0C0000}"/>
    <cellStyle name="Comma 6 30 6" xfId="2975" xr:uid="{00000000-0005-0000-0000-0000D00C0000}"/>
    <cellStyle name="Comma 6 31" xfId="188" xr:uid="{00000000-0005-0000-0000-0000D10C0000}"/>
    <cellStyle name="Comma 6 31 2" xfId="998" xr:uid="{00000000-0005-0000-0000-0000D20C0000}"/>
    <cellStyle name="Comma 6 31 2 2" xfId="1786" xr:uid="{00000000-0005-0000-0000-0000D30C0000}"/>
    <cellStyle name="Comma 6 31 2 2 2" xfId="4030" xr:uid="{00000000-0005-0000-0000-0000D40C0000}"/>
    <cellStyle name="Comma 6 31 2 3" xfId="2510" xr:uid="{00000000-0005-0000-0000-0000D50C0000}"/>
    <cellStyle name="Comma 6 31 2 3 2" xfId="4754" xr:uid="{00000000-0005-0000-0000-0000D60C0000}"/>
    <cellStyle name="Comma 6 31 2 4" xfId="3244" xr:uid="{00000000-0005-0000-0000-0000D70C0000}"/>
    <cellStyle name="Comma 6 31 3" xfId="1251" xr:uid="{00000000-0005-0000-0000-0000D80C0000}"/>
    <cellStyle name="Comma 6 31 3 2" xfId="2038" xr:uid="{00000000-0005-0000-0000-0000D90C0000}"/>
    <cellStyle name="Comma 6 31 3 2 2" xfId="4282" xr:uid="{00000000-0005-0000-0000-0000DA0C0000}"/>
    <cellStyle name="Comma 6 31 3 3" xfId="2762" xr:uid="{00000000-0005-0000-0000-0000DB0C0000}"/>
    <cellStyle name="Comma 6 31 3 3 2" xfId="5006" xr:uid="{00000000-0005-0000-0000-0000DC0C0000}"/>
    <cellStyle name="Comma 6 31 3 4" xfId="3496" xr:uid="{00000000-0005-0000-0000-0000DD0C0000}"/>
    <cellStyle name="Comma 6 31 4" xfId="1466" xr:uid="{00000000-0005-0000-0000-0000DE0C0000}"/>
    <cellStyle name="Comma 6 31 4 2" xfId="3710" xr:uid="{00000000-0005-0000-0000-0000DF0C0000}"/>
    <cellStyle name="Comma 6 31 5" xfId="2252" xr:uid="{00000000-0005-0000-0000-0000E00C0000}"/>
    <cellStyle name="Comma 6 31 5 2" xfId="4496" xr:uid="{00000000-0005-0000-0000-0000E10C0000}"/>
    <cellStyle name="Comma 6 31 6" xfId="2976" xr:uid="{00000000-0005-0000-0000-0000E20C0000}"/>
    <cellStyle name="Comma 6 32" xfId="189" xr:uid="{00000000-0005-0000-0000-0000E30C0000}"/>
    <cellStyle name="Comma 6 32 2" xfId="999" xr:uid="{00000000-0005-0000-0000-0000E40C0000}"/>
    <cellStyle name="Comma 6 32 2 2" xfId="1787" xr:uid="{00000000-0005-0000-0000-0000E50C0000}"/>
    <cellStyle name="Comma 6 32 2 2 2" xfId="4031" xr:uid="{00000000-0005-0000-0000-0000E60C0000}"/>
    <cellStyle name="Comma 6 32 2 3" xfId="2511" xr:uid="{00000000-0005-0000-0000-0000E70C0000}"/>
    <cellStyle name="Comma 6 32 2 3 2" xfId="4755" xr:uid="{00000000-0005-0000-0000-0000E80C0000}"/>
    <cellStyle name="Comma 6 32 2 4" xfId="3245" xr:uid="{00000000-0005-0000-0000-0000E90C0000}"/>
    <cellStyle name="Comma 6 32 3" xfId="1252" xr:uid="{00000000-0005-0000-0000-0000EA0C0000}"/>
    <cellStyle name="Comma 6 32 3 2" xfId="2039" xr:uid="{00000000-0005-0000-0000-0000EB0C0000}"/>
    <cellStyle name="Comma 6 32 3 2 2" xfId="4283" xr:uid="{00000000-0005-0000-0000-0000EC0C0000}"/>
    <cellStyle name="Comma 6 32 3 3" xfId="2763" xr:uid="{00000000-0005-0000-0000-0000ED0C0000}"/>
    <cellStyle name="Comma 6 32 3 3 2" xfId="5007" xr:uid="{00000000-0005-0000-0000-0000EE0C0000}"/>
    <cellStyle name="Comma 6 32 3 4" xfId="3497" xr:uid="{00000000-0005-0000-0000-0000EF0C0000}"/>
    <cellStyle name="Comma 6 32 4" xfId="1467" xr:uid="{00000000-0005-0000-0000-0000F00C0000}"/>
    <cellStyle name="Comma 6 32 4 2" xfId="3711" xr:uid="{00000000-0005-0000-0000-0000F10C0000}"/>
    <cellStyle name="Comma 6 32 5" xfId="2253" xr:uid="{00000000-0005-0000-0000-0000F20C0000}"/>
    <cellStyle name="Comma 6 32 5 2" xfId="4497" xr:uid="{00000000-0005-0000-0000-0000F30C0000}"/>
    <cellStyle name="Comma 6 32 6" xfId="2977" xr:uid="{00000000-0005-0000-0000-0000F40C0000}"/>
    <cellStyle name="Comma 6 33" xfId="190" xr:uid="{00000000-0005-0000-0000-0000F50C0000}"/>
    <cellStyle name="Comma 6 33 2" xfId="1000" xr:uid="{00000000-0005-0000-0000-0000F60C0000}"/>
    <cellStyle name="Comma 6 33 2 2" xfId="1788" xr:uid="{00000000-0005-0000-0000-0000F70C0000}"/>
    <cellStyle name="Comma 6 33 2 2 2" xfId="4032" xr:uid="{00000000-0005-0000-0000-0000F80C0000}"/>
    <cellStyle name="Comma 6 33 2 3" xfId="2512" xr:uid="{00000000-0005-0000-0000-0000F90C0000}"/>
    <cellStyle name="Comma 6 33 2 3 2" xfId="4756" xr:uid="{00000000-0005-0000-0000-0000FA0C0000}"/>
    <cellStyle name="Comma 6 33 2 4" xfId="3246" xr:uid="{00000000-0005-0000-0000-0000FB0C0000}"/>
    <cellStyle name="Comma 6 33 3" xfId="1253" xr:uid="{00000000-0005-0000-0000-0000FC0C0000}"/>
    <cellStyle name="Comma 6 33 3 2" xfId="2040" xr:uid="{00000000-0005-0000-0000-0000FD0C0000}"/>
    <cellStyle name="Comma 6 33 3 2 2" xfId="4284" xr:uid="{00000000-0005-0000-0000-0000FE0C0000}"/>
    <cellStyle name="Comma 6 33 3 3" xfId="2764" xr:uid="{00000000-0005-0000-0000-0000FF0C0000}"/>
    <cellStyle name="Comma 6 33 3 3 2" xfId="5008" xr:uid="{00000000-0005-0000-0000-0000000D0000}"/>
    <cellStyle name="Comma 6 33 3 4" xfId="3498" xr:uid="{00000000-0005-0000-0000-0000010D0000}"/>
    <cellStyle name="Comma 6 33 4" xfId="1468" xr:uid="{00000000-0005-0000-0000-0000020D0000}"/>
    <cellStyle name="Comma 6 33 4 2" xfId="3712" xr:uid="{00000000-0005-0000-0000-0000030D0000}"/>
    <cellStyle name="Comma 6 33 5" xfId="2254" xr:uid="{00000000-0005-0000-0000-0000040D0000}"/>
    <cellStyle name="Comma 6 33 5 2" xfId="4498" xr:uid="{00000000-0005-0000-0000-0000050D0000}"/>
    <cellStyle name="Comma 6 33 6" xfId="2978" xr:uid="{00000000-0005-0000-0000-0000060D0000}"/>
    <cellStyle name="Comma 6 34" xfId="191" xr:uid="{00000000-0005-0000-0000-0000070D0000}"/>
    <cellStyle name="Comma 6 34 2" xfId="1001" xr:uid="{00000000-0005-0000-0000-0000080D0000}"/>
    <cellStyle name="Comma 6 34 2 2" xfId="1789" xr:uid="{00000000-0005-0000-0000-0000090D0000}"/>
    <cellStyle name="Comma 6 34 2 2 2" xfId="4033" xr:uid="{00000000-0005-0000-0000-00000A0D0000}"/>
    <cellStyle name="Comma 6 34 2 3" xfId="2513" xr:uid="{00000000-0005-0000-0000-00000B0D0000}"/>
    <cellStyle name="Comma 6 34 2 3 2" xfId="4757" xr:uid="{00000000-0005-0000-0000-00000C0D0000}"/>
    <cellStyle name="Comma 6 34 2 4" xfId="3247" xr:uid="{00000000-0005-0000-0000-00000D0D0000}"/>
    <cellStyle name="Comma 6 34 3" xfId="1254" xr:uid="{00000000-0005-0000-0000-00000E0D0000}"/>
    <cellStyle name="Comma 6 34 3 2" xfId="2041" xr:uid="{00000000-0005-0000-0000-00000F0D0000}"/>
    <cellStyle name="Comma 6 34 3 2 2" xfId="4285" xr:uid="{00000000-0005-0000-0000-0000100D0000}"/>
    <cellStyle name="Comma 6 34 3 3" xfId="2765" xr:uid="{00000000-0005-0000-0000-0000110D0000}"/>
    <cellStyle name="Comma 6 34 3 3 2" xfId="5009" xr:uid="{00000000-0005-0000-0000-0000120D0000}"/>
    <cellStyle name="Comma 6 34 3 4" xfId="3499" xr:uid="{00000000-0005-0000-0000-0000130D0000}"/>
    <cellStyle name="Comma 6 34 4" xfId="1469" xr:uid="{00000000-0005-0000-0000-0000140D0000}"/>
    <cellStyle name="Comma 6 34 4 2" xfId="3713" xr:uid="{00000000-0005-0000-0000-0000150D0000}"/>
    <cellStyle name="Comma 6 34 5" xfId="2255" xr:uid="{00000000-0005-0000-0000-0000160D0000}"/>
    <cellStyle name="Comma 6 34 5 2" xfId="4499" xr:uid="{00000000-0005-0000-0000-0000170D0000}"/>
    <cellStyle name="Comma 6 34 6" xfId="2979" xr:uid="{00000000-0005-0000-0000-0000180D0000}"/>
    <cellStyle name="Comma 6 35" xfId="192" xr:uid="{00000000-0005-0000-0000-0000190D0000}"/>
    <cellStyle name="Comma 6 35 2" xfId="1002" xr:uid="{00000000-0005-0000-0000-00001A0D0000}"/>
    <cellStyle name="Comma 6 35 2 2" xfId="1790" xr:uid="{00000000-0005-0000-0000-00001B0D0000}"/>
    <cellStyle name="Comma 6 35 2 2 2" xfId="4034" xr:uid="{00000000-0005-0000-0000-00001C0D0000}"/>
    <cellStyle name="Comma 6 35 2 3" xfId="2514" xr:uid="{00000000-0005-0000-0000-00001D0D0000}"/>
    <cellStyle name="Comma 6 35 2 3 2" xfId="4758" xr:uid="{00000000-0005-0000-0000-00001E0D0000}"/>
    <cellStyle name="Comma 6 35 2 4" xfId="3248" xr:uid="{00000000-0005-0000-0000-00001F0D0000}"/>
    <cellStyle name="Comma 6 35 3" xfId="1255" xr:uid="{00000000-0005-0000-0000-0000200D0000}"/>
    <cellStyle name="Comma 6 35 3 2" xfId="2042" xr:uid="{00000000-0005-0000-0000-0000210D0000}"/>
    <cellStyle name="Comma 6 35 3 2 2" xfId="4286" xr:uid="{00000000-0005-0000-0000-0000220D0000}"/>
    <cellStyle name="Comma 6 35 3 3" xfId="2766" xr:uid="{00000000-0005-0000-0000-0000230D0000}"/>
    <cellStyle name="Comma 6 35 3 3 2" xfId="5010" xr:uid="{00000000-0005-0000-0000-0000240D0000}"/>
    <cellStyle name="Comma 6 35 3 4" xfId="3500" xr:uid="{00000000-0005-0000-0000-0000250D0000}"/>
    <cellStyle name="Comma 6 35 4" xfId="1470" xr:uid="{00000000-0005-0000-0000-0000260D0000}"/>
    <cellStyle name="Comma 6 35 4 2" xfId="3714" xr:uid="{00000000-0005-0000-0000-0000270D0000}"/>
    <cellStyle name="Comma 6 35 5" xfId="2256" xr:uid="{00000000-0005-0000-0000-0000280D0000}"/>
    <cellStyle name="Comma 6 35 5 2" xfId="4500" xr:uid="{00000000-0005-0000-0000-0000290D0000}"/>
    <cellStyle name="Comma 6 35 6" xfId="2980" xr:uid="{00000000-0005-0000-0000-00002A0D0000}"/>
    <cellStyle name="Comma 6 36" xfId="193" xr:uid="{00000000-0005-0000-0000-00002B0D0000}"/>
    <cellStyle name="Comma 6 36 2" xfId="1003" xr:uid="{00000000-0005-0000-0000-00002C0D0000}"/>
    <cellStyle name="Comma 6 36 2 2" xfId="1791" xr:uid="{00000000-0005-0000-0000-00002D0D0000}"/>
    <cellStyle name="Comma 6 36 2 2 2" xfId="4035" xr:uid="{00000000-0005-0000-0000-00002E0D0000}"/>
    <cellStyle name="Comma 6 36 2 3" xfId="2515" xr:uid="{00000000-0005-0000-0000-00002F0D0000}"/>
    <cellStyle name="Comma 6 36 2 3 2" xfId="4759" xr:uid="{00000000-0005-0000-0000-0000300D0000}"/>
    <cellStyle name="Comma 6 36 2 4" xfId="3249" xr:uid="{00000000-0005-0000-0000-0000310D0000}"/>
    <cellStyle name="Comma 6 36 3" xfId="1256" xr:uid="{00000000-0005-0000-0000-0000320D0000}"/>
    <cellStyle name="Comma 6 36 3 2" xfId="2043" xr:uid="{00000000-0005-0000-0000-0000330D0000}"/>
    <cellStyle name="Comma 6 36 3 2 2" xfId="4287" xr:uid="{00000000-0005-0000-0000-0000340D0000}"/>
    <cellStyle name="Comma 6 36 3 3" xfId="2767" xr:uid="{00000000-0005-0000-0000-0000350D0000}"/>
    <cellStyle name="Comma 6 36 3 3 2" xfId="5011" xr:uid="{00000000-0005-0000-0000-0000360D0000}"/>
    <cellStyle name="Comma 6 36 3 4" xfId="3501" xr:uid="{00000000-0005-0000-0000-0000370D0000}"/>
    <cellStyle name="Comma 6 36 4" xfId="1471" xr:uid="{00000000-0005-0000-0000-0000380D0000}"/>
    <cellStyle name="Comma 6 36 4 2" xfId="3715" xr:uid="{00000000-0005-0000-0000-0000390D0000}"/>
    <cellStyle name="Comma 6 36 5" xfId="2257" xr:uid="{00000000-0005-0000-0000-00003A0D0000}"/>
    <cellStyle name="Comma 6 36 5 2" xfId="4501" xr:uid="{00000000-0005-0000-0000-00003B0D0000}"/>
    <cellStyle name="Comma 6 36 6" xfId="2981" xr:uid="{00000000-0005-0000-0000-00003C0D0000}"/>
    <cellStyle name="Comma 6 37" xfId="194" xr:uid="{00000000-0005-0000-0000-00003D0D0000}"/>
    <cellStyle name="Comma 6 37 2" xfId="1004" xr:uid="{00000000-0005-0000-0000-00003E0D0000}"/>
    <cellStyle name="Comma 6 37 2 2" xfId="1792" xr:uid="{00000000-0005-0000-0000-00003F0D0000}"/>
    <cellStyle name="Comma 6 37 2 2 2" xfId="4036" xr:uid="{00000000-0005-0000-0000-0000400D0000}"/>
    <cellStyle name="Comma 6 37 2 3" xfId="2516" xr:uid="{00000000-0005-0000-0000-0000410D0000}"/>
    <cellStyle name="Comma 6 37 2 3 2" xfId="4760" xr:uid="{00000000-0005-0000-0000-0000420D0000}"/>
    <cellStyle name="Comma 6 37 2 4" xfId="3250" xr:uid="{00000000-0005-0000-0000-0000430D0000}"/>
    <cellStyle name="Comma 6 37 3" xfId="1257" xr:uid="{00000000-0005-0000-0000-0000440D0000}"/>
    <cellStyle name="Comma 6 37 3 2" xfId="2044" xr:uid="{00000000-0005-0000-0000-0000450D0000}"/>
    <cellStyle name="Comma 6 37 3 2 2" xfId="4288" xr:uid="{00000000-0005-0000-0000-0000460D0000}"/>
    <cellStyle name="Comma 6 37 3 3" xfId="2768" xr:uid="{00000000-0005-0000-0000-0000470D0000}"/>
    <cellStyle name="Comma 6 37 3 3 2" xfId="5012" xr:uid="{00000000-0005-0000-0000-0000480D0000}"/>
    <cellStyle name="Comma 6 37 3 4" xfId="3502" xr:uid="{00000000-0005-0000-0000-0000490D0000}"/>
    <cellStyle name="Comma 6 37 4" xfId="1472" xr:uid="{00000000-0005-0000-0000-00004A0D0000}"/>
    <cellStyle name="Comma 6 37 4 2" xfId="3716" xr:uid="{00000000-0005-0000-0000-00004B0D0000}"/>
    <cellStyle name="Comma 6 37 5" xfId="2258" xr:uid="{00000000-0005-0000-0000-00004C0D0000}"/>
    <cellStyle name="Comma 6 37 5 2" xfId="4502" xr:uid="{00000000-0005-0000-0000-00004D0D0000}"/>
    <cellStyle name="Comma 6 37 6" xfId="2982" xr:uid="{00000000-0005-0000-0000-00004E0D0000}"/>
    <cellStyle name="Comma 6 38" xfId="974" xr:uid="{00000000-0005-0000-0000-00004F0D0000}"/>
    <cellStyle name="Comma 6 38 2" xfId="1762" xr:uid="{00000000-0005-0000-0000-0000500D0000}"/>
    <cellStyle name="Comma 6 38 2 2" xfId="4006" xr:uid="{00000000-0005-0000-0000-0000510D0000}"/>
    <cellStyle name="Comma 6 38 3" xfId="2486" xr:uid="{00000000-0005-0000-0000-0000520D0000}"/>
    <cellStyle name="Comma 6 38 3 2" xfId="4730" xr:uid="{00000000-0005-0000-0000-0000530D0000}"/>
    <cellStyle name="Comma 6 38 4" xfId="3220" xr:uid="{00000000-0005-0000-0000-0000540D0000}"/>
    <cellStyle name="Comma 6 39" xfId="1227" xr:uid="{00000000-0005-0000-0000-0000550D0000}"/>
    <cellStyle name="Comma 6 39 2" xfId="2014" xr:uid="{00000000-0005-0000-0000-0000560D0000}"/>
    <cellStyle name="Comma 6 39 2 2" xfId="4258" xr:uid="{00000000-0005-0000-0000-0000570D0000}"/>
    <cellStyle name="Comma 6 39 3" xfId="2738" xr:uid="{00000000-0005-0000-0000-0000580D0000}"/>
    <cellStyle name="Comma 6 39 3 2" xfId="4982" xr:uid="{00000000-0005-0000-0000-0000590D0000}"/>
    <cellStyle name="Comma 6 39 4" xfId="3472" xr:uid="{00000000-0005-0000-0000-00005A0D0000}"/>
    <cellStyle name="Comma 6 4" xfId="195" xr:uid="{00000000-0005-0000-0000-00005B0D0000}"/>
    <cellStyle name="Comma 6 4 2" xfId="1005" xr:uid="{00000000-0005-0000-0000-00005C0D0000}"/>
    <cellStyle name="Comma 6 4 2 2" xfId="1793" xr:uid="{00000000-0005-0000-0000-00005D0D0000}"/>
    <cellStyle name="Comma 6 4 2 2 2" xfId="4037" xr:uid="{00000000-0005-0000-0000-00005E0D0000}"/>
    <cellStyle name="Comma 6 4 2 3" xfId="2517" xr:uid="{00000000-0005-0000-0000-00005F0D0000}"/>
    <cellStyle name="Comma 6 4 2 3 2" xfId="4761" xr:uid="{00000000-0005-0000-0000-0000600D0000}"/>
    <cellStyle name="Comma 6 4 2 4" xfId="3251" xr:uid="{00000000-0005-0000-0000-0000610D0000}"/>
    <cellStyle name="Comma 6 4 3" xfId="1258" xr:uid="{00000000-0005-0000-0000-0000620D0000}"/>
    <cellStyle name="Comma 6 4 3 2" xfId="2045" xr:uid="{00000000-0005-0000-0000-0000630D0000}"/>
    <cellStyle name="Comma 6 4 3 2 2" xfId="4289" xr:uid="{00000000-0005-0000-0000-0000640D0000}"/>
    <cellStyle name="Comma 6 4 3 3" xfId="2769" xr:uid="{00000000-0005-0000-0000-0000650D0000}"/>
    <cellStyle name="Comma 6 4 3 3 2" xfId="5013" xr:uid="{00000000-0005-0000-0000-0000660D0000}"/>
    <cellStyle name="Comma 6 4 3 4" xfId="3503" xr:uid="{00000000-0005-0000-0000-0000670D0000}"/>
    <cellStyle name="Comma 6 4 4" xfId="1473" xr:uid="{00000000-0005-0000-0000-0000680D0000}"/>
    <cellStyle name="Comma 6 4 4 2" xfId="3717" xr:uid="{00000000-0005-0000-0000-0000690D0000}"/>
    <cellStyle name="Comma 6 4 5" xfId="2259" xr:uid="{00000000-0005-0000-0000-00006A0D0000}"/>
    <cellStyle name="Comma 6 4 5 2" xfId="4503" xr:uid="{00000000-0005-0000-0000-00006B0D0000}"/>
    <cellStyle name="Comma 6 4 6" xfId="2983" xr:uid="{00000000-0005-0000-0000-00006C0D0000}"/>
    <cellStyle name="Comma 6 40" xfId="1442" xr:uid="{00000000-0005-0000-0000-00006D0D0000}"/>
    <cellStyle name="Comma 6 40 2" xfId="3686" xr:uid="{00000000-0005-0000-0000-00006E0D0000}"/>
    <cellStyle name="Comma 6 41" xfId="2228" xr:uid="{00000000-0005-0000-0000-00006F0D0000}"/>
    <cellStyle name="Comma 6 41 2" xfId="4472" xr:uid="{00000000-0005-0000-0000-0000700D0000}"/>
    <cellStyle name="Comma 6 42" xfId="2952" xr:uid="{00000000-0005-0000-0000-0000710D0000}"/>
    <cellStyle name="Comma 6 5" xfId="196" xr:uid="{00000000-0005-0000-0000-0000720D0000}"/>
    <cellStyle name="Comma 6 5 2" xfId="1006" xr:uid="{00000000-0005-0000-0000-0000730D0000}"/>
    <cellStyle name="Comma 6 5 2 2" xfId="1794" xr:uid="{00000000-0005-0000-0000-0000740D0000}"/>
    <cellStyle name="Comma 6 5 2 2 2" xfId="4038" xr:uid="{00000000-0005-0000-0000-0000750D0000}"/>
    <cellStyle name="Comma 6 5 2 3" xfId="2518" xr:uid="{00000000-0005-0000-0000-0000760D0000}"/>
    <cellStyle name="Comma 6 5 2 3 2" xfId="4762" xr:uid="{00000000-0005-0000-0000-0000770D0000}"/>
    <cellStyle name="Comma 6 5 2 4" xfId="3252" xr:uid="{00000000-0005-0000-0000-0000780D0000}"/>
    <cellStyle name="Comma 6 5 3" xfId="1259" xr:uid="{00000000-0005-0000-0000-0000790D0000}"/>
    <cellStyle name="Comma 6 5 3 2" xfId="2046" xr:uid="{00000000-0005-0000-0000-00007A0D0000}"/>
    <cellStyle name="Comma 6 5 3 2 2" xfId="4290" xr:uid="{00000000-0005-0000-0000-00007B0D0000}"/>
    <cellStyle name="Comma 6 5 3 3" xfId="2770" xr:uid="{00000000-0005-0000-0000-00007C0D0000}"/>
    <cellStyle name="Comma 6 5 3 3 2" xfId="5014" xr:uid="{00000000-0005-0000-0000-00007D0D0000}"/>
    <cellStyle name="Comma 6 5 3 4" xfId="3504" xr:uid="{00000000-0005-0000-0000-00007E0D0000}"/>
    <cellStyle name="Comma 6 5 4" xfId="1474" xr:uid="{00000000-0005-0000-0000-00007F0D0000}"/>
    <cellStyle name="Comma 6 5 4 2" xfId="3718" xr:uid="{00000000-0005-0000-0000-0000800D0000}"/>
    <cellStyle name="Comma 6 5 5" xfId="2260" xr:uid="{00000000-0005-0000-0000-0000810D0000}"/>
    <cellStyle name="Comma 6 5 5 2" xfId="4504" xr:uid="{00000000-0005-0000-0000-0000820D0000}"/>
    <cellStyle name="Comma 6 5 6" xfId="2984" xr:uid="{00000000-0005-0000-0000-0000830D0000}"/>
    <cellStyle name="Comma 6 6" xfId="197" xr:uid="{00000000-0005-0000-0000-0000840D0000}"/>
    <cellStyle name="Comma 6 6 2" xfId="1007" xr:uid="{00000000-0005-0000-0000-0000850D0000}"/>
    <cellStyle name="Comma 6 6 2 2" xfId="1795" xr:uid="{00000000-0005-0000-0000-0000860D0000}"/>
    <cellStyle name="Comma 6 6 2 2 2" xfId="4039" xr:uid="{00000000-0005-0000-0000-0000870D0000}"/>
    <cellStyle name="Comma 6 6 2 3" xfId="2519" xr:uid="{00000000-0005-0000-0000-0000880D0000}"/>
    <cellStyle name="Comma 6 6 2 3 2" xfId="4763" xr:uid="{00000000-0005-0000-0000-0000890D0000}"/>
    <cellStyle name="Comma 6 6 2 4" xfId="3253" xr:uid="{00000000-0005-0000-0000-00008A0D0000}"/>
    <cellStyle name="Comma 6 6 3" xfId="1260" xr:uid="{00000000-0005-0000-0000-00008B0D0000}"/>
    <cellStyle name="Comma 6 6 3 2" xfId="2047" xr:uid="{00000000-0005-0000-0000-00008C0D0000}"/>
    <cellStyle name="Comma 6 6 3 2 2" xfId="4291" xr:uid="{00000000-0005-0000-0000-00008D0D0000}"/>
    <cellStyle name="Comma 6 6 3 3" xfId="2771" xr:uid="{00000000-0005-0000-0000-00008E0D0000}"/>
    <cellStyle name="Comma 6 6 3 3 2" xfId="5015" xr:uid="{00000000-0005-0000-0000-00008F0D0000}"/>
    <cellStyle name="Comma 6 6 3 4" xfId="3505" xr:uid="{00000000-0005-0000-0000-0000900D0000}"/>
    <cellStyle name="Comma 6 6 4" xfId="1475" xr:uid="{00000000-0005-0000-0000-0000910D0000}"/>
    <cellStyle name="Comma 6 6 4 2" xfId="3719" xr:uid="{00000000-0005-0000-0000-0000920D0000}"/>
    <cellStyle name="Comma 6 6 5" xfId="2261" xr:uid="{00000000-0005-0000-0000-0000930D0000}"/>
    <cellStyle name="Comma 6 6 5 2" xfId="4505" xr:uid="{00000000-0005-0000-0000-0000940D0000}"/>
    <cellStyle name="Comma 6 6 6" xfId="2985" xr:uid="{00000000-0005-0000-0000-0000950D0000}"/>
    <cellStyle name="Comma 6 7" xfId="198" xr:uid="{00000000-0005-0000-0000-0000960D0000}"/>
    <cellStyle name="Comma 6 7 2" xfId="1008" xr:uid="{00000000-0005-0000-0000-0000970D0000}"/>
    <cellStyle name="Comma 6 7 2 2" xfId="1796" xr:uid="{00000000-0005-0000-0000-0000980D0000}"/>
    <cellStyle name="Comma 6 7 2 2 2" xfId="4040" xr:uid="{00000000-0005-0000-0000-0000990D0000}"/>
    <cellStyle name="Comma 6 7 2 3" xfId="2520" xr:uid="{00000000-0005-0000-0000-00009A0D0000}"/>
    <cellStyle name="Comma 6 7 2 3 2" xfId="4764" xr:uid="{00000000-0005-0000-0000-00009B0D0000}"/>
    <cellStyle name="Comma 6 7 2 4" xfId="3254" xr:uid="{00000000-0005-0000-0000-00009C0D0000}"/>
    <cellStyle name="Comma 6 7 3" xfId="1261" xr:uid="{00000000-0005-0000-0000-00009D0D0000}"/>
    <cellStyle name="Comma 6 7 3 2" xfId="2048" xr:uid="{00000000-0005-0000-0000-00009E0D0000}"/>
    <cellStyle name="Comma 6 7 3 2 2" xfId="4292" xr:uid="{00000000-0005-0000-0000-00009F0D0000}"/>
    <cellStyle name="Comma 6 7 3 3" xfId="2772" xr:uid="{00000000-0005-0000-0000-0000A00D0000}"/>
    <cellStyle name="Comma 6 7 3 3 2" xfId="5016" xr:uid="{00000000-0005-0000-0000-0000A10D0000}"/>
    <cellStyle name="Comma 6 7 3 4" xfId="3506" xr:uid="{00000000-0005-0000-0000-0000A20D0000}"/>
    <cellStyle name="Comma 6 7 4" xfId="1476" xr:uid="{00000000-0005-0000-0000-0000A30D0000}"/>
    <cellStyle name="Comma 6 7 4 2" xfId="3720" xr:uid="{00000000-0005-0000-0000-0000A40D0000}"/>
    <cellStyle name="Comma 6 7 5" xfId="2262" xr:uid="{00000000-0005-0000-0000-0000A50D0000}"/>
    <cellStyle name="Comma 6 7 5 2" xfId="4506" xr:uid="{00000000-0005-0000-0000-0000A60D0000}"/>
    <cellStyle name="Comma 6 7 6" xfId="2986" xr:uid="{00000000-0005-0000-0000-0000A70D0000}"/>
    <cellStyle name="Comma 6 8" xfId="199" xr:uid="{00000000-0005-0000-0000-0000A80D0000}"/>
    <cellStyle name="Comma 6 8 2" xfId="1009" xr:uid="{00000000-0005-0000-0000-0000A90D0000}"/>
    <cellStyle name="Comma 6 8 2 2" xfId="1797" xr:uid="{00000000-0005-0000-0000-0000AA0D0000}"/>
    <cellStyle name="Comma 6 8 2 2 2" xfId="4041" xr:uid="{00000000-0005-0000-0000-0000AB0D0000}"/>
    <cellStyle name="Comma 6 8 2 3" xfId="2521" xr:uid="{00000000-0005-0000-0000-0000AC0D0000}"/>
    <cellStyle name="Comma 6 8 2 3 2" xfId="4765" xr:uid="{00000000-0005-0000-0000-0000AD0D0000}"/>
    <cellStyle name="Comma 6 8 2 4" xfId="3255" xr:uid="{00000000-0005-0000-0000-0000AE0D0000}"/>
    <cellStyle name="Comma 6 8 3" xfId="1262" xr:uid="{00000000-0005-0000-0000-0000AF0D0000}"/>
    <cellStyle name="Comma 6 8 3 2" xfId="2049" xr:uid="{00000000-0005-0000-0000-0000B00D0000}"/>
    <cellStyle name="Comma 6 8 3 2 2" xfId="4293" xr:uid="{00000000-0005-0000-0000-0000B10D0000}"/>
    <cellStyle name="Comma 6 8 3 3" xfId="2773" xr:uid="{00000000-0005-0000-0000-0000B20D0000}"/>
    <cellStyle name="Comma 6 8 3 3 2" xfId="5017" xr:uid="{00000000-0005-0000-0000-0000B30D0000}"/>
    <cellStyle name="Comma 6 8 3 4" xfId="3507" xr:uid="{00000000-0005-0000-0000-0000B40D0000}"/>
    <cellStyle name="Comma 6 8 4" xfId="1477" xr:uid="{00000000-0005-0000-0000-0000B50D0000}"/>
    <cellStyle name="Comma 6 8 4 2" xfId="3721" xr:uid="{00000000-0005-0000-0000-0000B60D0000}"/>
    <cellStyle name="Comma 6 8 5" xfId="2263" xr:uid="{00000000-0005-0000-0000-0000B70D0000}"/>
    <cellStyle name="Comma 6 8 5 2" xfId="4507" xr:uid="{00000000-0005-0000-0000-0000B80D0000}"/>
    <cellStyle name="Comma 6 8 6" xfId="2987" xr:uid="{00000000-0005-0000-0000-0000B90D0000}"/>
    <cellStyle name="Comma 6 9" xfId="200" xr:uid="{00000000-0005-0000-0000-0000BA0D0000}"/>
    <cellStyle name="Comma 6 9 2" xfId="1010" xr:uid="{00000000-0005-0000-0000-0000BB0D0000}"/>
    <cellStyle name="Comma 6 9 2 2" xfId="1798" xr:uid="{00000000-0005-0000-0000-0000BC0D0000}"/>
    <cellStyle name="Comma 6 9 2 2 2" xfId="4042" xr:uid="{00000000-0005-0000-0000-0000BD0D0000}"/>
    <cellStyle name="Comma 6 9 2 3" xfId="2522" xr:uid="{00000000-0005-0000-0000-0000BE0D0000}"/>
    <cellStyle name="Comma 6 9 2 3 2" xfId="4766" xr:uid="{00000000-0005-0000-0000-0000BF0D0000}"/>
    <cellStyle name="Comma 6 9 2 4" xfId="3256" xr:uid="{00000000-0005-0000-0000-0000C00D0000}"/>
    <cellStyle name="Comma 6 9 3" xfId="1263" xr:uid="{00000000-0005-0000-0000-0000C10D0000}"/>
    <cellStyle name="Comma 6 9 3 2" xfId="2050" xr:uid="{00000000-0005-0000-0000-0000C20D0000}"/>
    <cellStyle name="Comma 6 9 3 2 2" xfId="4294" xr:uid="{00000000-0005-0000-0000-0000C30D0000}"/>
    <cellStyle name="Comma 6 9 3 3" xfId="2774" xr:uid="{00000000-0005-0000-0000-0000C40D0000}"/>
    <cellStyle name="Comma 6 9 3 3 2" xfId="5018" xr:uid="{00000000-0005-0000-0000-0000C50D0000}"/>
    <cellStyle name="Comma 6 9 3 4" xfId="3508" xr:uid="{00000000-0005-0000-0000-0000C60D0000}"/>
    <cellStyle name="Comma 6 9 4" xfId="1478" xr:uid="{00000000-0005-0000-0000-0000C70D0000}"/>
    <cellStyle name="Comma 6 9 4 2" xfId="3722" xr:uid="{00000000-0005-0000-0000-0000C80D0000}"/>
    <cellStyle name="Comma 6 9 5" xfId="2264" xr:uid="{00000000-0005-0000-0000-0000C90D0000}"/>
    <cellStyle name="Comma 6 9 5 2" xfId="4508" xr:uid="{00000000-0005-0000-0000-0000CA0D0000}"/>
    <cellStyle name="Comma 6 9 6" xfId="2988" xr:uid="{00000000-0005-0000-0000-0000CB0D0000}"/>
    <cellStyle name="Comma 60" xfId="1032" xr:uid="{00000000-0005-0000-0000-0000CC0D0000}"/>
    <cellStyle name="Comma 60 2" xfId="1820" xr:uid="{00000000-0005-0000-0000-0000CD0D0000}"/>
    <cellStyle name="Comma 60 2 2" xfId="4064" xr:uid="{00000000-0005-0000-0000-0000CE0D0000}"/>
    <cellStyle name="Comma 60 3" xfId="2544" xr:uid="{00000000-0005-0000-0000-0000CF0D0000}"/>
    <cellStyle name="Comma 60 3 2" xfId="4788" xr:uid="{00000000-0005-0000-0000-0000D00D0000}"/>
    <cellStyle name="Comma 60 4" xfId="3278" xr:uid="{00000000-0005-0000-0000-0000D10D0000}"/>
    <cellStyle name="Comma 61" xfId="1066" xr:uid="{00000000-0005-0000-0000-0000D20D0000}"/>
    <cellStyle name="Comma 61 2" xfId="1853" xr:uid="{00000000-0005-0000-0000-0000D30D0000}"/>
    <cellStyle name="Comma 61 2 2" xfId="4097" xr:uid="{00000000-0005-0000-0000-0000D40D0000}"/>
    <cellStyle name="Comma 61 3" xfId="2577" xr:uid="{00000000-0005-0000-0000-0000D50D0000}"/>
    <cellStyle name="Comma 61 3 2" xfId="4821" xr:uid="{00000000-0005-0000-0000-0000D60D0000}"/>
    <cellStyle name="Comma 61 4" xfId="3311" xr:uid="{00000000-0005-0000-0000-0000D70D0000}"/>
    <cellStyle name="Comma 62" xfId="1068" xr:uid="{00000000-0005-0000-0000-0000D80D0000}"/>
    <cellStyle name="Comma 62 2" xfId="1855" xr:uid="{00000000-0005-0000-0000-0000D90D0000}"/>
    <cellStyle name="Comma 62 2 2" xfId="4099" xr:uid="{00000000-0005-0000-0000-0000DA0D0000}"/>
    <cellStyle name="Comma 62 3" xfId="2579" xr:uid="{00000000-0005-0000-0000-0000DB0D0000}"/>
    <cellStyle name="Comma 62 3 2" xfId="4823" xr:uid="{00000000-0005-0000-0000-0000DC0D0000}"/>
    <cellStyle name="Comma 62 4" xfId="3313" xr:uid="{00000000-0005-0000-0000-0000DD0D0000}"/>
    <cellStyle name="Comma 63" xfId="1081" xr:uid="{00000000-0005-0000-0000-0000DE0D0000}"/>
    <cellStyle name="Comma 63 2" xfId="1868" xr:uid="{00000000-0005-0000-0000-0000DF0D0000}"/>
    <cellStyle name="Comma 63 2 2" xfId="4112" xr:uid="{00000000-0005-0000-0000-0000E00D0000}"/>
    <cellStyle name="Comma 63 3" xfId="2592" xr:uid="{00000000-0005-0000-0000-0000E10D0000}"/>
    <cellStyle name="Comma 63 3 2" xfId="4836" xr:uid="{00000000-0005-0000-0000-0000E20D0000}"/>
    <cellStyle name="Comma 63 4" xfId="3326" xr:uid="{00000000-0005-0000-0000-0000E30D0000}"/>
    <cellStyle name="Comma 64" xfId="1083" xr:uid="{00000000-0005-0000-0000-0000E40D0000}"/>
    <cellStyle name="Comma 64 2" xfId="1870" xr:uid="{00000000-0005-0000-0000-0000E50D0000}"/>
    <cellStyle name="Comma 64 2 2" xfId="4114" xr:uid="{00000000-0005-0000-0000-0000E60D0000}"/>
    <cellStyle name="Comma 64 3" xfId="2594" xr:uid="{00000000-0005-0000-0000-0000E70D0000}"/>
    <cellStyle name="Comma 64 3 2" xfId="4838" xr:uid="{00000000-0005-0000-0000-0000E80D0000}"/>
    <cellStyle name="Comma 64 4" xfId="3328" xr:uid="{00000000-0005-0000-0000-0000E90D0000}"/>
    <cellStyle name="Comma 65" xfId="1102" xr:uid="{00000000-0005-0000-0000-0000EA0D0000}"/>
    <cellStyle name="Comma 65 2" xfId="1889" xr:uid="{00000000-0005-0000-0000-0000EB0D0000}"/>
    <cellStyle name="Comma 65 2 2" xfId="4133" xr:uid="{00000000-0005-0000-0000-0000EC0D0000}"/>
    <cellStyle name="Comma 65 3" xfId="2613" xr:uid="{00000000-0005-0000-0000-0000ED0D0000}"/>
    <cellStyle name="Comma 65 3 2" xfId="4857" xr:uid="{00000000-0005-0000-0000-0000EE0D0000}"/>
    <cellStyle name="Comma 65 4" xfId="3347" xr:uid="{00000000-0005-0000-0000-0000EF0D0000}"/>
    <cellStyle name="Comma 66" xfId="1104" xr:uid="{00000000-0005-0000-0000-0000F00D0000}"/>
    <cellStyle name="Comma 66 2" xfId="1891" xr:uid="{00000000-0005-0000-0000-0000F10D0000}"/>
    <cellStyle name="Comma 66 2 2" xfId="4135" xr:uid="{00000000-0005-0000-0000-0000F20D0000}"/>
    <cellStyle name="Comma 66 3" xfId="2615" xr:uid="{00000000-0005-0000-0000-0000F30D0000}"/>
    <cellStyle name="Comma 66 3 2" xfId="4859" xr:uid="{00000000-0005-0000-0000-0000F40D0000}"/>
    <cellStyle name="Comma 66 4" xfId="3349" xr:uid="{00000000-0005-0000-0000-0000F50D0000}"/>
    <cellStyle name="Comma 67" xfId="1110" xr:uid="{00000000-0005-0000-0000-0000F60D0000}"/>
    <cellStyle name="Comma 67 2" xfId="1897" xr:uid="{00000000-0005-0000-0000-0000F70D0000}"/>
    <cellStyle name="Comma 67 2 2" xfId="4141" xr:uid="{00000000-0005-0000-0000-0000F80D0000}"/>
    <cellStyle name="Comma 67 3" xfId="2621" xr:uid="{00000000-0005-0000-0000-0000F90D0000}"/>
    <cellStyle name="Comma 67 3 2" xfId="4865" xr:uid="{00000000-0005-0000-0000-0000FA0D0000}"/>
    <cellStyle name="Comma 67 4" xfId="3355" xr:uid="{00000000-0005-0000-0000-0000FB0D0000}"/>
    <cellStyle name="Comma 68" xfId="1124" xr:uid="{00000000-0005-0000-0000-0000FC0D0000}"/>
    <cellStyle name="Comma 68 2" xfId="1911" xr:uid="{00000000-0005-0000-0000-0000FD0D0000}"/>
    <cellStyle name="Comma 68 2 2" xfId="4155" xr:uid="{00000000-0005-0000-0000-0000FE0D0000}"/>
    <cellStyle name="Comma 68 3" xfId="2635" xr:uid="{00000000-0005-0000-0000-0000FF0D0000}"/>
    <cellStyle name="Comma 68 3 2" xfId="4879" xr:uid="{00000000-0005-0000-0000-0000000E0000}"/>
    <cellStyle name="Comma 68 4" xfId="3369" xr:uid="{00000000-0005-0000-0000-0000010E0000}"/>
    <cellStyle name="Comma 69" xfId="1320" xr:uid="{00000000-0005-0000-0000-0000020E0000}"/>
    <cellStyle name="Comma 69 2" xfId="3564" xr:uid="{00000000-0005-0000-0000-0000030E0000}"/>
    <cellStyle name="Comma 7" xfId="201" xr:uid="{00000000-0005-0000-0000-0000040E0000}"/>
    <cellStyle name="Comma 7 10" xfId="202" xr:uid="{00000000-0005-0000-0000-0000050E0000}"/>
    <cellStyle name="Comma 7 10 2" xfId="1012" xr:uid="{00000000-0005-0000-0000-0000060E0000}"/>
    <cellStyle name="Comma 7 10 2 2" xfId="1800" xr:uid="{00000000-0005-0000-0000-0000070E0000}"/>
    <cellStyle name="Comma 7 10 2 2 2" xfId="4044" xr:uid="{00000000-0005-0000-0000-0000080E0000}"/>
    <cellStyle name="Comma 7 10 2 3" xfId="2524" xr:uid="{00000000-0005-0000-0000-0000090E0000}"/>
    <cellStyle name="Comma 7 10 2 3 2" xfId="4768" xr:uid="{00000000-0005-0000-0000-00000A0E0000}"/>
    <cellStyle name="Comma 7 10 2 4" xfId="3258" xr:uid="{00000000-0005-0000-0000-00000B0E0000}"/>
    <cellStyle name="Comma 7 10 3" xfId="1265" xr:uid="{00000000-0005-0000-0000-00000C0E0000}"/>
    <cellStyle name="Comma 7 10 3 2" xfId="2052" xr:uid="{00000000-0005-0000-0000-00000D0E0000}"/>
    <cellStyle name="Comma 7 10 3 2 2" xfId="4296" xr:uid="{00000000-0005-0000-0000-00000E0E0000}"/>
    <cellStyle name="Comma 7 10 3 3" xfId="2776" xr:uid="{00000000-0005-0000-0000-00000F0E0000}"/>
    <cellStyle name="Comma 7 10 3 3 2" xfId="5020" xr:uid="{00000000-0005-0000-0000-0000100E0000}"/>
    <cellStyle name="Comma 7 10 3 4" xfId="3510" xr:uid="{00000000-0005-0000-0000-0000110E0000}"/>
    <cellStyle name="Comma 7 10 4" xfId="1480" xr:uid="{00000000-0005-0000-0000-0000120E0000}"/>
    <cellStyle name="Comma 7 10 4 2" xfId="3724" xr:uid="{00000000-0005-0000-0000-0000130E0000}"/>
    <cellStyle name="Comma 7 10 5" xfId="2266" xr:uid="{00000000-0005-0000-0000-0000140E0000}"/>
    <cellStyle name="Comma 7 10 5 2" xfId="4510" xr:uid="{00000000-0005-0000-0000-0000150E0000}"/>
    <cellStyle name="Comma 7 10 6" xfId="2990" xr:uid="{00000000-0005-0000-0000-0000160E0000}"/>
    <cellStyle name="Comma 7 11" xfId="203" xr:uid="{00000000-0005-0000-0000-0000170E0000}"/>
    <cellStyle name="Comma 7 11 2" xfId="1013" xr:uid="{00000000-0005-0000-0000-0000180E0000}"/>
    <cellStyle name="Comma 7 11 2 2" xfId="1801" xr:uid="{00000000-0005-0000-0000-0000190E0000}"/>
    <cellStyle name="Comma 7 11 2 2 2" xfId="4045" xr:uid="{00000000-0005-0000-0000-00001A0E0000}"/>
    <cellStyle name="Comma 7 11 2 3" xfId="2525" xr:uid="{00000000-0005-0000-0000-00001B0E0000}"/>
    <cellStyle name="Comma 7 11 2 3 2" xfId="4769" xr:uid="{00000000-0005-0000-0000-00001C0E0000}"/>
    <cellStyle name="Comma 7 11 2 4" xfId="3259" xr:uid="{00000000-0005-0000-0000-00001D0E0000}"/>
    <cellStyle name="Comma 7 11 3" xfId="1266" xr:uid="{00000000-0005-0000-0000-00001E0E0000}"/>
    <cellStyle name="Comma 7 11 3 2" xfId="2053" xr:uid="{00000000-0005-0000-0000-00001F0E0000}"/>
    <cellStyle name="Comma 7 11 3 2 2" xfId="4297" xr:uid="{00000000-0005-0000-0000-0000200E0000}"/>
    <cellStyle name="Comma 7 11 3 3" xfId="2777" xr:uid="{00000000-0005-0000-0000-0000210E0000}"/>
    <cellStyle name="Comma 7 11 3 3 2" xfId="5021" xr:uid="{00000000-0005-0000-0000-0000220E0000}"/>
    <cellStyle name="Comma 7 11 3 4" xfId="3511" xr:uid="{00000000-0005-0000-0000-0000230E0000}"/>
    <cellStyle name="Comma 7 11 4" xfId="1481" xr:uid="{00000000-0005-0000-0000-0000240E0000}"/>
    <cellStyle name="Comma 7 11 4 2" xfId="3725" xr:uid="{00000000-0005-0000-0000-0000250E0000}"/>
    <cellStyle name="Comma 7 11 5" xfId="2267" xr:uid="{00000000-0005-0000-0000-0000260E0000}"/>
    <cellStyle name="Comma 7 11 5 2" xfId="4511" xr:uid="{00000000-0005-0000-0000-0000270E0000}"/>
    <cellStyle name="Comma 7 11 6" xfId="2991" xr:uid="{00000000-0005-0000-0000-0000280E0000}"/>
    <cellStyle name="Comma 7 12" xfId="204" xr:uid="{00000000-0005-0000-0000-0000290E0000}"/>
    <cellStyle name="Comma 7 12 2" xfId="1014" xr:uid="{00000000-0005-0000-0000-00002A0E0000}"/>
    <cellStyle name="Comma 7 12 2 2" xfId="1802" xr:uid="{00000000-0005-0000-0000-00002B0E0000}"/>
    <cellStyle name="Comma 7 12 2 2 2" xfId="4046" xr:uid="{00000000-0005-0000-0000-00002C0E0000}"/>
    <cellStyle name="Comma 7 12 2 3" xfId="2526" xr:uid="{00000000-0005-0000-0000-00002D0E0000}"/>
    <cellStyle name="Comma 7 12 2 3 2" xfId="4770" xr:uid="{00000000-0005-0000-0000-00002E0E0000}"/>
    <cellStyle name="Comma 7 12 2 4" xfId="3260" xr:uid="{00000000-0005-0000-0000-00002F0E0000}"/>
    <cellStyle name="Comma 7 12 3" xfId="1267" xr:uid="{00000000-0005-0000-0000-0000300E0000}"/>
    <cellStyle name="Comma 7 12 3 2" xfId="2054" xr:uid="{00000000-0005-0000-0000-0000310E0000}"/>
    <cellStyle name="Comma 7 12 3 2 2" xfId="4298" xr:uid="{00000000-0005-0000-0000-0000320E0000}"/>
    <cellStyle name="Comma 7 12 3 3" xfId="2778" xr:uid="{00000000-0005-0000-0000-0000330E0000}"/>
    <cellStyle name="Comma 7 12 3 3 2" xfId="5022" xr:uid="{00000000-0005-0000-0000-0000340E0000}"/>
    <cellStyle name="Comma 7 12 3 4" xfId="3512" xr:uid="{00000000-0005-0000-0000-0000350E0000}"/>
    <cellStyle name="Comma 7 12 4" xfId="1482" xr:uid="{00000000-0005-0000-0000-0000360E0000}"/>
    <cellStyle name="Comma 7 12 4 2" xfId="3726" xr:uid="{00000000-0005-0000-0000-0000370E0000}"/>
    <cellStyle name="Comma 7 12 5" xfId="2268" xr:uid="{00000000-0005-0000-0000-0000380E0000}"/>
    <cellStyle name="Comma 7 12 5 2" xfId="4512" xr:uid="{00000000-0005-0000-0000-0000390E0000}"/>
    <cellStyle name="Comma 7 12 6" xfId="2992" xr:uid="{00000000-0005-0000-0000-00003A0E0000}"/>
    <cellStyle name="Comma 7 13" xfId="205" xr:uid="{00000000-0005-0000-0000-00003B0E0000}"/>
    <cellStyle name="Comma 7 13 2" xfId="1015" xr:uid="{00000000-0005-0000-0000-00003C0E0000}"/>
    <cellStyle name="Comma 7 13 2 2" xfId="1803" xr:uid="{00000000-0005-0000-0000-00003D0E0000}"/>
    <cellStyle name="Comma 7 13 2 2 2" xfId="4047" xr:uid="{00000000-0005-0000-0000-00003E0E0000}"/>
    <cellStyle name="Comma 7 13 2 3" xfId="2527" xr:uid="{00000000-0005-0000-0000-00003F0E0000}"/>
    <cellStyle name="Comma 7 13 2 3 2" xfId="4771" xr:uid="{00000000-0005-0000-0000-0000400E0000}"/>
    <cellStyle name="Comma 7 13 2 4" xfId="3261" xr:uid="{00000000-0005-0000-0000-0000410E0000}"/>
    <cellStyle name="Comma 7 13 3" xfId="1268" xr:uid="{00000000-0005-0000-0000-0000420E0000}"/>
    <cellStyle name="Comma 7 13 3 2" xfId="2055" xr:uid="{00000000-0005-0000-0000-0000430E0000}"/>
    <cellStyle name="Comma 7 13 3 2 2" xfId="4299" xr:uid="{00000000-0005-0000-0000-0000440E0000}"/>
    <cellStyle name="Comma 7 13 3 3" xfId="2779" xr:uid="{00000000-0005-0000-0000-0000450E0000}"/>
    <cellStyle name="Comma 7 13 3 3 2" xfId="5023" xr:uid="{00000000-0005-0000-0000-0000460E0000}"/>
    <cellStyle name="Comma 7 13 3 4" xfId="3513" xr:uid="{00000000-0005-0000-0000-0000470E0000}"/>
    <cellStyle name="Comma 7 13 4" xfId="1483" xr:uid="{00000000-0005-0000-0000-0000480E0000}"/>
    <cellStyle name="Comma 7 13 4 2" xfId="3727" xr:uid="{00000000-0005-0000-0000-0000490E0000}"/>
    <cellStyle name="Comma 7 13 5" xfId="2269" xr:uid="{00000000-0005-0000-0000-00004A0E0000}"/>
    <cellStyle name="Comma 7 13 5 2" xfId="4513" xr:uid="{00000000-0005-0000-0000-00004B0E0000}"/>
    <cellStyle name="Comma 7 13 6" xfId="2993" xr:uid="{00000000-0005-0000-0000-00004C0E0000}"/>
    <cellStyle name="Comma 7 14" xfId="206" xr:uid="{00000000-0005-0000-0000-00004D0E0000}"/>
    <cellStyle name="Comma 7 14 2" xfId="1016" xr:uid="{00000000-0005-0000-0000-00004E0E0000}"/>
    <cellStyle name="Comma 7 14 2 2" xfId="1804" xr:uid="{00000000-0005-0000-0000-00004F0E0000}"/>
    <cellStyle name="Comma 7 14 2 2 2" xfId="4048" xr:uid="{00000000-0005-0000-0000-0000500E0000}"/>
    <cellStyle name="Comma 7 14 2 3" xfId="2528" xr:uid="{00000000-0005-0000-0000-0000510E0000}"/>
    <cellStyle name="Comma 7 14 2 3 2" xfId="4772" xr:uid="{00000000-0005-0000-0000-0000520E0000}"/>
    <cellStyle name="Comma 7 14 2 4" xfId="3262" xr:uid="{00000000-0005-0000-0000-0000530E0000}"/>
    <cellStyle name="Comma 7 14 3" xfId="1269" xr:uid="{00000000-0005-0000-0000-0000540E0000}"/>
    <cellStyle name="Comma 7 14 3 2" xfId="2056" xr:uid="{00000000-0005-0000-0000-0000550E0000}"/>
    <cellStyle name="Comma 7 14 3 2 2" xfId="4300" xr:uid="{00000000-0005-0000-0000-0000560E0000}"/>
    <cellStyle name="Comma 7 14 3 3" xfId="2780" xr:uid="{00000000-0005-0000-0000-0000570E0000}"/>
    <cellStyle name="Comma 7 14 3 3 2" xfId="5024" xr:uid="{00000000-0005-0000-0000-0000580E0000}"/>
    <cellStyle name="Comma 7 14 3 4" xfId="3514" xr:uid="{00000000-0005-0000-0000-0000590E0000}"/>
    <cellStyle name="Comma 7 14 4" xfId="1484" xr:uid="{00000000-0005-0000-0000-00005A0E0000}"/>
    <cellStyle name="Comma 7 14 4 2" xfId="3728" xr:uid="{00000000-0005-0000-0000-00005B0E0000}"/>
    <cellStyle name="Comma 7 14 5" xfId="2270" xr:uid="{00000000-0005-0000-0000-00005C0E0000}"/>
    <cellStyle name="Comma 7 14 5 2" xfId="4514" xr:uid="{00000000-0005-0000-0000-00005D0E0000}"/>
    <cellStyle name="Comma 7 14 6" xfId="2994" xr:uid="{00000000-0005-0000-0000-00005E0E0000}"/>
    <cellStyle name="Comma 7 15" xfId="207" xr:uid="{00000000-0005-0000-0000-00005F0E0000}"/>
    <cellStyle name="Comma 7 15 2" xfId="1017" xr:uid="{00000000-0005-0000-0000-0000600E0000}"/>
    <cellStyle name="Comma 7 15 2 2" xfId="1805" xr:uid="{00000000-0005-0000-0000-0000610E0000}"/>
    <cellStyle name="Comma 7 15 2 2 2" xfId="4049" xr:uid="{00000000-0005-0000-0000-0000620E0000}"/>
    <cellStyle name="Comma 7 15 2 3" xfId="2529" xr:uid="{00000000-0005-0000-0000-0000630E0000}"/>
    <cellStyle name="Comma 7 15 2 3 2" xfId="4773" xr:uid="{00000000-0005-0000-0000-0000640E0000}"/>
    <cellStyle name="Comma 7 15 2 4" xfId="3263" xr:uid="{00000000-0005-0000-0000-0000650E0000}"/>
    <cellStyle name="Comma 7 15 3" xfId="1270" xr:uid="{00000000-0005-0000-0000-0000660E0000}"/>
    <cellStyle name="Comma 7 15 3 2" xfId="2057" xr:uid="{00000000-0005-0000-0000-0000670E0000}"/>
    <cellStyle name="Comma 7 15 3 2 2" xfId="4301" xr:uid="{00000000-0005-0000-0000-0000680E0000}"/>
    <cellStyle name="Comma 7 15 3 3" xfId="2781" xr:uid="{00000000-0005-0000-0000-0000690E0000}"/>
    <cellStyle name="Comma 7 15 3 3 2" xfId="5025" xr:uid="{00000000-0005-0000-0000-00006A0E0000}"/>
    <cellStyle name="Comma 7 15 3 4" xfId="3515" xr:uid="{00000000-0005-0000-0000-00006B0E0000}"/>
    <cellStyle name="Comma 7 15 4" xfId="1485" xr:uid="{00000000-0005-0000-0000-00006C0E0000}"/>
    <cellStyle name="Comma 7 15 4 2" xfId="3729" xr:uid="{00000000-0005-0000-0000-00006D0E0000}"/>
    <cellStyle name="Comma 7 15 5" xfId="2271" xr:uid="{00000000-0005-0000-0000-00006E0E0000}"/>
    <cellStyle name="Comma 7 15 5 2" xfId="4515" xr:uid="{00000000-0005-0000-0000-00006F0E0000}"/>
    <cellStyle name="Comma 7 15 6" xfId="2995" xr:uid="{00000000-0005-0000-0000-0000700E0000}"/>
    <cellStyle name="Comma 7 16" xfId="1011" xr:uid="{00000000-0005-0000-0000-0000710E0000}"/>
    <cellStyle name="Comma 7 16 2" xfId="1799" xr:uid="{00000000-0005-0000-0000-0000720E0000}"/>
    <cellStyle name="Comma 7 16 2 2" xfId="4043" xr:uid="{00000000-0005-0000-0000-0000730E0000}"/>
    <cellStyle name="Comma 7 16 3" xfId="2523" xr:uid="{00000000-0005-0000-0000-0000740E0000}"/>
    <cellStyle name="Comma 7 16 3 2" xfId="4767" xr:uid="{00000000-0005-0000-0000-0000750E0000}"/>
    <cellStyle name="Comma 7 16 4" xfId="3257" xr:uid="{00000000-0005-0000-0000-0000760E0000}"/>
    <cellStyle name="Comma 7 17" xfId="1264" xr:uid="{00000000-0005-0000-0000-0000770E0000}"/>
    <cellStyle name="Comma 7 17 2" xfId="2051" xr:uid="{00000000-0005-0000-0000-0000780E0000}"/>
    <cellStyle name="Comma 7 17 2 2" xfId="4295" xr:uid="{00000000-0005-0000-0000-0000790E0000}"/>
    <cellStyle name="Comma 7 17 3" xfId="2775" xr:uid="{00000000-0005-0000-0000-00007A0E0000}"/>
    <cellStyle name="Comma 7 17 3 2" xfId="5019" xr:uid="{00000000-0005-0000-0000-00007B0E0000}"/>
    <cellStyle name="Comma 7 17 4" xfId="3509" xr:uid="{00000000-0005-0000-0000-00007C0E0000}"/>
    <cellStyle name="Comma 7 18" xfId="1479" xr:uid="{00000000-0005-0000-0000-00007D0E0000}"/>
    <cellStyle name="Comma 7 18 2" xfId="3723" xr:uid="{00000000-0005-0000-0000-00007E0E0000}"/>
    <cellStyle name="Comma 7 19" xfId="2265" xr:uid="{00000000-0005-0000-0000-00007F0E0000}"/>
    <cellStyle name="Comma 7 19 2" xfId="4509" xr:uid="{00000000-0005-0000-0000-0000800E0000}"/>
    <cellStyle name="Comma 7 2" xfId="208" xr:uid="{00000000-0005-0000-0000-0000810E0000}"/>
    <cellStyle name="Comma 7 2 2" xfId="1018" xr:uid="{00000000-0005-0000-0000-0000820E0000}"/>
    <cellStyle name="Comma 7 2 2 2" xfId="1806" xr:uid="{00000000-0005-0000-0000-0000830E0000}"/>
    <cellStyle name="Comma 7 2 2 2 2" xfId="4050" xr:uid="{00000000-0005-0000-0000-0000840E0000}"/>
    <cellStyle name="Comma 7 2 2 3" xfId="2530" xr:uid="{00000000-0005-0000-0000-0000850E0000}"/>
    <cellStyle name="Comma 7 2 2 3 2" xfId="4774" xr:uid="{00000000-0005-0000-0000-0000860E0000}"/>
    <cellStyle name="Comma 7 2 2 4" xfId="3264" xr:uid="{00000000-0005-0000-0000-0000870E0000}"/>
    <cellStyle name="Comma 7 2 3" xfId="1271" xr:uid="{00000000-0005-0000-0000-0000880E0000}"/>
    <cellStyle name="Comma 7 2 3 2" xfId="2058" xr:uid="{00000000-0005-0000-0000-0000890E0000}"/>
    <cellStyle name="Comma 7 2 3 2 2" xfId="4302" xr:uid="{00000000-0005-0000-0000-00008A0E0000}"/>
    <cellStyle name="Comma 7 2 3 3" xfId="2782" xr:uid="{00000000-0005-0000-0000-00008B0E0000}"/>
    <cellStyle name="Comma 7 2 3 3 2" xfId="5026" xr:uid="{00000000-0005-0000-0000-00008C0E0000}"/>
    <cellStyle name="Comma 7 2 3 4" xfId="3516" xr:uid="{00000000-0005-0000-0000-00008D0E0000}"/>
    <cellStyle name="Comma 7 2 4" xfId="1486" xr:uid="{00000000-0005-0000-0000-00008E0E0000}"/>
    <cellStyle name="Comma 7 2 4 2" xfId="3730" xr:uid="{00000000-0005-0000-0000-00008F0E0000}"/>
    <cellStyle name="Comma 7 2 5" xfId="2272" xr:uid="{00000000-0005-0000-0000-0000900E0000}"/>
    <cellStyle name="Comma 7 2 5 2" xfId="4516" xr:uid="{00000000-0005-0000-0000-0000910E0000}"/>
    <cellStyle name="Comma 7 2 6" xfId="2996" xr:uid="{00000000-0005-0000-0000-0000920E0000}"/>
    <cellStyle name="Comma 7 20" xfId="2989" xr:uid="{00000000-0005-0000-0000-0000930E0000}"/>
    <cellStyle name="Comma 7 3" xfId="209" xr:uid="{00000000-0005-0000-0000-0000940E0000}"/>
    <cellStyle name="Comma 7 3 2" xfId="1019" xr:uid="{00000000-0005-0000-0000-0000950E0000}"/>
    <cellStyle name="Comma 7 3 2 2" xfId="1807" xr:uid="{00000000-0005-0000-0000-0000960E0000}"/>
    <cellStyle name="Comma 7 3 2 2 2" xfId="4051" xr:uid="{00000000-0005-0000-0000-0000970E0000}"/>
    <cellStyle name="Comma 7 3 2 3" xfId="2531" xr:uid="{00000000-0005-0000-0000-0000980E0000}"/>
    <cellStyle name="Comma 7 3 2 3 2" xfId="4775" xr:uid="{00000000-0005-0000-0000-0000990E0000}"/>
    <cellStyle name="Comma 7 3 2 4" xfId="3265" xr:uid="{00000000-0005-0000-0000-00009A0E0000}"/>
    <cellStyle name="Comma 7 3 3" xfId="1272" xr:uid="{00000000-0005-0000-0000-00009B0E0000}"/>
    <cellStyle name="Comma 7 3 3 2" xfId="2059" xr:uid="{00000000-0005-0000-0000-00009C0E0000}"/>
    <cellStyle name="Comma 7 3 3 2 2" xfId="4303" xr:uid="{00000000-0005-0000-0000-00009D0E0000}"/>
    <cellStyle name="Comma 7 3 3 3" xfId="2783" xr:uid="{00000000-0005-0000-0000-00009E0E0000}"/>
    <cellStyle name="Comma 7 3 3 3 2" xfId="5027" xr:uid="{00000000-0005-0000-0000-00009F0E0000}"/>
    <cellStyle name="Comma 7 3 3 4" xfId="3517" xr:uid="{00000000-0005-0000-0000-0000A00E0000}"/>
    <cellStyle name="Comma 7 3 4" xfId="1487" xr:uid="{00000000-0005-0000-0000-0000A10E0000}"/>
    <cellStyle name="Comma 7 3 4 2" xfId="3731" xr:uid="{00000000-0005-0000-0000-0000A20E0000}"/>
    <cellStyle name="Comma 7 3 5" xfId="2273" xr:uid="{00000000-0005-0000-0000-0000A30E0000}"/>
    <cellStyle name="Comma 7 3 5 2" xfId="4517" xr:uid="{00000000-0005-0000-0000-0000A40E0000}"/>
    <cellStyle name="Comma 7 3 6" xfId="2997" xr:uid="{00000000-0005-0000-0000-0000A50E0000}"/>
    <cellStyle name="Comma 7 4" xfId="210" xr:uid="{00000000-0005-0000-0000-0000A60E0000}"/>
    <cellStyle name="Comma 7 4 2" xfId="1020" xr:uid="{00000000-0005-0000-0000-0000A70E0000}"/>
    <cellStyle name="Comma 7 4 2 2" xfId="1808" xr:uid="{00000000-0005-0000-0000-0000A80E0000}"/>
    <cellStyle name="Comma 7 4 2 2 2" xfId="4052" xr:uid="{00000000-0005-0000-0000-0000A90E0000}"/>
    <cellStyle name="Comma 7 4 2 3" xfId="2532" xr:uid="{00000000-0005-0000-0000-0000AA0E0000}"/>
    <cellStyle name="Comma 7 4 2 3 2" xfId="4776" xr:uid="{00000000-0005-0000-0000-0000AB0E0000}"/>
    <cellStyle name="Comma 7 4 2 4" xfId="3266" xr:uid="{00000000-0005-0000-0000-0000AC0E0000}"/>
    <cellStyle name="Comma 7 4 3" xfId="1273" xr:uid="{00000000-0005-0000-0000-0000AD0E0000}"/>
    <cellStyle name="Comma 7 4 3 2" xfId="2060" xr:uid="{00000000-0005-0000-0000-0000AE0E0000}"/>
    <cellStyle name="Comma 7 4 3 2 2" xfId="4304" xr:uid="{00000000-0005-0000-0000-0000AF0E0000}"/>
    <cellStyle name="Comma 7 4 3 3" xfId="2784" xr:uid="{00000000-0005-0000-0000-0000B00E0000}"/>
    <cellStyle name="Comma 7 4 3 3 2" xfId="5028" xr:uid="{00000000-0005-0000-0000-0000B10E0000}"/>
    <cellStyle name="Comma 7 4 3 4" xfId="3518" xr:uid="{00000000-0005-0000-0000-0000B20E0000}"/>
    <cellStyle name="Comma 7 4 4" xfId="1488" xr:uid="{00000000-0005-0000-0000-0000B30E0000}"/>
    <cellStyle name="Comma 7 4 4 2" xfId="3732" xr:uid="{00000000-0005-0000-0000-0000B40E0000}"/>
    <cellStyle name="Comma 7 4 5" xfId="2274" xr:uid="{00000000-0005-0000-0000-0000B50E0000}"/>
    <cellStyle name="Comma 7 4 5 2" xfId="4518" xr:uid="{00000000-0005-0000-0000-0000B60E0000}"/>
    <cellStyle name="Comma 7 4 6" xfId="2998" xr:uid="{00000000-0005-0000-0000-0000B70E0000}"/>
    <cellStyle name="Comma 7 5" xfId="211" xr:uid="{00000000-0005-0000-0000-0000B80E0000}"/>
    <cellStyle name="Comma 7 5 2" xfId="1021" xr:uid="{00000000-0005-0000-0000-0000B90E0000}"/>
    <cellStyle name="Comma 7 5 2 2" xfId="1809" xr:uid="{00000000-0005-0000-0000-0000BA0E0000}"/>
    <cellStyle name="Comma 7 5 2 2 2" xfId="4053" xr:uid="{00000000-0005-0000-0000-0000BB0E0000}"/>
    <cellStyle name="Comma 7 5 2 3" xfId="2533" xr:uid="{00000000-0005-0000-0000-0000BC0E0000}"/>
    <cellStyle name="Comma 7 5 2 3 2" xfId="4777" xr:uid="{00000000-0005-0000-0000-0000BD0E0000}"/>
    <cellStyle name="Comma 7 5 2 4" xfId="3267" xr:uid="{00000000-0005-0000-0000-0000BE0E0000}"/>
    <cellStyle name="Comma 7 5 3" xfId="1274" xr:uid="{00000000-0005-0000-0000-0000BF0E0000}"/>
    <cellStyle name="Comma 7 5 3 2" xfId="2061" xr:uid="{00000000-0005-0000-0000-0000C00E0000}"/>
    <cellStyle name="Comma 7 5 3 2 2" xfId="4305" xr:uid="{00000000-0005-0000-0000-0000C10E0000}"/>
    <cellStyle name="Comma 7 5 3 3" xfId="2785" xr:uid="{00000000-0005-0000-0000-0000C20E0000}"/>
    <cellStyle name="Comma 7 5 3 3 2" xfId="5029" xr:uid="{00000000-0005-0000-0000-0000C30E0000}"/>
    <cellStyle name="Comma 7 5 3 4" xfId="3519" xr:uid="{00000000-0005-0000-0000-0000C40E0000}"/>
    <cellStyle name="Comma 7 5 4" xfId="1489" xr:uid="{00000000-0005-0000-0000-0000C50E0000}"/>
    <cellStyle name="Comma 7 5 4 2" xfId="3733" xr:uid="{00000000-0005-0000-0000-0000C60E0000}"/>
    <cellStyle name="Comma 7 5 5" xfId="2275" xr:uid="{00000000-0005-0000-0000-0000C70E0000}"/>
    <cellStyle name="Comma 7 5 5 2" xfId="4519" xr:uid="{00000000-0005-0000-0000-0000C80E0000}"/>
    <cellStyle name="Comma 7 5 6" xfId="2999" xr:uid="{00000000-0005-0000-0000-0000C90E0000}"/>
    <cellStyle name="Comma 7 6" xfId="212" xr:uid="{00000000-0005-0000-0000-0000CA0E0000}"/>
    <cellStyle name="Comma 7 6 2" xfId="1022" xr:uid="{00000000-0005-0000-0000-0000CB0E0000}"/>
    <cellStyle name="Comma 7 6 2 2" xfId="1810" xr:uid="{00000000-0005-0000-0000-0000CC0E0000}"/>
    <cellStyle name="Comma 7 6 2 2 2" xfId="4054" xr:uid="{00000000-0005-0000-0000-0000CD0E0000}"/>
    <cellStyle name="Comma 7 6 2 3" xfId="2534" xr:uid="{00000000-0005-0000-0000-0000CE0E0000}"/>
    <cellStyle name="Comma 7 6 2 3 2" xfId="4778" xr:uid="{00000000-0005-0000-0000-0000CF0E0000}"/>
    <cellStyle name="Comma 7 6 2 4" xfId="3268" xr:uid="{00000000-0005-0000-0000-0000D00E0000}"/>
    <cellStyle name="Comma 7 6 3" xfId="1275" xr:uid="{00000000-0005-0000-0000-0000D10E0000}"/>
    <cellStyle name="Comma 7 6 3 2" xfId="2062" xr:uid="{00000000-0005-0000-0000-0000D20E0000}"/>
    <cellStyle name="Comma 7 6 3 2 2" xfId="4306" xr:uid="{00000000-0005-0000-0000-0000D30E0000}"/>
    <cellStyle name="Comma 7 6 3 3" xfId="2786" xr:uid="{00000000-0005-0000-0000-0000D40E0000}"/>
    <cellStyle name="Comma 7 6 3 3 2" xfId="5030" xr:uid="{00000000-0005-0000-0000-0000D50E0000}"/>
    <cellStyle name="Comma 7 6 3 4" xfId="3520" xr:uid="{00000000-0005-0000-0000-0000D60E0000}"/>
    <cellStyle name="Comma 7 6 4" xfId="1490" xr:uid="{00000000-0005-0000-0000-0000D70E0000}"/>
    <cellStyle name="Comma 7 6 4 2" xfId="3734" xr:uid="{00000000-0005-0000-0000-0000D80E0000}"/>
    <cellStyle name="Comma 7 6 5" xfId="2276" xr:uid="{00000000-0005-0000-0000-0000D90E0000}"/>
    <cellStyle name="Comma 7 6 5 2" xfId="4520" xr:uid="{00000000-0005-0000-0000-0000DA0E0000}"/>
    <cellStyle name="Comma 7 6 6" xfId="3000" xr:uid="{00000000-0005-0000-0000-0000DB0E0000}"/>
    <cellStyle name="Comma 7 7" xfId="213" xr:uid="{00000000-0005-0000-0000-0000DC0E0000}"/>
    <cellStyle name="Comma 7 7 2" xfId="1023" xr:uid="{00000000-0005-0000-0000-0000DD0E0000}"/>
    <cellStyle name="Comma 7 7 2 2" xfId="1811" xr:uid="{00000000-0005-0000-0000-0000DE0E0000}"/>
    <cellStyle name="Comma 7 7 2 2 2" xfId="4055" xr:uid="{00000000-0005-0000-0000-0000DF0E0000}"/>
    <cellStyle name="Comma 7 7 2 3" xfId="2535" xr:uid="{00000000-0005-0000-0000-0000E00E0000}"/>
    <cellStyle name="Comma 7 7 2 3 2" xfId="4779" xr:uid="{00000000-0005-0000-0000-0000E10E0000}"/>
    <cellStyle name="Comma 7 7 2 4" xfId="3269" xr:uid="{00000000-0005-0000-0000-0000E20E0000}"/>
    <cellStyle name="Comma 7 7 3" xfId="1276" xr:uid="{00000000-0005-0000-0000-0000E30E0000}"/>
    <cellStyle name="Comma 7 7 3 2" xfId="2063" xr:uid="{00000000-0005-0000-0000-0000E40E0000}"/>
    <cellStyle name="Comma 7 7 3 2 2" xfId="4307" xr:uid="{00000000-0005-0000-0000-0000E50E0000}"/>
    <cellStyle name="Comma 7 7 3 3" xfId="2787" xr:uid="{00000000-0005-0000-0000-0000E60E0000}"/>
    <cellStyle name="Comma 7 7 3 3 2" xfId="5031" xr:uid="{00000000-0005-0000-0000-0000E70E0000}"/>
    <cellStyle name="Comma 7 7 3 4" xfId="3521" xr:uid="{00000000-0005-0000-0000-0000E80E0000}"/>
    <cellStyle name="Comma 7 7 4" xfId="1491" xr:uid="{00000000-0005-0000-0000-0000E90E0000}"/>
    <cellStyle name="Comma 7 7 4 2" xfId="3735" xr:uid="{00000000-0005-0000-0000-0000EA0E0000}"/>
    <cellStyle name="Comma 7 7 5" xfId="2277" xr:uid="{00000000-0005-0000-0000-0000EB0E0000}"/>
    <cellStyle name="Comma 7 7 5 2" xfId="4521" xr:uid="{00000000-0005-0000-0000-0000EC0E0000}"/>
    <cellStyle name="Comma 7 7 6" xfId="3001" xr:uid="{00000000-0005-0000-0000-0000ED0E0000}"/>
    <cellStyle name="Comma 7 8" xfId="214" xr:uid="{00000000-0005-0000-0000-0000EE0E0000}"/>
    <cellStyle name="Comma 7 8 2" xfId="1024" xr:uid="{00000000-0005-0000-0000-0000EF0E0000}"/>
    <cellStyle name="Comma 7 8 2 2" xfId="1812" xr:uid="{00000000-0005-0000-0000-0000F00E0000}"/>
    <cellStyle name="Comma 7 8 2 2 2" xfId="4056" xr:uid="{00000000-0005-0000-0000-0000F10E0000}"/>
    <cellStyle name="Comma 7 8 2 3" xfId="2536" xr:uid="{00000000-0005-0000-0000-0000F20E0000}"/>
    <cellStyle name="Comma 7 8 2 3 2" xfId="4780" xr:uid="{00000000-0005-0000-0000-0000F30E0000}"/>
    <cellStyle name="Comma 7 8 2 4" xfId="3270" xr:uid="{00000000-0005-0000-0000-0000F40E0000}"/>
    <cellStyle name="Comma 7 8 3" xfId="1277" xr:uid="{00000000-0005-0000-0000-0000F50E0000}"/>
    <cellStyle name="Comma 7 8 3 2" xfId="2064" xr:uid="{00000000-0005-0000-0000-0000F60E0000}"/>
    <cellStyle name="Comma 7 8 3 2 2" xfId="4308" xr:uid="{00000000-0005-0000-0000-0000F70E0000}"/>
    <cellStyle name="Comma 7 8 3 3" xfId="2788" xr:uid="{00000000-0005-0000-0000-0000F80E0000}"/>
    <cellStyle name="Comma 7 8 3 3 2" xfId="5032" xr:uid="{00000000-0005-0000-0000-0000F90E0000}"/>
    <cellStyle name="Comma 7 8 3 4" xfId="3522" xr:uid="{00000000-0005-0000-0000-0000FA0E0000}"/>
    <cellStyle name="Comma 7 8 4" xfId="1492" xr:uid="{00000000-0005-0000-0000-0000FB0E0000}"/>
    <cellStyle name="Comma 7 8 4 2" xfId="3736" xr:uid="{00000000-0005-0000-0000-0000FC0E0000}"/>
    <cellStyle name="Comma 7 8 5" xfId="2278" xr:uid="{00000000-0005-0000-0000-0000FD0E0000}"/>
    <cellStyle name="Comma 7 8 5 2" xfId="4522" xr:uid="{00000000-0005-0000-0000-0000FE0E0000}"/>
    <cellStyle name="Comma 7 8 6" xfId="3002" xr:uid="{00000000-0005-0000-0000-0000FF0E0000}"/>
    <cellStyle name="Comma 7 9" xfId="215" xr:uid="{00000000-0005-0000-0000-0000000F0000}"/>
    <cellStyle name="Comma 7 9 2" xfId="1025" xr:uid="{00000000-0005-0000-0000-0000010F0000}"/>
    <cellStyle name="Comma 7 9 2 2" xfId="1813" xr:uid="{00000000-0005-0000-0000-0000020F0000}"/>
    <cellStyle name="Comma 7 9 2 2 2" xfId="4057" xr:uid="{00000000-0005-0000-0000-0000030F0000}"/>
    <cellStyle name="Comma 7 9 2 3" xfId="2537" xr:uid="{00000000-0005-0000-0000-0000040F0000}"/>
    <cellStyle name="Comma 7 9 2 3 2" xfId="4781" xr:uid="{00000000-0005-0000-0000-0000050F0000}"/>
    <cellStyle name="Comma 7 9 2 4" xfId="3271" xr:uid="{00000000-0005-0000-0000-0000060F0000}"/>
    <cellStyle name="Comma 7 9 3" xfId="1278" xr:uid="{00000000-0005-0000-0000-0000070F0000}"/>
    <cellStyle name="Comma 7 9 3 2" xfId="2065" xr:uid="{00000000-0005-0000-0000-0000080F0000}"/>
    <cellStyle name="Comma 7 9 3 2 2" xfId="4309" xr:uid="{00000000-0005-0000-0000-0000090F0000}"/>
    <cellStyle name="Comma 7 9 3 3" xfId="2789" xr:uid="{00000000-0005-0000-0000-00000A0F0000}"/>
    <cellStyle name="Comma 7 9 3 3 2" xfId="5033" xr:uid="{00000000-0005-0000-0000-00000B0F0000}"/>
    <cellStyle name="Comma 7 9 3 4" xfId="3523" xr:uid="{00000000-0005-0000-0000-00000C0F0000}"/>
    <cellStyle name="Comma 7 9 4" xfId="1493" xr:uid="{00000000-0005-0000-0000-00000D0F0000}"/>
    <cellStyle name="Comma 7 9 4 2" xfId="3737" xr:uid="{00000000-0005-0000-0000-00000E0F0000}"/>
    <cellStyle name="Comma 7 9 5" xfId="2279" xr:uid="{00000000-0005-0000-0000-00000F0F0000}"/>
    <cellStyle name="Comma 7 9 5 2" xfId="4523" xr:uid="{00000000-0005-0000-0000-0000100F0000}"/>
    <cellStyle name="Comma 7 9 6" xfId="3003" xr:uid="{00000000-0005-0000-0000-0000110F0000}"/>
    <cellStyle name="Comma 70" xfId="2106" xr:uid="{00000000-0005-0000-0000-0000120F0000}"/>
    <cellStyle name="Comma 70 2" xfId="4350" xr:uid="{00000000-0005-0000-0000-0000130F0000}"/>
    <cellStyle name="Comma 71" xfId="2830" xr:uid="{00000000-0005-0000-0000-0000140F0000}"/>
    <cellStyle name="Comma 72" xfId="3006" xr:uid="{00000000-0005-0000-0000-0000150F0000}"/>
    <cellStyle name="Comma 73" xfId="5072" xr:uid="{00000000-0005-0000-0000-0000160F0000}"/>
    <cellStyle name="Comma 74" xfId="5093" xr:uid="{00000000-0005-0000-0000-0000170F0000}"/>
    <cellStyle name="Comma 8" xfId="216" xr:uid="{00000000-0005-0000-0000-0000180F0000}"/>
    <cellStyle name="Comma 8 2" xfId="217" xr:uid="{00000000-0005-0000-0000-0000190F0000}"/>
    <cellStyle name="Comma 8 2 2" xfId="1027" xr:uid="{00000000-0005-0000-0000-00001A0F0000}"/>
    <cellStyle name="Comma 8 2 2 2" xfId="1815" xr:uid="{00000000-0005-0000-0000-00001B0F0000}"/>
    <cellStyle name="Comma 8 2 2 2 2" xfId="4059" xr:uid="{00000000-0005-0000-0000-00001C0F0000}"/>
    <cellStyle name="Comma 8 2 2 3" xfId="2539" xr:uid="{00000000-0005-0000-0000-00001D0F0000}"/>
    <cellStyle name="Comma 8 2 2 3 2" xfId="4783" xr:uid="{00000000-0005-0000-0000-00001E0F0000}"/>
    <cellStyle name="Comma 8 2 2 4" xfId="3273" xr:uid="{00000000-0005-0000-0000-00001F0F0000}"/>
    <cellStyle name="Comma 8 2 3" xfId="1280" xr:uid="{00000000-0005-0000-0000-0000200F0000}"/>
    <cellStyle name="Comma 8 2 3 2" xfId="2067" xr:uid="{00000000-0005-0000-0000-0000210F0000}"/>
    <cellStyle name="Comma 8 2 3 2 2" xfId="4311" xr:uid="{00000000-0005-0000-0000-0000220F0000}"/>
    <cellStyle name="Comma 8 2 3 3" xfId="2791" xr:uid="{00000000-0005-0000-0000-0000230F0000}"/>
    <cellStyle name="Comma 8 2 3 3 2" xfId="5035" xr:uid="{00000000-0005-0000-0000-0000240F0000}"/>
    <cellStyle name="Comma 8 2 3 4" xfId="3525" xr:uid="{00000000-0005-0000-0000-0000250F0000}"/>
    <cellStyle name="Comma 8 2 4" xfId="1495" xr:uid="{00000000-0005-0000-0000-0000260F0000}"/>
    <cellStyle name="Comma 8 2 4 2" xfId="3739" xr:uid="{00000000-0005-0000-0000-0000270F0000}"/>
    <cellStyle name="Comma 8 2 5" xfId="2281" xr:uid="{00000000-0005-0000-0000-0000280F0000}"/>
    <cellStyle name="Comma 8 2 5 2" xfId="4525" xr:uid="{00000000-0005-0000-0000-0000290F0000}"/>
    <cellStyle name="Comma 8 2 6" xfId="3005" xr:uid="{00000000-0005-0000-0000-00002A0F0000}"/>
    <cellStyle name="Comma 8 3" xfId="1026" xr:uid="{00000000-0005-0000-0000-00002B0F0000}"/>
    <cellStyle name="Comma 8 3 2" xfId="1814" xr:uid="{00000000-0005-0000-0000-00002C0F0000}"/>
    <cellStyle name="Comma 8 3 2 2" xfId="4058" xr:uid="{00000000-0005-0000-0000-00002D0F0000}"/>
    <cellStyle name="Comma 8 3 3" xfId="2538" xr:uid="{00000000-0005-0000-0000-00002E0F0000}"/>
    <cellStyle name="Comma 8 3 3 2" xfId="4782" xr:uid="{00000000-0005-0000-0000-00002F0F0000}"/>
    <cellStyle name="Comma 8 3 4" xfId="3272" xr:uid="{00000000-0005-0000-0000-0000300F0000}"/>
    <cellStyle name="Comma 8 4" xfId="1279" xr:uid="{00000000-0005-0000-0000-0000310F0000}"/>
    <cellStyle name="Comma 8 4 2" xfId="2066" xr:uid="{00000000-0005-0000-0000-0000320F0000}"/>
    <cellStyle name="Comma 8 4 2 2" xfId="4310" xr:uid="{00000000-0005-0000-0000-0000330F0000}"/>
    <cellStyle name="Comma 8 4 3" xfId="2790" xr:uid="{00000000-0005-0000-0000-0000340F0000}"/>
    <cellStyle name="Comma 8 4 3 2" xfId="5034" xr:uid="{00000000-0005-0000-0000-0000350F0000}"/>
    <cellStyle name="Comma 8 4 4" xfId="3524" xr:uid="{00000000-0005-0000-0000-0000360F0000}"/>
    <cellStyle name="Comma 8 5" xfId="1494" xr:uid="{00000000-0005-0000-0000-0000370F0000}"/>
    <cellStyle name="Comma 8 5 2" xfId="3738" xr:uid="{00000000-0005-0000-0000-0000380F0000}"/>
    <cellStyle name="Comma 8 6" xfId="2280" xr:uid="{00000000-0005-0000-0000-0000390F0000}"/>
    <cellStyle name="Comma 8 6 2" xfId="4524" xr:uid="{00000000-0005-0000-0000-00003A0F0000}"/>
    <cellStyle name="Comma 8 7" xfId="3004" xr:uid="{00000000-0005-0000-0000-00003B0F0000}"/>
    <cellStyle name="Comma 9" xfId="55" xr:uid="{00000000-0005-0000-0000-00003C0F0000}"/>
    <cellStyle name="Comma 9 2" xfId="872" xr:uid="{00000000-0005-0000-0000-00003D0F0000}"/>
    <cellStyle name="Comma 9 2 2" xfId="1660" xr:uid="{00000000-0005-0000-0000-00003E0F0000}"/>
    <cellStyle name="Comma 9 2 2 2" xfId="3904" xr:uid="{00000000-0005-0000-0000-00003F0F0000}"/>
    <cellStyle name="Comma 9 2 3" xfId="2384" xr:uid="{00000000-0005-0000-0000-0000400F0000}"/>
    <cellStyle name="Comma 9 2 3 2" xfId="4628" xr:uid="{00000000-0005-0000-0000-0000410F0000}"/>
    <cellStyle name="Comma 9 2 4" xfId="3118" xr:uid="{00000000-0005-0000-0000-0000420F0000}"/>
    <cellStyle name="Comma 9 3" xfId="1125" xr:uid="{00000000-0005-0000-0000-0000430F0000}"/>
    <cellStyle name="Comma 9 3 2" xfId="1912" xr:uid="{00000000-0005-0000-0000-0000440F0000}"/>
    <cellStyle name="Comma 9 3 2 2" xfId="4156" xr:uid="{00000000-0005-0000-0000-0000450F0000}"/>
    <cellStyle name="Comma 9 3 3" xfId="2636" xr:uid="{00000000-0005-0000-0000-0000460F0000}"/>
    <cellStyle name="Comma 9 3 3 2" xfId="4880" xr:uid="{00000000-0005-0000-0000-0000470F0000}"/>
    <cellStyle name="Comma 9 3 4" xfId="3370" xr:uid="{00000000-0005-0000-0000-0000480F0000}"/>
    <cellStyle name="Comma 9 4" xfId="1340" xr:uid="{00000000-0005-0000-0000-0000490F0000}"/>
    <cellStyle name="Comma 9 4 2" xfId="3584" xr:uid="{00000000-0005-0000-0000-00004A0F0000}"/>
    <cellStyle name="Comma 9 5" xfId="2126" xr:uid="{00000000-0005-0000-0000-00004B0F0000}"/>
    <cellStyle name="Comma 9 5 2" xfId="4370" xr:uid="{00000000-0005-0000-0000-00004C0F0000}"/>
    <cellStyle name="Comma 9 6" xfId="2850" xr:uid="{00000000-0005-0000-0000-00004D0F0000}"/>
    <cellStyle name="Copied" xfId="218" xr:uid="{00000000-0005-0000-0000-00004E0F0000}"/>
    <cellStyle name="Currency [00]" xfId="220" xr:uid="{00000000-0005-0000-0000-00004F0F0000}"/>
    <cellStyle name="Currency 10" xfId="804" xr:uid="{00000000-0005-0000-0000-0000500F0000}"/>
    <cellStyle name="Currency 11" xfId="740" xr:uid="{00000000-0005-0000-0000-0000510F0000}"/>
    <cellStyle name="Currency 12" xfId="806" xr:uid="{00000000-0005-0000-0000-0000520F0000}"/>
    <cellStyle name="Currency 13" xfId="742" xr:uid="{00000000-0005-0000-0000-0000530F0000}"/>
    <cellStyle name="Currency 14" xfId="805" xr:uid="{00000000-0005-0000-0000-0000540F0000}"/>
    <cellStyle name="Currency 15" xfId="739" xr:uid="{00000000-0005-0000-0000-0000550F0000}"/>
    <cellStyle name="Currency 16" xfId="807" xr:uid="{00000000-0005-0000-0000-0000560F0000}"/>
    <cellStyle name="Currency 17" xfId="743" xr:uid="{00000000-0005-0000-0000-0000570F0000}"/>
    <cellStyle name="Currency 18" xfId="808" xr:uid="{00000000-0005-0000-0000-0000580F0000}"/>
    <cellStyle name="Currency 19" xfId="741" xr:uid="{00000000-0005-0000-0000-0000590F0000}"/>
    <cellStyle name="Currency 2" xfId="5" xr:uid="{00000000-0005-0000-0000-00005A0F0000}"/>
    <cellStyle name="Currency 2 2" xfId="221" xr:uid="{00000000-0005-0000-0000-00005B0F0000}"/>
    <cellStyle name="Currency 20" xfId="809" xr:uid="{00000000-0005-0000-0000-00005C0F0000}"/>
    <cellStyle name="Currency 21" xfId="744" xr:uid="{00000000-0005-0000-0000-00005D0F0000}"/>
    <cellStyle name="Currency 22" xfId="810" xr:uid="{00000000-0005-0000-0000-00005E0F0000}"/>
    <cellStyle name="Currency 23" xfId="801" xr:uid="{00000000-0005-0000-0000-00005F0F0000}"/>
    <cellStyle name="Currency 24" xfId="811" xr:uid="{00000000-0005-0000-0000-0000600F0000}"/>
    <cellStyle name="Currency 25" xfId="800" xr:uid="{00000000-0005-0000-0000-0000610F0000}"/>
    <cellStyle name="Currency 26" xfId="813" xr:uid="{00000000-0005-0000-0000-0000620F0000}"/>
    <cellStyle name="Currency 27" xfId="799" xr:uid="{00000000-0005-0000-0000-0000630F0000}"/>
    <cellStyle name="Currency 28" xfId="812" xr:uid="{00000000-0005-0000-0000-0000640F0000}"/>
    <cellStyle name="Currency 3" xfId="8" xr:uid="{00000000-0005-0000-0000-0000650F0000}"/>
    <cellStyle name="Currency 3 10" xfId="2835" xr:uid="{00000000-0005-0000-0000-0000660F0000}"/>
    <cellStyle name="Currency 3 11" xfId="5077" xr:uid="{00000000-0005-0000-0000-0000670F0000}"/>
    <cellStyle name="Currency 3 2" xfId="18" xr:uid="{00000000-0005-0000-0000-0000680F0000}"/>
    <cellStyle name="Currency 3 2 2" xfId="865" xr:uid="{00000000-0005-0000-0000-0000690F0000}"/>
    <cellStyle name="Currency 3 2 2 2" xfId="1653" xr:uid="{00000000-0005-0000-0000-00006A0F0000}"/>
    <cellStyle name="Currency 3 2 2 2 2" xfId="3897" xr:uid="{00000000-0005-0000-0000-00006B0F0000}"/>
    <cellStyle name="Currency 3 2 2 3" xfId="2377" xr:uid="{00000000-0005-0000-0000-00006C0F0000}"/>
    <cellStyle name="Currency 3 2 2 3 2" xfId="4621" xr:uid="{00000000-0005-0000-0000-00006D0F0000}"/>
    <cellStyle name="Currency 3 2 2 4" xfId="3111" xr:uid="{00000000-0005-0000-0000-00006E0F0000}"/>
    <cellStyle name="Currency 3 2 3" xfId="1095" xr:uid="{00000000-0005-0000-0000-00006F0F0000}"/>
    <cellStyle name="Currency 3 2 3 2" xfId="1882" xr:uid="{00000000-0005-0000-0000-0000700F0000}"/>
    <cellStyle name="Currency 3 2 3 2 2" xfId="4126" xr:uid="{00000000-0005-0000-0000-0000710F0000}"/>
    <cellStyle name="Currency 3 2 3 3" xfId="2606" xr:uid="{00000000-0005-0000-0000-0000720F0000}"/>
    <cellStyle name="Currency 3 2 3 3 2" xfId="4850" xr:uid="{00000000-0005-0000-0000-0000730F0000}"/>
    <cellStyle name="Currency 3 2 3 4" xfId="3340" xr:uid="{00000000-0005-0000-0000-0000740F0000}"/>
    <cellStyle name="Currency 3 2 4" xfId="1117" xr:uid="{00000000-0005-0000-0000-0000750F0000}"/>
    <cellStyle name="Currency 3 2 4 2" xfId="1904" xr:uid="{00000000-0005-0000-0000-0000760F0000}"/>
    <cellStyle name="Currency 3 2 4 2 2" xfId="4148" xr:uid="{00000000-0005-0000-0000-0000770F0000}"/>
    <cellStyle name="Currency 3 2 4 3" xfId="2628" xr:uid="{00000000-0005-0000-0000-0000780F0000}"/>
    <cellStyle name="Currency 3 2 4 3 2" xfId="4872" xr:uid="{00000000-0005-0000-0000-0000790F0000}"/>
    <cellStyle name="Currency 3 2 4 4" xfId="3362" xr:uid="{00000000-0005-0000-0000-00007A0F0000}"/>
    <cellStyle name="Currency 3 2 5" xfId="1333" xr:uid="{00000000-0005-0000-0000-00007B0F0000}"/>
    <cellStyle name="Currency 3 2 5 2" xfId="3577" xr:uid="{00000000-0005-0000-0000-00007C0F0000}"/>
    <cellStyle name="Currency 3 2 6" xfId="2119" xr:uid="{00000000-0005-0000-0000-00007D0F0000}"/>
    <cellStyle name="Currency 3 2 6 2" xfId="4363" xr:uid="{00000000-0005-0000-0000-00007E0F0000}"/>
    <cellStyle name="Currency 3 2 7" xfId="2843" xr:uid="{00000000-0005-0000-0000-00007F0F0000}"/>
    <cellStyle name="Currency 3 2 8" xfId="5085" xr:uid="{00000000-0005-0000-0000-0000800F0000}"/>
    <cellStyle name="Currency 3 3" xfId="222" xr:uid="{00000000-0005-0000-0000-0000810F0000}"/>
    <cellStyle name="Currency 3 4" xfId="856" xr:uid="{00000000-0005-0000-0000-0000820F0000}"/>
    <cellStyle name="Currency 3 4 2" xfId="1644" xr:uid="{00000000-0005-0000-0000-0000830F0000}"/>
    <cellStyle name="Currency 3 4 2 2" xfId="3888" xr:uid="{00000000-0005-0000-0000-0000840F0000}"/>
    <cellStyle name="Currency 3 4 3" xfId="2368" xr:uid="{00000000-0005-0000-0000-0000850F0000}"/>
    <cellStyle name="Currency 3 4 3 2" xfId="4612" xr:uid="{00000000-0005-0000-0000-0000860F0000}"/>
    <cellStyle name="Currency 3 4 4" xfId="3102" xr:uid="{00000000-0005-0000-0000-0000870F0000}"/>
    <cellStyle name="Currency 3 5" xfId="1073" xr:uid="{00000000-0005-0000-0000-0000880F0000}"/>
    <cellStyle name="Currency 3 5 2" xfId="1860" xr:uid="{00000000-0005-0000-0000-0000890F0000}"/>
    <cellStyle name="Currency 3 5 2 2" xfId="4104" xr:uid="{00000000-0005-0000-0000-00008A0F0000}"/>
    <cellStyle name="Currency 3 5 3" xfId="2584" xr:uid="{00000000-0005-0000-0000-00008B0F0000}"/>
    <cellStyle name="Currency 3 5 3 2" xfId="4828" xr:uid="{00000000-0005-0000-0000-00008C0F0000}"/>
    <cellStyle name="Currency 3 5 4" xfId="3318" xr:uid="{00000000-0005-0000-0000-00008D0F0000}"/>
    <cellStyle name="Currency 3 6" xfId="1087" xr:uid="{00000000-0005-0000-0000-00008E0F0000}"/>
    <cellStyle name="Currency 3 6 2" xfId="1874" xr:uid="{00000000-0005-0000-0000-00008F0F0000}"/>
    <cellStyle name="Currency 3 6 2 2" xfId="4118" xr:uid="{00000000-0005-0000-0000-0000900F0000}"/>
    <cellStyle name="Currency 3 6 3" xfId="2598" xr:uid="{00000000-0005-0000-0000-0000910F0000}"/>
    <cellStyle name="Currency 3 6 3 2" xfId="4842" xr:uid="{00000000-0005-0000-0000-0000920F0000}"/>
    <cellStyle name="Currency 3 6 4" xfId="3332" xr:uid="{00000000-0005-0000-0000-0000930F0000}"/>
    <cellStyle name="Currency 3 7" xfId="1108" xr:uid="{00000000-0005-0000-0000-0000940F0000}"/>
    <cellStyle name="Currency 3 7 2" xfId="1895" xr:uid="{00000000-0005-0000-0000-0000950F0000}"/>
    <cellStyle name="Currency 3 7 2 2" xfId="4139" xr:uid="{00000000-0005-0000-0000-0000960F0000}"/>
    <cellStyle name="Currency 3 7 3" xfId="2619" xr:uid="{00000000-0005-0000-0000-0000970F0000}"/>
    <cellStyle name="Currency 3 7 3 2" xfId="4863" xr:uid="{00000000-0005-0000-0000-0000980F0000}"/>
    <cellStyle name="Currency 3 7 4" xfId="3353" xr:uid="{00000000-0005-0000-0000-0000990F0000}"/>
    <cellStyle name="Currency 3 8" xfId="1325" xr:uid="{00000000-0005-0000-0000-00009A0F0000}"/>
    <cellStyle name="Currency 3 8 2" xfId="3569" xr:uid="{00000000-0005-0000-0000-00009B0F0000}"/>
    <cellStyle name="Currency 3 9" xfId="2111" xr:uid="{00000000-0005-0000-0000-00009C0F0000}"/>
    <cellStyle name="Currency 3 9 2" xfId="4355" xr:uid="{00000000-0005-0000-0000-00009D0F0000}"/>
    <cellStyle name="Currency 4" xfId="219" xr:uid="{00000000-0005-0000-0000-00009E0F0000}"/>
    <cellStyle name="Currency 5" xfId="737" xr:uid="{00000000-0005-0000-0000-00009F0F0000}"/>
    <cellStyle name="Currency 6" xfId="802" xr:uid="{00000000-0005-0000-0000-0000A00F0000}"/>
    <cellStyle name="Currency 7" xfId="738" xr:uid="{00000000-0005-0000-0000-0000A10F0000}"/>
    <cellStyle name="Currency 8" xfId="803" xr:uid="{00000000-0005-0000-0000-0000A20F0000}"/>
    <cellStyle name="Currency 9" xfId="736" xr:uid="{00000000-0005-0000-0000-0000A30F0000}"/>
    <cellStyle name="Date Short" xfId="223" xr:uid="{00000000-0005-0000-0000-0000A40F0000}"/>
    <cellStyle name="DELTA" xfId="224" xr:uid="{00000000-0005-0000-0000-0000A50F0000}"/>
    <cellStyle name="Dezimal [0]_NEGS" xfId="225" xr:uid="{00000000-0005-0000-0000-0000A60F0000}"/>
    <cellStyle name="Dezimal_NEGS" xfId="226" xr:uid="{00000000-0005-0000-0000-0000A70F0000}"/>
    <cellStyle name="Enter Currency (0)" xfId="227" xr:uid="{00000000-0005-0000-0000-0000A80F0000}"/>
    <cellStyle name="Enter Currency (2)" xfId="228" xr:uid="{00000000-0005-0000-0000-0000A90F0000}"/>
    <cellStyle name="Enter Units (0)" xfId="229" xr:uid="{00000000-0005-0000-0000-0000AA0F0000}"/>
    <cellStyle name="Enter Units (1)" xfId="230" xr:uid="{00000000-0005-0000-0000-0000AB0F0000}"/>
    <cellStyle name="Enter Units (2)" xfId="231" xr:uid="{00000000-0005-0000-0000-0000AC0F0000}"/>
    <cellStyle name="Entered" xfId="232" xr:uid="{00000000-0005-0000-0000-0000AD0F0000}"/>
    <cellStyle name="Euro" xfId="233" xr:uid="{00000000-0005-0000-0000-0000AE0F0000}"/>
    <cellStyle name="Excel Built-in Normal 1 3" xfId="1065" xr:uid="{00000000-0005-0000-0000-0000AF0F0000}"/>
    <cellStyle name="Grey" xfId="234" xr:uid="{00000000-0005-0000-0000-0000B00F0000}"/>
    <cellStyle name="Grey 10" xfId="235" xr:uid="{00000000-0005-0000-0000-0000B10F0000}"/>
    <cellStyle name="Grey 11" xfId="236" xr:uid="{00000000-0005-0000-0000-0000B20F0000}"/>
    <cellStyle name="Grey 12" xfId="237" xr:uid="{00000000-0005-0000-0000-0000B30F0000}"/>
    <cellStyle name="Grey 13" xfId="238" xr:uid="{00000000-0005-0000-0000-0000B40F0000}"/>
    <cellStyle name="Grey 14" xfId="239" xr:uid="{00000000-0005-0000-0000-0000B50F0000}"/>
    <cellStyle name="Grey 15" xfId="240" xr:uid="{00000000-0005-0000-0000-0000B60F0000}"/>
    <cellStyle name="Grey 16" xfId="241" xr:uid="{00000000-0005-0000-0000-0000B70F0000}"/>
    <cellStyle name="Grey 17" xfId="242" xr:uid="{00000000-0005-0000-0000-0000B80F0000}"/>
    <cellStyle name="Grey 18" xfId="243" xr:uid="{00000000-0005-0000-0000-0000B90F0000}"/>
    <cellStyle name="Grey 19" xfId="244" xr:uid="{00000000-0005-0000-0000-0000BA0F0000}"/>
    <cellStyle name="Grey 2" xfId="245" xr:uid="{00000000-0005-0000-0000-0000BB0F0000}"/>
    <cellStyle name="Grey 2 2" xfId="246" xr:uid="{00000000-0005-0000-0000-0000BC0F0000}"/>
    <cellStyle name="Grey 20" xfId="247" xr:uid="{00000000-0005-0000-0000-0000BD0F0000}"/>
    <cellStyle name="Grey 21" xfId="248" xr:uid="{00000000-0005-0000-0000-0000BE0F0000}"/>
    <cellStyle name="Grey 22" xfId="249" xr:uid="{00000000-0005-0000-0000-0000BF0F0000}"/>
    <cellStyle name="Grey 23" xfId="250" xr:uid="{00000000-0005-0000-0000-0000C00F0000}"/>
    <cellStyle name="Grey 24" xfId="251" xr:uid="{00000000-0005-0000-0000-0000C10F0000}"/>
    <cellStyle name="Grey 25" xfId="252" xr:uid="{00000000-0005-0000-0000-0000C20F0000}"/>
    <cellStyle name="Grey 26" xfId="253" xr:uid="{00000000-0005-0000-0000-0000C30F0000}"/>
    <cellStyle name="Grey 27" xfId="254" xr:uid="{00000000-0005-0000-0000-0000C40F0000}"/>
    <cellStyle name="Grey 28" xfId="255" xr:uid="{00000000-0005-0000-0000-0000C50F0000}"/>
    <cellStyle name="Grey 29" xfId="256" xr:uid="{00000000-0005-0000-0000-0000C60F0000}"/>
    <cellStyle name="Grey 3" xfId="257" xr:uid="{00000000-0005-0000-0000-0000C70F0000}"/>
    <cellStyle name="Grey 30" xfId="258" xr:uid="{00000000-0005-0000-0000-0000C80F0000}"/>
    <cellStyle name="Grey 31" xfId="259" xr:uid="{00000000-0005-0000-0000-0000C90F0000}"/>
    <cellStyle name="Grey 32" xfId="260" xr:uid="{00000000-0005-0000-0000-0000CA0F0000}"/>
    <cellStyle name="Grey 33" xfId="261" xr:uid="{00000000-0005-0000-0000-0000CB0F0000}"/>
    <cellStyle name="Grey 34" xfId="262" xr:uid="{00000000-0005-0000-0000-0000CC0F0000}"/>
    <cellStyle name="Grey 35" xfId="263" xr:uid="{00000000-0005-0000-0000-0000CD0F0000}"/>
    <cellStyle name="Grey 36" xfId="264" xr:uid="{00000000-0005-0000-0000-0000CE0F0000}"/>
    <cellStyle name="Grey 37" xfId="265" xr:uid="{00000000-0005-0000-0000-0000CF0F0000}"/>
    <cellStyle name="Grey 38" xfId="266" xr:uid="{00000000-0005-0000-0000-0000D00F0000}"/>
    <cellStyle name="Grey 39" xfId="267" xr:uid="{00000000-0005-0000-0000-0000D10F0000}"/>
    <cellStyle name="Grey 4" xfId="268" xr:uid="{00000000-0005-0000-0000-0000D20F0000}"/>
    <cellStyle name="Grey 40" xfId="269" xr:uid="{00000000-0005-0000-0000-0000D30F0000}"/>
    <cellStyle name="Grey 41" xfId="270" xr:uid="{00000000-0005-0000-0000-0000D40F0000}"/>
    <cellStyle name="Grey 42" xfId="271" xr:uid="{00000000-0005-0000-0000-0000D50F0000}"/>
    <cellStyle name="Grey 43" xfId="272" xr:uid="{00000000-0005-0000-0000-0000D60F0000}"/>
    <cellStyle name="Grey 44" xfId="273" xr:uid="{00000000-0005-0000-0000-0000D70F0000}"/>
    <cellStyle name="Grey 45" xfId="274" xr:uid="{00000000-0005-0000-0000-0000D80F0000}"/>
    <cellStyle name="Grey 46" xfId="275" xr:uid="{00000000-0005-0000-0000-0000D90F0000}"/>
    <cellStyle name="Grey 47" xfId="276" xr:uid="{00000000-0005-0000-0000-0000DA0F0000}"/>
    <cellStyle name="Grey 48" xfId="277" xr:uid="{00000000-0005-0000-0000-0000DB0F0000}"/>
    <cellStyle name="Grey 49" xfId="278" xr:uid="{00000000-0005-0000-0000-0000DC0F0000}"/>
    <cellStyle name="Grey 5" xfId="279" xr:uid="{00000000-0005-0000-0000-0000DD0F0000}"/>
    <cellStyle name="Grey 50" xfId="280" xr:uid="{00000000-0005-0000-0000-0000DE0F0000}"/>
    <cellStyle name="Grey 51" xfId="281" xr:uid="{00000000-0005-0000-0000-0000DF0F0000}"/>
    <cellStyle name="Grey 52" xfId="282" xr:uid="{00000000-0005-0000-0000-0000E00F0000}"/>
    <cellStyle name="Grey 53" xfId="283" xr:uid="{00000000-0005-0000-0000-0000E10F0000}"/>
    <cellStyle name="Grey 6" xfId="284" xr:uid="{00000000-0005-0000-0000-0000E20F0000}"/>
    <cellStyle name="Grey 7" xfId="285" xr:uid="{00000000-0005-0000-0000-0000E30F0000}"/>
    <cellStyle name="Grey 8" xfId="286" xr:uid="{00000000-0005-0000-0000-0000E40F0000}"/>
    <cellStyle name="Grey 9" xfId="287" xr:uid="{00000000-0005-0000-0000-0000E50F0000}"/>
    <cellStyle name="HEADER" xfId="288" xr:uid="{00000000-0005-0000-0000-0000E60F0000}"/>
    <cellStyle name="HEADER 2" xfId="289" xr:uid="{00000000-0005-0000-0000-0000E70F0000}"/>
    <cellStyle name="Header1" xfId="290" xr:uid="{00000000-0005-0000-0000-0000E80F0000}"/>
    <cellStyle name="Header2" xfId="291" xr:uid="{00000000-0005-0000-0000-0000E90F0000}"/>
    <cellStyle name="Header2 2" xfId="745" xr:uid="{00000000-0005-0000-0000-0000EA0F0000}"/>
    <cellStyle name="Header2 2 2" xfId="1301" xr:uid="{00000000-0005-0000-0000-0000EB0F0000}"/>
    <cellStyle name="Header2 2 2 2" xfId="2088" xr:uid="{00000000-0005-0000-0000-0000EC0F0000}"/>
    <cellStyle name="Header2 2 2 2 2" xfId="4332" xr:uid="{00000000-0005-0000-0000-0000ED0F0000}"/>
    <cellStyle name="Header2 2 2 3" xfId="3546" xr:uid="{00000000-0005-0000-0000-0000EE0F0000}"/>
    <cellStyle name="Header2 2 3" xfId="1568" xr:uid="{00000000-0005-0000-0000-0000EF0F0000}"/>
    <cellStyle name="Header2 2 3 2" xfId="3812" xr:uid="{00000000-0005-0000-0000-0000F00F0000}"/>
    <cellStyle name="Header2 2 4" xfId="3026" xr:uid="{00000000-0005-0000-0000-0000F10F0000}"/>
    <cellStyle name="Header2 3" xfId="1281" xr:uid="{00000000-0005-0000-0000-0000F20F0000}"/>
    <cellStyle name="Header2 3 2" xfId="2068" xr:uid="{00000000-0005-0000-0000-0000F30F0000}"/>
    <cellStyle name="Header2 3 2 2" xfId="4312" xr:uid="{00000000-0005-0000-0000-0000F40F0000}"/>
    <cellStyle name="Header2 3 3" xfId="3526" xr:uid="{00000000-0005-0000-0000-0000F50F0000}"/>
    <cellStyle name="Hyperlink 2" xfId="292" xr:uid="{00000000-0005-0000-0000-0000F60F0000}"/>
    <cellStyle name="Input [yellow]" xfId="293" xr:uid="{00000000-0005-0000-0000-0000F70F0000}"/>
    <cellStyle name="Input [yellow] 10" xfId="294" xr:uid="{00000000-0005-0000-0000-0000F80F0000}"/>
    <cellStyle name="Input [yellow] 10 2" xfId="747" xr:uid="{00000000-0005-0000-0000-0000F90F0000}"/>
    <cellStyle name="Input [yellow] 10 2 2" xfId="1570" xr:uid="{00000000-0005-0000-0000-0000FA0F0000}"/>
    <cellStyle name="Input [yellow] 10 2 2 2" xfId="3814" xr:uid="{00000000-0005-0000-0000-0000FB0F0000}"/>
    <cellStyle name="Input [yellow] 10 2 3" xfId="3028" xr:uid="{00000000-0005-0000-0000-0000FC0F0000}"/>
    <cellStyle name="Input [yellow] 10 3" xfId="1497" xr:uid="{00000000-0005-0000-0000-0000FD0F0000}"/>
    <cellStyle name="Input [yellow] 10 3 2" xfId="3741" xr:uid="{00000000-0005-0000-0000-0000FE0F0000}"/>
    <cellStyle name="Input [yellow] 10 4" xfId="2283" xr:uid="{00000000-0005-0000-0000-0000FF0F0000}"/>
    <cellStyle name="Input [yellow] 10 4 2" xfId="4527" xr:uid="{00000000-0005-0000-0000-000000100000}"/>
    <cellStyle name="Input [yellow] 11" xfId="295" xr:uid="{00000000-0005-0000-0000-000001100000}"/>
    <cellStyle name="Input [yellow] 11 2" xfId="748" xr:uid="{00000000-0005-0000-0000-000002100000}"/>
    <cellStyle name="Input [yellow] 11 2 2" xfId="1571" xr:uid="{00000000-0005-0000-0000-000003100000}"/>
    <cellStyle name="Input [yellow] 11 2 2 2" xfId="3815" xr:uid="{00000000-0005-0000-0000-000004100000}"/>
    <cellStyle name="Input [yellow] 11 2 3" xfId="3029" xr:uid="{00000000-0005-0000-0000-000005100000}"/>
    <cellStyle name="Input [yellow] 11 3" xfId="1498" xr:uid="{00000000-0005-0000-0000-000006100000}"/>
    <cellStyle name="Input [yellow] 11 3 2" xfId="3742" xr:uid="{00000000-0005-0000-0000-000007100000}"/>
    <cellStyle name="Input [yellow] 11 4" xfId="2284" xr:uid="{00000000-0005-0000-0000-000008100000}"/>
    <cellStyle name="Input [yellow] 11 4 2" xfId="4528" xr:uid="{00000000-0005-0000-0000-000009100000}"/>
    <cellStyle name="Input [yellow] 12" xfId="296" xr:uid="{00000000-0005-0000-0000-00000A100000}"/>
    <cellStyle name="Input [yellow] 12 2" xfId="749" xr:uid="{00000000-0005-0000-0000-00000B100000}"/>
    <cellStyle name="Input [yellow] 12 2 2" xfId="1572" xr:uid="{00000000-0005-0000-0000-00000C100000}"/>
    <cellStyle name="Input [yellow] 12 2 2 2" xfId="3816" xr:uid="{00000000-0005-0000-0000-00000D100000}"/>
    <cellStyle name="Input [yellow] 12 2 3" xfId="3030" xr:uid="{00000000-0005-0000-0000-00000E100000}"/>
    <cellStyle name="Input [yellow] 12 3" xfId="1499" xr:uid="{00000000-0005-0000-0000-00000F100000}"/>
    <cellStyle name="Input [yellow] 12 3 2" xfId="3743" xr:uid="{00000000-0005-0000-0000-000010100000}"/>
    <cellStyle name="Input [yellow] 12 4" xfId="2285" xr:uid="{00000000-0005-0000-0000-000011100000}"/>
    <cellStyle name="Input [yellow] 12 4 2" xfId="4529" xr:uid="{00000000-0005-0000-0000-000012100000}"/>
    <cellStyle name="Input [yellow] 13" xfId="297" xr:uid="{00000000-0005-0000-0000-000013100000}"/>
    <cellStyle name="Input [yellow] 13 2" xfId="750" xr:uid="{00000000-0005-0000-0000-000014100000}"/>
    <cellStyle name="Input [yellow] 13 2 2" xfId="1573" xr:uid="{00000000-0005-0000-0000-000015100000}"/>
    <cellStyle name="Input [yellow] 13 2 2 2" xfId="3817" xr:uid="{00000000-0005-0000-0000-000016100000}"/>
    <cellStyle name="Input [yellow] 13 2 3" xfId="3031" xr:uid="{00000000-0005-0000-0000-000017100000}"/>
    <cellStyle name="Input [yellow] 13 3" xfId="1500" xr:uid="{00000000-0005-0000-0000-000018100000}"/>
    <cellStyle name="Input [yellow] 13 3 2" xfId="3744" xr:uid="{00000000-0005-0000-0000-000019100000}"/>
    <cellStyle name="Input [yellow] 13 4" xfId="2286" xr:uid="{00000000-0005-0000-0000-00001A100000}"/>
    <cellStyle name="Input [yellow] 13 4 2" xfId="4530" xr:uid="{00000000-0005-0000-0000-00001B100000}"/>
    <cellStyle name="Input [yellow] 14" xfId="298" xr:uid="{00000000-0005-0000-0000-00001C100000}"/>
    <cellStyle name="Input [yellow] 14 2" xfId="751" xr:uid="{00000000-0005-0000-0000-00001D100000}"/>
    <cellStyle name="Input [yellow] 14 2 2" xfId="1574" xr:uid="{00000000-0005-0000-0000-00001E100000}"/>
    <cellStyle name="Input [yellow] 14 2 2 2" xfId="3818" xr:uid="{00000000-0005-0000-0000-00001F100000}"/>
    <cellStyle name="Input [yellow] 14 2 3" xfId="3032" xr:uid="{00000000-0005-0000-0000-000020100000}"/>
    <cellStyle name="Input [yellow] 14 3" xfId="1501" xr:uid="{00000000-0005-0000-0000-000021100000}"/>
    <cellStyle name="Input [yellow] 14 3 2" xfId="3745" xr:uid="{00000000-0005-0000-0000-000022100000}"/>
    <cellStyle name="Input [yellow] 14 4" xfId="2287" xr:uid="{00000000-0005-0000-0000-000023100000}"/>
    <cellStyle name="Input [yellow] 14 4 2" xfId="4531" xr:uid="{00000000-0005-0000-0000-000024100000}"/>
    <cellStyle name="Input [yellow] 15" xfId="299" xr:uid="{00000000-0005-0000-0000-000025100000}"/>
    <cellStyle name="Input [yellow] 15 2" xfId="752" xr:uid="{00000000-0005-0000-0000-000026100000}"/>
    <cellStyle name="Input [yellow] 15 2 2" xfId="1575" xr:uid="{00000000-0005-0000-0000-000027100000}"/>
    <cellStyle name="Input [yellow] 15 2 2 2" xfId="3819" xr:uid="{00000000-0005-0000-0000-000028100000}"/>
    <cellStyle name="Input [yellow] 15 2 3" xfId="3033" xr:uid="{00000000-0005-0000-0000-000029100000}"/>
    <cellStyle name="Input [yellow] 15 3" xfId="1502" xr:uid="{00000000-0005-0000-0000-00002A100000}"/>
    <cellStyle name="Input [yellow] 15 3 2" xfId="3746" xr:uid="{00000000-0005-0000-0000-00002B100000}"/>
    <cellStyle name="Input [yellow] 15 4" xfId="2288" xr:uid="{00000000-0005-0000-0000-00002C100000}"/>
    <cellStyle name="Input [yellow] 15 4 2" xfId="4532" xr:uid="{00000000-0005-0000-0000-00002D100000}"/>
    <cellStyle name="Input [yellow] 16" xfId="300" xr:uid="{00000000-0005-0000-0000-00002E100000}"/>
    <cellStyle name="Input [yellow] 16 2" xfId="753" xr:uid="{00000000-0005-0000-0000-00002F100000}"/>
    <cellStyle name="Input [yellow] 16 2 2" xfId="1576" xr:uid="{00000000-0005-0000-0000-000030100000}"/>
    <cellStyle name="Input [yellow] 16 2 2 2" xfId="3820" xr:uid="{00000000-0005-0000-0000-000031100000}"/>
    <cellStyle name="Input [yellow] 16 2 3" xfId="3034" xr:uid="{00000000-0005-0000-0000-000032100000}"/>
    <cellStyle name="Input [yellow] 16 3" xfId="1503" xr:uid="{00000000-0005-0000-0000-000033100000}"/>
    <cellStyle name="Input [yellow] 16 3 2" xfId="3747" xr:uid="{00000000-0005-0000-0000-000034100000}"/>
    <cellStyle name="Input [yellow] 16 4" xfId="2289" xr:uid="{00000000-0005-0000-0000-000035100000}"/>
    <cellStyle name="Input [yellow] 16 4 2" xfId="4533" xr:uid="{00000000-0005-0000-0000-000036100000}"/>
    <cellStyle name="Input [yellow] 17" xfId="301" xr:uid="{00000000-0005-0000-0000-000037100000}"/>
    <cellStyle name="Input [yellow] 17 2" xfId="754" xr:uid="{00000000-0005-0000-0000-000038100000}"/>
    <cellStyle name="Input [yellow] 17 2 2" xfId="1577" xr:uid="{00000000-0005-0000-0000-000039100000}"/>
    <cellStyle name="Input [yellow] 17 2 2 2" xfId="3821" xr:uid="{00000000-0005-0000-0000-00003A100000}"/>
    <cellStyle name="Input [yellow] 17 2 3" xfId="3035" xr:uid="{00000000-0005-0000-0000-00003B100000}"/>
    <cellStyle name="Input [yellow] 17 3" xfId="1504" xr:uid="{00000000-0005-0000-0000-00003C100000}"/>
    <cellStyle name="Input [yellow] 17 3 2" xfId="3748" xr:uid="{00000000-0005-0000-0000-00003D100000}"/>
    <cellStyle name="Input [yellow] 17 4" xfId="2290" xr:uid="{00000000-0005-0000-0000-00003E100000}"/>
    <cellStyle name="Input [yellow] 17 4 2" xfId="4534" xr:uid="{00000000-0005-0000-0000-00003F100000}"/>
    <cellStyle name="Input [yellow] 18" xfId="302" xr:uid="{00000000-0005-0000-0000-000040100000}"/>
    <cellStyle name="Input [yellow] 18 2" xfId="755" xr:uid="{00000000-0005-0000-0000-000041100000}"/>
    <cellStyle name="Input [yellow] 18 2 2" xfId="1578" xr:uid="{00000000-0005-0000-0000-000042100000}"/>
    <cellStyle name="Input [yellow] 18 2 2 2" xfId="3822" xr:uid="{00000000-0005-0000-0000-000043100000}"/>
    <cellStyle name="Input [yellow] 18 2 3" xfId="3036" xr:uid="{00000000-0005-0000-0000-000044100000}"/>
    <cellStyle name="Input [yellow] 18 3" xfId="1505" xr:uid="{00000000-0005-0000-0000-000045100000}"/>
    <cellStyle name="Input [yellow] 18 3 2" xfId="3749" xr:uid="{00000000-0005-0000-0000-000046100000}"/>
    <cellStyle name="Input [yellow] 18 4" xfId="2291" xr:uid="{00000000-0005-0000-0000-000047100000}"/>
    <cellStyle name="Input [yellow] 18 4 2" xfId="4535" xr:uid="{00000000-0005-0000-0000-000048100000}"/>
    <cellStyle name="Input [yellow] 19" xfId="303" xr:uid="{00000000-0005-0000-0000-000049100000}"/>
    <cellStyle name="Input [yellow] 19 2" xfId="756" xr:uid="{00000000-0005-0000-0000-00004A100000}"/>
    <cellStyle name="Input [yellow] 19 2 2" xfId="1579" xr:uid="{00000000-0005-0000-0000-00004B100000}"/>
    <cellStyle name="Input [yellow] 19 2 2 2" xfId="3823" xr:uid="{00000000-0005-0000-0000-00004C100000}"/>
    <cellStyle name="Input [yellow] 19 2 3" xfId="3037" xr:uid="{00000000-0005-0000-0000-00004D100000}"/>
    <cellStyle name="Input [yellow] 19 3" xfId="1506" xr:uid="{00000000-0005-0000-0000-00004E100000}"/>
    <cellStyle name="Input [yellow] 19 3 2" xfId="3750" xr:uid="{00000000-0005-0000-0000-00004F100000}"/>
    <cellStyle name="Input [yellow] 19 4" xfId="2292" xr:uid="{00000000-0005-0000-0000-000050100000}"/>
    <cellStyle name="Input [yellow] 19 4 2" xfId="4536" xr:uid="{00000000-0005-0000-0000-000051100000}"/>
    <cellStyle name="Input [yellow] 2" xfId="304" xr:uid="{00000000-0005-0000-0000-000052100000}"/>
    <cellStyle name="Input [yellow] 2 2" xfId="305" xr:uid="{00000000-0005-0000-0000-000053100000}"/>
    <cellStyle name="Input [yellow] 2 2 2" xfId="758" xr:uid="{00000000-0005-0000-0000-000054100000}"/>
    <cellStyle name="Input [yellow] 2 2 2 2" xfId="1581" xr:uid="{00000000-0005-0000-0000-000055100000}"/>
    <cellStyle name="Input [yellow] 2 2 2 2 2" xfId="3825" xr:uid="{00000000-0005-0000-0000-000056100000}"/>
    <cellStyle name="Input [yellow] 2 2 2 3" xfId="3039" xr:uid="{00000000-0005-0000-0000-000057100000}"/>
    <cellStyle name="Input [yellow] 2 2 3" xfId="1508" xr:uid="{00000000-0005-0000-0000-000058100000}"/>
    <cellStyle name="Input [yellow] 2 2 3 2" xfId="3752" xr:uid="{00000000-0005-0000-0000-000059100000}"/>
    <cellStyle name="Input [yellow] 2 2 4" xfId="2294" xr:uid="{00000000-0005-0000-0000-00005A100000}"/>
    <cellStyle name="Input [yellow] 2 2 4 2" xfId="4538" xr:uid="{00000000-0005-0000-0000-00005B100000}"/>
    <cellStyle name="Input [yellow] 2 3" xfId="757" xr:uid="{00000000-0005-0000-0000-00005C100000}"/>
    <cellStyle name="Input [yellow] 2 3 2" xfId="1580" xr:uid="{00000000-0005-0000-0000-00005D100000}"/>
    <cellStyle name="Input [yellow] 2 3 2 2" xfId="3824" xr:uid="{00000000-0005-0000-0000-00005E100000}"/>
    <cellStyle name="Input [yellow] 2 3 3" xfId="3038" xr:uid="{00000000-0005-0000-0000-00005F100000}"/>
    <cellStyle name="Input [yellow] 2 4" xfId="1507" xr:uid="{00000000-0005-0000-0000-000060100000}"/>
    <cellStyle name="Input [yellow] 2 4 2" xfId="3751" xr:uid="{00000000-0005-0000-0000-000061100000}"/>
    <cellStyle name="Input [yellow] 2 5" xfId="2293" xr:uid="{00000000-0005-0000-0000-000062100000}"/>
    <cellStyle name="Input [yellow] 2 5 2" xfId="4537" xr:uid="{00000000-0005-0000-0000-000063100000}"/>
    <cellStyle name="Input [yellow] 20" xfId="306" xr:uid="{00000000-0005-0000-0000-000064100000}"/>
    <cellStyle name="Input [yellow] 20 2" xfId="759" xr:uid="{00000000-0005-0000-0000-000065100000}"/>
    <cellStyle name="Input [yellow] 20 2 2" xfId="1582" xr:uid="{00000000-0005-0000-0000-000066100000}"/>
    <cellStyle name="Input [yellow] 20 2 2 2" xfId="3826" xr:uid="{00000000-0005-0000-0000-000067100000}"/>
    <cellStyle name="Input [yellow] 20 2 3" xfId="3040" xr:uid="{00000000-0005-0000-0000-000068100000}"/>
    <cellStyle name="Input [yellow] 20 3" xfId="1509" xr:uid="{00000000-0005-0000-0000-000069100000}"/>
    <cellStyle name="Input [yellow] 20 3 2" xfId="3753" xr:uid="{00000000-0005-0000-0000-00006A100000}"/>
    <cellStyle name="Input [yellow] 20 4" xfId="2295" xr:uid="{00000000-0005-0000-0000-00006B100000}"/>
    <cellStyle name="Input [yellow] 20 4 2" xfId="4539" xr:uid="{00000000-0005-0000-0000-00006C100000}"/>
    <cellStyle name="Input [yellow] 21" xfId="307" xr:uid="{00000000-0005-0000-0000-00006D100000}"/>
    <cellStyle name="Input [yellow] 21 2" xfId="760" xr:uid="{00000000-0005-0000-0000-00006E100000}"/>
    <cellStyle name="Input [yellow] 21 2 2" xfId="1583" xr:uid="{00000000-0005-0000-0000-00006F100000}"/>
    <cellStyle name="Input [yellow] 21 2 2 2" xfId="3827" xr:uid="{00000000-0005-0000-0000-000070100000}"/>
    <cellStyle name="Input [yellow] 21 2 3" xfId="3041" xr:uid="{00000000-0005-0000-0000-000071100000}"/>
    <cellStyle name="Input [yellow] 21 3" xfId="1510" xr:uid="{00000000-0005-0000-0000-000072100000}"/>
    <cellStyle name="Input [yellow] 21 3 2" xfId="3754" xr:uid="{00000000-0005-0000-0000-000073100000}"/>
    <cellStyle name="Input [yellow] 21 4" xfId="2296" xr:uid="{00000000-0005-0000-0000-000074100000}"/>
    <cellStyle name="Input [yellow] 21 4 2" xfId="4540" xr:uid="{00000000-0005-0000-0000-000075100000}"/>
    <cellStyle name="Input [yellow] 22" xfId="308" xr:uid="{00000000-0005-0000-0000-000076100000}"/>
    <cellStyle name="Input [yellow] 22 2" xfId="761" xr:uid="{00000000-0005-0000-0000-000077100000}"/>
    <cellStyle name="Input [yellow] 22 2 2" xfId="1584" xr:uid="{00000000-0005-0000-0000-000078100000}"/>
    <cellStyle name="Input [yellow] 22 2 2 2" xfId="3828" xr:uid="{00000000-0005-0000-0000-000079100000}"/>
    <cellStyle name="Input [yellow] 22 2 3" xfId="3042" xr:uid="{00000000-0005-0000-0000-00007A100000}"/>
    <cellStyle name="Input [yellow] 22 3" xfId="1511" xr:uid="{00000000-0005-0000-0000-00007B100000}"/>
    <cellStyle name="Input [yellow] 22 3 2" xfId="3755" xr:uid="{00000000-0005-0000-0000-00007C100000}"/>
    <cellStyle name="Input [yellow] 22 4" xfId="2297" xr:uid="{00000000-0005-0000-0000-00007D100000}"/>
    <cellStyle name="Input [yellow] 22 4 2" xfId="4541" xr:uid="{00000000-0005-0000-0000-00007E100000}"/>
    <cellStyle name="Input [yellow] 23" xfId="309" xr:uid="{00000000-0005-0000-0000-00007F100000}"/>
    <cellStyle name="Input [yellow] 23 2" xfId="762" xr:uid="{00000000-0005-0000-0000-000080100000}"/>
    <cellStyle name="Input [yellow] 23 2 2" xfId="1585" xr:uid="{00000000-0005-0000-0000-000081100000}"/>
    <cellStyle name="Input [yellow] 23 2 2 2" xfId="3829" xr:uid="{00000000-0005-0000-0000-000082100000}"/>
    <cellStyle name="Input [yellow] 23 2 3" xfId="3043" xr:uid="{00000000-0005-0000-0000-000083100000}"/>
    <cellStyle name="Input [yellow] 23 3" xfId="1512" xr:uid="{00000000-0005-0000-0000-000084100000}"/>
    <cellStyle name="Input [yellow] 23 3 2" xfId="3756" xr:uid="{00000000-0005-0000-0000-000085100000}"/>
    <cellStyle name="Input [yellow] 23 4" xfId="2298" xr:uid="{00000000-0005-0000-0000-000086100000}"/>
    <cellStyle name="Input [yellow] 23 4 2" xfId="4542" xr:uid="{00000000-0005-0000-0000-000087100000}"/>
    <cellStyle name="Input [yellow] 24" xfId="310" xr:uid="{00000000-0005-0000-0000-000088100000}"/>
    <cellStyle name="Input [yellow] 24 2" xfId="763" xr:uid="{00000000-0005-0000-0000-000089100000}"/>
    <cellStyle name="Input [yellow] 24 2 2" xfId="1586" xr:uid="{00000000-0005-0000-0000-00008A100000}"/>
    <cellStyle name="Input [yellow] 24 2 2 2" xfId="3830" xr:uid="{00000000-0005-0000-0000-00008B100000}"/>
    <cellStyle name="Input [yellow] 24 2 3" xfId="3044" xr:uid="{00000000-0005-0000-0000-00008C100000}"/>
    <cellStyle name="Input [yellow] 24 3" xfId="1513" xr:uid="{00000000-0005-0000-0000-00008D100000}"/>
    <cellStyle name="Input [yellow] 24 3 2" xfId="3757" xr:uid="{00000000-0005-0000-0000-00008E100000}"/>
    <cellStyle name="Input [yellow] 24 4" xfId="2299" xr:uid="{00000000-0005-0000-0000-00008F100000}"/>
    <cellStyle name="Input [yellow] 24 4 2" xfId="4543" xr:uid="{00000000-0005-0000-0000-000090100000}"/>
    <cellStyle name="Input [yellow] 25" xfId="311" xr:uid="{00000000-0005-0000-0000-000091100000}"/>
    <cellStyle name="Input [yellow] 25 2" xfId="764" xr:uid="{00000000-0005-0000-0000-000092100000}"/>
    <cellStyle name="Input [yellow] 25 2 2" xfId="1587" xr:uid="{00000000-0005-0000-0000-000093100000}"/>
    <cellStyle name="Input [yellow] 25 2 2 2" xfId="3831" xr:uid="{00000000-0005-0000-0000-000094100000}"/>
    <cellStyle name="Input [yellow] 25 2 3" xfId="3045" xr:uid="{00000000-0005-0000-0000-000095100000}"/>
    <cellStyle name="Input [yellow] 25 3" xfId="1514" xr:uid="{00000000-0005-0000-0000-000096100000}"/>
    <cellStyle name="Input [yellow] 25 3 2" xfId="3758" xr:uid="{00000000-0005-0000-0000-000097100000}"/>
    <cellStyle name="Input [yellow] 25 4" xfId="2300" xr:uid="{00000000-0005-0000-0000-000098100000}"/>
    <cellStyle name="Input [yellow] 25 4 2" xfId="4544" xr:uid="{00000000-0005-0000-0000-000099100000}"/>
    <cellStyle name="Input [yellow] 26" xfId="312" xr:uid="{00000000-0005-0000-0000-00009A100000}"/>
    <cellStyle name="Input [yellow] 26 2" xfId="765" xr:uid="{00000000-0005-0000-0000-00009B100000}"/>
    <cellStyle name="Input [yellow] 26 2 2" xfId="1588" xr:uid="{00000000-0005-0000-0000-00009C100000}"/>
    <cellStyle name="Input [yellow] 26 2 2 2" xfId="3832" xr:uid="{00000000-0005-0000-0000-00009D100000}"/>
    <cellStyle name="Input [yellow] 26 2 3" xfId="3046" xr:uid="{00000000-0005-0000-0000-00009E100000}"/>
    <cellStyle name="Input [yellow] 26 3" xfId="1515" xr:uid="{00000000-0005-0000-0000-00009F100000}"/>
    <cellStyle name="Input [yellow] 26 3 2" xfId="3759" xr:uid="{00000000-0005-0000-0000-0000A0100000}"/>
    <cellStyle name="Input [yellow] 26 4" xfId="2301" xr:uid="{00000000-0005-0000-0000-0000A1100000}"/>
    <cellStyle name="Input [yellow] 26 4 2" xfId="4545" xr:uid="{00000000-0005-0000-0000-0000A2100000}"/>
    <cellStyle name="Input [yellow] 27" xfId="313" xr:uid="{00000000-0005-0000-0000-0000A3100000}"/>
    <cellStyle name="Input [yellow] 27 2" xfId="766" xr:uid="{00000000-0005-0000-0000-0000A4100000}"/>
    <cellStyle name="Input [yellow] 27 2 2" xfId="1589" xr:uid="{00000000-0005-0000-0000-0000A5100000}"/>
    <cellStyle name="Input [yellow] 27 2 2 2" xfId="3833" xr:uid="{00000000-0005-0000-0000-0000A6100000}"/>
    <cellStyle name="Input [yellow] 27 2 3" xfId="3047" xr:uid="{00000000-0005-0000-0000-0000A7100000}"/>
    <cellStyle name="Input [yellow] 27 3" xfId="1516" xr:uid="{00000000-0005-0000-0000-0000A8100000}"/>
    <cellStyle name="Input [yellow] 27 3 2" xfId="3760" xr:uid="{00000000-0005-0000-0000-0000A9100000}"/>
    <cellStyle name="Input [yellow] 27 4" xfId="2302" xr:uid="{00000000-0005-0000-0000-0000AA100000}"/>
    <cellStyle name="Input [yellow] 27 4 2" xfId="4546" xr:uid="{00000000-0005-0000-0000-0000AB100000}"/>
    <cellStyle name="Input [yellow] 28" xfId="314" xr:uid="{00000000-0005-0000-0000-0000AC100000}"/>
    <cellStyle name="Input [yellow] 28 2" xfId="767" xr:uid="{00000000-0005-0000-0000-0000AD100000}"/>
    <cellStyle name="Input [yellow] 28 2 2" xfId="1590" xr:uid="{00000000-0005-0000-0000-0000AE100000}"/>
    <cellStyle name="Input [yellow] 28 2 2 2" xfId="3834" xr:uid="{00000000-0005-0000-0000-0000AF100000}"/>
    <cellStyle name="Input [yellow] 28 2 3" xfId="3048" xr:uid="{00000000-0005-0000-0000-0000B0100000}"/>
    <cellStyle name="Input [yellow] 28 3" xfId="1517" xr:uid="{00000000-0005-0000-0000-0000B1100000}"/>
    <cellStyle name="Input [yellow] 28 3 2" xfId="3761" xr:uid="{00000000-0005-0000-0000-0000B2100000}"/>
    <cellStyle name="Input [yellow] 28 4" xfId="2303" xr:uid="{00000000-0005-0000-0000-0000B3100000}"/>
    <cellStyle name="Input [yellow] 28 4 2" xfId="4547" xr:uid="{00000000-0005-0000-0000-0000B4100000}"/>
    <cellStyle name="Input [yellow] 29" xfId="315" xr:uid="{00000000-0005-0000-0000-0000B5100000}"/>
    <cellStyle name="Input [yellow] 29 2" xfId="768" xr:uid="{00000000-0005-0000-0000-0000B6100000}"/>
    <cellStyle name="Input [yellow] 29 2 2" xfId="1591" xr:uid="{00000000-0005-0000-0000-0000B7100000}"/>
    <cellStyle name="Input [yellow] 29 2 2 2" xfId="3835" xr:uid="{00000000-0005-0000-0000-0000B8100000}"/>
    <cellStyle name="Input [yellow] 29 2 3" xfId="3049" xr:uid="{00000000-0005-0000-0000-0000B9100000}"/>
    <cellStyle name="Input [yellow] 29 3" xfId="1518" xr:uid="{00000000-0005-0000-0000-0000BA100000}"/>
    <cellStyle name="Input [yellow] 29 3 2" xfId="3762" xr:uid="{00000000-0005-0000-0000-0000BB100000}"/>
    <cellStyle name="Input [yellow] 29 4" xfId="2304" xr:uid="{00000000-0005-0000-0000-0000BC100000}"/>
    <cellStyle name="Input [yellow] 29 4 2" xfId="4548" xr:uid="{00000000-0005-0000-0000-0000BD100000}"/>
    <cellStyle name="Input [yellow] 3" xfId="316" xr:uid="{00000000-0005-0000-0000-0000BE100000}"/>
    <cellStyle name="Input [yellow] 3 2" xfId="769" xr:uid="{00000000-0005-0000-0000-0000BF100000}"/>
    <cellStyle name="Input [yellow] 3 2 2" xfId="1592" xr:uid="{00000000-0005-0000-0000-0000C0100000}"/>
    <cellStyle name="Input [yellow] 3 2 2 2" xfId="3836" xr:uid="{00000000-0005-0000-0000-0000C1100000}"/>
    <cellStyle name="Input [yellow] 3 2 3" xfId="3050" xr:uid="{00000000-0005-0000-0000-0000C2100000}"/>
    <cellStyle name="Input [yellow] 3 3" xfId="1519" xr:uid="{00000000-0005-0000-0000-0000C3100000}"/>
    <cellStyle name="Input [yellow] 3 3 2" xfId="3763" xr:uid="{00000000-0005-0000-0000-0000C4100000}"/>
    <cellStyle name="Input [yellow] 3 4" xfId="2305" xr:uid="{00000000-0005-0000-0000-0000C5100000}"/>
    <cellStyle name="Input [yellow] 3 4 2" xfId="4549" xr:uid="{00000000-0005-0000-0000-0000C6100000}"/>
    <cellStyle name="Input [yellow] 30" xfId="317" xr:uid="{00000000-0005-0000-0000-0000C7100000}"/>
    <cellStyle name="Input [yellow] 30 2" xfId="770" xr:uid="{00000000-0005-0000-0000-0000C8100000}"/>
    <cellStyle name="Input [yellow] 30 2 2" xfId="1593" xr:uid="{00000000-0005-0000-0000-0000C9100000}"/>
    <cellStyle name="Input [yellow] 30 2 2 2" xfId="3837" xr:uid="{00000000-0005-0000-0000-0000CA100000}"/>
    <cellStyle name="Input [yellow] 30 2 3" xfId="3051" xr:uid="{00000000-0005-0000-0000-0000CB100000}"/>
    <cellStyle name="Input [yellow] 30 3" xfId="1520" xr:uid="{00000000-0005-0000-0000-0000CC100000}"/>
    <cellStyle name="Input [yellow] 30 3 2" xfId="3764" xr:uid="{00000000-0005-0000-0000-0000CD100000}"/>
    <cellStyle name="Input [yellow] 30 4" xfId="2306" xr:uid="{00000000-0005-0000-0000-0000CE100000}"/>
    <cellStyle name="Input [yellow] 30 4 2" xfId="4550" xr:uid="{00000000-0005-0000-0000-0000CF100000}"/>
    <cellStyle name="Input [yellow] 31" xfId="318" xr:uid="{00000000-0005-0000-0000-0000D0100000}"/>
    <cellStyle name="Input [yellow] 31 2" xfId="771" xr:uid="{00000000-0005-0000-0000-0000D1100000}"/>
    <cellStyle name="Input [yellow] 31 2 2" xfId="1594" xr:uid="{00000000-0005-0000-0000-0000D2100000}"/>
    <cellStyle name="Input [yellow] 31 2 2 2" xfId="3838" xr:uid="{00000000-0005-0000-0000-0000D3100000}"/>
    <cellStyle name="Input [yellow] 31 2 3" xfId="3052" xr:uid="{00000000-0005-0000-0000-0000D4100000}"/>
    <cellStyle name="Input [yellow] 31 3" xfId="1521" xr:uid="{00000000-0005-0000-0000-0000D5100000}"/>
    <cellStyle name="Input [yellow] 31 3 2" xfId="3765" xr:uid="{00000000-0005-0000-0000-0000D6100000}"/>
    <cellStyle name="Input [yellow] 31 4" xfId="2307" xr:uid="{00000000-0005-0000-0000-0000D7100000}"/>
    <cellStyle name="Input [yellow] 31 4 2" xfId="4551" xr:uid="{00000000-0005-0000-0000-0000D8100000}"/>
    <cellStyle name="Input [yellow] 32" xfId="319" xr:uid="{00000000-0005-0000-0000-0000D9100000}"/>
    <cellStyle name="Input [yellow] 32 2" xfId="772" xr:uid="{00000000-0005-0000-0000-0000DA100000}"/>
    <cellStyle name="Input [yellow] 32 2 2" xfId="1595" xr:uid="{00000000-0005-0000-0000-0000DB100000}"/>
    <cellStyle name="Input [yellow] 32 2 2 2" xfId="3839" xr:uid="{00000000-0005-0000-0000-0000DC100000}"/>
    <cellStyle name="Input [yellow] 32 2 3" xfId="3053" xr:uid="{00000000-0005-0000-0000-0000DD100000}"/>
    <cellStyle name="Input [yellow] 32 3" xfId="1522" xr:uid="{00000000-0005-0000-0000-0000DE100000}"/>
    <cellStyle name="Input [yellow] 32 3 2" xfId="3766" xr:uid="{00000000-0005-0000-0000-0000DF100000}"/>
    <cellStyle name="Input [yellow] 32 4" xfId="2308" xr:uid="{00000000-0005-0000-0000-0000E0100000}"/>
    <cellStyle name="Input [yellow] 32 4 2" xfId="4552" xr:uid="{00000000-0005-0000-0000-0000E1100000}"/>
    <cellStyle name="Input [yellow] 33" xfId="320" xr:uid="{00000000-0005-0000-0000-0000E2100000}"/>
    <cellStyle name="Input [yellow] 33 2" xfId="773" xr:uid="{00000000-0005-0000-0000-0000E3100000}"/>
    <cellStyle name="Input [yellow] 33 2 2" xfId="1596" xr:uid="{00000000-0005-0000-0000-0000E4100000}"/>
    <cellStyle name="Input [yellow] 33 2 2 2" xfId="3840" xr:uid="{00000000-0005-0000-0000-0000E5100000}"/>
    <cellStyle name="Input [yellow] 33 2 3" xfId="3054" xr:uid="{00000000-0005-0000-0000-0000E6100000}"/>
    <cellStyle name="Input [yellow] 33 3" xfId="1523" xr:uid="{00000000-0005-0000-0000-0000E7100000}"/>
    <cellStyle name="Input [yellow] 33 3 2" xfId="3767" xr:uid="{00000000-0005-0000-0000-0000E8100000}"/>
    <cellStyle name="Input [yellow] 33 4" xfId="2309" xr:uid="{00000000-0005-0000-0000-0000E9100000}"/>
    <cellStyle name="Input [yellow] 33 4 2" xfId="4553" xr:uid="{00000000-0005-0000-0000-0000EA100000}"/>
    <cellStyle name="Input [yellow] 34" xfId="321" xr:uid="{00000000-0005-0000-0000-0000EB100000}"/>
    <cellStyle name="Input [yellow] 34 2" xfId="774" xr:uid="{00000000-0005-0000-0000-0000EC100000}"/>
    <cellStyle name="Input [yellow] 34 2 2" xfId="1597" xr:uid="{00000000-0005-0000-0000-0000ED100000}"/>
    <cellStyle name="Input [yellow] 34 2 2 2" xfId="3841" xr:uid="{00000000-0005-0000-0000-0000EE100000}"/>
    <cellStyle name="Input [yellow] 34 2 3" xfId="3055" xr:uid="{00000000-0005-0000-0000-0000EF100000}"/>
    <cellStyle name="Input [yellow] 34 3" xfId="1524" xr:uid="{00000000-0005-0000-0000-0000F0100000}"/>
    <cellStyle name="Input [yellow] 34 3 2" xfId="3768" xr:uid="{00000000-0005-0000-0000-0000F1100000}"/>
    <cellStyle name="Input [yellow] 34 4" xfId="2310" xr:uid="{00000000-0005-0000-0000-0000F2100000}"/>
    <cellStyle name="Input [yellow] 34 4 2" xfId="4554" xr:uid="{00000000-0005-0000-0000-0000F3100000}"/>
    <cellStyle name="Input [yellow] 35" xfId="322" xr:uid="{00000000-0005-0000-0000-0000F4100000}"/>
    <cellStyle name="Input [yellow] 35 2" xfId="775" xr:uid="{00000000-0005-0000-0000-0000F5100000}"/>
    <cellStyle name="Input [yellow] 35 2 2" xfId="1598" xr:uid="{00000000-0005-0000-0000-0000F6100000}"/>
    <cellStyle name="Input [yellow] 35 2 2 2" xfId="3842" xr:uid="{00000000-0005-0000-0000-0000F7100000}"/>
    <cellStyle name="Input [yellow] 35 2 3" xfId="3056" xr:uid="{00000000-0005-0000-0000-0000F8100000}"/>
    <cellStyle name="Input [yellow] 35 3" xfId="1525" xr:uid="{00000000-0005-0000-0000-0000F9100000}"/>
    <cellStyle name="Input [yellow] 35 3 2" xfId="3769" xr:uid="{00000000-0005-0000-0000-0000FA100000}"/>
    <cellStyle name="Input [yellow] 35 4" xfId="2311" xr:uid="{00000000-0005-0000-0000-0000FB100000}"/>
    <cellStyle name="Input [yellow] 35 4 2" xfId="4555" xr:uid="{00000000-0005-0000-0000-0000FC100000}"/>
    <cellStyle name="Input [yellow] 36" xfId="323" xr:uid="{00000000-0005-0000-0000-0000FD100000}"/>
    <cellStyle name="Input [yellow] 36 2" xfId="776" xr:uid="{00000000-0005-0000-0000-0000FE100000}"/>
    <cellStyle name="Input [yellow] 36 2 2" xfId="1599" xr:uid="{00000000-0005-0000-0000-0000FF100000}"/>
    <cellStyle name="Input [yellow] 36 2 2 2" xfId="3843" xr:uid="{00000000-0005-0000-0000-000000110000}"/>
    <cellStyle name="Input [yellow] 36 2 3" xfId="3057" xr:uid="{00000000-0005-0000-0000-000001110000}"/>
    <cellStyle name="Input [yellow] 36 3" xfId="1526" xr:uid="{00000000-0005-0000-0000-000002110000}"/>
    <cellStyle name="Input [yellow] 36 3 2" xfId="3770" xr:uid="{00000000-0005-0000-0000-000003110000}"/>
    <cellStyle name="Input [yellow] 36 4" xfId="2312" xr:uid="{00000000-0005-0000-0000-000004110000}"/>
    <cellStyle name="Input [yellow] 36 4 2" xfId="4556" xr:uid="{00000000-0005-0000-0000-000005110000}"/>
    <cellStyle name="Input [yellow] 37" xfId="324" xr:uid="{00000000-0005-0000-0000-000006110000}"/>
    <cellStyle name="Input [yellow] 37 2" xfId="777" xr:uid="{00000000-0005-0000-0000-000007110000}"/>
    <cellStyle name="Input [yellow] 37 2 2" xfId="1600" xr:uid="{00000000-0005-0000-0000-000008110000}"/>
    <cellStyle name="Input [yellow] 37 2 2 2" xfId="3844" xr:uid="{00000000-0005-0000-0000-000009110000}"/>
    <cellStyle name="Input [yellow] 37 2 3" xfId="3058" xr:uid="{00000000-0005-0000-0000-00000A110000}"/>
    <cellStyle name="Input [yellow] 37 3" xfId="1527" xr:uid="{00000000-0005-0000-0000-00000B110000}"/>
    <cellStyle name="Input [yellow] 37 3 2" xfId="3771" xr:uid="{00000000-0005-0000-0000-00000C110000}"/>
    <cellStyle name="Input [yellow] 37 4" xfId="2313" xr:uid="{00000000-0005-0000-0000-00000D110000}"/>
    <cellStyle name="Input [yellow] 37 4 2" xfId="4557" xr:uid="{00000000-0005-0000-0000-00000E110000}"/>
    <cellStyle name="Input [yellow] 38" xfId="325" xr:uid="{00000000-0005-0000-0000-00000F110000}"/>
    <cellStyle name="Input [yellow] 38 2" xfId="778" xr:uid="{00000000-0005-0000-0000-000010110000}"/>
    <cellStyle name="Input [yellow] 38 2 2" xfId="1601" xr:uid="{00000000-0005-0000-0000-000011110000}"/>
    <cellStyle name="Input [yellow] 38 2 2 2" xfId="3845" xr:uid="{00000000-0005-0000-0000-000012110000}"/>
    <cellStyle name="Input [yellow] 38 2 3" xfId="3059" xr:uid="{00000000-0005-0000-0000-000013110000}"/>
    <cellStyle name="Input [yellow] 38 3" xfId="1528" xr:uid="{00000000-0005-0000-0000-000014110000}"/>
    <cellStyle name="Input [yellow] 38 3 2" xfId="3772" xr:uid="{00000000-0005-0000-0000-000015110000}"/>
    <cellStyle name="Input [yellow] 38 4" xfId="2314" xr:uid="{00000000-0005-0000-0000-000016110000}"/>
    <cellStyle name="Input [yellow] 38 4 2" xfId="4558" xr:uid="{00000000-0005-0000-0000-000017110000}"/>
    <cellStyle name="Input [yellow] 39" xfId="326" xr:uid="{00000000-0005-0000-0000-000018110000}"/>
    <cellStyle name="Input [yellow] 39 2" xfId="779" xr:uid="{00000000-0005-0000-0000-000019110000}"/>
    <cellStyle name="Input [yellow] 39 2 2" xfId="1602" xr:uid="{00000000-0005-0000-0000-00001A110000}"/>
    <cellStyle name="Input [yellow] 39 2 2 2" xfId="3846" xr:uid="{00000000-0005-0000-0000-00001B110000}"/>
    <cellStyle name="Input [yellow] 39 2 3" xfId="3060" xr:uid="{00000000-0005-0000-0000-00001C110000}"/>
    <cellStyle name="Input [yellow] 39 3" xfId="1529" xr:uid="{00000000-0005-0000-0000-00001D110000}"/>
    <cellStyle name="Input [yellow] 39 3 2" xfId="3773" xr:uid="{00000000-0005-0000-0000-00001E110000}"/>
    <cellStyle name="Input [yellow] 39 4" xfId="2315" xr:uid="{00000000-0005-0000-0000-00001F110000}"/>
    <cellStyle name="Input [yellow] 39 4 2" xfId="4559" xr:uid="{00000000-0005-0000-0000-000020110000}"/>
    <cellStyle name="Input [yellow] 4" xfId="327" xr:uid="{00000000-0005-0000-0000-000021110000}"/>
    <cellStyle name="Input [yellow] 4 2" xfId="780" xr:uid="{00000000-0005-0000-0000-000022110000}"/>
    <cellStyle name="Input [yellow] 4 2 2" xfId="1603" xr:uid="{00000000-0005-0000-0000-000023110000}"/>
    <cellStyle name="Input [yellow] 4 2 2 2" xfId="3847" xr:uid="{00000000-0005-0000-0000-000024110000}"/>
    <cellStyle name="Input [yellow] 4 2 3" xfId="3061" xr:uid="{00000000-0005-0000-0000-000025110000}"/>
    <cellStyle name="Input [yellow] 4 3" xfId="1530" xr:uid="{00000000-0005-0000-0000-000026110000}"/>
    <cellStyle name="Input [yellow] 4 3 2" xfId="3774" xr:uid="{00000000-0005-0000-0000-000027110000}"/>
    <cellStyle name="Input [yellow] 4 4" xfId="2316" xr:uid="{00000000-0005-0000-0000-000028110000}"/>
    <cellStyle name="Input [yellow] 4 4 2" xfId="4560" xr:uid="{00000000-0005-0000-0000-000029110000}"/>
    <cellStyle name="Input [yellow] 40" xfId="328" xr:uid="{00000000-0005-0000-0000-00002A110000}"/>
    <cellStyle name="Input [yellow] 40 2" xfId="781" xr:uid="{00000000-0005-0000-0000-00002B110000}"/>
    <cellStyle name="Input [yellow] 40 2 2" xfId="1604" xr:uid="{00000000-0005-0000-0000-00002C110000}"/>
    <cellStyle name="Input [yellow] 40 2 2 2" xfId="3848" xr:uid="{00000000-0005-0000-0000-00002D110000}"/>
    <cellStyle name="Input [yellow] 40 2 3" xfId="3062" xr:uid="{00000000-0005-0000-0000-00002E110000}"/>
    <cellStyle name="Input [yellow] 40 3" xfId="1531" xr:uid="{00000000-0005-0000-0000-00002F110000}"/>
    <cellStyle name="Input [yellow] 40 3 2" xfId="3775" xr:uid="{00000000-0005-0000-0000-000030110000}"/>
    <cellStyle name="Input [yellow] 40 4" xfId="2317" xr:uid="{00000000-0005-0000-0000-000031110000}"/>
    <cellStyle name="Input [yellow] 40 4 2" xfId="4561" xr:uid="{00000000-0005-0000-0000-000032110000}"/>
    <cellStyle name="Input [yellow] 41" xfId="329" xr:uid="{00000000-0005-0000-0000-000033110000}"/>
    <cellStyle name="Input [yellow] 41 2" xfId="782" xr:uid="{00000000-0005-0000-0000-000034110000}"/>
    <cellStyle name="Input [yellow] 41 2 2" xfId="1605" xr:uid="{00000000-0005-0000-0000-000035110000}"/>
    <cellStyle name="Input [yellow] 41 2 2 2" xfId="3849" xr:uid="{00000000-0005-0000-0000-000036110000}"/>
    <cellStyle name="Input [yellow] 41 2 3" xfId="3063" xr:uid="{00000000-0005-0000-0000-000037110000}"/>
    <cellStyle name="Input [yellow] 41 3" xfId="1532" xr:uid="{00000000-0005-0000-0000-000038110000}"/>
    <cellStyle name="Input [yellow] 41 3 2" xfId="3776" xr:uid="{00000000-0005-0000-0000-000039110000}"/>
    <cellStyle name="Input [yellow] 41 4" xfId="2318" xr:uid="{00000000-0005-0000-0000-00003A110000}"/>
    <cellStyle name="Input [yellow] 41 4 2" xfId="4562" xr:uid="{00000000-0005-0000-0000-00003B110000}"/>
    <cellStyle name="Input [yellow] 42" xfId="330" xr:uid="{00000000-0005-0000-0000-00003C110000}"/>
    <cellStyle name="Input [yellow] 42 2" xfId="783" xr:uid="{00000000-0005-0000-0000-00003D110000}"/>
    <cellStyle name="Input [yellow] 42 2 2" xfId="1606" xr:uid="{00000000-0005-0000-0000-00003E110000}"/>
    <cellStyle name="Input [yellow] 42 2 2 2" xfId="3850" xr:uid="{00000000-0005-0000-0000-00003F110000}"/>
    <cellStyle name="Input [yellow] 42 2 3" xfId="3064" xr:uid="{00000000-0005-0000-0000-000040110000}"/>
    <cellStyle name="Input [yellow] 42 3" xfId="1533" xr:uid="{00000000-0005-0000-0000-000041110000}"/>
    <cellStyle name="Input [yellow] 42 3 2" xfId="3777" xr:uid="{00000000-0005-0000-0000-000042110000}"/>
    <cellStyle name="Input [yellow] 42 4" xfId="2319" xr:uid="{00000000-0005-0000-0000-000043110000}"/>
    <cellStyle name="Input [yellow] 42 4 2" xfId="4563" xr:uid="{00000000-0005-0000-0000-000044110000}"/>
    <cellStyle name="Input [yellow] 43" xfId="331" xr:uid="{00000000-0005-0000-0000-000045110000}"/>
    <cellStyle name="Input [yellow] 43 2" xfId="784" xr:uid="{00000000-0005-0000-0000-000046110000}"/>
    <cellStyle name="Input [yellow] 43 2 2" xfId="1607" xr:uid="{00000000-0005-0000-0000-000047110000}"/>
    <cellStyle name="Input [yellow] 43 2 2 2" xfId="3851" xr:uid="{00000000-0005-0000-0000-000048110000}"/>
    <cellStyle name="Input [yellow] 43 2 3" xfId="3065" xr:uid="{00000000-0005-0000-0000-000049110000}"/>
    <cellStyle name="Input [yellow] 43 3" xfId="1534" xr:uid="{00000000-0005-0000-0000-00004A110000}"/>
    <cellStyle name="Input [yellow] 43 3 2" xfId="3778" xr:uid="{00000000-0005-0000-0000-00004B110000}"/>
    <cellStyle name="Input [yellow] 43 4" xfId="2320" xr:uid="{00000000-0005-0000-0000-00004C110000}"/>
    <cellStyle name="Input [yellow] 43 4 2" xfId="4564" xr:uid="{00000000-0005-0000-0000-00004D110000}"/>
    <cellStyle name="Input [yellow] 44" xfId="332" xr:uid="{00000000-0005-0000-0000-00004E110000}"/>
    <cellStyle name="Input [yellow] 44 2" xfId="785" xr:uid="{00000000-0005-0000-0000-00004F110000}"/>
    <cellStyle name="Input [yellow] 44 2 2" xfId="1608" xr:uid="{00000000-0005-0000-0000-000050110000}"/>
    <cellStyle name="Input [yellow] 44 2 2 2" xfId="3852" xr:uid="{00000000-0005-0000-0000-000051110000}"/>
    <cellStyle name="Input [yellow] 44 2 3" xfId="3066" xr:uid="{00000000-0005-0000-0000-000052110000}"/>
    <cellStyle name="Input [yellow] 44 3" xfId="1535" xr:uid="{00000000-0005-0000-0000-000053110000}"/>
    <cellStyle name="Input [yellow] 44 3 2" xfId="3779" xr:uid="{00000000-0005-0000-0000-000054110000}"/>
    <cellStyle name="Input [yellow] 44 4" xfId="2321" xr:uid="{00000000-0005-0000-0000-000055110000}"/>
    <cellStyle name="Input [yellow] 44 4 2" xfId="4565" xr:uid="{00000000-0005-0000-0000-000056110000}"/>
    <cellStyle name="Input [yellow] 45" xfId="333" xr:uid="{00000000-0005-0000-0000-000057110000}"/>
    <cellStyle name="Input [yellow] 45 2" xfId="786" xr:uid="{00000000-0005-0000-0000-000058110000}"/>
    <cellStyle name="Input [yellow] 45 2 2" xfId="1609" xr:uid="{00000000-0005-0000-0000-000059110000}"/>
    <cellStyle name="Input [yellow] 45 2 2 2" xfId="3853" xr:uid="{00000000-0005-0000-0000-00005A110000}"/>
    <cellStyle name="Input [yellow] 45 2 3" xfId="3067" xr:uid="{00000000-0005-0000-0000-00005B110000}"/>
    <cellStyle name="Input [yellow] 45 3" xfId="1536" xr:uid="{00000000-0005-0000-0000-00005C110000}"/>
    <cellStyle name="Input [yellow] 45 3 2" xfId="3780" xr:uid="{00000000-0005-0000-0000-00005D110000}"/>
    <cellStyle name="Input [yellow] 45 4" xfId="2322" xr:uid="{00000000-0005-0000-0000-00005E110000}"/>
    <cellStyle name="Input [yellow] 45 4 2" xfId="4566" xr:uid="{00000000-0005-0000-0000-00005F110000}"/>
    <cellStyle name="Input [yellow] 46" xfId="334" xr:uid="{00000000-0005-0000-0000-000060110000}"/>
    <cellStyle name="Input [yellow] 46 2" xfId="787" xr:uid="{00000000-0005-0000-0000-000061110000}"/>
    <cellStyle name="Input [yellow] 46 2 2" xfId="1610" xr:uid="{00000000-0005-0000-0000-000062110000}"/>
    <cellStyle name="Input [yellow] 46 2 2 2" xfId="3854" xr:uid="{00000000-0005-0000-0000-000063110000}"/>
    <cellStyle name="Input [yellow] 46 2 3" xfId="3068" xr:uid="{00000000-0005-0000-0000-000064110000}"/>
    <cellStyle name="Input [yellow] 46 3" xfId="1537" xr:uid="{00000000-0005-0000-0000-000065110000}"/>
    <cellStyle name="Input [yellow] 46 3 2" xfId="3781" xr:uid="{00000000-0005-0000-0000-000066110000}"/>
    <cellStyle name="Input [yellow] 46 4" xfId="2323" xr:uid="{00000000-0005-0000-0000-000067110000}"/>
    <cellStyle name="Input [yellow] 46 4 2" xfId="4567" xr:uid="{00000000-0005-0000-0000-000068110000}"/>
    <cellStyle name="Input [yellow] 47" xfId="335" xr:uid="{00000000-0005-0000-0000-000069110000}"/>
    <cellStyle name="Input [yellow] 47 2" xfId="788" xr:uid="{00000000-0005-0000-0000-00006A110000}"/>
    <cellStyle name="Input [yellow] 47 2 2" xfId="1611" xr:uid="{00000000-0005-0000-0000-00006B110000}"/>
    <cellStyle name="Input [yellow] 47 2 2 2" xfId="3855" xr:uid="{00000000-0005-0000-0000-00006C110000}"/>
    <cellStyle name="Input [yellow] 47 2 3" xfId="3069" xr:uid="{00000000-0005-0000-0000-00006D110000}"/>
    <cellStyle name="Input [yellow] 47 3" xfId="1538" xr:uid="{00000000-0005-0000-0000-00006E110000}"/>
    <cellStyle name="Input [yellow] 47 3 2" xfId="3782" xr:uid="{00000000-0005-0000-0000-00006F110000}"/>
    <cellStyle name="Input [yellow] 47 4" xfId="2324" xr:uid="{00000000-0005-0000-0000-000070110000}"/>
    <cellStyle name="Input [yellow] 47 4 2" xfId="4568" xr:uid="{00000000-0005-0000-0000-000071110000}"/>
    <cellStyle name="Input [yellow] 48" xfId="336" xr:uid="{00000000-0005-0000-0000-000072110000}"/>
    <cellStyle name="Input [yellow] 48 2" xfId="789" xr:uid="{00000000-0005-0000-0000-000073110000}"/>
    <cellStyle name="Input [yellow] 48 2 2" xfId="1612" xr:uid="{00000000-0005-0000-0000-000074110000}"/>
    <cellStyle name="Input [yellow] 48 2 2 2" xfId="3856" xr:uid="{00000000-0005-0000-0000-000075110000}"/>
    <cellStyle name="Input [yellow] 48 2 3" xfId="3070" xr:uid="{00000000-0005-0000-0000-000076110000}"/>
    <cellStyle name="Input [yellow] 48 3" xfId="1539" xr:uid="{00000000-0005-0000-0000-000077110000}"/>
    <cellStyle name="Input [yellow] 48 3 2" xfId="3783" xr:uid="{00000000-0005-0000-0000-000078110000}"/>
    <cellStyle name="Input [yellow] 48 4" xfId="2325" xr:uid="{00000000-0005-0000-0000-000079110000}"/>
    <cellStyle name="Input [yellow] 48 4 2" xfId="4569" xr:uid="{00000000-0005-0000-0000-00007A110000}"/>
    <cellStyle name="Input [yellow] 49" xfId="337" xr:uid="{00000000-0005-0000-0000-00007B110000}"/>
    <cellStyle name="Input [yellow] 49 2" xfId="790" xr:uid="{00000000-0005-0000-0000-00007C110000}"/>
    <cellStyle name="Input [yellow] 49 2 2" xfId="1613" xr:uid="{00000000-0005-0000-0000-00007D110000}"/>
    <cellStyle name="Input [yellow] 49 2 2 2" xfId="3857" xr:uid="{00000000-0005-0000-0000-00007E110000}"/>
    <cellStyle name="Input [yellow] 49 2 3" xfId="3071" xr:uid="{00000000-0005-0000-0000-00007F110000}"/>
    <cellStyle name="Input [yellow] 49 3" xfId="1540" xr:uid="{00000000-0005-0000-0000-000080110000}"/>
    <cellStyle name="Input [yellow] 49 3 2" xfId="3784" xr:uid="{00000000-0005-0000-0000-000081110000}"/>
    <cellStyle name="Input [yellow] 49 4" xfId="2326" xr:uid="{00000000-0005-0000-0000-000082110000}"/>
    <cellStyle name="Input [yellow] 49 4 2" xfId="4570" xr:uid="{00000000-0005-0000-0000-000083110000}"/>
    <cellStyle name="Input [yellow] 5" xfId="338" xr:uid="{00000000-0005-0000-0000-000084110000}"/>
    <cellStyle name="Input [yellow] 5 2" xfId="791" xr:uid="{00000000-0005-0000-0000-000085110000}"/>
    <cellStyle name="Input [yellow] 5 2 2" xfId="1614" xr:uid="{00000000-0005-0000-0000-000086110000}"/>
    <cellStyle name="Input [yellow] 5 2 2 2" xfId="3858" xr:uid="{00000000-0005-0000-0000-000087110000}"/>
    <cellStyle name="Input [yellow] 5 2 3" xfId="3072" xr:uid="{00000000-0005-0000-0000-000088110000}"/>
    <cellStyle name="Input [yellow] 5 3" xfId="1541" xr:uid="{00000000-0005-0000-0000-000089110000}"/>
    <cellStyle name="Input [yellow] 5 3 2" xfId="3785" xr:uid="{00000000-0005-0000-0000-00008A110000}"/>
    <cellStyle name="Input [yellow] 5 4" xfId="2327" xr:uid="{00000000-0005-0000-0000-00008B110000}"/>
    <cellStyle name="Input [yellow] 5 4 2" xfId="4571" xr:uid="{00000000-0005-0000-0000-00008C110000}"/>
    <cellStyle name="Input [yellow] 50" xfId="339" xr:uid="{00000000-0005-0000-0000-00008D110000}"/>
    <cellStyle name="Input [yellow] 50 2" xfId="792" xr:uid="{00000000-0005-0000-0000-00008E110000}"/>
    <cellStyle name="Input [yellow] 50 2 2" xfId="1615" xr:uid="{00000000-0005-0000-0000-00008F110000}"/>
    <cellStyle name="Input [yellow] 50 2 2 2" xfId="3859" xr:uid="{00000000-0005-0000-0000-000090110000}"/>
    <cellStyle name="Input [yellow] 50 2 3" xfId="3073" xr:uid="{00000000-0005-0000-0000-000091110000}"/>
    <cellStyle name="Input [yellow] 50 3" xfId="1542" xr:uid="{00000000-0005-0000-0000-000092110000}"/>
    <cellStyle name="Input [yellow] 50 3 2" xfId="3786" xr:uid="{00000000-0005-0000-0000-000093110000}"/>
    <cellStyle name="Input [yellow] 50 4" xfId="2328" xr:uid="{00000000-0005-0000-0000-000094110000}"/>
    <cellStyle name="Input [yellow] 50 4 2" xfId="4572" xr:uid="{00000000-0005-0000-0000-000095110000}"/>
    <cellStyle name="Input [yellow] 51" xfId="340" xr:uid="{00000000-0005-0000-0000-000096110000}"/>
    <cellStyle name="Input [yellow] 51 2" xfId="793" xr:uid="{00000000-0005-0000-0000-000097110000}"/>
    <cellStyle name="Input [yellow] 51 2 2" xfId="1616" xr:uid="{00000000-0005-0000-0000-000098110000}"/>
    <cellStyle name="Input [yellow] 51 2 2 2" xfId="3860" xr:uid="{00000000-0005-0000-0000-000099110000}"/>
    <cellStyle name="Input [yellow] 51 2 3" xfId="3074" xr:uid="{00000000-0005-0000-0000-00009A110000}"/>
    <cellStyle name="Input [yellow] 51 3" xfId="1543" xr:uid="{00000000-0005-0000-0000-00009B110000}"/>
    <cellStyle name="Input [yellow] 51 3 2" xfId="3787" xr:uid="{00000000-0005-0000-0000-00009C110000}"/>
    <cellStyle name="Input [yellow] 51 4" xfId="2329" xr:uid="{00000000-0005-0000-0000-00009D110000}"/>
    <cellStyle name="Input [yellow] 51 4 2" xfId="4573" xr:uid="{00000000-0005-0000-0000-00009E110000}"/>
    <cellStyle name="Input [yellow] 52" xfId="341" xr:uid="{00000000-0005-0000-0000-00009F110000}"/>
    <cellStyle name="Input [yellow] 52 2" xfId="794" xr:uid="{00000000-0005-0000-0000-0000A0110000}"/>
    <cellStyle name="Input [yellow] 52 2 2" xfId="1617" xr:uid="{00000000-0005-0000-0000-0000A1110000}"/>
    <cellStyle name="Input [yellow] 52 2 2 2" xfId="3861" xr:uid="{00000000-0005-0000-0000-0000A2110000}"/>
    <cellStyle name="Input [yellow] 52 2 3" xfId="3075" xr:uid="{00000000-0005-0000-0000-0000A3110000}"/>
    <cellStyle name="Input [yellow] 52 3" xfId="1544" xr:uid="{00000000-0005-0000-0000-0000A4110000}"/>
    <cellStyle name="Input [yellow] 52 3 2" xfId="3788" xr:uid="{00000000-0005-0000-0000-0000A5110000}"/>
    <cellStyle name="Input [yellow] 52 4" xfId="2330" xr:uid="{00000000-0005-0000-0000-0000A6110000}"/>
    <cellStyle name="Input [yellow] 52 4 2" xfId="4574" xr:uid="{00000000-0005-0000-0000-0000A7110000}"/>
    <cellStyle name="Input [yellow] 53" xfId="342" xr:uid="{00000000-0005-0000-0000-0000A8110000}"/>
    <cellStyle name="Input [yellow] 54" xfId="746" xr:uid="{00000000-0005-0000-0000-0000A9110000}"/>
    <cellStyle name="Input [yellow] 54 2" xfId="1569" xr:uid="{00000000-0005-0000-0000-0000AA110000}"/>
    <cellStyle name="Input [yellow] 54 2 2" xfId="3813" xr:uid="{00000000-0005-0000-0000-0000AB110000}"/>
    <cellStyle name="Input [yellow] 54 3" xfId="3027" xr:uid="{00000000-0005-0000-0000-0000AC110000}"/>
    <cellStyle name="Input [yellow] 55" xfId="1496" xr:uid="{00000000-0005-0000-0000-0000AD110000}"/>
    <cellStyle name="Input [yellow] 55 2" xfId="3740" xr:uid="{00000000-0005-0000-0000-0000AE110000}"/>
    <cellStyle name="Input [yellow] 56" xfId="2282" xr:uid="{00000000-0005-0000-0000-0000AF110000}"/>
    <cellStyle name="Input [yellow] 56 2" xfId="4526" xr:uid="{00000000-0005-0000-0000-0000B0110000}"/>
    <cellStyle name="Input [yellow] 6" xfId="343" xr:uid="{00000000-0005-0000-0000-0000B1110000}"/>
    <cellStyle name="Input [yellow] 6 2" xfId="795" xr:uid="{00000000-0005-0000-0000-0000B2110000}"/>
    <cellStyle name="Input [yellow] 6 2 2" xfId="1618" xr:uid="{00000000-0005-0000-0000-0000B3110000}"/>
    <cellStyle name="Input [yellow] 6 2 2 2" xfId="3862" xr:uid="{00000000-0005-0000-0000-0000B4110000}"/>
    <cellStyle name="Input [yellow] 6 2 3" xfId="3076" xr:uid="{00000000-0005-0000-0000-0000B5110000}"/>
    <cellStyle name="Input [yellow] 6 3" xfId="1545" xr:uid="{00000000-0005-0000-0000-0000B6110000}"/>
    <cellStyle name="Input [yellow] 6 3 2" xfId="3789" xr:uid="{00000000-0005-0000-0000-0000B7110000}"/>
    <cellStyle name="Input [yellow] 6 4" xfId="2331" xr:uid="{00000000-0005-0000-0000-0000B8110000}"/>
    <cellStyle name="Input [yellow] 6 4 2" xfId="4575" xr:uid="{00000000-0005-0000-0000-0000B9110000}"/>
    <cellStyle name="Input [yellow] 7" xfId="344" xr:uid="{00000000-0005-0000-0000-0000BA110000}"/>
    <cellStyle name="Input [yellow] 7 2" xfId="796" xr:uid="{00000000-0005-0000-0000-0000BB110000}"/>
    <cellStyle name="Input [yellow] 7 2 2" xfId="1619" xr:uid="{00000000-0005-0000-0000-0000BC110000}"/>
    <cellStyle name="Input [yellow] 7 2 2 2" xfId="3863" xr:uid="{00000000-0005-0000-0000-0000BD110000}"/>
    <cellStyle name="Input [yellow] 7 2 3" xfId="3077" xr:uid="{00000000-0005-0000-0000-0000BE110000}"/>
    <cellStyle name="Input [yellow] 7 3" xfId="1546" xr:uid="{00000000-0005-0000-0000-0000BF110000}"/>
    <cellStyle name="Input [yellow] 7 3 2" xfId="3790" xr:uid="{00000000-0005-0000-0000-0000C0110000}"/>
    <cellStyle name="Input [yellow] 7 4" xfId="2332" xr:uid="{00000000-0005-0000-0000-0000C1110000}"/>
    <cellStyle name="Input [yellow] 7 4 2" xfId="4576" xr:uid="{00000000-0005-0000-0000-0000C2110000}"/>
    <cellStyle name="Input [yellow] 8" xfId="345" xr:uid="{00000000-0005-0000-0000-0000C3110000}"/>
    <cellStyle name="Input [yellow] 8 2" xfId="797" xr:uid="{00000000-0005-0000-0000-0000C4110000}"/>
    <cellStyle name="Input [yellow] 8 2 2" xfId="1620" xr:uid="{00000000-0005-0000-0000-0000C5110000}"/>
    <cellStyle name="Input [yellow] 8 2 2 2" xfId="3864" xr:uid="{00000000-0005-0000-0000-0000C6110000}"/>
    <cellStyle name="Input [yellow] 8 2 3" xfId="3078" xr:uid="{00000000-0005-0000-0000-0000C7110000}"/>
    <cellStyle name="Input [yellow] 8 3" xfId="1547" xr:uid="{00000000-0005-0000-0000-0000C8110000}"/>
    <cellStyle name="Input [yellow] 8 3 2" xfId="3791" xr:uid="{00000000-0005-0000-0000-0000C9110000}"/>
    <cellStyle name="Input [yellow] 8 4" xfId="2333" xr:uid="{00000000-0005-0000-0000-0000CA110000}"/>
    <cellStyle name="Input [yellow] 8 4 2" xfId="4577" xr:uid="{00000000-0005-0000-0000-0000CB110000}"/>
    <cellStyle name="Input [yellow] 9" xfId="346" xr:uid="{00000000-0005-0000-0000-0000CC110000}"/>
    <cellStyle name="Input [yellow] 9 2" xfId="798" xr:uid="{00000000-0005-0000-0000-0000CD110000}"/>
    <cellStyle name="Input [yellow] 9 2 2" xfId="1621" xr:uid="{00000000-0005-0000-0000-0000CE110000}"/>
    <cellStyle name="Input [yellow] 9 2 2 2" xfId="3865" xr:uid="{00000000-0005-0000-0000-0000CF110000}"/>
    <cellStyle name="Input [yellow] 9 2 3" xfId="3079" xr:uid="{00000000-0005-0000-0000-0000D0110000}"/>
    <cellStyle name="Input [yellow] 9 3" xfId="1548" xr:uid="{00000000-0005-0000-0000-0000D1110000}"/>
    <cellStyle name="Input [yellow] 9 3 2" xfId="3792" xr:uid="{00000000-0005-0000-0000-0000D2110000}"/>
    <cellStyle name="Input [yellow] 9 4" xfId="2334" xr:uid="{00000000-0005-0000-0000-0000D3110000}"/>
    <cellStyle name="Input [yellow] 9 4 2" xfId="4578" xr:uid="{00000000-0005-0000-0000-0000D4110000}"/>
    <cellStyle name="Link Currency (0)" xfId="347" xr:uid="{00000000-0005-0000-0000-0000D5110000}"/>
    <cellStyle name="Link Currency (2)" xfId="348" xr:uid="{00000000-0005-0000-0000-0000D6110000}"/>
    <cellStyle name="Link Units (0)" xfId="349" xr:uid="{00000000-0005-0000-0000-0000D7110000}"/>
    <cellStyle name="Link Units (1)" xfId="350" xr:uid="{00000000-0005-0000-0000-0000D8110000}"/>
    <cellStyle name="Link Units (2)" xfId="351" xr:uid="{00000000-0005-0000-0000-0000D9110000}"/>
    <cellStyle name="Model" xfId="352" xr:uid="{00000000-0005-0000-0000-0000DA110000}"/>
    <cellStyle name="Model 2" xfId="353" xr:uid="{00000000-0005-0000-0000-0000DB110000}"/>
    <cellStyle name="no dec" xfId="354" xr:uid="{00000000-0005-0000-0000-0000DC110000}"/>
    <cellStyle name="Normal" xfId="0" builtinId="0"/>
    <cellStyle name="Normal - Style1" xfId="355" xr:uid="{00000000-0005-0000-0000-0000DE110000}"/>
    <cellStyle name="Normal - Style1 2" xfId="356" xr:uid="{00000000-0005-0000-0000-0000DF110000}"/>
    <cellStyle name="Normal 10" xfId="357" xr:uid="{00000000-0005-0000-0000-0000E0110000}"/>
    <cellStyle name="Normal 10 10" xfId="358" xr:uid="{00000000-0005-0000-0000-0000E1110000}"/>
    <cellStyle name="Normal 10 11" xfId="359" xr:uid="{00000000-0005-0000-0000-0000E2110000}"/>
    <cellStyle name="Normal 10 12" xfId="360" xr:uid="{00000000-0005-0000-0000-0000E3110000}"/>
    <cellStyle name="Normal 10 13" xfId="361" xr:uid="{00000000-0005-0000-0000-0000E4110000}"/>
    <cellStyle name="Normal 10 14" xfId="362" xr:uid="{00000000-0005-0000-0000-0000E5110000}"/>
    <cellStyle name="Normal 10 15" xfId="363" xr:uid="{00000000-0005-0000-0000-0000E6110000}"/>
    <cellStyle name="Normal 10 16" xfId="364" xr:uid="{00000000-0005-0000-0000-0000E7110000}"/>
    <cellStyle name="Normal 10 17" xfId="365" xr:uid="{00000000-0005-0000-0000-0000E8110000}"/>
    <cellStyle name="Normal 10 18" xfId="366" xr:uid="{00000000-0005-0000-0000-0000E9110000}"/>
    <cellStyle name="Normal 10 19" xfId="367" xr:uid="{00000000-0005-0000-0000-0000EA110000}"/>
    <cellStyle name="Normal 10 2" xfId="368" xr:uid="{00000000-0005-0000-0000-0000EB110000}"/>
    <cellStyle name="Normal 10 2 2" xfId="1319" xr:uid="{00000000-0005-0000-0000-0000EC110000}"/>
    <cellStyle name="Normal 10 20" xfId="369" xr:uid="{00000000-0005-0000-0000-0000ED110000}"/>
    <cellStyle name="Normal 10 21" xfId="370" xr:uid="{00000000-0005-0000-0000-0000EE110000}"/>
    <cellStyle name="Normal 10 3" xfId="371" xr:uid="{00000000-0005-0000-0000-0000EF110000}"/>
    <cellStyle name="Normal 10 4" xfId="372" xr:uid="{00000000-0005-0000-0000-0000F0110000}"/>
    <cellStyle name="Normal 10 5" xfId="373" xr:uid="{00000000-0005-0000-0000-0000F1110000}"/>
    <cellStyle name="Normal 10 6" xfId="374" xr:uid="{00000000-0005-0000-0000-0000F2110000}"/>
    <cellStyle name="Normal 10 7" xfId="375" xr:uid="{00000000-0005-0000-0000-0000F3110000}"/>
    <cellStyle name="Normal 10 8" xfId="376" xr:uid="{00000000-0005-0000-0000-0000F4110000}"/>
    <cellStyle name="Normal 10 9" xfId="377" xr:uid="{00000000-0005-0000-0000-0000F5110000}"/>
    <cellStyle name="Normal 10_BS S-Sch" xfId="378" xr:uid="{00000000-0005-0000-0000-0000F6110000}"/>
    <cellStyle name="Normal 11" xfId="379" xr:uid="{00000000-0005-0000-0000-0000F7110000}"/>
    <cellStyle name="Normal 11 10" xfId="380" xr:uid="{00000000-0005-0000-0000-0000F8110000}"/>
    <cellStyle name="Normal 11 11" xfId="381" xr:uid="{00000000-0005-0000-0000-0000F9110000}"/>
    <cellStyle name="Normal 11 12" xfId="382" xr:uid="{00000000-0005-0000-0000-0000FA110000}"/>
    <cellStyle name="Normal 11 13" xfId="383" xr:uid="{00000000-0005-0000-0000-0000FB110000}"/>
    <cellStyle name="Normal 11 14" xfId="384" xr:uid="{00000000-0005-0000-0000-0000FC110000}"/>
    <cellStyle name="Normal 11 15" xfId="385" xr:uid="{00000000-0005-0000-0000-0000FD110000}"/>
    <cellStyle name="Normal 11 16" xfId="386" xr:uid="{00000000-0005-0000-0000-0000FE110000}"/>
    <cellStyle name="Normal 11 17" xfId="387" xr:uid="{00000000-0005-0000-0000-0000FF110000}"/>
    <cellStyle name="Normal 11 18" xfId="388" xr:uid="{00000000-0005-0000-0000-000000120000}"/>
    <cellStyle name="Normal 11 19" xfId="389" xr:uid="{00000000-0005-0000-0000-000001120000}"/>
    <cellStyle name="Normal 11 2" xfId="390" xr:uid="{00000000-0005-0000-0000-000002120000}"/>
    <cellStyle name="Normal 11 20" xfId="391" xr:uid="{00000000-0005-0000-0000-000003120000}"/>
    <cellStyle name="Normal 11 21" xfId="392" xr:uid="{00000000-0005-0000-0000-000004120000}"/>
    <cellStyle name="Normal 11 3" xfId="393" xr:uid="{00000000-0005-0000-0000-000005120000}"/>
    <cellStyle name="Normal 11 4" xfId="394" xr:uid="{00000000-0005-0000-0000-000006120000}"/>
    <cellStyle name="Normal 11 5" xfId="395" xr:uid="{00000000-0005-0000-0000-000007120000}"/>
    <cellStyle name="Normal 11 6" xfId="396" xr:uid="{00000000-0005-0000-0000-000008120000}"/>
    <cellStyle name="Normal 11 7" xfId="397" xr:uid="{00000000-0005-0000-0000-000009120000}"/>
    <cellStyle name="Normal 11 8" xfId="398" xr:uid="{00000000-0005-0000-0000-00000A120000}"/>
    <cellStyle name="Normal 11 9" xfId="399" xr:uid="{00000000-0005-0000-0000-00000B120000}"/>
    <cellStyle name="Normal 11_BS S-Sch" xfId="400" xr:uid="{00000000-0005-0000-0000-00000C120000}"/>
    <cellStyle name="Normal 12" xfId="401" xr:uid="{00000000-0005-0000-0000-00000D120000}"/>
    <cellStyle name="Normal 13" xfId="402" xr:uid="{00000000-0005-0000-0000-00000E120000}"/>
    <cellStyle name="Normal 14" xfId="403" xr:uid="{00000000-0005-0000-0000-00000F120000}"/>
    <cellStyle name="Normal 15" xfId="31" xr:uid="{00000000-0005-0000-0000-000010120000}"/>
    <cellStyle name="Normal 15 2" xfId="404" xr:uid="{00000000-0005-0000-0000-000011120000}"/>
    <cellStyle name="Normal 16" xfId="405" xr:uid="{00000000-0005-0000-0000-000012120000}"/>
    <cellStyle name="Normal 17" xfId="406" xr:uid="{00000000-0005-0000-0000-000013120000}"/>
    <cellStyle name="Normal 18" xfId="407" xr:uid="{00000000-0005-0000-0000-000014120000}"/>
    <cellStyle name="Normal 18 10" xfId="408" xr:uid="{00000000-0005-0000-0000-000015120000}"/>
    <cellStyle name="Normal 18 11" xfId="409" xr:uid="{00000000-0005-0000-0000-000016120000}"/>
    <cellStyle name="Normal 18 12" xfId="410" xr:uid="{00000000-0005-0000-0000-000017120000}"/>
    <cellStyle name="Normal 18 13" xfId="411" xr:uid="{00000000-0005-0000-0000-000018120000}"/>
    <cellStyle name="Normal 18 14" xfId="412" xr:uid="{00000000-0005-0000-0000-000019120000}"/>
    <cellStyle name="Normal 18 15" xfId="413" xr:uid="{00000000-0005-0000-0000-00001A120000}"/>
    <cellStyle name="Normal 18 16" xfId="414" xr:uid="{00000000-0005-0000-0000-00001B120000}"/>
    <cellStyle name="Normal 18 17" xfId="415" xr:uid="{00000000-0005-0000-0000-00001C120000}"/>
    <cellStyle name="Normal 18 18" xfId="416" xr:uid="{00000000-0005-0000-0000-00001D120000}"/>
    <cellStyle name="Normal 18 19" xfId="417" xr:uid="{00000000-0005-0000-0000-00001E120000}"/>
    <cellStyle name="Normal 18 2" xfId="418" xr:uid="{00000000-0005-0000-0000-00001F120000}"/>
    <cellStyle name="Normal 18 20" xfId="419" xr:uid="{00000000-0005-0000-0000-000020120000}"/>
    <cellStyle name="Normal 18 21" xfId="420" xr:uid="{00000000-0005-0000-0000-000021120000}"/>
    <cellStyle name="Normal 18 3" xfId="421" xr:uid="{00000000-0005-0000-0000-000022120000}"/>
    <cellStyle name="Normal 18 4" xfId="422" xr:uid="{00000000-0005-0000-0000-000023120000}"/>
    <cellStyle name="Normal 18 5" xfId="423" xr:uid="{00000000-0005-0000-0000-000024120000}"/>
    <cellStyle name="Normal 18 6" xfId="424" xr:uid="{00000000-0005-0000-0000-000025120000}"/>
    <cellStyle name="Normal 18 7" xfId="425" xr:uid="{00000000-0005-0000-0000-000026120000}"/>
    <cellStyle name="Normal 18 8" xfId="426" xr:uid="{00000000-0005-0000-0000-000027120000}"/>
    <cellStyle name="Normal 18 9" xfId="427" xr:uid="{00000000-0005-0000-0000-000028120000}"/>
    <cellStyle name="Normal 18_BS S-Sch" xfId="428" xr:uid="{00000000-0005-0000-0000-000029120000}"/>
    <cellStyle name="Normal 183 2" xfId="5092" xr:uid="{00000000-0005-0000-0000-00002A120000}"/>
    <cellStyle name="Normal 19" xfId="598" xr:uid="{00000000-0005-0000-0000-00002B120000}"/>
    <cellStyle name="Normal 2" xfId="10" xr:uid="{00000000-0005-0000-0000-00002C120000}"/>
    <cellStyle name="Normal 2 10" xfId="429" xr:uid="{00000000-0005-0000-0000-00002D120000}"/>
    <cellStyle name="Normal 2 11" xfId="430" xr:uid="{00000000-0005-0000-0000-00002E120000}"/>
    <cellStyle name="Normal 2 12" xfId="431" xr:uid="{00000000-0005-0000-0000-00002F120000}"/>
    <cellStyle name="Normal 2 13" xfId="432" xr:uid="{00000000-0005-0000-0000-000030120000}"/>
    <cellStyle name="Normal 2 14" xfId="433" xr:uid="{00000000-0005-0000-0000-000031120000}"/>
    <cellStyle name="Normal 2 15" xfId="434" xr:uid="{00000000-0005-0000-0000-000032120000}"/>
    <cellStyle name="Normal 2 16" xfId="435" xr:uid="{00000000-0005-0000-0000-000033120000}"/>
    <cellStyle name="Normal 2 17" xfId="436" xr:uid="{00000000-0005-0000-0000-000034120000}"/>
    <cellStyle name="Normal 2 18" xfId="437" xr:uid="{00000000-0005-0000-0000-000035120000}"/>
    <cellStyle name="Normal 2 19" xfId="438" xr:uid="{00000000-0005-0000-0000-000036120000}"/>
    <cellStyle name="Normal 2 2" xfId="32" xr:uid="{00000000-0005-0000-0000-000037120000}"/>
    <cellStyle name="Normal 2 2 2" xfId="439" xr:uid="{00000000-0005-0000-0000-000038120000}"/>
    <cellStyle name="Normal 2 20" xfId="440" xr:uid="{00000000-0005-0000-0000-000039120000}"/>
    <cellStyle name="Normal 2 21" xfId="441" xr:uid="{00000000-0005-0000-0000-00003A120000}"/>
    <cellStyle name="Normal 2 22" xfId="442" xr:uid="{00000000-0005-0000-0000-00003B120000}"/>
    <cellStyle name="Normal 2 23" xfId="443" xr:uid="{00000000-0005-0000-0000-00003C120000}"/>
    <cellStyle name="Normal 2 24" xfId="444" xr:uid="{00000000-0005-0000-0000-00003D120000}"/>
    <cellStyle name="Normal 2 25" xfId="445" xr:uid="{00000000-0005-0000-0000-00003E120000}"/>
    <cellStyle name="Normal 2 26" xfId="446" xr:uid="{00000000-0005-0000-0000-00003F120000}"/>
    <cellStyle name="Normal 2 27" xfId="447" xr:uid="{00000000-0005-0000-0000-000040120000}"/>
    <cellStyle name="Normal 2 28" xfId="448" xr:uid="{00000000-0005-0000-0000-000041120000}"/>
    <cellStyle name="Normal 2 29" xfId="449" xr:uid="{00000000-0005-0000-0000-000042120000}"/>
    <cellStyle name="Normal 2 3" xfId="450" xr:uid="{00000000-0005-0000-0000-000043120000}"/>
    <cellStyle name="Normal 2 30" xfId="451" xr:uid="{00000000-0005-0000-0000-000044120000}"/>
    <cellStyle name="Normal 2 31" xfId="452" xr:uid="{00000000-0005-0000-0000-000045120000}"/>
    <cellStyle name="Normal 2 32" xfId="453" xr:uid="{00000000-0005-0000-0000-000046120000}"/>
    <cellStyle name="Normal 2 33" xfId="454" xr:uid="{00000000-0005-0000-0000-000047120000}"/>
    <cellStyle name="Normal 2 34" xfId="455" xr:uid="{00000000-0005-0000-0000-000048120000}"/>
    <cellStyle name="Normal 2 35" xfId="456" xr:uid="{00000000-0005-0000-0000-000049120000}"/>
    <cellStyle name="Normal 2 36" xfId="457" xr:uid="{00000000-0005-0000-0000-00004A120000}"/>
    <cellStyle name="Normal 2 37" xfId="458" xr:uid="{00000000-0005-0000-0000-00004B120000}"/>
    <cellStyle name="Normal 2 38" xfId="459" xr:uid="{00000000-0005-0000-0000-00004C120000}"/>
    <cellStyle name="Normal 2 39" xfId="460" xr:uid="{00000000-0005-0000-0000-00004D120000}"/>
    <cellStyle name="Normal 2 4" xfId="461" xr:uid="{00000000-0005-0000-0000-00004E120000}"/>
    <cellStyle name="Normal 2 40" xfId="462" xr:uid="{00000000-0005-0000-0000-00004F120000}"/>
    <cellStyle name="Normal 2 41" xfId="463" xr:uid="{00000000-0005-0000-0000-000050120000}"/>
    <cellStyle name="Normal 2 42" xfId="464" xr:uid="{00000000-0005-0000-0000-000051120000}"/>
    <cellStyle name="Normal 2 43" xfId="465" xr:uid="{00000000-0005-0000-0000-000052120000}"/>
    <cellStyle name="Normal 2 44" xfId="466" xr:uid="{00000000-0005-0000-0000-000053120000}"/>
    <cellStyle name="Normal 2 45" xfId="467" xr:uid="{00000000-0005-0000-0000-000054120000}"/>
    <cellStyle name="Normal 2 46" xfId="468" xr:uid="{00000000-0005-0000-0000-000055120000}"/>
    <cellStyle name="Normal 2 47" xfId="469" xr:uid="{00000000-0005-0000-0000-000056120000}"/>
    <cellStyle name="Normal 2 48" xfId="470" xr:uid="{00000000-0005-0000-0000-000057120000}"/>
    <cellStyle name="Normal 2 49" xfId="471" xr:uid="{00000000-0005-0000-0000-000058120000}"/>
    <cellStyle name="Normal 2 5" xfId="472" xr:uid="{00000000-0005-0000-0000-000059120000}"/>
    <cellStyle name="Normal 2 50" xfId="473" xr:uid="{00000000-0005-0000-0000-00005A120000}"/>
    <cellStyle name="Normal 2 51" xfId="474" xr:uid="{00000000-0005-0000-0000-00005B120000}"/>
    <cellStyle name="Normal 2 52" xfId="475" xr:uid="{00000000-0005-0000-0000-00005C120000}"/>
    <cellStyle name="Normal 2 53" xfId="476" xr:uid="{00000000-0005-0000-0000-00005D120000}"/>
    <cellStyle name="Normal 2 54" xfId="477" xr:uid="{00000000-0005-0000-0000-00005E120000}"/>
    <cellStyle name="Normal 2 55" xfId="478" xr:uid="{00000000-0005-0000-0000-00005F120000}"/>
    <cellStyle name="Normal 2 56" xfId="479" xr:uid="{00000000-0005-0000-0000-000060120000}"/>
    <cellStyle name="Normal 2 57" xfId="480" xr:uid="{00000000-0005-0000-0000-000061120000}"/>
    <cellStyle name="Normal 2 58" xfId="481" xr:uid="{00000000-0005-0000-0000-000062120000}"/>
    <cellStyle name="Normal 2 59" xfId="482" xr:uid="{00000000-0005-0000-0000-000063120000}"/>
    <cellStyle name="Normal 2 6" xfId="483" xr:uid="{00000000-0005-0000-0000-000064120000}"/>
    <cellStyle name="Normal 2 60" xfId="484" xr:uid="{00000000-0005-0000-0000-000065120000}"/>
    <cellStyle name="Normal 2 61" xfId="485" xr:uid="{00000000-0005-0000-0000-000066120000}"/>
    <cellStyle name="Normal 2 62" xfId="486" xr:uid="{00000000-0005-0000-0000-000067120000}"/>
    <cellStyle name="Normal 2 63" xfId="487" xr:uid="{00000000-0005-0000-0000-000068120000}"/>
    <cellStyle name="Normal 2 64" xfId="488" xr:uid="{00000000-0005-0000-0000-000069120000}"/>
    <cellStyle name="Normal 2 65" xfId="489" xr:uid="{00000000-0005-0000-0000-00006A120000}"/>
    <cellStyle name="Normal 2 66" xfId="490" xr:uid="{00000000-0005-0000-0000-00006B120000}"/>
    <cellStyle name="Normal 2 67" xfId="491" xr:uid="{00000000-0005-0000-0000-00006C120000}"/>
    <cellStyle name="Normal 2 68" xfId="492" xr:uid="{00000000-0005-0000-0000-00006D120000}"/>
    <cellStyle name="Normal 2 69" xfId="493" xr:uid="{00000000-0005-0000-0000-00006E120000}"/>
    <cellStyle name="Normal 2 7" xfId="494" xr:uid="{00000000-0005-0000-0000-00006F120000}"/>
    <cellStyle name="Normal 2 70" xfId="495" xr:uid="{00000000-0005-0000-0000-000070120000}"/>
    <cellStyle name="Normal 2 71" xfId="496" xr:uid="{00000000-0005-0000-0000-000071120000}"/>
    <cellStyle name="Normal 2 72" xfId="497" xr:uid="{00000000-0005-0000-0000-000072120000}"/>
    <cellStyle name="Normal 2 73" xfId="498" xr:uid="{00000000-0005-0000-0000-000073120000}"/>
    <cellStyle name="Normal 2 74" xfId="499" xr:uid="{00000000-0005-0000-0000-000074120000}"/>
    <cellStyle name="Normal 2 75" xfId="500" xr:uid="{00000000-0005-0000-0000-000075120000}"/>
    <cellStyle name="Normal 2 76" xfId="501" xr:uid="{00000000-0005-0000-0000-000076120000}"/>
    <cellStyle name="Normal 2 77" xfId="502" xr:uid="{00000000-0005-0000-0000-000077120000}"/>
    <cellStyle name="Normal 2 78" xfId="503" xr:uid="{00000000-0005-0000-0000-000078120000}"/>
    <cellStyle name="Normal 2 79" xfId="504" xr:uid="{00000000-0005-0000-0000-000079120000}"/>
    <cellStyle name="Normal 2 8" xfId="505" xr:uid="{00000000-0005-0000-0000-00007A120000}"/>
    <cellStyle name="Normal 2 80" xfId="506" xr:uid="{00000000-0005-0000-0000-00007B120000}"/>
    <cellStyle name="Normal 2 81" xfId="507" xr:uid="{00000000-0005-0000-0000-00007C120000}"/>
    <cellStyle name="Normal 2 82" xfId="508" xr:uid="{00000000-0005-0000-0000-00007D120000}"/>
    <cellStyle name="Normal 2 83" xfId="509" xr:uid="{00000000-0005-0000-0000-00007E120000}"/>
    <cellStyle name="Normal 2 84" xfId="510" xr:uid="{00000000-0005-0000-0000-00007F120000}"/>
    <cellStyle name="Normal 2 85" xfId="511" xr:uid="{00000000-0005-0000-0000-000080120000}"/>
    <cellStyle name="Normal 2 86" xfId="512" xr:uid="{00000000-0005-0000-0000-000081120000}"/>
    <cellStyle name="Normal 2 87" xfId="513" xr:uid="{00000000-0005-0000-0000-000082120000}"/>
    <cellStyle name="Normal 2 88" xfId="514" xr:uid="{00000000-0005-0000-0000-000083120000}"/>
    <cellStyle name="Normal 2 89" xfId="515" xr:uid="{00000000-0005-0000-0000-000084120000}"/>
    <cellStyle name="Normal 2 9" xfId="516" xr:uid="{00000000-0005-0000-0000-000085120000}"/>
    <cellStyle name="Normal 2 90" xfId="5095" xr:uid="{00000000-0005-0000-0000-000086120000}"/>
    <cellStyle name="Normal 2_BS S-Sch" xfId="517" xr:uid="{00000000-0005-0000-0000-000087120000}"/>
    <cellStyle name="Normal 20" xfId="518" xr:uid="{00000000-0005-0000-0000-000088120000}"/>
    <cellStyle name="Normal 21" xfId="817" xr:uid="{00000000-0005-0000-0000-000089120000}"/>
    <cellStyle name="Normal 22" xfId="818" xr:uid="{00000000-0005-0000-0000-00008A120000}"/>
    <cellStyle name="Normal 23" xfId="819" xr:uid="{00000000-0005-0000-0000-00008B120000}"/>
    <cellStyle name="Normal 24" xfId="821" xr:uid="{00000000-0005-0000-0000-00008C120000}"/>
    <cellStyle name="Normal 25" xfId="519" xr:uid="{00000000-0005-0000-0000-00008D120000}"/>
    <cellStyle name="Normal 26" xfId="520" xr:uid="{00000000-0005-0000-0000-00008E120000}"/>
    <cellStyle name="Normal 27" xfId="822" xr:uid="{00000000-0005-0000-0000-00008F120000}"/>
    <cellStyle name="Normal 28" xfId="724" xr:uid="{00000000-0005-0000-0000-000090120000}"/>
    <cellStyle name="Normal 29" xfId="829" xr:uid="{00000000-0005-0000-0000-000091120000}"/>
    <cellStyle name="Normal 3" xfId="3" xr:uid="{00000000-0005-0000-0000-000092120000}"/>
    <cellStyle name="Normal 3 10" xfId="521" xr:uid="{00000000-0005-0000-0000-000093120000}"/>
    <cellStyle name="Normal 3 11" xfId="522" xr:uid="{00000000-0005-0000-0000-000094120000}"/>
    <cellStyle name="Normal 3 12" xfId="523" xr:uid="{00000000-0005-0000-0000-000095120000}"/>
    <cellStyle name="Normal 3 13" xfId="524" xr:uid="{00000000-0005-0000-0000-000096120000}"/>
    <cellStyle name="Normal 3 14" xfId="525" xr:uid="{00000000-0005-0000-0000-000097120000}"/>
    <cellStyle name="Normal 3 15" xfId="526" xr:uid="{00000000-0005-0000-0000-000098120000}"/>
    <cellStyle name="Normal 3 16" xfId="527" xr:uid="{00000000-0005-0000-0000-000099120000}"/>
    <cellStyle name="Normal 3 17" xfId="528" xr:uid="{00000000-0005-0000-0000-00009A120000}"/>
    <cellStyle name="Normal 3 18" xfId="529" xr:uid="{00000000-0005-0000-0000-00009B120000}"/>
    <cellStyle name="Normal 3 19" xfId="530" xr:uid="{00000000-0005-0000-0000-00009C120000}"/>
    <cellStyle name="Normal 3 2" xfId="24" xr:uid="{00000000-0005-0000-0000-00009D120000}"/>
    <cellStyle name="Normal 3 2 2" xfId="34" xr:uid="{00000000-0005-0000-0000-00009E120000}"/>
    <cellStyle name="Normal 3 2 3" xfId="531" xr:uid="{00000000-0005-0000-0000-00009F120000}"/>
    <cellStyle name="Normal 3 20" xfId="532" xr:uid="{00000000-0005-0000-0000-0000A0120000}"/>
    <cellStyle name="Normal 3 21" xfId="533" xr:uid="{00000000-0005-0000-0000-0000A1120000}"/>
    <cellStyle name="Normal 3 22" xfId="534" xr:uid="{00000000-0005-0000-0000-0000A2120000}"/>
    <cellStyle name="Normal 3 23" xfId="535" xr:uid="{00000000-0005-0000-0000-0000A3120000}"/>
    <cellStyle name="Normal 3 24" xfId="536" xr:uid="{00000000-0005-0000-0000-0000A4120000}"/>
    <cellStyle name="Normal 3 25" xfId="537" xr:uid="{00000000-0005-0000-0000-0000A5120000}"/>
    <cellStyle name="Normal 3 26" xfId="538" xr:uid="{00000000-0005-0000-0000-0000A6120000}"/>
    <cellStyle name="Normal 3 27" xfId="539" xr:uid="{00000000-0005-0000-0000-0000A7120000}"/>
    <cellStyle name="Normal 3 28" xfId="540" xr:uid="{00000000-0005-0000-0000-0000A8120000}"/>
    <cellStyle name="Normal 3 29" xfId="541" xr:uid="{00000000-0005-0000-0000-0000A9120000}"/>
    <cellStyle name="Normal 3 3" xfId="33" xr:uid="{00000000-0005-0000-0000-0000AA120000}"/>
    <cellStyle name="Normal 3 3 2" xfId="542" xr:uid="{00000000-0005-0000-0000-0000AB120000}"/>
    <cellStyle name="Normal 3 30" xfId="543" xr:uid="{00000000-0005-0000-0000-0000AC120000}"/>
    <cellStyle name="Normal 3 31" xfId="544" xr:uid="{00000000-0005-0000-0000-0000AD120000}"/>
    <cellStyle name="Normal 3 32" xfId="545" xr:uid="{00000000-0005-0000-0000-0000AE120000}"/>
    <cellStyle name="Normal 3 33" xfId="546" xr:uid="{00000000-0005-0000-0000-0000AF120000}"/>
    <cellStyle name="Normal 3 34" xfId="547" xr:uid="{00000000-0005-0000-0000-0000B0120000}"/>
    <cellStyle name="Normal 3 35" xfId="548" xr:uid="{00000000-0005-0000-0000-0000B1120000}"/>
    <cellStyle name="Normal 3 36" xfId="549" xr:uid="{00000000-0005-0000-0000-0000B2120000}"/>
    <cellStyle name="Normal 3 37" xfId="550" xr:uid="{00000000-0005-0000-0000-0000B3120000}"/>
    <cellStyle name="Normal 3 38" xfId="551" xr:uid="{00000000-0005-0000-0000-0000B4120000}"/>
    <cellStyle name="Normal 3 39" xfId="552" xr:uid="{00000000-0005-0000-0000-0000B5120000}"/>
    <cellStyle name="Normal 3 4" xfId="553" xr:uid="{00000000-0005-0000-0000-0000B6120000}"/>
    <cellStyle name="Normal 3 40" xfId="554" xr:uid="{00000000-0005-0000-0000-0000B7120000}"/>
    <cellStyle name="Normal 3 41" xfId="555" xr:uid="{00000000-0005-0000-0000-0000B8120000}"/>
    <cellStyle name="Normal 3 42" xfId="556" xr:uid="{00000000-0005-0000-0000-0000B9120000}"/>
    <cellStyle name="Normal 3 43" xfId="557" xr:uid="{00000000-0005-0000-0000-0000BA120000}"/>
    <cellStyle name="Normal 3 44" xfId="558" xr:uid="{00000000-0005-0000-0000-0000BB120000}"/>
    <cellStyle name="Normal 3 45" xfId="559" xr:uid="{00000000-0005-0000-0000-0000BC120000}"/>
    <cellStyle name="Normal 3 46" xfId="560" xr:uid="{00000000-0005-0000-0000-0000BD120000}"/>
    <cellStyle name="Normal 3 47" xfId="561" xr:uid="{00000000-0005-0000-0000-0000BE120000}"/>
    <cellStyle name="Normal 3 48" xfId="562" xr:uid="{00000000-0005-0000-0000-0000BF120000}"/>
    <cellStyle name="Normal 3 49" xfId="563" xr:uid="{00000000-0005-0000-0000-0000C0120000}"/>
    <cellStyle name="Normal 3 5" xfId="564" xr:uid="{00000000-0005-0000-0000-0000C1120000}"/>
    <cellStyle name="Normal 3 50" xfId="565" xr:uid="{00000000-0005-0000-0000-0000C2120000}"/>
    <cellStyle name="Normal 3 51" xfId="566" xr:uid="{00000000-0005-0000-0000-0000C3120000}"/>
    <cellStyle name="Normal 3 52" xfId="567" xr:uid="{00000000-0005-0000-0000-0000C4120000}"/>
    <cellStyle name="Normal 3 53" xfId="568" xr:uid="{00000000-0005-0000-0000-0000C5120000}"/>
    <cellStyle name="Normal 3 54" xfId="5096" xr:uid="{00000000-0005-0000-0000-0000C6120000}"/>
    <cellStyle name="Normal 3 6" xfId="569" xr:uid="{00000000-0005-0000-0000-0000C7120000}"/>
    <cellStyle name="Normal 3 7" xfId="570" xr:uid="{00000000-0005-0000-0000-0000C8120000}"/>
    <cellStyle name="Normal 3 8" xfId="571" xr:uid="{00000000-0005-0000-0000-0000C9120000}"/>
    <cellStyle name="Normal 3 9" xfId="572" xr:uid="{00000000-0005-0000-0000-0000CA120000}"/>
    <cellStyle name="Normal 30" xfId="725" xr:uid="{00000000-0005-0000-0000-0000CB120000}"/>
    <cellStyle name="Normal 31" xfId="830" xr:uid="{00000000-0005-0000-0000-0000CC120000}"/>
    <cellStyle name="Normal 32" xfId="833" xr:uid="{00000000-0005-0000-0000-0000CD120000}"/>
    <cellStyle name="Normal 33" xfId="573" xr:uid="{00000000-0005-0000-0000-0000CE120000}"/>
    <cellStyle name="Normal 33 10" xfId="574" xr:uid="{00000000-0005-0000-0000-0000CF120000}"/>
    <cellStyle name="Normal 33 11" xfId="575" xr:uid="{00000000-0005-0000-0000-0000D0120000}"/>
    <cellStyle name="Normal 33 12" xfId="576" xr:uid="{00000000-0005-0000-0000-0000D1120000}"/>
    <cellStyle name="Normal 33 13" xfId="577" xr:uid="{00000000-0005-0000-0000-0000D2120000}"/>
    <cellStyle name="Normal 33 14" xfId="578" xr:uid="{00000000-0005-0000-0000-0000D3120000}"/>
    <cellStyle name="Normal 33 15" xfId="579" xr:uid="{00000000-0005-0000-0000-0000D4120000}"/>
    <cellStyle name="Normal 33 16" xfId="580" xr:uid="{00000000-0005-0000-0000-0000D5120000}"/>
    <cellStyle name="Normal 33 17" xfId="581" xr:uid="{00000000-0005-0000-0000-0000D6120000}"/>
    <cellStyle name="Normal 33 18" xfId="582" xr:uid="{00000000-0005-0000-0000-0000D7120000}"/>
    <cellStyle name="Normal 33 19" xfId="583" xr:uid="{00000000-0005-0000-0000-0000D8120000}"/>
    <cellStyle name="Normal 33 2" xfId="584" xr:uid="{00000000-0005-0000-0000-0000D9120000}"/>
    <cellStyle name="Normal 33 20" xfId="585" xr:uid="{00000000-0005-0000-0000-0000DA120000}"/>
    <cellStyle name="Normal 33 21" xfId="586" xr:uid="{00000000-0005-0000-0000-0000DB120000}"/>
    <cellStyle name="Normal 33 3" xfId="587" xr:uid="{00000000-0005-0000-0000-0000DC120000}"/>
    <cellStyle name="Normal 33 4" xfId="588" xr:uid="{00000000-0005-0000-0000-0000DD120000}"/>
    <cellStyle name="Normal 33 5" xfId="589" xr:uid="{00000000-0005-0000-0000-0000DE120000}"/>
    <cellStyle name="Normal 33 6" xfId="590" xr:uid="{00000000-0005-0000-0000-0000DF120000}"/>
    <cellStyle name="Normal 33 7" xfId="591" xr:uid="{00000000-0005-0000-0000-0000E0120000}"/>
    <cellStyle name="Normal 33 8" xfId="592" xr:uid="{00000000-0005-0000-0000-0000E1120000}"/>
    <cellStyle name="Normal 33 9" xfId="593" xr:uid="{00000000-0005-0000-0000-0000E2120000}"/>
    <cellStyle name="Normal 33_BS S-Sch" xfId="594" xr:uid="{00000000-0005-0000-0000-0000E3120000}"/>
    <cellStyle name="Normal 34" xfId="595" xr:uid="{00000000-0005-0000-0000-0000E4120000}"/>
    <cellStyle name="Normal 35" xfId="834" xr:uid="{00000000-0005-0000-0000-0000E5120000}"/>
    <cellStyle name="Normal 36" xfId="596" xr:uid="{00000000-0005-0000-0000-0000E6120000}"/>
    <cellStyle name="Normal 37" xfId="832" xr:uid="{00000000-0005-0000-0000-0000E7120000}"/>
    <cellStyle name="Normal 38" xfId="836" xr:uid="{00000000-0005-0000-0000-0000E8120000}"/>
    <cellStyle name="Normal 39" xfId="597" xr:uid="{00000000-0005-0000-0000-0000E9120000}"/>
    <cellStyle name="Normal 4" xfId="29" xr:uid="{00000000-0005-0000-0000-0000EA120000}"/>
    <cellStyle name="Normal 4 10" xfId="599" xr:uid="{00000000-0005-0000-0000-0000EB120000}"/>
    <cellStyle name="Normal 4 11" xfId="600" xr:uid="{00000000-0005-0000-0000-0000EC120000}"/>
    <cellStyle name="Normal 4 12" xfId="601" xr:uid="{00000000-0005-0000-0000-0000ED120000}"/>
    <cellStyle name="Normal 4 13" xfId="602" xr:uid="{00000000-0005-0000-0000-0000EE120000}"/>
    <cellStyle name="Normal 4 14" xfId="603" xr:uid="{00000000-0005-0000-0000-0000EF120000}"/>
    <cellStyle name="Normal 4 15" xfId="604" xr:uid="{00000000-0005-0000-0000-0000F0120000}"/>
    <cellStyle name="Normal 4 16" xfId="605" xr:uid="{00000000-0005-0000-0000-0000F1120000}"/>
    <cellStyle name="Normal 4 2" xfId="606" xr:uid="{00000000-0005-0000-0000-0000F2120000}"/>
    <cellStyle name="Normal 4 3" xfId="607" xr:uid="{00000000-0005-0000-0000-0000F3120000}"/>
    <cellStyle name="Normal 4 4" xfId="608" xr:uid="{00000000-0005-0000-0000-0000F4120000}"/>
    <cellStyle name="Normal 4 5" xfId="609" xr:uid="{00000000-0005-0000-0000-0000F5120000}"/>
    <cellStyle name="Normal 4 6" xfId="610" xr:uid="{00000000-0005-0000-0000-0000F6120000}"/>
    <cellStyle name="Normal 4 7" xfId="611" xr:uid="{00000000-0005-0000-0000-0000F7120000}"/>
    <cellStyle name="Normal 4 8" xfId="612" xr:uid="{00000000-0005-0000-0000-0000F8120000}"/>
    <cellStyle name="Normal 4 9" xfId="613" xr:uid="{00000000-0005-0000-0000-0000F9120000}"/>
    <cellStyle name="Normal 4_BS S-Sch" xfId="614" xr:uid="{00000000-0005-0000-0000-0000FA120000}"/>
    <cellStyle name="Normal 40" xfId="615" xr:uid="{00000000-0005-0000-0000-0000FB120000}"/>
    <cellStyle name="Normal 41" xfId="837" xr:uid="{00000000-0005-0000-0000-0000FC120000}"/>
    <cellStyle name="Normal 42" xfId="838" xr:uid="{00000000-0005-0000-0000-0000FD120000}"/>
    <cellStyle name="Normal 43" xfId="831" xr:uid="{00000000-0005-0000-0000-0000FE120000}"/>
    <cellStyle name="Normal 44" xfId="616" xr:uid="{00000000-0005-0000-0000-0000FF120000}"/>
    <cellStyle name="Normal 45" xfId="839" xr:uid="{00000000-0005-0000-0000-000000130000}"/>
    <cellStyle name="Normal 46" xfId="732" xr:uid="{00000000-0005-0000-0000-000001130000}"/>
    <cellStyle name="Normal 47" xfId="842" xr:uid="{00000000-0005-0000-0000-000002130000}"/>
    <cellStyle name="Normal 48" xfId="844" xr:uid="{00000000-0005-0000-0000-000003130000}"/>
    <cellStyle name="Normal 49" xfId="849" xr:uid="{00000000-0005-0000-0000-000004130000}"/>
    <cellStyle name="Normal 5" xfId="30" xr:uid="{00000000-0005-0000-0000-000005130000}"/>
    <cellStyle name="Normal 5 10" xfId="618" xr:uid="{00000000-0005-0000-0000-000006130000}"/>
    <cellStyle name="Normal 5 11" xfId="619" xr:uid="{00000000-0005-0000-0000-000007130000}"/>
    <cellStyle name="Normal 5 12" xfId="620" xr:uid="{00000000-0005-0000-0000-000008130000}"/>
    <cellStyle name="Normal 5 13" xfId="621" xr:uid="{00000000-0005-0000-0000-000009130000}"/>
    <cellStyle name="Normal 5 14" xfId="622" xr:uid="{00000000-0005-0000-0000-00000A130000}"/>
    <cellStyle name="Normal 5 15" xfId="617" xr:uid="{00000000-0005-0000-0000-00000B130000}"/>
    <cellStyle name="Normal 5 2" xfId="623" xr:uid="{00000000-0005-0000-0000-00000C130000}"/>
    <cellStyle name="Normal 5 3" xfId="624" xr:uid="{00000000-0005-0000-0000-00000D130000}"/>
    <cellStyle name="Normal 5 4" xfId="625" xr:uid="{00000000-0005-0000-0000-00000E130000}"/>
    <cellStyle name="Normal 5 5" xfId="626" xr:uid="{00000000-0005-0000-0000-00000F130000}"/>
    <cellStyle name="Normal 5 6" xfId="627" xr:uid="{00000000-0005-0000-0000-000010130000}"/>
    <cellStyle name="Normal 5 7" xfId="628" xr:uid="{00000000-0005-0000-0000-000011130000}"/>
    <cellStyle name="Normal 5 8" xfId="629" xr:uid="{00000000-0005-0000-0000-000012130000}"/>
    <cellStyle name="Normal 5 9" xfId="630" xr:uid="{00000000-0005-0000-0000-000013130000}"/>
    <cellStyle name="Normal 50" xfId="850" xr:uid="{00000000-0005-0000-0000-000014130000}"/>
    <cellStyle name="Normal 51" xfId="848" xr:uid="{00000000-0005-0000-0000-000015130000}"/>
    <cellStyle name="Normal 57" xfId="631" xr:uid="{00000000-0005-0000-0000-000016130000}"/>
    <cellStyle name="Normal 6" xfId="632" xr:uid="{00000000-0005-0000-0000-000017130000}"/>
    <cellStyle name="Normal 6 2" xfId="633" xr:uid="{00000000-0005-0000-0000-000018130000}"/>
    <cellStyle name="Normal 6 3" xfId="634" xr:uid="{00000000-0005-0000-0000-000019130000}"/>
    <cellStyle name="Normal 61" xfId="2829" xr:uid="{00000000-0005-0000-0000-00001A130000}"/>
    <cellStyle name="Normal 7" xfId="635" xr:uid="{00000000-0005-0000-0000-00001B130000}"/>
    <cellStyle name="Normal 7 2" xfId="636" xr:uid="{00000000-0005-0000-0000-00001C130000}"/>
    <cellStyle name="Normal 7 3" xfId="637" xr:uid="{00000000-0005-0000-0000-00001D130000}"/>
    <cellStyle name="Normal 7_BS S-Sch" xfId="638" xr:uid="{00000000-0005-0000-0000-00001E130000}"/>
    <cellStyle name="Normal 8" xfId="639" xr:uid="{00000000-0005-0000-0000-00001F130000}"/>
    <cellStyle name="Normal 8 2" xfId="640" xr:uid="{00000000-0005-0000-0000-000020130000}"/>
    <cellStyle name="Normal 8_BS S-Sch" xfId="641" xr:uid="{00000000-0005-0000-0000-000021130000}"/>
    <cellStyle name="Normal 9" xfId="642" xr:uid="{00000000-0005-0000-0000-000022130000}"/>
    <cellStyle name="Normal 9 10" xfId="643" xr:uid="{00000000-0005-0000-0000-000023130000}"/>
    <cellStyle name="Normal 9 11" xfId="644" xr:uid="{00000000-0005-0000-0000-000024130000}"/>
    <cellStyle name="Normal 9 12" xfId="645" xr:uid="{00000000-0005-0000-0000-000025130000}"/>
    <cellStyle name="Normal 9 13" xfId="646" xr:uid="{00000000-0005-0000-0000-000026130000}"/>
    <cellStyle name="Normal 9 14" xfId="647" xr:uid="{00000000-0005-0000-0000-000027130000}"/>
    <cellStyle name="Normal 9 15" xfId="648" xr:uid="{00000000-0005-0000-0000-000028130000}"/>
    <cellStyle name="Normal 9 2" xfId="649" xr:uid="{00000000-0005-0000-0000-000029130000}"/>
    <cellStyle name="Normal 9 3" xfId="650" xr:uid="{00000000-0005-0000-0000-00002A130000}"/>
    <cellStyle name="Normal 9 4" xfId="651" xr:uid="{00000000-0005-0000-0000-00002B130000}"/>
    <cellStyle name="Normal 9 5" xfId="652" xr:uid="{00000000-0005-0000-0000-00002C130000}"/>
    <cellStyle name="Normal 9 6" xfId="653" xr:uid="{00000000-0005-0000-0000-00002D130000}"/>
    <cellStyle name="Normal 9 7" xfId="654" xr:uid="{00000000-0005-0000-0000-00002E130000}"/>
    <cellStyle name="Normal 9 8" xfId="655" xr:uid="{00000000-0005-0000-0000-00002F130000}"/>
    <cellStyle name="Normal 9 9" xfId="656" xr:uid="{00000000-0005-0000-0000-000030130000}"/>
    <cellStyle name="Normal 98" xfId="5098" xr:uid="{00000000-0005-0000-0000-000031130000}"/>
    <cellStyle name="Note 2" xfId="657" xr:uid="{00000000-0005-0000-0000-000032130000}"/>
    <cellStyle name="Output Amounts" xfId="658" xr:uid="{00000000-0005-0000-0000-000033130000}"/>
    <cellStyle name="Output Column Headings" xfId="659" xr:uid="{00000000-0005-0000-0000-000034130000}"/>
    <cellStyle name="Output Line Items" xfId="660" xr:uid="{00000000-0005-0000-0000-000035130000}"/>
    <cellStyle name="Output Report Heading" xfId="661" xr:uid="{00000000-0005-0000-0000-000036130000}"/>
    <cellStyle name="Output Report Title" xfId="662" xr:uid="{00000000-0005-0000-0000-000037130000}"/>
    <cellStyle name="Percent" xfId="5099" builtinId="5"/>
    <cellStyle name="Percent [0]" xfId="663" xr:uid="{00000000-0005-0000-0000-000039130000}"/>
    <cellStyle name="Percent [00]" xfId="664" xr:uid="{00000000-0005-0000-0000-00003A130000}"/>
    <cellStyle name="Percent [2]" xfId="665" xr:uid="{00000000-0005-0000-0000-00003B130000}"/>
    <cellStyle name="Percent [2] 2" xfId="666" xr:uid="{00000000-0005-0000-0000-00003C130000}"/>
    <cellStyle name="Percent 2" xfId="667" xr:uid="{00000000-0005-0000-0000-00003D130000}"/>
    <cellStyle name="Percent 2 10" xfId="668" xr:uid="{00000000-0005-0000-0000-00003E130000}"/>
    <cellStyle name="Percent 2 11" xfId="669" xr:uid="{00000000-0005-0000-0000-00003F130000}"/>
    <cellStyle name="Percent 2 12" xfId="670" xr:uid="{00000000-0005-0000-0000-000040130000}"/>
    <cellStyle name="Percent 2 13" xfId="671" xr:uid="{00000000-0005-0000-0000-000041130000}"/>
    <cellStyle name="Percent 2 14" xfId="672" xr:uid="{00000000-0005-0000-0000-000042130000}"/>
    <cellStyle name="Percent 2 15" xfId="673" xr:uid="{00000000-0005-0000-0000-000043130000}"/>
    <cellStyle name="Percent 2 16" xfId="674" xr:uid="{00000000-0005-0000-0000-000044130000}"/>
    <cellStyle name="Percent 2 17" xfId="675" xr:uid="{00000000-0005-0000-0000-000045130000}"/>
    <cellStyle name="Percent 2 18" xfId="676" xr:uid="{00000000-0005-0000-0000-000046130000}"/>
    <cellStyle name="Percent 2 19" xfId="677" xr:uid="{00000000-0005-0000-0000-000047130000}"/>
    <cellStyle name="Percent 2 2" xfId="678" xr:uid="{00000000-0005-0000-0000-000048130000}"/>
    <cellStyle name="Percent 2 20" xfId="679" xr:uid="{00000000-0005-0000-0000-000049130000}"/>
    <cellStyle name="Percent 2 21" xfId="680" xr:uid="{00000000-0005-0000-0000-00004A130000}"/>
    <cellStyle name="Percent 2 22" xfId="681" xr:uid="{00000000-0005-0000-0000-00004B130000}"/>
    <cellStyle name="Percent 2 23" xfId="682" xr:uid="{00000000-0005-0000-0000-00004C130000}"/>
    <cellStyle name="Percent 2 24" xfId="683" xr:uid="{00000000-0005-0000-0000-00004D130000}"/>
    <cellStyle name="Percent 2 25" xfId="684" xr:uid="{00000000-0005-0000-0000-00004E130000}"/>
    <cellStyle name="Percent 2 26" xfId="685" xr:uid="{00000000-0005-0000-0000-00004F130000}"/>
    <cellStyle name="Percent 2 3" xfId="686" xr:uid="{00000000-0005-0000-0000-000050130000}"/>
    <cellStyle name="Percent 2 4" xfId="687" xr:uid="{00000000-0005-0000-0000-000051130000}"/>
    <cellStyle name="Percent 2 5" xfId="688" xr:uid="{00000000-0005-0000-0000-000052130000}"/>
    <cellStyle name="Percent 2 6" xfId="689" xr:uid="{00000000-0005-0000-0000-000053130000}"/>
    <cellStyle name="Percent 2 7" xfId="690" xr:uid="{00000000-0005-0000-0000-000054130000}"/>
    <cellStyle name="Percent 2 8" xfId="691" xr:uid="{00000000-0005-0000-0000-000055130000}"/>
    <cellStyle name="Percent 2 9" xfId="692" xr:uid="{00000000-0005-0000-0000-000056130000}"/>
    <cellStyle name="Percent 3" xfId="5100" xr:uid="{00000000-0005-0000-0000-000057130000}"/>
    <cellStyle name="Percent 32" xfId="28" xr:uid="{00000000-0005-0000-0000-000058130000}"/>
    <cellStyle name="Percent 7" xfId="693" xr:uid="{00000000-0005-0000-0000-000059130000}"/>
    <cellStyle name="PrePop Currency (0)" xfId="694" xr:uid="{00000000-0005-0000-0000-00005A130000}"/>
    <cellStyle name="PrePop Currency (2)" xfId="695" xr:uid="{00000000-0005-0000-0000-00005B130000}"/>
    <cellStyle name="PrePop Units (0)" xfId="696" xr:uid="{00000000-0005-0000-0000-00005C130000}"/>
    <cellStyle name="PrePop Units (1)" xfId="697" xr:uid="{00000000-0005-0000-0000-00005D130000}"/>
    <cellStyle name="PrePop Units (2)" xfId="698" xr:uid="{00000000-0005-0000-0000-00005E130000}"/>
    <cellStyle name="RevList" xfId="699" xr:uid="{00000000-0005-0000-0000-00005F130000}"/>
    <cellStyle name="SAPBEXaggItem" xfId="700" xr:uid="{00000000-0005-0000-0000-000060130000}"/>
    <cellStyle name="SAPBEXaggItem 2" xfId="721" xr:uid="{00000000-0005-0000-0000-000061130000}"/>
    <cellStyle name="SAPBEXaggItem 2 2" xfId="1036" xr:uid="{00000000-0005-0000-0000-000062130000}"/>
    <cellStyle name="SAPBEXaggItem 2 2 2" xfId="1824" xr:uid="{00000000-0005-0000-0000-000063130000}"/>
    <cellStyle name="SAPBEXaggItem 2 2 2 2" xfId="4068" xr:uid="{00000000-0005-0000-0000-000064130000}"/>
    <cellStyle name="SAPBEXaggItem 2 2 3" xfId="2548" xr:uid="{00000000-0005-0000-0000-000065130000}"/>
    <cellStyle name="SAPBEXaggItem 2 2 3 2" xfId="4792" xr:uid="{00000000-0005-0000-0000-000066130000}"/>
    <cellStyle name="SAPBEXaggItem 2 2 4" xfId="3282" xr:uid="{00000000-0005-0000-0000-000067130000}"/>
    <cellStyle name="SAPBEXaggItem 2 3" xfId="1289" xr:uid="{00000000-0005-0000-0000-000068130000}"/>
    <cellStyle name="SAPBEXaggItem 2 3 2" xfId="2076" xr:uid="{00000000-0005-0000-0000-000069130000}"/>
    <cellStyle name="SAPBEXaggItem 2 3 2 2" xfId="4320" xr:uid="{00000000-0005-0000-0000-00006A130000}"/>
    <cellStyle name="SAPBEXaggItem 2 3 3" xfId="2799" xr:uid="{00000000-0005-0000-0000-00006B130000}"/>
    <cellStyle name="SAPBEXaggItem 2 3 3 2" xfId="5043" xr:uid="{00000000-0005-0000-0000-00006C130000}"/>
    <cellStyle name="SAPBEXaggItem 2 3 4" xfId="3534" xr:uid="{00000000-0005-0000-0000-00006D130000}"/>
    <cellStyle name="SAPBEXaggItem 2 4" xfId="1556" xr:uid="{00000000-0005-0000-0000-00006E130000}"/>
    <cellStyle name="SAPBEXaggItem 2 4 2" xfId="3800" xr:uid="{00000000-0005-0000-0000-00006F130000}"/>
    <cellStyle name="SAPBEXaggItem 2 5" xfId="3014" xr:uid="{00000000-0005-0000-0000-000070130000}"/>
    <cellStyle name="SAPBEXaggItem 3" xfId="1028" xr:uid="{00000000-0005-0000-0000-000071130000}"/>
    <cellStyle name="SAPBEXaggItem 3 2" xfId="1816" xr:uid="{00000000-0005-0000-0000-000072130000}"/>
    <cellStyle name="SAPBEXaggItem 3 2 2" xfId="4060" xr:uid="{00000000-0005-0000-0000-000073130000}"/>
    <cellStyle name="SAPBEXaggItem 3 3" xfId="2540" xr:uid="{00000000-0005-0000-0000-000074130000}"/>
    <cellStyle name="SAPBEXaggItem 3 3 2" xfId="4784" xr:uid="{00000000-0005-0000-0000-000075130000}"/>
    <cellStyle name="SAPBEXaggItem 3 4" xfId="3274" xr:uid="{00000000-0005-0000-0000-000076130000}"/>
    <cellStyle name="SAPBEXaggItem 4" xfId="1282" xr:uid="{00000000-0005-0000-0000-000077130000}"/>
    <cellStyle name="SAPBEXaggItem 4 2" xfId="2069" xr:uid="{00000000-0005-0000-0000-000078130000}"/>
    <cellStyle name="SAPBEXaggItem 4 2 2" xfId="4313" xr:uid="{00000000-0005-0000-0000-000079130000}"/>
    <cellStyle name="SAPBEXaggItem 4 3" xfId="2792" xr:uid="{00000000-0005-0000-0000-00007A130000}"/>
    <cellStyle name="SAPBEXaggItem 4 3 2" xfId="5036" xr:uid="{00000000-0005-0000-0000-00007B130000}"/>
    <cellStyle name="SAPBEXaggItem 4 4" xfId="3527" xr:uid="{00000000-0005-0000-0000-00007C130000}"/>
    <cellStyle name="SAPBEXaggItem 5" xfId="1549" xr:uid="{00000000-0005-0000-0000-00007D130000}"/>
    <cellStyle name="SAPBEXaggItem 5 2" xfId="3793" xr:uid="{00000000-0005-0000-0000-00007E130000}"/>
    <cellStyle name="SAPBEXaggItem 6" xfId="3007" xr:uid="{00000000-0005-0000-0000-00007F130000}"/>
    <cellStyle name="SAPBEXchaText" xfId="701" xr:uid="{00000000-0005-0000-0000-000080130000}"/>
    <cellStyle name="SAPBEXstdData" xfId="702" xr:uid="{00000000-0005-0000-0000-000081130000}"/>
    <cellStyle name="SAPBEXstdData 2" xfId="720" xr:uid="{00000000-0005-0000-0000-000082130000}"/>
    <cellStyle name="SAPBEXstdData 2 2" xfId="1035" xr:uid="{00000000-0005-0000-0000-000083130000}"/>
    <cellStyle name="SAPBEXstdData 2 2 2" xfId="1823" xr:uid="{00000000-0005-0000-0000-000084130000}"/>
    <cellStyle name="SAPBEXstdData 2 2 2 2" xfId="4067" xr:uid="{00000000-0005-0000-0000-000085130000}"/>
    <cellStyle name="SAPBEXstdData 2 2 3" xfId="2547" xr:uid="{00000000-0005-0000-0000-000086130000}"/>
    <cellStyle name="SAPBEXstdData 2 2 3 2" xfId="4791" xr:uid="{00000000-0005-0000-0000-000087130000}"/>
    <cellStyle name="SAPBEXstdData 2 2 4" xfId="3281" xr:uid="{00000000-0005-0000-0000-000088130000}"/>
    <cellStyle name="SAPBEXstdData 2 3" xfId="1288" xr:uid="{00000000-0005-0000-0000-000089130000}"/>
    <cellStyle name="SAPBEXstdData 2 3 2" xfId="2075" xr:uid="{00000000-0005-0000-0000-00008A130000}"/>
    <cellStyle name="SAPBEXstdData 2 3 2 2" xfId="4319" xr:uid="{00000000-0005-0000-0000-00008B130000}"/>
    <cellStyle name="SAPBEXstdData 2 3 3" xfId="2798" xr:uid="{00000000-0005-0000-0000-00008C130000}"/>
    <cellStyle name="SAPBEXstdData 2 3 3 2" xfId="5042" xr:uid="{00000000-0005-0000-0000-00008D130000}"/>
    <cellStyle name="SAPBEXstdData 2 3 4" xfId="3533" xr:uid="{00000000-0005-0000-0000-00008E130000}"/>
    <cellStyle name="SAPBEXstdData 2 4" xfId="1555" xr:uid="{00000000-0005-0000-0000-00008F130000}"/>
    <cellStyle name="SAPBEXstdData 2 4 2" xfId="3799" xr:uid="{00000000-0005-0000-0000-000090130000}"/>
    <cellStyle name="SAPBEXstdData 2 5" xfId="3013" xr:uid="{00000000-0005-0000-0000-000091130000}"/>
    <cellStyle name="SAPBEXstdData 3" xfId="1029" xr:uid="{00000000-0005-0000-0000-000092130000}"/>
    <cellStyle name="SAPBEXstdData 3 2" xfId="1817" xr:uid="{00000000-0005-0000-0000-000093130000}"/>
    <cellStyle name="SAPBEXstdData 3 2 2" xfId="4061" xr:uid="{00000000-0005-0000-0000-000094130000}"/>
    <cellStyle name="SAPBEXstdData 3 3" xfId="2541" xr:uid="{00000000-0005-0000-0000-000095130000}"/>
    <cellStyle name="SAPBEXstdData 3 3 2" xfId="4785" xr:uid="{00000000-0005-0000-0000-000096130000}"/>
    <cellStyle name="SAPBEXstdData 3 4" xfId="3275" xr:uid="{00000000-0005-0000-0000-000097130000}"/>
    <cellStyle name="SAPBEXstdData 4" xfId="1283" xr:uid="{00000000-0005-0000-0000-000098130000}"/>
    <cellStyle name="SAPBEXstdData 4 2" xfId="2070" xr:uid="{00000000-0005-0000-0000-000099130000}"/>
    <cellStyle name="SAPBEXstdData 4 2 2" xfId="4314" xr:uid="{00000000-0005-0000-0000-00009A130000}"/>
    <cellStyle name="SAPBEXstdData 4 3" xfId="2793" xr:uid="{00000000-0005-0000-0000-00009B130000}"/>
    <cellStyle name="SAPBEXstdData 4 3 2" xfId="5037" xr:uid="{00000000-0005-0000-0000-00009C130000}"/>
    <cellStyle name="SAPBEXstdData 4 4" xfId="3528" xr:uid="{00000000-0005-0000-0000-00009D130000}"/>
    <cellStyle name="SAPBEXstdData 5" xfId="1550" xr:uid="{00000000-0005-0000-0000-00009E130000}"/>
    <cellStyle name="SAPBEXstdData 5 2" xfId="3794" xr:uid="{00000000-0005-0000-0000-00009F130000}"/>
    <cellStyle name="SAPBEXstdData 6" xfId="3008" xr:uid="{00000000-0005-0000-0000-0000A0130000}"/>
    <cellStyle name="SAPBEXstdItem" xfId="703" xr:uid="{00000000-0005-0000-0000-0000A1130000}"/>
    <cellStyle name="SAPBEXstdItem 2" xfId="719" xr:uid="{00000000-0005-0000-0000-0000A2130000}"/>
    <cellStyle name="SAPBEXstdItem 2 2" xfId="1034" xr:uid="{00000000-0005-0000-0000-0000A3130000}"/>
    <cellStyle name="SAPBEXstdItem 2 2 2" xfId="1822" xr:uid="{00000000-0005-0000-0000-0000A4130000}"/>
    <cellStyle name="SAPBEXstdItem 2 2 2 2" xfId="4066" xr:uid="{00000000-0005-0000-0000-0000A5130000}"/>
    <cellStyle name="SAPBEXstdItem 2 2 3" xfId="2546" xr:uid="{00000000-0005-0000-0000-0000A6130000}"/>
    <cellStyle name="SAPBEXstdItem 2 2 3 2" xfId="4790" xr:uid="{00000000-0005-0000-0000-0000A7130000}"/>
    <cellStyle name="SAPBEXstdItem 2 2 4" xfId="3280" xr:uid="{00000000-0005-0000-0000-0000A8130000}"/>
    <cellStyle name="SAPBEXstdItem 2 3" xfId="1287" xr:uid="{00000000-0005-0000-0000-0000A9130000}"/>
    <cellStyle name="SAPBEXstdItem 2 3 2" xfId="2074" xr:uid="{00000000-0005-0000-0000-0000AA130000}"/>
    <cellStyle name="SAPBEXstdItem 2 3 2 2" xfId="4318" xr:uid="{00000000-0005-0000-0000-0000AB130000}"/>
    <cellStyle name="SAPBEXstdItem 2 3 3" xfId="2797" xr:uid="{00000000-0005-0000-0000-0000AC130000}"/>
    <cellStyle name="SAPBEXstdItem 2 3 3 2" xfId="5041" xr:uid="{00000000-0005-0000-0000-0000AD130000}"/>
    <cellStyle name="SAPBEXstdItem 2 3 4" xfId="3532" xr:uid="{00000000-0005-0000-0000-0000AE130000}"/>
    <cellStyle name="SAPBEXstdItem 2 4" xfId="1554" xr:uid="{00000000-0005-0000-0000-0000AF130000}"/>
    <cellStyle name="SAPBEXstdItem 2 4 2" xfId="3798" xr:uid="{00000000-0005-0000-0000-0000B0130000}"/>
    <cellStyle name="SAPBEXstdItem 2 5" xfId="3012" xr:uid="{00000000-0005-0000-0000-0000B1130000}"/>
    <cellStyle name="SAPBEXstdItem 3" xfId="1030" xr:uid="{00000000-0005-0000-0000-0000B2130000}"/>
    <cellStyle name="SAPBEXstdItem 3 2" xfId="1818" xr:uid="{00000000-0005-0000-0000-0000B3130000}"/>
    <cellStyle name="SAPBEXstdItem 3 2 2" xfId="4062" xr:uid="{00000000-0005-0000-0000-0000B4130000}"/>
    <cellStyle name="SAPBEXstdItem 3 3" xfId="2542" xr:uid="{00000000-0005-0000-0000-0000B5130000}"/>
    <cellStyle name="SAPBEXstdItem 3 3 2" xfId="4786" xr:uid="{00000000-0005-0000-0000-0000B6130000}"/>
    <cellStyle name="SAPBEXstdItem 3 4" xfId="3276" xr:uid="{00000000-0005-0000-0000-0000B7130000}"/>
    <cellStyle name="SAPBEXstdItem 4" xfId="1284" xr:uid="{00000000-0005-0000-0000-0000B8130000}"/>
    <cellStyle name="SAPBEXstdItem 4 2" xfId="2071" xr:uid="{00000000-0005-0000-0000-0000B9130000}"/>
    <cellStyle name="SAPBEXstdItem 4 2 2" xfId="4315" xr:uid="{00000000-0005-0000-0000-0000BA130000}"/>
    <cellStyle name="SAPBEXstdItem 4 3" xfId="2794" xr:uid="{00000000-0005-0000-0000-0000BB130000}"/>
    <cellStyle name="SAPBEXstdItem 4 3 2" xfId="5038" xr:uid="{00000000-0005-0000-0000-0000BC130000}"/>
    <cellStyle name="SAPBEXstdItem 4 4" xfId="3529" xr:uid="{00000000-0005-0000-0000-0000BD130000}"/>
    <cellStyle name="SAPBEXstdItem 5" xfId="1551" xr:uid="{00000000-0005-0000-0000-0000BE130000}"/>
    <cellStyle name="SAPBEXstdItem 5 2" xfId="3795" xr:uid="{00000000-0005-0000-0000-0000BF130000}"/>
    <cellStyle name="SAPBEXstdItem 6" xfId="3009" xr:uid="{00000000-0005-0000-0000-0000C0130000}"/>
    <cellStyle name="SAPBEXstdItemX" xfId="704" xr:uid="{00000000-0005-0000-0000-0000C1130000}"/>
    <cellStyle name="SAPBEXstdItemX 2" xfId="718" xr:uid="{00000000-0005-0000-0000-0000C2130000}"/>
    <cellStyle name="SAPBEXstdItemX 2 2" xfId="1033" xr:uid="{00000000-0005-0000-0000-0000C3130000}"/>
    <cellStyle name="SAPBEXstdItemX 2 2 2" xfId="1821" xr:uid="{00000000-0005-0000-0000-0000C4130000}"/>
    <cellStyle name="SAPBEXstdItemX 2 2 2 2" xfId="4065" xr:uid="{00000000-0005-0000-0000-0000C5130000}"/>
    <cellStyle name="SAPBEXstdItemX 2 2 3" xfId="2545" xr:uid="{00000000-0005-0000-0000-0000C6130000}"/>
    <cellStyle name="SAPBEXstdItemX 2 2 3 2" xfId="4789" xr:uid="{00000000-0005-0000-0000-0000C7130000}"/>
    <cellStyle name="SAPBEXstdItemX 2 2 4" xfId="3279" xr:uid="{00000000-0005-0000-0000-0000C8130000}"/>
    <cellStyle name="SAPBEXstdItemX 2 3" xfId="1286" xr:uid="{00000000-0005-0000-0000-0000C9130000}"/>
    <cellStyle name="SAPBEXstdItemX 2 3 2" xfId="2073" xr:uid="{00000000-0005-0000-0000-0000CA130000}"/>
    <cellStyle name="SAPBEXstdItemX 2 3 2 2" xfId="4317" xr:uid="{00000000-0005-0000-0000-0000CB130000}"/>
    <cellStyle name="SAPBEXstdItemX 2 3 3" xfId="2796" xr:uid="{00000000-0005-0000-0000-0000CC130000}"/>
    <cellStyle name="SAPBEXstdItemX 2 3 3 2" xfId="5040" xr:uid="{00000000-0005-0000-0000-0000CD130000}"/>
    <cellStyle name="SAPBEXstdItemX 2 3 4" xfId="3531" xr:uid="{00000000-0005-0000-0000-0000CE130000}"/>
    <cellStyle name="SAPBEXstdItemX 2 4" xfId="1553" xr:uid="{00000000-0005-0000-0000-0000CF130000}"/>
    <cellStyle name="SAPBEXstdItemX 2 4 2" xfId="3797" xr:uid="{00000000-0005-0000-0000-0000D0130000}"/>
    <cellStyle name="SAPBEXstdItemX 2 5" xfId="3011" xr:uid="{00000000-0005-0000-0000-0000D1130000}"/>
    <cellStyle name="SAPBEXstdItemX 3" xfId="1031" xr:uid="{00000000-0005-0000-0000-0000D2130000}"/>
    <cellStyle name="SAPBEXstdItemX 3 2" xfId="1819" xr:uid="{00000000-0005-0000-0000-0000D3130000}"/>
    <cellStyle name="SAPBEXstdItemX 3 2 2" xfId="4063" xr:uid="{00000000-0005-0000-0000-0000D4130000}"/>
    <cellStyle name="SAPBEXstdItemX 3 3" xfId="2543" xr:uid="{00000000-0005-0000-0000-0000D5130000}"/>
    <cellStyle name="SAPBEXstdItemX 3 3 2" xfId="4787" xr:uid="{00000000-0005-0000-0000-0000D6130000}"/>
    <cellStyle name="SAPBEXstdItemX 3 4" xfId="3277" xr:uid="{00000000-0005-0000-0000-0000D7130000}"/>
    <cellStyle name="SAPBEXstdItemX 4" xfId="1285" xr:uid="{00000000-0005-0000-0000-0000D8130000}"/>
    <cellStyle name="SAPBEXstdItemX 4 2" xfId="2072" xr:uid="{00000000-0005-0000-0000-0000D9130000}"/>
    <cellStyle name="SAPBEXstdItemX 4 2 2" xfId="4316" xr:uid="{00000000-0005-0000-0000-0000DA130000}"/>
    <cellStyle name="SAPBEXstdItemX 4 3" xfId="2795" xr:uid="{00000000-0005-0000-0000-0000DB130000}"/>
    <cellStyle name="SAPBEXstdItemX 4 3 2" xfId="5039" xr:uid="{00000000-0005-0000-0000-0000DC130000}"/>
    <cellStyle name="SAPBEXstdItemX 4 4" xfId="3530" xr:uid="{00000000-0005-0000-0000-0000DD130000}"/>
    <cellStyle name="SAPBEXstdItemX 5" xfId="1552" xr:uid="{00000000-0005-0000-0000-0000DE130000}"/>
    <cellStyle name="SAPBEXstdItemX 5 2" xfId="3796" xr:uid="{00000000-0005-0000-0000-0000DF130000}"/>
    <cellStyle name="SAPBEXstdItemX 6" xfId="3010" xr:uid="{00000000-0005-0000-0000-0000E0130000}"/>
    <cellStyle name="Standard_NEGS" xfId="705" xr:uid="{00000000-0005-0000-0000-0000E1130000}"/>
    <cellStyle name="Style 1" xfId="706" xr:uid="{00000000-0005-0000-0000-0000E2130000}"/>
    <cellStyle name="subhead" xfId="707" xr:uid="{00000000-0005-0000-0000-0000E3130000}"/>
    <cellStyle name="subhead 2" xfId="708" xr:uid="{00000000-0005-0000-0000-0000E4130000}"/>
    <cellStyle name="Subtotal" xfId="709" xr:uid="{00000000-0005-0000-0000-0000E5130000}"/>
    <cellStyle name="Text Indent A" xfId="710" xr:uid="{00000000-0005-0000-0000-0000E6130000}"/>
    <cellStyle name="Text Indent B" xfId="711" xr:uid="{00000000-0005-0000-0000-0000E7130000}"/>
    <cellStyle name="Text Indent C" xfId="712" xr:uid="{00000000-0005-0000-0000-0000E8130000}"/>
    <cellStyle name="Times New Roman" xfId="713" xr:uid="{00000000-0005-0000-0000-0000E9130000}"/>
    <cellStyle name="Tusental (0)_pldt" xfId="714" xr:uid="{00000000-0005-0000-0000-0000EA130000}"/>
    <cellStyle name="Tusental_pldt" xfId="715" xr:uid="{00000000-0005-0000-0000-0000EB130000}"/>
    <cellStyle name="Valuta (0)_pldt" xfId="716" xr:uid="{00000000-0005-0000-0000-0000EC130000}"/>
    <cellStyle name="Valuta_pldt" xfId="717" xr:uid="{00000000-0005-0000-0000-0000ED13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K%20Associates%20File\Valuation%20sheet%20for%20SFA%20Meenaksh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elcome/Desktop/IL&amp;FS/RK%20Working/IL&amp;FS%20current%20assets%20Valuation-%202023-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welcome/Desktop/IL&amp;FS/RK%20Working/Provision-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welcome/Desktop/IL&amp;FS/RK%20Working/IL&amp;FS%20current%20assets%20Valuation-%202023-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SUMMARY"/>
      <sheetName val="Intangible Asset- I"/>
      <sheetName val="Non-Current Investment- V"/>
      <sheetName val="LT L&amp;A- II"/>
      <sheetName val="ONCFA- III"/>
      <sheetName val="ONCA- IV"/>
      <sheetName val="Anx. to ONCA- IV(i)"/>
      <sheetName val="Inventory- V"/>
      <sheetName val="Trade Receivables- VI"/>
      <sheetName val="Cash &amp; Cash Equivalents- VII"/>
      <sheetName val="ST L&amp;A- VIII"/>
      <sheetName val="OCFA- IX"/>
      <sheetName val="CTA- X"/>
      <sheetName val="OCA- XI"/>
      <sheetName val="MSEDCL Assets"/>
      <sheetName val="SECL Assets"/>
      <sheetName val="WCL Assets"/>
      <sheetName val="Sheet4"/>
    </sheetNames>
    <sheetDataSet>
      <sheetData sheetId="0" refreshError="1"/>
      <sheetData sheetId="1" refreshError="1">
        <row r="5">
          <cell r="B5" t="str">
            <v>Figures in INR Lakhs</v>
          </cell>
        </row>
        <row r="16">
          <cell r="B16" t="str">
            <v>REMARKS &amp; NOTES:-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SUMMARY"/>
      <sheetName val="NCI-I"/>
      <sheetName val="Provisions TR 2023"/>
      <sheetName val="Trade Receivable-II"/>
      <sheetName val="Sheet1"/>
      <sheetName val="Provisions 2023"/>
      <sheetName val="Loans-III"/>
      <sheetName val="Interest Accrued"/>
      <sheetName val="Other Receivables"/>
      <sheetName val="Margin Money"/>
      <sheetName val="Tax Assets"/>
      <sheetName val="Deposits"/>
      <sheetName val="Advances to Vendor"/>
      <sheetName val="Balance - Satutory Authority"/>
      <sheetName val="Contract Assets-WIP"/>
      <sheetName val="ONCA-VI"/>
      <sheetName val="Retention Money-VII"/>
      <sheetName val="INVENTORY-VII"/>
      <sheetName val="Cash &amp; Cash Equivalents- VIII"/>
      <sheetName val="OCFA-IX"/>
      <sheetName val="CTA-X"/>
      <sheetName val="OCA-XI"/>
      <sheetName val="Debenture-2023"/>
      <sheetName val="Preferred - 2023"/>
      <sheetName val="MSEDCL Assets"/>
      <sheetName val="SECL Assets"/>
      <sheetName val="WCL Assets"/>
      <sheetName val="Sheet4"/>
    </sheetNames>
    <sheetDataSet>
      <sheetData sheetId="0"/>
      <sheetData sheetId="1">
        <row r="3">
          <cell r="B3" t="str">
            <v>Details as on 31st March 2023</v>
          </cell>
        </row>
        <row r="5">
          <cell r="B5" t="str">
            <v>Figures in INR Crores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rovisions TR 2018"/>
    </sheetNames>
    <sheetDataSet>
      <sheetData sheetId="0"/>
      <sheetData sheetId="1">
        <row r="25">
          <cell r="I25">
            <v>151.24997685900007</v>
          </cell>
          <cell r="J25">
            <v>70.639618610327815</v>
          </cell>
        </row>
        <row r="27">
          <cell r="J27">
            <v>52.161769555999996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SUMMARY"/>
      <sheetName val="NCI-I"/>
      <sheetName val="Provisions TR 2023"/>
      <sheetName val="Trade Receivable-II"/>
      <sheetName val="Provisions 2023"/>
      <sheetName val="Loans-III"/>
      <sheetName val="Interest Accrued-IV"/>
      <sheetName val="Claim for PBG-V"/>
      <sheetName val="Other Receivables-VI"/>
      <sheetName val="Margin Money-VII"/>
      <sheetName val="Tax Assets-VIII"/>
      <sheetName val="Deposits-IX"/>
      <sheetName val="Advances to Vendor-X"/>
      <sheetName val="Balance - Satutory Authority-XI"/>
      <sheetName val="Contract Assets-WIP-XII"/>
      <sheetName val="ONCA-VI"/>
      <sheetName val="Retention Money-XIII"/>
      <sheetName val="INVENTORY-VII"/>
      <sheetName val="Cash &amp; Cash Equivalents-XIV"/>
      <sheetName val="OCFA-IX"/>
      <sheetName val="CTA-X"/>
      <sheetName val="OCA-XI"/>
      <sheetName val="Debenture-2023"/>
      <sheetName val="Preferred - 2023"/>
      <sheetName val="MSEDCL Assets"/>
      <sheetName val="SECL Assets"/>
      <sheetName val="WCL Assets"/>
      <sheetName val="Sheet4"/>
    </sheetNames>
    <sheetDataSet>
      <sheetData sheetId="0"/>
      <sheetData sheetId="1">
        <row r="5">
          <cell r="B5" t="str">
            <v>Figures in INR Crores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hyperlink" Target="mailto:=@subtotal(9,D4:D40)"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workbookViewId="0">
      <selection activeCell="B21" sqref="B21"/>
    </sheetView>
  </sheetViews>
  <sheetFormatPr defaultColWidth="9.109375" defaultRowHeight="14.4"/>
  <cols>
    <col min="2" max="2" width="39.88671875" bestFit="1" customWidth="1"/>
    <col min="3" max="3" width="16.88671875" customWidth="1"/>
    <col min="4" max="4" width="18.88671875" customWidth="1"/>
  </cols>
  <sheetData>
    <row r="1" spans="1:14" ht="15.6">
      <c r="A1" s="1" t="s">
        <v>0</v>
      </c>
      <c r="B1" s="1" t="s">
        <v>1</v>
      </c>
      <c r="C1" s="277" t="s">
        <v>2</v>
      </c>
      <c r="D1" s="277"/>
      <c r="E1" s="277"/>
      <c r="F1" s="277"/>
      <c r="G1" s="277"/>
      <c r="H1" s="277"/>
      <c r="I1" s="277"/>
      <c r="J1" s="277"/>
      <c r="K1" s="277"/>
      <c r="L1" s="277"/>
      <c r="M1" s="277"/>
      <c r="N1" s="277"/>
    </row>
    <row r="2" spans="1:14">
      <c r="B2" s="2" t="s">
        <v>16</v>
      </c>
    </row>
    <row r="4" spans="1:14" ht="15" thickBot="1">
      <c r="B4" s="3" t="s">
        <v>5</v>
      </c>
    </row>
    <row r="5" spans="1:14">
      <c r="A5" s="6" t="s">
        <v>18</v>
      </c>
      <c r="B5" s="7" t="s">
        <v>17</v>
      </c>
      <c r="C5" s="7" t="s">
        <v>3</v>
      </c>
      <c r="D5" s="8" t="s">
        <v>13</v>
      </c>
    </row>
    <row r="6" spans="1:14">
      <c r="A6" s="9"/>
      <c r="B6" s="3"/>
      <c r="D6" s="10"/>
    </row>
    <row r="7" spans="1:14">
      <c r="A7" s="9">
        <v>1</v>
      </c>
      <c r="B7" t="s">
        <v>6</v>
      </c>
      <c r="C7" s="4" t="e">
        <f>+#REF!+#REF!</f>
        <v>#REF!</v>
      </c>
      <c r="D7" s="10" t="e">
        <f>+#REF!</f>
        <v>#REF!</v>
      </c>
    </row>
    <row r="8" spans="1:14">
      <c r="A8" s="9">
        <v>2</v>
      </c>
      <c r="B8" t="s">
        <v>7</v>
      </c>
      <c r="C8" s="4" t="e">
        <f>+#REF!</f>
        <v>#REF!</v>
      </c>
      <c r="D8" s="10"/>
    </row>
    <row r="9" spans="1:14">
      <c r="A9" s="9">
        <v>3</v>
      </c>
      <c r="B9" t="s">
        <v>8</v>
      </c>
      <c r="C9" s="4" t="e">
        <f>+#REF!</f>
        <v>#REF!</v>
      </c>
      <c r="D9" s="10"/>
    </row>
    <row r="10" spans="1:14">
      <c r="A10" s="9">
        <v>4</v>
      </c>
      <c r="B10" t="s">
        <v>9</v>
      </c>
      <c r="C10" s="4" t="e">
        <f>+#REF!</f>
        <v>#REF!</v>
      </c>
      <c r="D10" s="10" t="e">
        <f>+#REF!</f>
        <v>#REF!</v>
      </c>
    </row>
    <row r="11" spans="1:14">
      <c r="A11" s="9">
        <v>5</v>
      </c>
      <c r="B11" t="s">
        <v>4</v>
      </c>
      <c r="C11" s="4" t="e">
        <f>+#REF!</f>
        <v>#REF!</v>
      </c>
      <c r="D11" s="10" t="e">
        <f>+#REF!</f>
        <v>#REF!</v>
      </c>
    </row>
    <row r="12" spans="1:14">
      <c r="A12" s="9">
        <v>7</v>
      </c>
      <c r="B12" t="s">
        <v>10</v>
      </c>
      <c r="C12" s="4" t="e">
        <f>+#REF!</f>
        <v>#REF!</v>
      </c>
      <c r="D12" s="10"/>
    </row>
    <row r="13" spans="1:14">
      <c r="A13" s="9">
        <v>8</v>
      </c>
      <c r="B13" t="s">
        <v>11</v>
      </c>
      <c r="C13" s="4"/>
      <c r="D13" s="10">
        <v>20153353</v>
      </c>
    </row>
    <row r="14" spans="1:14">
      <c r="A14" s="9">
        <v>9</v>
      </c>
      <c r="B14" t="s">
        <v>12</v>
      </c>
      <c r="C14" s="4" t="e">
        <f>+#REF!</f>
        <v>#REF!</v>
      </c>
      <c r="D14" s="11" t="e">
        <f>+#REF!</f>
        <v>#REF!</v>
      </c>
    </row>
    <row r="15" spans="1:14">
      <c r="A15" s="12"/>
      <c r="C15" s="4"/>
      <c r="D15" s="10"/>
    </row>
    <row r="16" spans="1:14" ht="15" thickBot="1">
      <c r="A16" s="12"/>
      <c r="C16" s="5" t="e">
        <f>SUM(C7:C15)</f>
        <v>#REF!</v>
      </c>
      <c r="D16" s="13" t="e">
        <f>SUM(D7:D15)</f>
        <v>#REF!</v>
      </c>
    </row>
    <row r="17" spans="1:4" ht="15" thickTop="1">
      <c r="A17" s="12"/>
      <c r="B17" t="s">
        <v>14</v>
      </c>
      <c r="C17" s="3" t="e">
        <f>+C16+D16</f>
        <v>#REF!</v>
      </c>
      <c r="D17" s="10"/>
    </row>
    <row r="18" spans="1:4" ht="15" thickBot="1">
      <c r="A18" s="14"/>
      <c r="B18" s="15" t="s">
        <v>15</v>
      </c>
      <c r="C18" s="15"/>
      <c r="D18" s="16"/>
    </row>
    <row r="20" spans="1:4" s="17" customFormat="1" ht="36">
      <c r="B20" s="18" t="s">
        <v>19</v>
      </c>
      <c r="C20" s="19" t="e">
        <f>+C16/C17*100</f>
        <v>#REF!</v>
      </c>
    </row>
    <row r="21" spans="1:4">
      <c r="C21" s="4"/>
    </row>
  </sheetData>
  <mergeCells count="1">
    <mergeCell ref="C1:N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2:X197"/>
  <sheetViews>
    <sheetView tabSelected="1" topLeftCell="B7" workbookViewId="0">
      <selection activeCell="B14" sqref="B14:M14"/>
    </sheetView>
  </sheetViews>
  <sheetFormatPr defaultRowHeight="14.4"/>
  <cols>
    <col min="2" max="2" width="12.5546875" customWidth="1"/>
    <col min="3" max="3" width="33.33203125" customWidth="1"/>
    <col min="4" max="10" width="12.6640625" customWidth="1"/>
    <col min="11" max="11" width="12.109375" customWidth="1"/>
    <col min="12" max="12" width="12" customWidth="1"/>
    <col min="13" max="13" width="66.88671875" customWidth="1"/>
  </cols>
  <sheetData>
    <row r="2" spans="2:24">
      <c r="B2" s="348" t="s">
        <v>649</v>
      </c>
      <c r="C2" s="349"/>
      <c r="D2" s="349"/>
      <c r="E2" s="349"/>
      <c r="F2" s="349"/>
      <c r="G2" s="349"/>
      <c r="H2" s="349"/>
      <c r="I2" s="349"/>
      <c r="J2" s="349"/>
      <c r="K2" s="349"/>
      <c r="L2" s="349"/>
      <c r="M2" s="350"/>
    </row>
    <row r="3" spans="2:24">
      <c r="B3" s="293" t="s">
        <v>156</v>
      </c>
      <c r="C3" s="294"/>
      <c r="D3" s="294"/>
      <c r="E3" s="352"/>
      <c r="F3" s="352"/>
      <c r="G3" s="352"/>
      <c r="H3" s="352"/>
      <c r="I3" s="352"/>
      <c r="J3" s="352"/>
      <c r="K3" s="294"/>
      <c r="L3" s="294"/>
      <c r="M3" s="295"/>
      <c r="W3" t="s">
        <v>580</v>
      </c>
      <c r="X3">
        <f>3.33+20.73</f>
        <v>24.060000000000002</v>
      </c>
    </row>
    <row r="4" spans="2:24" ht="40.950000000000003" customHeight="1">
      <c r="B4" s="24" t="s">
        <v>0</v>
      </c>
      <c r="C4" s="24" t="s">
        <v>70</v>
      </c>
      <c r="D4" s="33" t="s">
        <v>65</v>
      </c>
      <c r="E4" s="33" t="s">
        <v>458</v>
      </c>
      <c r="F4" s="33" t="s">
        <v>459</v>
      </c>
      <c r="G4" s="33" t="s">
        <v>460</v>
      </c>
      <c r="H4" s="33" t="s">
        <v>461</v>
      </c>
      <c r="I4" s="33" t="s">
        <v>462</v>
      </c>
      <c r="J4" s="33" t="s">
        <v>501</v>
      </c>
      <c r="K4" s="24" t="s">
        <v>464</v>
      </c>
      <c r="L4" s="24" t="s">
        <v>465</v>
      </c>
      <c r="M4" s="24" t="s">
        <v>22</v>
      </c>
      <c r="W4" t="s">
        <v>581</v>
      </c>
      <c r="X4">
        <f>10.69+0.01</f>
        <v>10.7</v>
      </c>
    </row>
    <row r="5" spans="2:24" ht="18.600000000000001" customHeight="1">
      <c r="B5" s="351" t="str">
        <f>[4]SUMMARY!B5</f>
        <v>Figures in INR Crores</v>
      </c>
      <c r="C5" s="352"/>
      <c r="D5" s="352"/>
      <c r="E5" s="352"/>
      <c r="F5" s="352"/>
      <c r="G5" s="352"/>
      <c r="H5" s="352"/>
      <c r="I5" s="352"/>
      <c r="J5" s="352"/>
      <c r="K5" s="352"/>
      <c r="L5" s="352"/>
      <c r="M5" s="353"/>
      <c r="W5" t="s">
        <v>582</v>
      </c>
      <c r="X5">
        <f>52.18+72.57</f>
        <v>124.75</v>
      </c>
    </row>
    <row r="6" spans="2:24" ht="42.6" customHeight="1">
      <c r="B6" s="194">
        <v>1</v>
      </c>
      <c r="C6" s="78" t="s">
        <v>580</v>
      </c>
      <c r="D6" s="56">
        <f t="shared" ref="D6:I6" si="0">C22</f>
        <v>24.054358534000006</v>
      </c>
      <c r="E6" s="56">
        <f t="shared" si="0"/>
        <v>0.33</v>
      </c>
      <c r="F6" s="56">
        <f t="shared" si="0"/>
        <v>0.38083716199999995</v>
      </c>
      <c r="G6" s="56">
        <f t="shared" si="0"/>
        <v>0.16616657900000001</v>
      </c>
      <c r="H6" s="56">
        <f t="shared" si="0"/>
        <v>9.2791200000000004E-2</v>
      </c>
      <c r="I6" s="56">
        <f t="shared" si="0"/>
        <v>0.161132</v>
      </c>
      <c r="J6" s="56">
        <f>J22</f>
        <v>22.922239391000005</v>
      </c>
      <c r="K6" s="56">
        <f>N27</f>
        <v>7.6636914568712955</v>
      </c>
      <c r="L6" s="56">
        <f>N28</f>
        <v>0.4018562785</v>
      </c>
      <c r="M6" s="208" t="s">
        <v>659</v>
      </c>
      <c r="O6" s="39">
        <v>0.3</v>
      </c>
    </row>
    <row r="7" spans="2:24" ht="33.6" customHeight="1">
      <c r="B7" s="194">
        <v>2</v>
      </c>
      <c r="C7" s="78" t="s">
        <v>581</v>
      </c>
      <c r="D7" s="56">
        <f>10.69+0.01</f>
        <v>10.7</v>
      </c>
      <c r="E7" s="56" t="s">
        <v>179</v>
      </c>
      <c r="F7" s="56" t="s">
        <v>179</v>
      </c>
      <c r="G7" s="56" t="s">
        <v>179</v>
      </c>
      <c r="H7" s="56" t="s">
        <v>179</v>
      </c>
      <c r="I7" s="56" t="s">
        <v>179</v>
      </c>
      <c r="J7" s="56" t="s">
        <v>179</v>
      </c>
      <c r="K7" s="56">
        <f>10.69+0.01*0%</f>
        <v>10.69</v>
      </c>
      <c r="L7" s="56">
        <f>10.69*90%</f>
        <v>9.6210000000000004</v>
      </c>
      <c r="M7" s="91" t="s">
        <v>648</v>
      </c>
    </row>
    <row r="8" spans="2:24" ht="45" customHeight="1">
      <c r="B8" s="194">
        <v>3</v>
      </c>
      <c r="C8" s="78" t="s">
        <v>582</v>
      </c>
      <c r="D8" s="56">
        <f>52.18+72.57</f>
        <v>124.75</v>
      </c>
      <c r="E8" s="56">
        <f>N103</f>
        <v>60.174922085999988</v>
      </c>
      <c r="F8" s="56">
        <f t="shared" ref="F8:J8" si="1">O103</f>
        <v>0</v>
      </c>
      <c r="G8" s="56">
        <f t="shared" si="1"/>
        <v>0</v>
      </c>
      <c r="H8" s="56">
        <f t="shared" si="1"/>
        <v>0</v>
      </c>
      <c r="I8" s="56">
        <f t="shared" si="1"/>
        <v>0</v>
      </c>
      <c r="J8" s="56">
        <f t="shared" si="1"/>
        <v>10.029999999999999</v>
      </c>
      <c r="K8" s="56">
        <f>N108</f>
        <v>54.440557338461531</v>
      </c>
      <c r="L8" s="56">
        <f>N109</f>
        <v>30.087461042999994</v>
      </c>
      <c r="M8" s="91" t="s">
        <v>660</v>
      </c>
      <c r="O8" s="39">
        <v>0.3</v>
      </c>
    </row>
    <row r="9" spans="2:24" ht="31.95" customHeight="1">
      <c r="B9" s="194">
        <v>4</v>
      </c>
      <c r="C9" s="78" t="s">
        <v>584</v>
      </c>
      <c r="D9" s="56">
        <v>323.77999999999997</v>
      </c>
      <c r="E9" s="56" t="s">
        <v>179</v>
      </c>
      <c r="F9" s="56" t="s">
        <v>179</v>
      </c>
      <c r="G9" s="56" t="s">
        <v>179</v>
      </c>
      <c r="H9" s="56" t="s">
        <v>179</v>
      </c>
      <c r="I9" s="56" t="s">
        <v>179</v>
      </c>
      <c r="J9" s="56" t="s">
        <v>179</v>
      </c>
      <c r="K9" s="56">
        <v>323.77999999999997</v>
      </c>
      <c r="L9" s="56">
        <f>K9*O9</f>
        <v>291.40199999999999</v>
      </c>
      <c r="M9" s="91" t="s">
        <v>666</v>
      </c>
      <c r="O9" s="39">
        <v>0.9</v>
      </c>
    </row>
    <row r="10" spans="2:24" ht="43.95" customHeight="1">
      <c r="B10" s="194">
        <v>5</v>
      </c>
      <c r="C10" s="78" t="s">
        <v>583</v>
      </c>
      <c r="D10" s="56">
        <f>D111</f>
        <v>177.10097924871647</v>
      </c>
      <c r="E10" s="56">
        <f t="shared" ref="E10:I10" si="2">E111</f>
        <v>45.144714654663979</v>
      </c>
      <c r="F10" s="56">
        <f t="shared" si="2"/>
        <v>17.387515564000008</v>
      </c>
      <c r="G10" s="56">
        <f t="shared" si="2"/>
        <v>33.667447898000006</v>
      </c>
      <c r="H10" s="56">
        <f t="shared" si="2"/>
        <v>7.1476742372246322</v>
      </c>
      <c r="I10" s="56">
        <f t="shared" si="2"/>
        <v>2.4621342576175644</v>
      </c>
      <c r="J10" s="56">
        <f>K111</f>
        <v>71.291492637210339</v>
      </c>
      <c r="K10" s="44">
        <f>N121</f>
        <v>98.632816502558811</v>
      </c>
      <c r="L10" s="44">
        <f>N122</f>
        <v>41.30334619553868</v>
      </c>
      <c r="M10" s="91" t="s">
        <v>661</v>
      </c>
      <c r="O10" s="39">
        <v>0.3</v>
      </c>
    </row>
    <row r="11" spans="2:24" ht="45" customHeight="1">
      <c r="B11" s="194">
        <v>6</v>
      </c>
      <c r="C11" s="78" t="s">
        <v>585</v>
      </c>
      <c r="D11" s="56">
        <v>-24.97</v>
      </c>
      <c r="E11" s="56" t="s">
        <v>179</v>
      </c>
      <c r="F11" s="56" t="s">
        <v>179</v>
      </c>
      <c r="G11" s="56" t="s">
        <v>179</v>
      </c>
      <c r="H11" s="56" t="s">
        <v>179</v>
      </c>
      <c r="I11" s="56" t="s">
        <v>179</v>
      </c>
      <c r="J11" s="56" t="s">
        <v>179</v>
      </c>
      <c r="K11" s="44">
        <f>D11</f>
        <v>-24.97</v>
      </c>
      <c r="L11" s="44">
        <f>K11</f>
        <v>-24.97</v>
      </c>
      <c r="M11" s="91" t="s">
        <v>149</v>
      </c>
      <c r="W11" t="s">
        <v>584</v>
      </c>
      <c r="X11">
        <v>323.77999999999997</v>
      </c>
    </row>
    <row r="12" spans="2:24" ht="18.600000000000001" customHeight="1">
      <c r="B12" s="34"/>
      <c r="C12" s="195" t="s">
        <v>23</v>
      </c>
      <c r="D12" s="45">
        <f>SUM(D6:D11)</f>
        <v>635.41533778271639</v>
      </c>
      <c r="E12" s="45">
        <f t="shared" ref="E12:J12" si="3">SUM(E6:E11)</f>
        <v>105.64963674066396</v>
      </c>
      <c r="F12" s="45">
        <f t="shared" si="3"/>
        <v>17.768352726000007</v>
      </c>
      <c r="G12" s="45">
        <f t="shared" si="3"/>
        <v>33.833614477000005</v>
      </c>
      <c r="H12" s="45">
        <f t="shared" si="3"/>
        <v>7.240465437224632</v>
      </c>
      <c r="I12" s="45">
        <f t="shared" si="3"/>
        <v>2.6232662576175643</v>
      </c>
      <c r="J12" s="45">
        <f t="shared" si="3"/>
        <v>104.24373202821035</v>
      </c>
      <c r="K12" s="45">
        <f>SUM(K6:K11)</f>
        <v>470.2370652978916</v>
      </c>
      <c r="L12" s="45">
        <f>SUM(L6:L11)</f>
        <v>347.84566351703859</v>
      </c>
      <c r="M12" s="34"/>
      <c r="W12" t="s">
        <v>583</v>
      </c>
      <c r="X12">
        <f>23.65+37.23+10.14+106.08</f>
        <v>177.1</v>
      </c>
    </row>
    <row r="13" spans="2:24">
      <c r="B13" s="354" t="s">
        <v>20</v>
      </c>
      <c r="C13" s="355"/>
      <c r="D13" s="355"/>
      <c r="E13" s="355"/>
      <c r="F13" s="355"/>
      <c r="G13" s="355"/>
      <c r="H13" s="355"/>
      <c r="I13" s="355"/>
      <c r="J13" s="355"/>
      <c r="K13" s="355"/>
      <c r="L13" s="355"/>
      <c r="M13" s="356"/>
      <c r="W13" t="s">
        <v>585</v>
      </c>
      <c r="X13" s="229">
        <v>-24.97</v>
      </c>
    </row>
    <row r="14" spans="2:24" ht="75.599999999999994" customHeight="1">
      <c r="B14" s="299" t="s">
        <v>673</v>
      </c>
      <c r="C14" s="299"/>
      <c r="D14" s="299"/>
      <c r="E14" s="299"/>
      <c r="F14" s="299"/>
      <c r="G14" s="299"/>
      <c r="H14" s="299"/>
      <c r="I14" s="299"/>
      <c r="J14" s="299"/>
      <c r="K14" s="299"/>
      <c r="L14" s="299"/>
      <c r="M14" s="299"/>
      <c r="W14" t="s">
        <v>586</v>
      </c>
      <c r="X14" s="229">
        <f>224.56+260.62</f>
        <v>485.18</v>
      </c>
    </row>
    <row r="15" spans="2:24">
      <c r="W15" t="s">
        <v>587</v>
      </c>
      <c r="X15" s="229">
        <f>4.69+877.39</f>
        <v>882.08</v>
      </c>
    </row>
    <row r="20" spans="1:19">
      <c r="M20" s="162" t="s">
        <v>436</v>
      </c>
      <c r="N20" s="119">
        <v>1</v>
      </c>
      <c r="O20" s="119">
        <f>N20+1</f>
        <v>2</v>
      </c>
      <c r="P20" s="119">
        <f t="shared" ref="P20:S20" si="4">O20+1</f>
        <v>3</v>
      </c>
      <c r="Q20" s="119">
        <f t="shared" si="4"/>
        <v>4</v>
      </c>
      <c r="R20" s="119">
        <f t="shared" si="4"/>
        <v>5</v>
      </c>
      <c r="S20" s="119">
        <f t="shared" si="4"/>
        <v>6</v>
      </c>
    </row>
    <row r="21" spans="1:19">
      <c r="A21" s="116"/>
      <c r="B21" s="116"/>
      <c r="C21" s="116"/>
      <c r="D21" s="358" t="s">
        <v>421</v>
      </c>
      <c r="E21" s="358"/>
      <c r="F21" s="358"/>
      <c r="G21" s="358"/>
      <c r="H21" s="358"/>
      <c r="I21" s="239"/>
      <c r="J21" s="239"/>
      <c r="M21" s="163" t="s">
        <v>437</v>
      </c>
      <c r="N21" s="164">
        <f>D6</f>
        <v>24.054358534000006</v>
      </c>
      <c r="O21" s="165"/>
      <c r="P21" s="165"/>
      <c r="Q21" s="165"/>
      <c r="R21" s="165"/>
      <c r="S21" s="116"/>
    </row>
    <row r="22" spans="1:19">
      <c r="A22" s="239"/>
      <c r="B22" s="239" t="s">
        <v>547</v>
      </c>
      <c r="C22" s="248">
        <f>SUBTOTAL(9,C24:C97)</f>
        <v>24.054358534000006</v>
      </c>
      <c r="D22" s="248">
        <v>0.33</v>
      </c>
      <c r="E22" s="248">
        <f>SUBTOTAL(9,E24:E97)</f>
        <v>0.38083716199999995</v>
      </c>
      <c r="F22" s="248">
        <f>SUBTOTAL(9,F24:F97)</f>
        <v>0.16616657900000001</v>
      </c>
      <c r="G22" s="248">
        <f>SUBTOTAL(9,G24:G97)</f>
        <v>9.2791200000000004E-2</v>
      </c>
      <c r="H22" s="248">
        <f>SUBTOTAL(9,H24:H97)</f>
        <v>0.161132</v>
      </c>
      <c r="I22" s="248">
        <f>SUBTOTAL(9,I24:I97)</f>
        <v>3.5592268210000011</v>
      </c>
      <c r="J22" s="249">
        <f>SUM(J24:J97)</f>
        <v>22.922239391000005</v>
      </c>
      <c r="M22" s="163" t="s">
        <v>438</v>
      </c>
      <c r="N22" s="164">
        <f>D22</f>
        <v>0.33</v>
      </c>
      <c r="O22" s="164">
        <f t="shared" ref="O22:R22" si="5">E22</f>
        <v>0.38083716199999995</v>
      </c>
      <c r="P22" s="164">
        <f t="shared" si="5"/>
        <v>0.16616657900000001</v>
      </c>
      <c r="Q22" s="164">
        <f t="shared" si="5"/>
        <v>9.2791200000000004E-2</v>
      </c>
      <c r="R22" s="164">
        <f t="shared" si="5"/>
        <v>0.161132</v>
      </c>
      <c r="S22" s="164">
        <f>J22</f>
        <v>22.922239391000005</v>
      </c>
    </row>
    <row r="23" spans="1:19" ht="43.2">
      <c r="A23" s="250" t="s">
        <v>186</v>
      </c>
      <c r="B23" s="250" t="s">
        <v>187</v>
      </c>
      <c r="C23" s="251" t="s">
        <v>548</v>
      </c>
      <c r="D23" s="252" t="s">
        <v>426</v>
      </c>
      <c r="E23" s="252" t="s">
        <v>427</v>
      </c>
      <c r="F23" s="252" t="s">
        <v>428</v>
      </c>
      <c r="G23" s="252" t="s">
        <v>429</v>
      </c>
      <c r="H23" s="252" t="s">
        <v>430</v>
      </c>
      <c r="I23" s="243" t="s">
        <v>422</v>
      </c>
      <c r="J23" s="243" t="s">
        <v>501</v>
      </c>
      <c r="M23" s="163" t="s">
        <v>439</v>
      </c>
      <c r="N23" s="165">
        <v>1</v>
      </c>
      <c r="O23" s="165">
        <f>N23+1</f>
        <v>2</v>
      </c>
      <c r="P23" s="165">
        <f t="shared" ref="P23:S23" si="6">O23+1</f>
        <v>3</v>
      </c>
      <c r="Q23" s="165">
        <f t="shared" si="6"/>
        <v>4</v>
      </c>
      <c r="R23" s="165">
        <f t="shared" si="6"/>
        <v>5</v>
      </c>
      <c r="S23" s="165">
        <f t="shared" si="6"/>
        <v>6</v>
      </c>
    </row>
    <row r="24" spans="1:19">
      <c r="A24" s="253" t="s">
        <v>400</v>
      </c>
      <c r="B24" s="253" t="s">
        <v>549</v>
      </c>
      <c r="C24" s="232">
        <v>4.6906000000000003E-2</v>
      </c>
      <c r="D24" s="232">
        <v>4.6906000000000003E-2</v>
      </c>
      <c r="E24" s="232">
        <v>0</v>
      </c>
      <c r="F24" s="232">
        <v>0</v>
      </c>
      <c r="G24" s="232">
        <v>0</v>
      </c>
      <c r="H24" s="232">
        <v>0</v>
      </c>
      <c r="I24" s="232">
        <v>0</v>
      </c>
      <c r="J24" s="254">
        <f>C24-D24-E24-F24-G24-H24</f>
        <v>0</v>
      </c>
      <c r="M24" s="163" t="s">
        <v>153</v>
      </c>
      <c r="N24" s="166">
        <f>1/(1+$N$25)^N23</f>
        <v>0.85470085470085477</v>
      </c>
      <c r="O24" s="166">
        <f t="shared" ref="O24:R24" si="7">1/(1+$N$25)^O23</f>
        <v>0.73051355102637161</v>
      </c>
      <c r="P24" s="166">
        <f t="shared" si="7"/>
        <v>0.62437055643279626</v>
      </c>
      <c r="Q24" s="166">
        <f t="shared" si="7"/>
        <v>0.53365004823315931</v>
      </c>
      <c r="R24" s="166">
        <f t="shared" si="7"/>
        <v>0.45611115233603361</v>
      </c>
      <c r="S24" s="275">
        <v>0.3</v>
      </c>
    </row>
    <row r="25" spans="1:19">
      <c r="A25" s="253" t="s">
        <v>400</v>
      </c>
      <c r="B25" s="253" t="s">
        <v>539</v>
      </c>
      <c r="C25" s="232">
        <v>0.19560606999999999</v>
      </c>
      <c r="D25" s="232">
        <v>0</v>
      </c>
      <c r="E25" s="232">
        <v>0</v>
      </c>
      <c r="F25" s="232">
        <v>8.1562499999999996E-2</v>
      </c>
      <c r="G25" s="232">
        <v>0</v>
      </c>
      <c r="H25" s="232">
        <v>0</v>
      </c>
      <c r="I25" s="232">
        <v>0</v>
      </c>
      <c r="J25" s="254">
        <f t="shared" ref="J25:J88" si="8">C25-D25-E25-F25-G25-H25</f>
        <v>0.11404357</v>
      </c>
      <c r="M25" s="163" t="s">
        <v>440</v>
      </c>
      <c r="N25" s="167">
        <v>0.17</v>
      </c>
      <c r="O25" s="165"/>
      <c r="P25" s="165"/>
      <c r="Q25" s="165"/>
      <c r="R25" s="165"/>
      <c r="S25" s="116"/>
    </row>
    <row r="26" spans="1:19">
      <c r="A26" s="253" t="s">
        <v>400</v>
      </c>
      <c r="B26" s="253" t="s">
        <v>550</v>
      </c>
      <c r="C26" s="232">
        <v>6.7000000000000002E-3</v>
      </c>
      <c r="D26" s="232">
        <v>1.6000000000000001E-3</v>
      </c>
      <c r="E26" s="232">
        <v>0</v>
      </c>
      <c r="F26" s="232">
        <v>5.1000000000000004E-3</v>
      </c>
      <c r="G26" s="232">
        <v>0</v>
      </c>
      <c r="H26" s="232">
        <v>0</v>
      </c>
      <c r="I26" s="232">
        <v>0</v>
      </c>
      <c r="J26" s="254">
        <f t="shared" si="8"/>
        <v>0</v>
      </c>
      <c r="M26" s="163" t="s">
        <v>441</v>
      </c>
      <c r="N26" s="164">
        <f>N22*N24</f>
        <v>0.2820512820512821</v>
      </c>
      <c r="O26" s="164">
        <f t="shared" ref="O26:R26" si="9">O22*O24</f>
        <v>0.27820670757542554</v>
      </c>
      <c r="P26" s="164">
        <f t="shared" si="9"/>
        <v>0.1037495193907642</v>
      </c>
      <c r="Q26" s="164">
        <f t="shared" si="9"/>
        <v>4.9518028355612732E-2</v>
      </c>
      <c r="R26" s="164">
        <f t="shared" si="9"/>
        <v>7.349410219820976E-2</v>
      </c>
      <c r="S26" s="164">
        <f>S22*S24</f>
        <v>6.876671817300001</v>
      </c>
    </row>
    <row r="27" spans="1:19">
      <c r="A27" s="253" t="s">
        <v>400</v>
      </c>
      <c r="B27" s="253" t="s">
        <v>538</v>
      </c>
      <c r="C27" s="232">
        <v>0.14722115800000002</v>
      </c>
      <c r="D27" s="232">
        <v>1.4380199999999999E-2</v>
      </c>
      <c r="E27" s="232">
        <v>3.0435679000000004E-2</v>
      </c>
      <c r="F27" s="232">
        <v>7.2005279000000005E-2</v>
      </c>
      <c r="G27" s="232">
        <v>9.2999999999999992E-3</v>
      </c>
      <c r="H27" s="232">
        <v>0</v>
      </c>
      <c r="I27" s="232">
        <v>0.01</v>
      </c>
      <c r="J27" s="254">
        <f t="shared" si="8"/>
        <v>2.1099999999999997E-2</v>
      </c>
      <c r="M27" s="168" t="s">
        <v>442</v>
      </c>
      <c r="N27" s="169">
        <f>SUM(N26:S26)</f>
        <v>7.6636914568712955</v>
      </c>
      <c r="O27" s="162"/>
      <c r="P27" s="162"/>
      <c r="Q27" s="162"/>
      <c r="R27" s="170"/>
      <c r="S27" s="170"/>
    </row>
    <row r="28" spans="1:19">
      <c r="A28" s="253" t="s">
        <v>400</v>
      </c>
      <c r="B28" s="253" t="s">
        <v>542</v>
      </c>
      <c r="C28" s="232">
        <v>3.7200000000000002E-3</v>
      </c>
      <c r="D28" s="232">
        <v>0</v>
      </c>
      <c r="E28" s="232">
        <v>1.0200000000000001E-3</v>
      </c>
      <c r="F28" s="232">
        <v>0</v>
      </c>
      <c r="G28" s="232">
        <v>0</v>
      </c>
      <c r="H28" s="232">
        <v>0</v>
      </c>
      <c r="I28" s="232">
        <v>0</v>
      </c>
      <c r="J28" s="254">
        <f t="shared" si="8"/>
        <v>2.7000000000000001E-3</v>
      </c>
      <c r="M28" s="276" t="s">
        <v>465</v>
      </c>
      <c r="N28" s="159">
        <f>(N22*50%)+(O22*40%)+(P22*30%)+(Q22*20%)+(R22*10%)</f>
        <v>0.4018562785</v>
      </c>
    </row>
    <row r="29" spans="1:19">
      <c r="A29" s="253" t="s">
        <v>400</v>
      </c>
      <c r="B29" s="253" t="s">
        <v>536</v>
      </c>
      <c r="C29" s="232">
        <v>6.0000000000000001E-3</v>
      </c>
      <c r="D29" s="232">
        <v>0</v>
      </c>
      <c r="E29" s="232">
        <v>0</v>
      </c>
      <c r="F29" s="232">
        <v>0</v>
      </c>
      <c r="G29" s="232">
        <v>0</v>
      </c>
      <c r="H29" s="232">
        <v>0</v>
      </c>
      <c r="I29" s="232">
        <v>0</v>
      </c>
      <c r="J29" s="254">
        <f t="shared" si="8"/>
        <v>6.0000000000000001E-3</v>
      </c>
    </row>
    <row r="30" spans="1:19">
      <c r="A30" s="253" t="s">
        <v>400</v>
      </c>
      <c r="B30" s="253" t="s">
        <v>537</v>
      </c>
      <c r="C30" s="232">
        <v>2.7000000000000001E-3</v>
      </c>
      <c r="D30" s="232">
        <v>0</v>
      </c>
      <c r="E30" s="232">
        <v>0</v>
      </c>
      <c r="F30" s="232">
        <v>0</v>
      </c>
      <c r="G30" s="232">
        <v>0</v>
      </c>
      <c r="H30" s="232">
        <v>0</v>
      </c>
      <c r="I30" s="232">
        <v>0</v>
      </c>
      <c r="J30" s="254">
        <f t="shared" si="8"/>
        <v>2.7000000000000001E-3</v>
      </c>
    </row>
    <row r="31" spans="1:19">
      <c r="A31" s="253" t="s">
        <v>400</v>
      </c>
      <c r="B31" s="253" t="s">
        <v>551</v>
      </c>
      <c r="C31" s="232">
        <v>2.1778499999999999E-2</v>
      </c>
      <c r="D31" s="232">
        <v>8.8214999999999995E-3</v>
      </c>
      <c r="E31" s="232">
        <v>2.9475E-3</v>
      </c>
      <c r="F31" s="232">
        <v>8.095E-4</v>
      </c>
      <c r="G31" s="232">
        <v>0</v>
      </c>
      <c r="H31" s="232">
        <v>0</v>
      </c>
      <c r="I31" s="232">
        <v>0</v>
      </c>
      <c r="J31" s="254">
        <f t="shared" si="8"/>
        <v>9.1999999999999998E-3</v>
      </c>
    </row>
    <row r="32" spans="1:19">
      <c r="A32" s="253" t="s">
        <v>400</v>
      </c>
      <c r="B32" s="253" t="s">
        <v>552</v>
      </c>
      <c r="C32" s="232">
        <v>2.3939499999999996E-2</v>
      </c>
      <c r="D32" s="232">
        <v>5.8365019999999986E-3</v>
      </c>
      <c r="E32" s="232">
        <v>1.5002998000000002E-2</v>
      </c>
      <c r="F32" s="232">
        <v>1.2999999999999999E-3</v>
      </c>
      <c r="G32" s="232">
        <v>0</v>
      </c>
      <c r="H32" s="232">
        <v>0</v>
      </c>
      <c r="I32" s="232">
        <v>0</v>
      </c>
      <c r="J32" s="254">
        <f t="shared" si="8"/>
        <v>1.7999999999999934E-3</v>
      </c>
    </row>
    <row r="33" spans="1:10">
      <c r="A33" s="253" t="s">
        <v>213</v>
      </c>
      <c r="B33" s="253" t="s">
        <v>553</v>
      </c>
      <c r="C33" s="232">
        <v>3.2209100000000004E-2</v>
      </c>
      <c r="D33" s="232">
        <v>0</v>
      </c>
      <c r="E33" s="232">
        <v>0</v>
      </c>
      <c r="F33" s="232">
        <v>0</v>
      </c>
      <c r="G33" s="232">
        <v>0</v>
      </c>
      <c r="H33" s="232">
        <v>0</v>
      </c>
      <c r="I33" s="232">
        <v>0</v>
      </c>
      <c r="J33" s="254">
        <f t="shared" si="8"/>
        <v>3.2209100000000004E-2</v>
      </c>
    </row>
    <row r="34" spans="1:10">
      <c r="A34" s="253" t="s">
        <v>213</v>
      </c>
      <c r="B34" s="253" t="s">
        <v>554</v>
      </c>
      <c r="C34" s="232">
        <v>8.3250000000000008E-3</v>
      </c>
      <c r="D34" s="232">
        <v>2.8E-3</v>
      </c>
      <c r="E34" s="232">
        <v>0</v>
      </c>
      <c r="F34" s="232"/>
      <c r="G34" s="232">
        <v>0</v>
      </c>
      <c r="H34" s="232">
        <v>0</v>
      </c>
      <c r="I34" s="232">
        <v>0</v>
      </c>
      <c r="J34" s="254">
        <f t="shared" si="8"/>
        <v>5.5250000000000004E-3</v>
      </c>
    </row>
    <row r="35" spans="1:10">
      <c r="A35" s="253" t="s">
        <v>213</v>
      </c>
      <c r="B35" s="253" t="s">
        <v>228</v>
      </c>
      <c r="C35" s="232">
        <v>4.9433300000000006E-2</v>
      </c>
      <c r="D35" s="232">
        <v>0</v>
      </c>
      <c r="E35" s="232">
        <v>0</v>
      </c>
      <c r="F35" s="232">
        <v>0</v>
      </c>
      <c r="G35" s="232">
        <v>0</v>
      </c>
      <c r="H35" s="232">
        <v>0</v>
      </c>
      <c r="I35" s="232">
        <v>4.9433300000000006E-2</v>
      </c>
      <c r="J35" s="254">
        <f t="shared" si="8"/>
        <v>4.9433300000000006E-2</v>
      </c>
    </row>
    <row r="36" spans="1:10">
      <c r="A36" s="253" t="s">
        <v>213</v>
      </c>
      <c r="B36" s="253" t="s">
        <v>218</v>
      </c>
      <c r="C36" s="232">
        <v>0.13551190000000002</v>
      </c>
      <c r="D36" s="232">
        <v>6.5100000000000002E-3</v>
      </c>
      <c r="E36" s="232">
        <v>0</v>
      </c>
      <c r="F36" s="232">
        <v>0</v>
      </c>
      <c r="G36" s="232">
        <v>0</v>
      </c>
      <c r="H36" s="232">
        <v>0</v>
      </c>
      <c r="I36" s="232">
        <v>0</v>
      </c>
      <c r="J36" s="254">
        <f t="shared" si="8"/>
        <v>0.12900190000000003</v>
      </c>
    </row>
    <row r="37" spans="1:10">
      <c r="A37" s="253" t="s">
        <v>213</v>
      </c>
      <c r="B37" s="253" t="s">
        <v>555</v>
      </c>
      <c r="C37" s="232">
        <v>0.30045179999999999</v>
      </c>
      <c r="D37" s="232">
        <v>0</v>
      </c>
      <c r="E37" s="232">
        <v>0</v>
      </c>
      <c r="F37" s="232">
        <v>0</v>
      </c>
      <c r="G37" s="232">
        <v>0</v>
      </c>
      <c r="H37" s="232">
        <v>0</v>
      </c>
      <c r="I37" s="232">
        <v>0</v>
      </c>
      <c r="J37" s="254">
        <f t="shared" si="8"/>
        <v>0.30045179999999999</v>
      </c>
    </row>
    <row r="38" spans="1:10">
      <c r="A38" s="253" t="s">
        <v>213</v>
      </c>
      <c r="B38" s="253" t="s">
        <v>556</v>
      </c>
      <c r="C38" s="232">
        <v>3.8922270999999999</v>
      </c>
      <c r="D38" s="232">
        <v>0</v>
      </c>
      <c r="E38" s="232">
        <v>0</v>
      </c>
      <c r="F38" s="232">
        <v>0</v>
      </c>
      <c r="G38" s="232">
        <v>0</v>
      </c>
      <c r="H38" s="232">
        <v>0</v>
      </c>
      <c r="I38" s="232">
        <v>0</v>
      </c>
      <c r="J38" s="254">
        <f t="shared" si="8"/>
        <v>3.8922270999999999</v>
      </c>
    </row>
    <row r="39" spans="1:10">
      <c r="A39" s="253" t="s">
        <v>363</v>
      </c>
      <c r="B39" s="253" t="s">
        <v>475</v>
      </c>
      <c r="C39" s="232">
        <v>2.5416000000000001E-2</v>
      </c>
      <c r="D39" s="232">
        <v>0</v>
      </c>
      <c r="E39" s="232">
        <v>0</v>
      </c>
      <c r="F39" s="232">
        <v>0</v>
      </c>
      <c r="G39" s="232">
        <v>0</v>
      </c>
      <c r="H39" s="232">
        <v>8.6999999999999994E-3</v>
      </c>
      <c r="I39" s="232">
        <v>0</v>
      </c>
      <c r="J39" s="254">
        <f t="shared" si="8"/>
        <v>1.6716000000000002E-2</v>
      </c>
    </row>
    <row r="40" spans="1:10">
      <c r="A40" s="253" t="s">
        <v>363</v>
      </c>
      <c r="B40" s="253" t="s">
        <v>557</v>
      </c>
      <c r="C40" s="232">
        <v>1.5724999999999999E-2</v>
      </c>
      <c r="D40" s="232">
        <v>0</v>
      </c>
      <c r="E40" s="232">
        <v>0</v>
      </c>
      <c r="F40" s="232">
        <v>0</v>
      </c>
      <c r="G40" s="232">
        <v>0</v>
      </c>
      <c r="H40" s="232">
        <v>0</v>
      </c>
      <c r="I40" s="232">
        <v>0</v>
      </c>
      <c r="J40" s="254">
        <f t="shared" si="8"/>
        <v>1.5724999999999999E-2</v>
      </c>
    </row>
    <row r="41" spans="1:10">
      <c r="A41" s="253" t="s">
        <v>363</v>
      </c>
      <c r="B41" s="253" t="s">
        <v>476</v>
      </c>
      <c r="C41" s="232">
        <v>1.3357546999999999</v>
      </c>
      <c r="D41" s="232">
        <v>0.16999999999999993</v>
      </c>
      <c r="E41" s="232">
        <v>0</v>
      </c>
      <c r="F41" s="232">
        <v>0</v>
      </c>
      <c r="G41" s="232">
        <v>0</v>
      </c>
      <c r="H41" s="232">
        <v>0</v>
      </c>
      <c r="I41" s="232">
        <v>0</v>
      </c>
      <c r="J41" s="254">
        <f t="shared" si="8"/>
        <v>1.1657546999999999</v>
      </c>
    </row>
    <row r="42" spans="1:10">
      <c r="A42" s="253" t="s">
        <v>363</v>
      </c>
      <c r="B42" s="253" t="s">
        <v>558</v>
      </c>
      <c r="C42" s="232">
        <v>1.3599999999999999E-2</v>
      </c>
      <c r="D42" s="232">
        <v>0</v>
      </c>
      <c r="E42" s="232">
        <v>0</v>
      </c>
      <c r="F42" s="232">
        <v>0</v>
      </c>
      <c r="G42" s="232">
        <v>0</v>
      </c>
      <c r="H42" s="232">
        <v>0</v>
      </c>
      <c r="I42" s="232">
        <v>0</v>
      </c>
      <c r="J42" s="254">
        <f t="shared" si="8"/>
        <v>1.3599999999999999E-2</v>
      </c>
    </row>
    <row r="43" spans="1:10">
      <c r="A43" s="253" t="s">
        <v>363</v>
      </c>
      <c r="B43" s="253" t="s">
        <v>372</v>
      </c>
      <c r="C43" s="232">
        <v>0.1492513</v>
      </c>
      <c r="D43" s="232">
        <v>0</v>
      </c>
      <c r="E43" s="232">
        <v>0</v>
      </c>
      <c r="F43" s="232">
        <v>0</v>
      </c>
      <c r="G43" s="232">
        <v>5.1000000000000004E-2</v>
      </c>
      <c r="H43" s="232">
        <v>1.7000000000000071E-3</v>
      </c>
      <c r="I43" s="232">
        <v>0</v>
      </c>
      <c r="J43" s="254">
        <f t="shared" si="8"/>
        <v>9.6551299999999993E-2</v>
      </c>
    </row>
    <row r="44" spans="1:10">
      <c r="A44" s="253" t="s">
        <v>363</v>
      </c>
      <c r="B44" s="253" t="s">
        <v>559</v>
      </c>
      <c r="C44" s="232">
        <v>2.0287400000000001E-2</v>
      </c>
      <c r="D44" s="232">
        <v>0</v>
      </c>
      <c r="E44" s="232">
        <v>0</v>
      </c>
      <c r="F44" s="232">
        <v>0</v>
      </c>
      <c r="G44" s="232">
        <v>0</v>
      </c>
      <c r="H44" s="232">
        <v>0</v>
      </c>
      <c r="I44" s="232">
        <v>0</v>
      </c>
      <c r="J44" s="254">
        <f t="shared" si="8"/>
        <v>2.0287400000000001E-2</v>
      </c>
    </row>
    <row r="45" spans="1:10">
      <c r="A45" s="253" t="s">
        <v>363</v>
      </c>
      <c r="B45" s="253" t="s">
        <v>477</v>
      </c>
      <c r="C45" s="232">
        <v>0.2014003</v>
      </c>
      <c r="D45" s="232">
        <v>0</v>
      </c>
      <c r="E45" s="232">
        <v>0</v>
      </c>
      <c r="F45" s="232">
        <v>0</v>
      </c>
      <c r="G45" s="232">
        <v>0</v>
      </c>
      <c r="H45" s="232">
        <v>4.4319999999999915E-3</v>
      </c>
      <c r="I45" s="232">
        <v>0</v>
      </c>
      <c r="J45" s="254">
        <f t="shared" si="8"/>
        <v>0.19696830000000001</v>
      </c>
    </row>
    <row r="46" spans="1:10">
      <c r="A46" s="253" t="s">
        <v>363</v>
      </c>
      <c r="B46" s="253" t="s">
        <v>560</v>
      </c>
      <c r="C46" s="232">
        <v>4.3999999999999997E-2</v>
      </c>
      <c r="D46" s="232">
        <v>0</v>
      </c>
      <c r="E46" s="232">
        <v>0</v>
      </c>
      <c r="F46" s="232">
        <v>0</v>
      </c>
      <c r="G46" s="232">
        <v>0</v>
      </c>
      <c r="H46" s="232">
        <v>0</v>
      </c>
      <c r="I46" s="232">
        <v>0</v>
      </c>
      <c r="J46" s="254">
        <f t="shared" si="8"/>
        <v>4.3999999999999997E-2</v>
      </c>
    </row>
    <row r="47" spans="1:10">
      <c r="A47" s="253" t="s">
        <v>363</v>
      </c>
      <c r="B47" s="253" t="s">
        <v>561</v>
      </c>
      <c r="C47" s="232">
        <v>4.2788000000000001E-3</v>
      </c>
      <c r="D47" s="232">
        <v>0</v>
      </c>
      <c r="E47" s="232">
        <v>0</v>
      </c>
      <c r="F47" s="232">
        <v>0</v>
      </c>
      <c r="G47" s="232">
        <v>0</v>
      </c>
      <c r="H47" s="232">
        <v>0</v>
      </c>
      <c r="I47" s="232">
        <v>0</v>
      </c>
      <c r="J47" s="254">
        <f t="shared" si="8"/>
        <v>4.2788000000000001E-3</v>
      </c>
    </row>
    <row r="48" spans="1:10">
      <c r="A48" s="253" t="s">
        <v>363</v>
      </c>
      <c r="B48" s="253" t="s">
        <v>562</v>
      </c>
      <c r="C48" s="232">
        <v>3.6949999999999999E-3</v>
      </c>
      <c r="D48" s="232">
        <v>0</v>
      </c>
      <c r="E48" s="232">
        <v>0</v>
      </c>
      <c r="F48" s="232">
        <v>0</v>
      </c>
      <c r="G48" s="232">
        <v>0</v>
      </c>
      <c r="H48" s="232">
        <v>0</v>
      </c>
      <c r="I48" s="232">
        <v>0</v>
      </c>
      <c r="J48" s="254">
        <f t="shared" si="8"/>
        <v>3.6949999999999999E-3</v>
      </c>
    </row>
    <row r="49" spans="1:10">
      <c r="A49" s="253" t="s">
        <v>363</v>
      </c>
      <c r="B49" s="253" t="s">
        <v>563</v>
      </c>
      <c r="C49" s="232">
        <v>4.1017699999999997E-2</v>
      </c>
      <c r="D49" s="232">
        <v>0</v>
      </c>
      <c r="E49" s="232">
        <v>0</v>
      </c>
      <c r="F49" s="232">
        <v>0</v>
      </c>
      <c r="G49" s="232">
        <v>0</v>
      </c>
      <c r="H49" s="232">
        <v>0</v>
      </c>
      <c r="I49" s="232">
        <v>0</v>
      </c>
      <c r="J49" s="254">
        <f t="shared" si="8"/>
        <v>4.1017699999999997E-2</v>
      </c>
    </row>
    <row r="50" spans="1:10">
      <c r="A50" s="253" t="s">
        <v>363</v>
      </c>
      <c r="B50" s="253" t="s">
        <v>564</v>
      </c>
      <c r="C50" s="232">
        <v>0.173569</v>
      </c>
      <c r="D50" s="232">
        <v>0</v>
      </c>
      <c r="E50" s="232">
        <v>0</v>
      </c>
      <c r="F50" s="232">
        <v>0</v>
      </c>
      <c r="G50" s="232">
        <v>0</v>
      </c>
      <c r="H50" s="232">
        <v>0</v>
      </c>
      <c r="I50" s="232">
        <v>0</v>
      </c>
      <c r="J50" s="254">
        <f t="shared" si="8"/>
        <v>0.173569</v>
      </c>
    </row>
    <row r="51" spans="1:10">
      <c r="A51" s="253" t="s">
        <v>363</v>
      </c>
      <c r="B51" s="253" t="s">
        <v>565</v>
      </c>
      <c r="C51" s="232">
        <v>9.1350000000000003E-4</v>
      </c>
      <c r="D51" s="232">
        <v>0</v>
      </c>
      <c r="E51" s="232">
        <v>0</v>
      </c>
      <c r="F51" s="232">
        <v>0</v>
      </c>
      <c r="G51" s="232">
        <v>0</v>
      </c>
      <c r="H51" s="232">
        <v>0</v>
      </c>
      <c r="I51" s="232">
        <v>0</v>
      </c>
      <c r="J51" s="254">
        <f t="shared" si="8"/>
        <v>9.1350000000000003E-4</v>
      </c>
    </row>
    <row r="52" spans="1:10">
      <c r="A52" s="253" t="s">
        <v>363</v>
      </c>
      <c r="B52" s="253" t="s">
        <v>566</v>
      </c>
      <c r="C52" s="232">
        <v>6.3943299999999995E-2</v>
      </c>
      <c r="D52" s="232">
        <v>0</v>
      </c>
      <c r="E52" s="232">
        <v>0</v>
      </c>
      <c r="F52" s="232">
        <v>0</v>
      </c>
      <c r="G52" s="232">
        <v>0</v>
      </c>
      <c r="H52" s="232">
        <v>0</v>
      </c>
      <c r="I52" s="232">
        <v>0</v>
      </c>
      <c r="J52" s="254">
        <f t="shared" si="8"/>
        <v>6.3943299999999995E-2</v>
      </c>
    </row>
    <row r="53" spans="1:10">
      <c r="A53" s="253" t="s">
        <v>363</v>
      </c>
      <c r="B53" s="253" t="s">
        <v>567</v>
      </c>
      <c r="C53" s="232">
        <v>5.1709999999999999E-2</v>
      </c>
      <c r="D53" s="232">
        <v>0</v>
      </c>
      <c r="E53" s="232">
        <v>0</v>
      </c>
      <c r="F53" s="232">
        <v>0</v>
      </c>
      <c r="G53" s="232">
        <v>0</v>
      </c>
      <c r="H53" s="232">
        <v>0</v>
      </c>
      <c r="I53" s="232">
        <v>0</v>
      </c>
      <c r="J53" s="254">
        <f t="shared" si="8"/>
        <v>5.1709999999999999E-2</v>
      </c>
    </row>
    <row r="54" spans="1:10">
      <c r="A54" s="253" t="s">
        <v>363</v>
      </c>
      <c r="B54" s="253" t="s">
        <v>382</v>
      </c>
      <c r="C54" s="232">
        <v>8.0831799999999995E-2</v>
      </c>
      <c r="D54" s="232">
        <v>0</v>
      </c>
      <c r="E54" s="232">
        <v>6.2124599999999995E-2</v>
      </c>
      <c r="F54" s="232">
        <v>0</v>
      </c>
      <c r="G54" s="232">
        <v>0</v>
      </c>
      <c r="H54" s="232">
        <v>9.9999999999999395E-5</v>
      </c>
      <c r="I54" s="232">
        <v>0</v>
      </c>
      <c r="J54" s="254">
        <f t="shared" si="8"/>
        <v>1.8607200000000001E-2</v>
      </c>
    </row>
    <row r="55" spans="1:10">
      <c r="A55" s="253" t="s">
        <v>363</v>
      </c>
      <c r="B55" s="253" t="s">
        <v>479</v>
      </c>
      <c r="C55" s="232">
        <v>0.13985819999999999</v>
      </c>
      <c r="D55" s="232">
        <v>3.103699999999987E-3</v>
      </c>
      <c r="E55" s="232">
        <v>1.9606300000000007E-2</v>
      </c>
      <c r="F55" s="232">
        <v>0</v>
      </c>
      <c r="G55" s="232">
        <v>0</v>
      </c>
      <c r="H55" s="232">
        <v>8.9999999999999941E-3</v>
      </c>
      <c r="I55" s="232">
        <v>0</v>
      </c>
      <c r="J55" s="254">
        <f t="shared" si="8"/>
        <v>0.1081482</v>
      </c>
    </row>
    <row r="56" spans="1:10">
      <c r="A56" s="253" t="s">
        <v>193</v>
      </c>
      <c r="B56" s="253" t="s">
        <v>527</v>
      </c>
      <c r="C56" s="232">
        <v>4.5747000000000003E-2</v>
      </c>
      <c r="D56" s="232">
        <v>0</v>
      </c>
      <c r="E56" s="232">
        <v>0</v>
      </c>
      <c r="F56" s="232">
        <v>0</v>
      </c>
      <c r="G56" s="232">
        <v>0.02</v>
      </c>
      <c r="H56" s="232"/>
      <c r="I56" s="232">
        <v>2.5747000000000003E-2</v>
      </c>
      <c r="J56" s="254">
        <f t="shared" si="8"/>
        <v>2.5747000000000003E-2</v>
      </c>
    </row>
    <row r="57" spans="1:10">
      <c r="A57" s="253" t="s">
        <v>193</v>
      </c>
      <c r="B57" s="253" t="s">
        <v>528</v>
      </c>
      <c r="C57" s="232">
        <v>1.4118063680000001</v>
      </c>
      <c r="D57" s="232">
        <v>0</v>
      </c>
      <c r="E57" s="232">
        <v>0.11</v>
      </c>
      <c r="F57" s="232"/>
      <c r="G57" s="232">
        <v>0</v>
      </c>
      <c r="H57" s="232"/>
      <c r="I57" s="232">
        <v>1.301806368</v>
      </c>
      <c r="J57" s="254">
        <f t="shared" si="8"/>
        <v>1.301806368</v>
      </c>
    </row>
    <row r="58" spans="1:10">
      <c r="A58" s="253" t="s">
        <v>193</v>
      </c>
      <c r="B58" s="253" t="s">
        <v>209</v>
      </c>
      <c r="C58" s="232">
        <v>0.73138910000000001</v>
      </c>
      <c r="D58" s="232">
        <v>3.3486800000000039E-2</v>
      </c>
      <c r="E58" s="232">
        <v>0</v>
      </c>
      <c r="F58" s="232">
        <v>0</v>
      </c>
      <c r="G58" s="232">
        <v>0</v>
      </c>
      <c r="H58" s="232"/>
      <c r="I58" s="232">
        <v>0</v>
      </c>
      <c r="J58" s="254">
        <f t="shared" si="8"/>
        <v>0.69790229999999998</v>
      </c>
    </row>
    <row r="59" spans="1:10">
      <c r="A59" s="253" t="s">
        <v>193</v>
      </c>
      <c r="B59" s="253" t="s">
        <v>568</v>
      </c>
      <c r="C59" s="232">
        <v>1.76732E-2</v>
      </c>
      <c r="D59" s="232">
        <v>0</v>
      </c>
      <c r="E59" s="232">
        <v>0</v>
      </c>
      <c r="F59" s="232">
        <v>0</v>
      </c>
      <c r="G59" s="232">
        <v>0</v>
      </c>
      <c r="H59" s="232"/>
      <c r="I59" s="232">
        <v>0</v>
      </c>
      <c r="J59" s="254">
        <f t="shared" si="8"/>
        <v>1.76732E-2</v>
      </c>
    </row>
    <row r="60" spans="1:10">
      <c r="A60" s="253" t="s">
        <v>193</v>
      </c>
      <c r="B60" s="253" t="s">
        <v>204</v>
      </c>
      <c r="C60" s="232">
        <v>0.105119568</v>
      </c>
      <c r="D60" s="232">
        <v>0</v>
      </c>
      <c r="E60" s="232">
        <v>0.02</v>
      </c>
      <c r="F60" s="232">
        <v>0</v>
      </c>
      <c r="G60" s="232">
        <v>0</v>
      </c>
      <c r="H60" s="232"/>
      <c r="I60" s="232">
        <v>3.7893679999999874E-3</v>
      </c>
      <c r="J60" s="254">
        <f t="shared" si="8"/>
        <v>8.5119567999999993E-2</v>
      </c>
    </row>
    <row r="61" spans="1:10">
      <c r="A61" s="253" t="s">
        <v>193</v>
      </c>
      <c r="B61" s="253" t="s">
        <v>211</v>
      </c>
      <c r="C61" s="232">
        <v>0.33002186</v>
      </c>
      <c r="D61" s="232"/>
      <c r="E61" s="232"/>
      <c r="F61" s="232"/>
      <c r="G61" s="232"/>
      <c r="H61" s="232"/>
      <c r="I61" s="232">
        <v>0.32002185999999999</v>
      </c>
      <c r="J61" s="254">
        <f t="shared" si="8"/>
        <v>0.33002186</v>
      </c>
    </row>
    <row r="62" spans="1:10">
      <c r="A62" s="253" t="s">
        <v>193</v>
      </c>
      <c r="B62" s="253" t="s">
        <v>207</v>
      </c>
      <c r="C62" s="232">
        <v>0.27482229999999996</v>
      </c>
      <c r="D62" s="232">
        <v>0</v>
      </c>
      <c r="E62" s="232">
        <v>0</v>
      </c>
      <c r="F62" s="232">
        <v>0</v>
      </c>
      <c r="G62" s="232">
        <v>0</v>
      </c>
      <c r="H62" s="232"/>
      <c r="I62" s="232">
        <v>0.12446959999999996</v>
      </c>
      <c r="J62" s="254">
        <f t="shared" si="8"/>
        <v>0.27482229999999996</v>
      </c>
    </row>
    <row r="63" spans="1:10">
      <c r="A63" s="253" t="s">
        <v>193</v>
      </c>
      <c r="B63" s="253" t="s">
        <v>569</v>
      </c>
      <c r="C63" s="232">
        <v>1.6192600000000001E-2</v>
      </c>
      <c r="D63" s="232">
        <v>1.6192600000000001E-2</v>
      </c>
      <c r="E63" s="232">
        <v>0</v>
      </c>
      <c r="F63" s="232">
        <v>0</v>
      </c>
      <c r="G63" s="232">
        <v>0</v>
      </c>
      <c r="H63" s="232"/>
      <c r="I63" s="232">
        <v>0</v>
      </c>
      <c r="J63" s="254">
        <f t="shared" si="8"/>
        <v>0</v>
      </c>
    </row>
    <row r="64" spans="1:10">
      <c r="A64" s="253" t="s">
        <v>193</v>
      </c>
      <c r="B64" s="253" t="s">
        <v>570</v>
      </c>
      <c r="C64" s="232">
        <v>5.4000000000000003E-3</v>
      </c>
      <c r="D64" s="232">
        <v>5.4000000000000003E-3</v>
      </c>
      <c r="E64" s="232">
        <v>0</v>
      </c>
      <c r="F64" s="232">
        <v>0</v>
      </c>
      <c r="G64" s="232">
        <v>0</v>
      </c>
      <c r="H64" s="232"/>
      <c r="I64" s="232">
        <v>0</v>
      </c>
      <c r="J64" s="254">
        <f t="shared" si="8"/>
        <v>0</v>
      </c>
    </row>
    <row r="65" spans="1:10">
      <c r="A65" s="253" t="s">
        <v>193</v>
      </c>
      <c r="B65" s="253" t="s">
        <v>545</v>
      </c>
      <c r="C65" s="232">
        <v>0</v>
      </c>
      <c r="D65" s="232">
        <v>0</v>
      </c>
      <c r="E65" s="232">
        <v>0</v>
      </c>
      <c r="F65" s="232">
        <v>0</v>
      </c>
      <c r="G65" s="232">
        <v>0</v>
      </c>
      <c r="H65" s="232">
        <v>0</v>
      </c>
      <c r="I65" s="232">
        <v>0</v>
      </c>
      <c r="J65" s="254">
        <f t="shared" si="8"/>
        <v>0</v>
      </c>
    </row>
    <row r="66" spans="1:10">
      <c r="A66" s="253" t="s">
        <v>493</v>
      </c>
      <c r="B66" s="253" t="s">
        <v>525</v>
      </c>
      <c r="C66" s="232">
        <v>1.235E-2</v>
      </c>
      <c r="D66" s="232">
        <v>0</v>
      </c>
      <c r="E66" s="232">
        <v>1.1050000000000001E-2</v>
      </c>
      <c r="F66" s="232">
        <v>0</v>
      </c>
      <c r="G66" s="232">
        <v>0</v>
      </c>
      <c r="H66" s="232">
        <v>0</v>
      </c>
      <c r="I66" s="232">
        <v>1.2999999999999991E-3</v>
      </c>
      <c r="J66" s="254">
        <f t="shared" si="8"/>
        <v>1.2999999999999991E-3</v>
      </c>
    </row>
    <row r="67" spans="1:10">
      <c r="A67" s="253" t="s">
        <v>493</v>
      </c>
      <c r="B67" s="253" t="s">
        <v>280</v>
      </c>
      <c r="C67" s="232">
        <v>1.22749E-2</v>
      </c>
      <c r="D67" s="232">
        <v>1.22749E-2</v>
      </c>
      <c r="E67" s="232">
        <v>0</v>
      </c>
      <c r="F67" s="232">
        <v>0</v>
      </c>
      <c r="G67" s="232">
        <v>0</v>
      </c>
      <c r="H67" s="232">
        <v>0</v>
      </c>
      <c r="I67" s="232">
        <v>0</v>
      </c>
      <c r="J67" s="254">
        <f t="shared" si="8"/>
        <v>0</v>
      </c>
    </row>
    <row r="68" spans="1:10">
      <c r="A68" s="253" t="s">
        <v>493</v>
      </c>
      <c r="B68" s="253" t="s">
        <v>274</v>
      </c>
      <c r="C68" s="232">
        <v>2.1222499999999998E-2</v>
      </c>
      <c r="D68" s="232">
        <v>0</v>
      </c>
      <c r="E68" s="232">
        <v>2.1222499999999998E-2</v>
      </c>
      <c r="F68" s="232">
        <v>0</v>
      </c>
      <c r="G68" s="232">
        <v>0</v>
      </c>
      <c r="H68" s="232">
        <v>0</v>
      </c>
      <c r="I68" s="232">
        <v>0</v>
      </c>
      <c r="J68" s="254">
        <f t="shared" si="8"/>
        <v>0</v>
      </c>
    </row>
    <row r="69" spans="1:10">
      <c r="A69" s="253" t="s">
        <v>493</v>
      </c>
      <c r="B69" s="253" t="s">
        <v>281</v>
      </c>
      <c r="C69" s="232">
        <v>1.8749999999999999E-2</v>
      </c>
      <c r="D69" s="232">
        <v>0</v>
      </c>
      <c r="E69" s="232">
        <v>0</v>
      </c>
      <c r="F69" s="232">
        <v>0</v>
      </c>
      <c r="G69" s="232">
        <v>0</v>
      </c>
      <c r="H69" s="232">
        <v>0</v>
      </c>
      <c r="I69" s="232">
        <v>1.346E-2</v>
      </c>
      <c r="J69" s="254">
        <f t="shared" si="8"/>
        <v>1.8749999999999999E-2</v>
      </c>
    </row>
    <row r="70" spans="1:10">
      <c r="A70" s="253" t="s">
        <v>493</v>
      </c>
      <c r="B70" s="253" t="s">
        <v>540</v>
      </c>
      <c r="C70" s="232">
        <v>0.13</v>
      </c>
      <c r="D70" s="232">
        <v>0</v>
      </c>
      <c r="E70" s="232">
        <v>0</v>
      </c>
      <c r="F70" s="232">
        <v>0</v>
      </c>
      <c r="G70" s="232">
        <v>0</v>
      </c>
      <c r="H70" s="232">
        <v>0.13</v>
      </c>
      <c r="I70" s="232">
        <v>0</v>
      </c>
      <c r="J70" s="254">
        <f t="shared" si="8"/>
        <v>0</v>
      </c>
    </row>
    <row r="71" spans="1:10">
      <c r="A71" s="253" t="s">
        <v>493</v>
      </c>
      <c r="B71" s="253" t="s">
        <v>275</v>
      </c>
      <c r="C71" s="232">
        <v>3.3433000000000004E-2</v>
      </c>
      <c r="D71" s="232">
        <v>0</v>
      </c>
      <c r="E71" s="232">
        <v>0</v>
      </c>
      <c r="F71" s="232">
        <v>0</v>
      </c>
      <c r="G71" s="232">
        <v>0</v>
      </c>
      <c r="H71" s="232">
        <v>0</v>
      </c>
      <c r="I71" s="232">
        <v>2.6770000000000006E-2</v>
      </c>
      <c r="J71" s="254">
        <f t="shared" si="8"/>
        <v>3.3433000000000004E-2</v>
      </c>
    </row>
    <row r="72" spans="1:10">
      <c r="A72" s="253" t="s">
        <v>493</v>
      </c>
      <c r="B72" s="253" t="s">
        <v>571</v>
      </c>
      <c r="C72" s="232">
        <v>3.5E-4</v>
      </c>
      <c r="D72" s="232">
        <v>0</v>
      </c>
      <c r="E72" s="232">
        <v>3.5E-4</v>
      </c>
      <c r="F72" s="232">
        <v>0</v>
      </c>
      <c r="G72" s="232">
        <v>0</v>
      </c>
      <c r="H72" s="232">
        <v>0</v>
      </c>
      <c r="I72" s="232">
        <v>0</v>
      </c>
      <c r="J72" s="254">
        <f t="shared" si="8"/>
        <v>0</v>
      </c>
    </row>
    <row r="73" spans="1:10">
      <c r="A73" s="253" t="s">
        <v>493</v>
      </c>
      <c r="B73" s="253" t="s">
        <v>572</v>
      </c>
      <c r="C73" s="232">
        <v>1.7845000000000003E-2</v>
      </c>
      <c r="D73" s="232">
        <v>0</v>
      </c>
      <c r="E73" s="232">
        <v>7.9450000000000007E-3</v>
      </c>
      <c r="F73" s="232">
        <v>0</v>
      </c>
      <c r="G73" s="232">
        <v>0</v>
      </c>
      <c r="H73" s="232">
        <v>0</v>
      </c>
      <c r="I73" s="232">
        <v>0</v>
      </c>
      <c r="J73" s="254">
        <f t="shared" si="8"/>
        <v>9.9000000000000025E-3</v>
      </c>
    </row>
    <row r="74" spans="1:10">
      <c r="A74" s="253" t="s">
        <v>493</v>
      </c>
      <c r="B74" s="253" t="s">
        <v>279</v>
      </c>
      <c r="C74" s="232">
        <v>8.095999999999999E-3</v>
      </c>
      <c r="D74" s="232">
        <v>0</v>
      </c>
      <c r="E74" s="232">
        <v>0</v>
      </c>
      <c r="F74" s="232">
        <v>0</v>
      </c>
      <c r="G74" s="232">
        <v>0</v>
      </c>
      <c r="H74" s="232">
        <v>0</v>
      </c>
      <c r="I74" s="232">
        <v>2.8669999999999989E-3</v>
      </c>
      <c r="J74" s="254">
        <f t="shared" si="8"/>
        <v>8.095999999999999E-3</v>
      </c>
    </row>
    <row r="75" spans="1:10">
      <c r="A75" s="253" t="s">
        <v>493</v>
      </c>
      <c r="B75" s="253" t="s">
        <v>295</v>
      </c>
      <c r="C75" s="232">
        <v>1.0610000000000001E-2</v>
      </c>
      <c r="D75" s="232">
        <v>0</v>
      </c>
      <c r="E75" s="232">
        <v>0</v>
      </c>
      <c r="F75" s="232">
        <v>0</v>
      </c>
      <c r="G75" s="232">
        <v>9.4249999999999998E-4</v>
      </c>
      <c r="H75" s="232">
        <v>0</v>
      </c>
      <c r="I75" s="232">
        <v>4.2000000000000023E-4</v>
      </c>
      <c r="J75" s="254">
        <f t="shared" si="8"/>
        <v>9.6675000000000007E-3</v>
      </c>
    </row>
    <row r="76" spans="1:10">
      <c r="A76" s="253" t="s">
        <v>239</v>
      </c>
      <c r="B76" s="253" t="s">
        <v>240</v>
      </c>
      <c r="C76" s="232">
        <v>5.7236300000000004E-2</v>
      </c>
      <c r="D76" s="232"/>
      <c r="E76" s="232">
        <v>5.7236300000000004E-2</v>
      </c>
      <c r="F76" s="232">
        <v>0</v>
      </c>
      <c r="G76" s="232"/>
      <c r="H76" s="232">
        <v>0</v>
      </c>
      <c r="I76" s="232">
        <v>0</v>
      </c>
      <c r="J76" s="254">
        <f t="shared" si="8"/>
        <v>0</v>
      </c>
    </row>
    <row r="77" spans="1:10">
      <c r="A77" s="253" t="s">
        <v>239</v>
      </c>
      <c r="B77" s="253" t="s">
        <v>529</v>
      </c>
      <c r="C77" s="232">
        <v>0</v>
      </c>
      <c r="D77" s="232"/>
      <c r="E77" s="232">
        <v>0</v>
      </c>
      <c r="F77" s="232">
        <v>0</v>
      </c>
      <c r="G77" s="232"/>
      <c r="H77" s="232"/>
      <c r="I77" s="232">
        <v>0</v>
      </c>
      <c r="J77" s="254">
        <f t="shared" si="8"/>
        <v>0</v>
      </c>
    </row>
    <row r="78" spans="1:10">
      <c r="A78" s="253" t="s">
        <v>239</v>
      </c>
      <c r="B78" s="253" t="s">
        <v>523</v>
      </c>
      <c r="C78" s="232">
        <v>4.5000000000000005E-3</v>
      </c>
      <c r="D78" s="232">
        <v>0</v>
      </c>
      <c r="E78" s="232">
        <v>0</v>
      </c>
      <c r="F78" s="232">
        <v>0</v>
      </c>
      <c r="G78" s="232">
        <v>0</v>
      </c>
      <c r="H78" s="232">
        <v>0</v>
      </c>
      <c r="I78" s="232">
        <v>4.000000000000001E-3</v>
      </c>
      <c r="J78" s="254">
        <f t="shared" si="8"/>
        <v>4.5000000000000005E-3</v>
      </c>
    </row>
    <row r="79" spans="1:10">
      <c r="A79" s="253" t="s">
        <v>239</v>
      </c>
      <c r="B79" s="253" t="s">
        <v>573</v>
      </c>
      <c r="C79" s="232">
        <v>3.8800000000000002E-3</v>
      </c>
      <c r="D79" s="232">
        <v>3.8800000000000002E-3</v>
      </c>
      <c r="E79" s="232">
        <v>0</v>
      </c>
      <c r="F79" s="232">
        <v>0</v>
      </c>
      <c r="G79" s="232">
        <v>0</v>
      </c>
      <c r="H79" s="232">
        <v>0</v>
      </c>
      <c r="I79" s="232">
        <v>0</v>
      </c>
      <c r="J79" s="254">
        <f t="shared" si="8"/>
        <v>0</v>
      </c>
    </row>
    <row r="80" spans="1:10">
      <c r="A80" s="253" t="s">
        <v>239</v>
      </c>
      <c r="B80" s="253" t="s">
        <v>546</v>
      </c>
      <c r="C80" s="232">
        <v>1.9E-2</v>
      </c>
      <c r="D80" s="232">
        <v>0</v>
      </c>
      <c r="E80" s="232">
        <v>0</v>
      </c>
      <c r="F80" s="232">
        <v>0</v>
      </c>
      <c r="G80" s="232">
        <v>0</v>
      </c>
      <c r="H80" s="232">
        <v>0</v>
      </c>
      <c r="I80" s="232">
        <v>7.45E-3</v>
      </c>
      <c r="J80" s="254">
        <f t="shared" si="8"/>
        <v>1.9E-2</v>
      </c>
    </row>
    <row r="81" spans="1:10">
      <c r="A81" s="253" t="s">
        <v>239</v>
      </c>
      <c r="B81" s="253" t="s">
        <v>574</v>
      </c>
      <c r="C81" s="232">
        <v>2.0139799999999999E-2</v>
      </c>
      <c r="D81" s="232">
        <v>0</v>
      </c>
      <c r="E81" s="232">
        <v>0</v>
      </c>
      <c r="F81" s="232">
        <v>0</v>
      </c>
      <c r="G81" s="232">
        <v>0</v>
      </c>
      <c r="H81" s="232">
        <v>0</v>
      </c>
      <c r="I81" s="232">
        <v>2.0139799999999999E-2</v>
      </c>
      <c r="J81" s="254">
        <f t="shared" si="8"/>
        <v>2.0139799999999999E-2</v>
      </c>
    </row>
    <row r="82" spans="1:10">
      <c r="A82" s="253" t="s">
        <v>239</v>
      </c>
      <c r="B82" s="253" t="s">
        <v>524</v>
      </c>
      <c r="C82" s="232">
        <v>1.7500000000000002E-2</v>
      </c>
      <c r="D82" s="232">
        <v>0</v>
      </c>
      <c r="E82" s="232">
        <v>6.7999999999999996E-3</v>
      </c>
      <c r="F82" s="232">
        <v>0</v>
      </c>
      <c r="G82" s="232">
        <v>0</v>
      </c>
      <c r="H82" s="232">
        <v>3.0000000000000001E-3</v>
      </c>
      <c r="I82" s="232">
        <v>7.700000000000002E-3</v>
      </c>
      <c r="J82" s="254">
        <f t="shared" si="8"/>
        <v>7.7000000000000011E-3</v>
      </c>
    </row>
    <row r="83" spans="1:10">
      <c r="A83" s="253" t="s">
        <v>239</v>
      </c>
      <c r="B83" s="253" t="s">
        <v>544</v>
      </c>
      <c r="C83" s="232">
        <v>6.3600000000000002E-3</v>
      </c>
      <c r="D83" s="232">
        <v>0</v>
      </c>
      <c r="E83" s="232">
        <v>0</v>
      </c>
      <c r="F83" s="232">
        <v>0</v>
      </c>
      <c r="G83" s="232">
        <v>0</v>
      </c>
      <c r="H83" s="232">
        <v>0</v>
      </c>
      <c r="I83" s="232">
        <v>2.5500000000000002E-3</v>
      </c>
      <c r="J83" s="254">
        <f t="shared" si="8"/>
        <v>6.3600000000000002E-3</v>
      </c>
    </row>
    <row r="84" spans="1:10">
      <c r="A84" s="253" t="s">
        <v>239</v>
      </c>
      <c r="B84" s="253" t="s">
        <v>526</v>
      </c>
      <c r="C84" s="232">
        <v>7.4130999999999997E-3</v>
      </c>
      <c r="D84" s="232">
        <v>0</v>
      </c>
      <c r="E84" s="232">
        <v>0</v>
      </c>
      <c r="F84" s="232">
        <v>0</v>
      </c>
      <c r="G84" s="232">
        <v>0</v>
      </c>
      <c r="H84" s="232">
        <v>0</v>
      </c>
      <c r="I84" s="232">
        <v>6.5799999999999999E-3</v>
      </c>
      <c r="J84" s="254">
        <f t="shared" si="8"/>
        <v>7.4130999999999997E-3</v>
      </c>
    </row>
    <row r="85" spans="1:10">
      <c r="A85" s="253" t="s">
        <v>239</v>
      </c>
      <c r="B85" s="253" t="s">
        <v>575</v>
      </c>
      <c r="C85" s="232">
        <v>7.8230999999999995E-3</v>
      </c>
      <c r="D85" s="232"/>
      <c r="E85" s="232">
        <v>3.489285E-3</v>
      </c>
      <c r="F85" s="232">
        <v>0</v>
      </c>
      <c r="G85" s="232">
        <v>0</v>
      </c>
      <c r="H85" s="232">
        <v>0</v>
      </c>
      <c r="I85" s="232">
        <v>4.3338149999999995E-3</v>
      </c>
      <c r="J85" s="254">
        <f t="shared" si="8"/>
        <v>4.3338149999999995E-3</v>
      </c>
    </row>
    <row r="86" spans="1:10">
      <c r="A86" s="253" t="s">
        <v>239</v>
      </c>
      <c r="B86" s="253" t="s">
        <v>533</v>
      </c>
      <c r="C86" s="232">
        <v>7.4999999999999997E-3</v>
      </c>
      <c r="D86" s="232">
        <v>0</v>
      </c>
      <c r="E86" s="232">
        <v>0</v>
      </c>
      <c r="F86" s="232"/>
      <c r="G86" s="232">
        <v>7.4999999999999997E-3</v>
      </c>
      <c r="H86" s="232">
        <v>0</v>
      </c>
      <c r="I86" s="232">
        <v>0</v>
      </c>
      <c r="J86" s="254">
        <f t="shared" si="8"/>
        <v>0</v>
      </c>
    </row>
    <row r="87" spans="1:10">
      <c r="A87" s="253" t="s">
        <v>239</v>
      </c>
      <c r="B87" s="253" t="s">
        <v>535</v>
      </c>
      <c r="C87" s="232">
        <v>2.2000000000000002E-2</v>
      </c>
      <c r="D87" s="232"/>
      <c r="E87" s="232">
        <v>7.0032999999999996E-3</v>
      </c>
      <c r="F87" s="232">
        <v>4.8929999999999998E-3</v>
      </c>
      <c r="G87" s="232"/>
      <c r="H87" s="232">
        <v>4.1999999999999997E-3</v>
      </c>
      <c r="I87" s="232">
        <v>0</v>
      </c>
      <c r="J87" s="254">
        <f t="shared" si="8"/>
        <v>5.9037000000000022E-3</v>
      </c>
    </row>
    <row r="88" spans="1:10">
      <c r="A88" s="253" t="s">
        <v>239</v>
      </c>
      <c r="B88" s="253" t="s">
        <v>531</v>
      </c>
      <c r="C88" s="232">
        <v>1.5503699999999999E-2</v>
      </c>
      <c r="D88" s="232">
        <v>0</v>
      </c>
      <c r="E88" s="232">
        <v>4.6036999999999996E-3</v>
      </c>
      <c r="F88" s="232">
        <v>4.9629999999999997E-4</v>
      </c>
      <c r="G88" s="232">
        <v>4.0486999999999997E-3</v>
      </c>
      <c r="H88" s="232"/>
      <c r="I88" s="232">
        <v>6.3550000000000004E-3</v>
      </c>
      <c r="J88" s="254">
        <f t="shared" si="8"/>
        <v>6.3550000000000004E-3</v>
      </c>
    </row>
    <row r="89" spans="1:10">
      <c r="A89" s="253" t="s">
        <v>239</v>
      </c>
      <c r="B89" s="253" t="s">
        <v>541</v>
      </c>
      <c r="C89" s="232">
        <v>1.09E-2</v>
      </c>
      <c r="D89" s="232">
        <v>0</v>
      </c>
      <c r="E89" s="232">
        <v>0</v>
      </c>
      <c r="F89" s="232">
        <v>0</v>
      </c>
      <c r="G89" s="232">
        <v>0</v>
      </c>
      <c r="H89" s="232">
        <v>0</v>
      </c>
      <c r="I89" s="232">
        <v>1.09E-2</v>
      </c>
      <c r="J89" s="254">
        <f t="shared" ref="J89:J97" si="10">C89-D89-E89-F89-G89-H89</f>
        <v>1.09E-2</v>
      </c>
    </row>
    <row r="90" spans="1:10">
      <c r="A90" s="253" t="s">
        <v>239</v>
      </c>
      <c r="B90" s="253" t="s">
        <v>543</v>
      </c>
      <c r="C90" s="232">
        <v>4.1355000000000003E-3</v>
      </c>
      <c r="D90" s="232">
        <v>0</v>
      </c>
      <c r="E90" s="232">
        <v>0</v>
      </c>
      <c r="F90" s="232">
        <v>0</v>
      </c>
      <c r="G90" s="232">
        <v>0</v>
      </c>
      <c r="H90" s="232">
        <v>0</v>
      </c>
      <c r="I90" s="232">
        <v>4.1355000000000003E-3</v>
      </c>
      <c r="J90" s="254">
        <f t="shared" si="10"/>
        <v>4.1355000000000003E-3</v>
      </c>
    </row>
    <row r="91" spans="1:10">
      <c r="A91" s="253" t="s">
        <v>239</v>
      </c>
      <c r="B91" s="253" t="s">
        <v>498</v>
      </c>
      <c r="C91" s="232">
        <v>5.0000000000000001E-4</v>
      </c>
      <c r="D91" s="232">
        <v>0</v>
      </c>
      <c r="E91" s="232">
        <v>0</v>
      </c>
      <c r="F91" s="232">
        <v>0</v>
      </c>
      <c r="G91" s="232">
        <v>0</v>
      </c>
      <c r="H91" s="232">
        <v>0</v>
      </c>
      <c r="I91" s="232">
        <v>5.0000000000000001E-4</v>
      </c>
      <c r="J91" s="254">
        <f t="shared" si="10"/>
        <v>5.0000000000000001E-4</v>
      </c>
    </row>
    <row r="92" spans="1:10">
      <c r="A92" s="253" t="s">
        <v>239</v>
      </c>
      <c r="B92" s="253" t="s">
        <v>532</v>
      </c>
      <c r="C92" s="232">
        <v>3.0489999999999996E-3</v>
      </c>
      <c r="D92" s="232">
        <v>0</v>
      </c>
      <c r="E92" s="232">
        <v>0</v>
      </c>
      <c r="F92" s="232">
        <v>0</v>
      </c>
      <c r="G92" s="232">
        <v>0</v>
      </c>
      <c r="H92" s="232">
        <v>0</v>
      </c>
      <c r="I92" s="232">
        <v>6.6499999999999979E-4</v>
      </c>
      <c r="J92" s="254">
        <f t="shared" si="10"/>
        <v>3.0489999999999996E-3</v>
      </c>
    </row>
    <row r="93" spans="1:10">
      <c r="A93" s="253" t="s">
        <v>239</v>
      </c>
      <c r="B93" s="253" t="s">
        <v>576</v>
      </c>
      <c r="C93" s="232">
        <v>5.9599999999999996E-4</v>
      </c>
      <c r="D93" s="232">
        <v>0</v>
      </c>
      <c r="E93" s="232">
        <v>0</v>
      </c>
      <c r="F93" s="232">
        <v>0</v>
      </c>
      <c r="G93" s="232">
        <v>0</v>
      </c>
      <c r="H93" s="232">
        <v>0</v>
      </c>
      <c r="I93" s="232">
        <v>5.9599999999999996E-4</v>
      </c>
      <c r="J93" s="254">
        <f t="shared" si="10"/>
        <v>5.9599999999999996E-4</v>
      </c>
    </row>
    <row r="94" spans="1:10">
      <c r="A94" s="253" t="s">
        <v>239</v>
      </c>
      <c r="B94" s="253" t="s">
        <v>577</v>
      </c>
      <c r="C94" s="232">
        <v>1.7492E-3</v>
      </c>
      <c r="D94" s="232">
        <v>0</v>
      </c>
      <c r="E94" s="232">
        <v>0</v>
      </c>
      <c r="F94" s="232">
        <v>0</v>
      </c>
      <c r="G94" s="232">
        <v>0</v>
      </c>
      <c r="H94" s="232">
        <v>0</v>
      </c>
      <c r="I94" s="232">
        <v>1.7492E-3</v>
      </c>
      <c r="J94" s="254">
        <f t="shared" si="10"/>
        <v>1.7492E-3</v>
      </c>
    </row>
    <row r="95" spans="1:10">
      <c r="A95" s="253" t="s">
        <v>530</v>
      </c>
      <c r="B95" s="253" t="s">
        <v>530</v>
      </c>
      <c r="C95" s="232">
        <v>13.135819810000001</v>
      </c>
      <c r="D95" s="232">
        <v>0</v>
      </c>
      <c r="E95" s="232">
        <v>0</v>
      </c>
      <c r="F95" s="232">
        <v>0</v>
      </c>
      <c r="G95" s="232">
        <v>0</v>
      </c>
      <c r="H95" s="232">
        <v>0</v>
      </c>
      <c r="I95" s="232">
        <v>1.4988198100000005</v>
      </c>
      <c r="J95" s="254">
        <f t="shared" si="10"/>
        <v>13.135819810000001</v>
      </c>
    </row>
    <row r="96" spans="1:10">
      <c r="A96" s="253" t="s">
        <v>342</v>
      </c>
      <c r="B96" s="253" t="s">
        <v>578</v>
      </c>
      <c r="C96" s="232">
        <v>0.1016682</v>
      </c>
      <c r="D96" s="232">
        <v>0</v>
      </c>
      <c r="E96" s="232">
        <v>0</v>
      </c>
      <c r="F96" s="232">
        <v>0</v>
      </c>
      <c r="G96" s="232">
        <v>0</v>
      </c>
      <c r="H96" s="232">
        <v>0</v>
      </c>
      <c r="I96" s="232">
        <v>0.1016682</v>
      </c>
      <c r="J96" s="254">
        <f t="shared" si="10"/>
        <v>0.1016682</v>
      </c>
    </row>
    <row r="97" spans="1:19">
      <c r="A97" s="253" t="s">
        <v>534</v>
      </c>
      <c r="B97" s="253" t="s">
        <v>534</v>
      </c>
      <c r="C97" s="232">
        <v>0.16600000000000001</v>
      </c>
      <c r="D97" s="232">
        <v>0</v>
      </c>
      <c r="E97" s="232">
        <v>0</v>
      </c>
      <c r="F97" s="232">
        <v>0</v>
      </c>
      <c r="G97" s="232">
        <v>0</v>
      </c>
      <c r="H97" s="232">
        <v>0</v>
      </c>
      <c r="I97" s="232">
        <v>1.0000000000000009E-3</v>
      </c>
      <c r="J97" s="254">
        <f t="shared" si="10"/>
        <v>0.16600000000000001</v>
      </c>
    </row>
    <row r="98" spans="1:19">
      <c r="A98" s="116"/>
      <c r="B98" s="116"/>
      <c r="C98" s="116"/>
      <c r="D98" s="116"/>
      <c r="E98" s="116"/>
      <c r="F98" s="116"/>
      <c r="G98" s="116"/>
      <c r="H98" s="116"/>
      <c r="I98" s="116"/>
      <c r="J98" s="116"/>
    </row>
    <row r="101" spans="1:19">
      <c r="B101" s="255" t="s">
        <v>651</v>
      </c>
      <c r="C101" s="234"/>
      <c r="D101" s="357" t="s">
        <v>588</v>
      </c>
      <c r="E101" s="357"/>
      <c r="F101" s="357"/>
      <c r="G101" s="357"/>
      <c r="H101" s="357"/>
      <c r="I101" s="234"/>
      <c r="M101" s="162" t="s">
        <v>436</v>
      </c>
      <c r="N101" s="119">
        <v>1</v>
      </c>
      <c r="O101" s="119">
        <f>N101+1</f>
        <v>2</v>
      </c>
      <c r="P101" s="119">
        <f t="shared" ref="P101" si="11">O101+1</f>
        <v>3</v>
      </c>
      <c r="Q101" s="119">
        <f t="shared" ref="Q101" si="12">P101+1</f>
        <v>4</v>
      </c>
      <c r="R101" s="119">
        <f t="shared" ref="R101" si="13">Q101+1</f>
        <v>5</v>
      </c>
      <c r="S101" s="119">
        <f t="shared" ref="S101" si="14">R101+1</f>
        <v>6</v>
      </c>
    </row>
    <row r="102" spans="1:19" ht="28.8">
      <c r="B102" s="233" t="s">
        <v>589</v>
      </c>
      <c r="C102" s="233" t="s">
        <v>590</v>
      </c>
      <c r="D102" s="233" t="s">
        <v>426</v>
      </c>
      <c r="E102" s="233" t="s">
        <v>427</v>
      </c>
      <c r="F102" s="233" t="s">
        <v>428</v>
      </c>
      <c r="G102" s="233" t="s">
        <v>429</v>
      </c>
      <c r="H102" s="233" t="s">
        <v>430</v>
      </c>
      <c r="I102" s="233" t="s">
        <v>422</v>
      </c>
      <c r="M102" s="163" t="s">
        <v>437</v>
      </c>
      <c r="N102" s="164">
        <f>C104</f>
        <v>124.72298093600014</v>
      </c>
      <c r="O102" s="165"/>
      <c r="P102" s="165"/>
      <c r="Q102" s="165"/>
      <c r="R102" s="165"/>
      <c r="S102" s="116"/>
    </row>
    <row r="103" spans="1:19">
      <c r="B103" s="231" t="s">
        <v>591</v>
      </c>
      <c r="C103" s="232">
        <v>323.77999999999997</v>
      </c>
      <c r="D103" s="232">
        <v>0</v>
      </c>
      <c r="E103" s="232">
        <v>0</v>
      </c>
      <c r="F103" s="232">
        <v>0</v>
      </c>
      <c r="G103" s="232">
        <v>0</v>
      </c>
      <c r="H103" s="232">
        <v>0</v>
      </c>
      <c r="I103" s="232"/>
      <c r="M103" s="163" t="s">
        <v>438</v>
      </c>
      <c r="N103" s="164">
        <f>D104</f>
        <v>60.174922085999988</v>
      </c>
      <c r="O103" s="164">
        <f t="shared" ref="O103:S103" si="15">E104</f>
        <v>0</v>
      </c>
      <c r="P103" s="164">
        <f t="shared" si="15"/>
        <v>0</v>
      </c>
      <c r="Q103" s="164">
        <f t="shared" si="15"/>
        <v>0</v>
      </c>
      <c r="R103" s="164">
        <f t="shared" si="15"/>
        <v>0</v>
      </c>
      <c r="S103" s="164">
        <f t="shared" si="15"/>
        <v>10.029999999999999</v>
      </c>
    </row>
    <row r="104" spans="1:19">
      <c r="B104" s="231" t="s">
        <v>592</v>
      </c>
      <c r="C104" s="232">
        <v>124.72298093600014</v>
      </c>
      <c r="D104" s="232">
        <v>60.174922085999988</v>
      </c>
      <c r="E104" s="232">
        <v>0</v>
      </c>
      <c r="F104" s="232">
        <v>0</v>
      </c>
      <c r="G104" s="232">
        <v>0</v>
      </c>
      <c r="H104" s="232">
        <v>0</v>
      </c>
      <c r="I104" s="232">
        <v>10.029999999999999</v>
      </c>
      <c r="M104" s="163" t="s">
        <v>439</v>
      </c>
      <c r="N104" s="165">
        <v>1</v>
      </c>
      <c r="O104" s="165">
        <f>N104+1</f>
        <v>2</v>
      </c>
      <c r="P104" s="165">
        <f t="shared" ref="P104" si="16">O104+1</f>
        <v>3</v>
      </c>
      <c r="Q104" s="165">
        <f t="shared" ref="Q104" si="17">P104+1</f>
        <v>4</v>
      </c>
      <c r="R104" s="165">
        <f t="shared" ref="R104" si="18">Q104+1</f>
        <v>5</v>
      </c>
      <c r="S104" s="165">
        <f t="shared" ref="S104" si="19">R104+1</f>
        <v>6</v>
      </c>
    </row>
    <row r="105" spans="1:19">
      <c r="B105" s="231" t="s">
        <v>593</v>
      </c>
      <c r="C105" s="232">
        <v>10.7</v>
      </c>
      <c r="D105" s="232">
        <v>10.7</v>
      </c>
      <c r="E105" s="232">
        <v>0</v>
      </c>
      <c r="F105" s="232">
        <v>0</v>
      </c>
      <c r="G105" s="232">
        <v>0</v>
      </c>
      <c r="H105" s="232">
        <v>0</v>
      </c>
      <c r="I105" s="232">
        <v>0.02</v>
      </c>
      <c r="M105" s="163" t="s">
        <v>153</v>
      </c>
      <c r="N105" s="166">
        <f>1/(1+$N$106)^N104</f>
        <v>0.85470085470085477</v>
      </c>
      <c r="O105" s="166">
        <f t="shared" ref="O105" si="20">1/(1+$N$25)^O104</f>
        <v>0.73051355102637161</v>
      </c>
      <c r="P105" s="166">
        <f t="shared" ref="P105" si="21">1/(1+$N$25)^P104</f>
        <v>0.62437055643279626</v>
      </c>
      <c r="Q105" s="166">
        <f t="shared" ref="Q105" si="22">1/(1+$N$25)^Q104</f>
        <v>0.53365004823315931</v>
      </c>
      <c r="R105" s="166">
        <f t="shared" ref="R105" si="23">1/(1+$N$25)^R104</f>
        <v>0.45611115233603361</v>
      </c>
      <c r="S105" s="275">
        <v>0.3</v>
      </c>
    </row>
    <row r="106" spans="1:19">
      <c r="B106" s="233"/>
      <c r="C106" s="233">
        <v>459.20298093600007</v>
      </c>
      <c r="D106" s="233">
        <v>70.874922085999984</v>
      </c>
      <c r="E106" s="233">
        <v>0</v>
      </c>
      <c r="F106" s="233">
        <v>0</v>
      </c>
      <c r="G106" s="233">
        <v>0</v>
      </c>
      <c r="H106" s="233">
        <v>0</v>
      </c>
      <c r="I106" s="233">
        <v>10.049999999999999</v>
      </c>
      <c r="M106" s="163" t="s">
        <v>440</v>
      </c>
      <c r="N106" s="167">
        <v>0.17</v>
      </c>
      <c r="O106" s="165"/>
      <c r="P106" s="165"/>
      <c r="Q106" s="165"/>
      <c r="R106" s="165"/>
      <c r="S106" s="116"/>
    </row>
    <row r="107" spans="1:19">
      <c r="M107" s="163" t="s">
        <v>441</v>
      </c>
      <c r="N107" s="164">
        <f>N103*N105</f>
        <v>51.431557338461531</v>
      </c>
      <c r="O107" s="164">
        <f t="shared" ref="O107:R107" si="24">O103*O105</f>
        <v>0</v>
      </c>
      <c r="P107" s="164">
        <f t="shared" si="24"/>
        <v>0</v>
      </c>
      <c r="Q107" s="164">
        <f t="shared" si="24"/>
        <v>0</v>
      </c>
      <c r="R107" s="164">
        <f t="shared" si="24"/>
        <v>0</v>
      </c>
      <c r="S107" s="164">
        <f>S103*S105</f>
        <v>3.0089999999999999</v>
      </c>
    </row>
    <row r="108" spans="1:19">
      <c r="M108" s="168" t="s">
        <v>442</v>
      </c>
      <c r="N108" s="169">
        <f>SUM(N107:S107)</f>
        <v>54.440557338461531</v>
      </c>
      <c r="O108" s="162"/>
      <c r="P108" s="162"/>
      <c r="Q108" s="162"/>
      <c r="R108" s="170"/>
      <c r="S108" s="170"/>
    </row>
    <row r="109" spans="1:19">
      <c r="M109" s="276" t="s">
        <v>465</v>
      </c>
      <c r="N109" s="159">
        <f>(N103*50%)+(O103*40%)+(P103*30%)+(Q103*20%)+(R103*10%)</f>
        <v>30.087461042999994</v>
      </c>
    </row>
    <row r="110" spans="1:19">
      <c r="B110" s="239"/>
      <c r="C110" s="239"/>
      <c r="D110" s="239"/>
      <c r="E110" s="358" t="s">
        <v>421</v>
      </c>
      <c r="F110" s="358"/>
      <c r="G110" s="358"/>
      <c r="H110" s="358"/>
      <c r="I110" s="358"/>
      <c r="J110" s="249"/>
      <c r="K110" s="249"/>
    </row>
    <row r="111" spans="1:19">
      <c r="B111" s="239" t="s">
        <v>594</v>
      </c>
      <c r="C111" s="239"/>
      <c r="D111" s="248">
        <f t="shared" ref="D111:K111" si="25">SUBTOTAL(9,D113:D197)</f>
        <v>177.10097924871647</v>
      </c>
      <c r="E111" s="248">
        <f t="shared" si="25"/>
        <v>45.144714654663979</v>
      </c>
      <c r="F111" s="248">
        <f t="shared" si="25"/>
        <v>17.387515564000008</v>
      </c>
      <c r="G111" s="248">
        <f t="shared" si="25"/>
        <v>33.667447898000006</v>
      </c>
      <c r="H111" s="248">
        <f t="shared" si="25"/>
        <v>7.1476742372246322</v>
      </c>
      <c r="I111" s="248">
        <f t="shared" si="25"/>
        <v>2.4621342576175644</v>
      </c>
      <c r="J111" s="248">
        <f t="shared" si="25"/>
        <v>8.2855697782103324</v>
      </c>
      <c r="K111" s="248">
        <f t="shared" si="25"/>
        <v>71.291492637210339</v>
      </c>
    </row>
    <row r="112" spans="1:19" ht="43.2">
      <c r="B112" s="250" t="s">
        <v>186</v>
      </c>
      <c r="C112" s="250" t="s">
        <v>187</v>
      </c>
      <c r="D112" s="256" t="s">
        <v>548</v>
      </c>
      <c r="E112" s="252" t="s">
        <v>426</v>
      </c>
      <c r="F112" s="252" t="s">
        <v>427</v>
      </c>
      <c r="G112" s="252" t="s">
        <v>428</v>
      </c>
      <c r="H112" s="252" t="s">
        <v>429</v>
      </c>
      <c r="I112" s="252" t="s">
        <v>430</v>
      </c>
      <c r="J112" s="243" t="s">
        <v>422</v>
      </c>
      <c r="K112" s="243" t="s">
        <v>501</v>
      </c>
    </row>
    <row r="113" spans="2:19">
      <c r="B113" s="253" t="s">
        <v>239</v>
      </c>
      <c r="C113" s="253" t="s">
        <v>240</v>
      </c>
      <c r="D113" s="232">
        <v>10.610573879999992</v>
      </c>
      <c r="E113" s="232">
        <v>6.3097751859999924</v>
      </c>
      <c r="F113" s="232">
        <v>0</v>
      </c>
      <c r="G113" s="232">
        <v>5.7567013999999972E-2</v>
      </c>
      <c r="H113" s="232">
        <v>0</v>
      </c>
      <c r="I113" s="232">
        <v>-1.3999999382008355E-8</v>
      </c>
      <c r="J113" s="232">
        <v>0</v>
      </c>
      <c r="K113" s="232">
        <f>D113-E113-F113-G113-H113-I113</f>
        <v>4.2432316939999986</v>
      </c>
    </row>
    <row r="114" spans="2:19">
      <c r="B114" s="253" t="s">
        <v>239</v>
      </c>
      <c r="C114" s="253" t="s">
        <v>529</v>
      </c>
      <c r="D114" s="232">
        <v>0.57505612700000008</v>
      </c>
      <c r="E114" s="232"/>
      <c r="F114" s="232">
        <v>0</v>
      </c>
      <c r="G114" s="232">
        <v>0.55073149999999993</v>
      </c>
      <c r="H114" s="232">
        <v>0</v>
      </c>
      <c r="I114" s="232"/>
      <c r="J114" s="232">
        <v>0</v>
      </c>
      <c r="K114" s="232">
        <f t="shared" ref="K114:K177" si="26">D114-E114-F114-G114-H114-I114</f>
        <v>2.4324627000000154E-2</v>
      </c>
      <c r="M114" s="162" t="s">
        <v>436</v>
      </c>
      <c r="N114" s="119">
        <v>1</v>
      </c>
      <c r="O114" s="119">
        <f>N114+1</f>
        <v>2</v>
      </c>
      <c r="P114" s="119">
        <f t="shared" ref="P114" si="27">O114+1</f>
        <v>3</v>
      </c>
      <c r="Q114" s="119">
        <f t="shared" ref="Q114" si="28">P114+1</f>
        <v>4</v>
      </c>
      <c r="R114" s="119">
        <f t="shared" ref="R114" si="29">Q114+1</f>
        <v>5</v>
      </c>
      <c r="S114" s="119">
        <f t="shared" ref="S114" si="30">R114+1</f>
        <v>6</v>
      </c>
    </row>
    <row r="115" spans="2:19">
      <c r="B115" s="253" t="s">
        <v>239</v>
      </c>
      <c r="C115" s="253" t="s">
        <v>523</v>
      </c>
      <c r="D115" s="232">
        <v>1.3717027740000001</v>
      </c>
      <c r="E115" s="232">
        <v>9.4165792000000081E-2</v>
      </c>
      <c r="F115" s="232">
        <v>0</v>
      </c>
      <c r="G115" s="232">
        <v>5.2343999999999724E-3</v>
      </c>
      <c r="H115" s="232">
        <v>0</v>
      </c>
      <c r="I115" s="232">
        <v>4.8612240000001083E-3</v>
      </c>
      <c r="J115" s="232">
        <v>0</v>
      </c>
      <c r="K115" s="232">
        <f t="shared" si="26"/>
        <v>1.2674413579999999</v>
      </c>
      <c r="M115" s="163" t="s">
        <v>437</v>
      </c>
      <c r="N115" s="164">
        <f>D111</f>
        <v>177.10097924871647</v>
      </c>
      <c r="O115" s="165"/>
      <c r="P115" s="165"/>
      <c r="Q115" s="165"/>
      <c r="R115" s="165"/>
      <c r="S115" s="116"/>
    </row>
    <row r="116" spans="2:19">
      <c r="B116" s="253" t="s">
        <v>239</v>
      </c>
      <c r="C116" s="253" t="s">
        <v>595</v>
      </c>
      <c r="D116" s="232">
        <v>0.70443918500000002</v>
      </c>
      <c r="E116" s="232">
        <v>0.57613088700000004</v>
      </c>
      <c r="F116" s="232">
        <v>0</v>
      </c>
      <c r="G116" s="232">
        <v>9.3731097999999985E-2</v>
      </c>
      <c r="H116" s="232">
        <v>0</v>
      </c>
      <c r="I116" s="232">
        <v>9.682386000000015E-3</v>
      </c>
      <c r="J116" s="232">
        <v>0</v>
      </c>
      <c r="K116" s="232">
        <f t="shared" si="26"/>
        <v>2.4894813999999987E-2</v>
      </c>
      <c r="M116" s="163" t="s">
        <v>438</v>
      </c>
      <c r="N116" s="164">
        <f>E111</f>
        <v>45.144714654663979</v>
      </c>
      <c r="O116" s="164">
        <f t="shared" ref="O116:R116" si="31">F111</f>
        <v>17.387515564000008</v>
      </c>
      <c r="P116" s="164">
        <f t="shared" si="31"/>
        <v>33.667447898000006</v>
      </c>
      <c r="Q116" s="164">
        <f t="shared" si="31"/>
        <v>7.1476742372246322</v>
      </c>
      <c r="R116" s="164">
        <f t="shared" si="31"/>
        <v>2.4621342576175644</v>
      </c>
      <c r="S116" s="164">
        <f>K111</f>
        <v>71.291492637210339</v>
      </c>
    </row>
    <row r="117" spans="2:19">
      <c r="B117" s="253" t="s">
        <v>239</v>
      </c>
      <c r="C117" s="253" t="s">
        <v>546</v>
      </c>
      <c r="D117" s="232">
        <v>1.4918138299999999</v>
      </c>
      <c r="E117" s="232"/>
      <c r="F117" s="232">
        <v>0</v>
      </c>
      <c r="G117" s="232">
        <v>1.2211999999998113E-3</v>
      </c>
      <c r="H117" s="232">
        <v>0</v>
      </c>
      <c r="I117" s="232">
        <v>1.0491143999999508E-2</v>
      </c>
      <c r="J117" s="232">
        <v>0</v>
      </c>
      <c r="K117" s="232">
        <f t="shared" si="26"/>
        <v>1.4801014860000006</v>
      </c>
      <c r="M117" s="163" t="s">
        <v>439</v>
      </c>
      <c r="N117" s="165">
        <v>1</v>
      </c>
      <c r="O117" s="165">
        <f>N117+1</f>
        <v>2</v>
      </c>
      <c r="P117" s="165">
        <f t="shared" ref="P117" si="32">O117+1</f>
        <v>3</v>
      </c>
      <c r="Q117" s="165">
        <f t="shared" ref="Q117" si="33">P117+1</f>
        <v>4</v>
      </c>
      <c r="R117" s="165">
        <f t="shared" ref="R117" si="34">Q117+1</f>
        <v>5</v>
      </c>
      <c r="S117" s="165">
        <f t="shared" ref="S117" si="35">R117+1</f>
        <v>6</v>
      </c>
    </row>
    <row r="118" spans="2:19">
      <c r="B118" s="253" t="s">
        <v>239</v>
      </c>
      <c r="C118" s="253" t="s">
        <v>574</v>
      </c>
      <c r="D118" s="232">
        <v>0.31105690000000003</v>
      </c>
      <c r="E118" s="232"/>
      <c r="F118" s="232">
        <v>0</v>
      </c>
      <c r="G118" s="232">
        <v>0.25154719999999997</v>
      </c>
      <c r="H118" s="232">
        <v>5.7700400000000041E-2</v>
      </c>
      <c r="I118" s="232">
        <v>1.8093000000000137E-3</v>
      </c>
      <c r="J118" s="232">
        <v>0</v>
      </c>
      <c r="K118" s="232">
        <f t="shared" si="26"/>
        <v>0</v>
      </c>
      <c r="M118" s="163" t="s">
        <v>153</v>
      </c>
      <c r="N118" s="166">
        <f>1/(1+$N$119)^N117</f>
        <v>0.85470085470085477</v>
      </c>
      <c r="O118" s="166">
        <f t="shared" ref="O118" si="36">1/(1+$N$25)^O117</f>
        <v>0.73051355102637161</v>
      </c>
      <c r="P118" s="166">
        <f t="shared" ref="P118" si="37">1/(1+$N$25)^P117</f>
        <v>0.62437055643279626</v>
      </c>
      <c r="Q118" s="166">
        <f t="shared" ref="Q118" si="38">1/(1+$N$25)^Q117</f>
        <v>0.53365004823315931</v>
      </c>
      <c r="R118" s="166">
        <f t="shared" ref="R118" si="39">1/(1+$N$25)^R117</f>
        <v>0.45611115233603361</v>
      </c>
      <c r="S118" s="275">
        <v>0.3</v>
      </c>
    </row>
    <row r="119" spans="2:19">
      <c r="B119" s="253" t="s">
        <v>239</v>
      </c>
      <c r="C119" s="253" t="s">
        <v>596</v>
      </c>
      <c r="D119" s="232">
        <v>0.69096137999999996</v>
      </c>
      <c r="E119" s="232"/>
      <c r="F119" s="232">
        <v>0</v>
      </c>
      <c r="G119" s="232">
        <v>0.66486899099999985</v>
      </c>
      <c r="H119" s="232">
        <v>2.6092389000000105E-2</v>
      </c>
      <c r="I119" s="232"/>
      <c r="J119" s="232">
        <v>0</v>
      </c>
      <c r="K119" s="232">
        <f t="shared" si="26"/>
        <v>0</v>
      </c>
      <c r="M119" s="163" t="s">
        <v>440</v>
      </c>
      <c r="N119" s="167">
        <v>0.17</v>
      </c>
      <c r="O119" s="165"/>
      <c r="P119" s="165"/>
      <c r="Q119" s="165"/>
      <c r="R119" s="165"/>
      <c r="S119" s="116"/>
    </row>
    <row r="120" spans="2:19">
      <c r="B120" s="253" t="s">
        <v>239</v>
      </c>
      <c r="C120" s="253" t="s">
        <v>597</v>
      </c>
      <c r="D120" s="232">
        <v>0.96390989100000002</v>
      </c>
      <c r="E120" s="232"/>
      <c r="F120" s="232">
        <v>9.3372037999999824E-2</v>
      </c>
      <c r="G120" s="232">
        <v>0.34753785300000017</v>
      </c>
      <c r="H120" s="232">
        <v>0</v>
      </c>
      <c r="I120" s="232"/>
      <c r="J120" s="232">
        <v>0</v>
      </c>
      <c r="K120" s="232">
        <f t="shared" si="26"/>
        <v>0.52300000000000002</v>
      </c>
      <c r="M120" s="163" t="s">
        <v>441</v>
      </c>
      <c r="N120" s="164">
        <f>N116*N118</f>
        <v>38.585226200567504</v>
      </c>
      <c r="O120" s="164">
        <f t="shared" ref="O120:R120" si="40">O116*O118</f>
        <v>12.701815738183951</v>
      </c>
      <c r="P120" s="164">
        <f t="shared" si="40"/>
        <v>21.020963177746442</v>
      </c>
      <c r="Q120" s="164">
        <f t="shared" si="40"/>
        <v>3.8143567014498352</v>
      </c>
      <c r="R120" s="164">
        <f t="shared" si="40"/>
        <v>1.123006893447972</v>
      </c>
      <c r="S120" s="164">
        <f>S116*S118</f>
        <v>21.387447791163101</v>
      </c>
    </row>
    <row r="121" spans="2:19">
      <c r="B121" s="253" t="s">
        <v>239</v>
      </c>
      <c r="C121" s="253" t="s">
        <v>526</v>
      </c>
      <c r="D121" s="232">
        <v>5.6903314570000019</v>
      </c>
      <c r="E121" s="232">
        <v>3.7190942860000016</v>
      </c>
      <c r="F121" s="232">
        <v>0</v>
      </c>
      <c r="G121" s="232">
        <v>1.6133698650000001</v>
      </c>
      <c r="H121" s="232">
        <v>5.0867299999999949E-2</v>
      </c>
      <c r="I121" s="232">
        <v>4.2000006000000312E-2</v>
      </c>
      <c r="J121" s="232">
        <v>0</v>
      </c>
      <c r="K121" s="232">
        <f t="shared" si="26"/>
        <v>0.2649999999999999</v>
      </c>
      <c r="M121" s="168" t="s">
        <v>442</v>
      </c>
      <c r="N121" s="169">
        <f>SUM(N120:S120)</f>
        <v>98.632816502558811</v>
      </c>
      <c r="O121" s="162"/>
      <c r="P121" s="162"/>
      <c r="Q121" s="162"/>
      <c r="R121" s="170"/>
      <c r="S121" s="170"/>
    </row>
    <row r="122" spans="2:19">
      <c r="B122" s="253" t="s">
        <v>239</v>
      </c>
      <c r="C122" s="253" t="s">
        <v>575</v>
      </c>
      <c r="D122" s="232">
        <v>1.3717945779999998</v>
      </c>
      <c r="E122" s="232">
        <v>1.0270610379999998</v>
      </c>
      <c r="F122" s="232">
        <v>0</v>
      </c>
      <c r="G122" s="232">
        <v>0.33275269999999996</v>
      </c>
      <c r="H122" s="232">
        <v>0</v>
      </c>
      <c r="I122" s="232">
        <v>1.1980840000000104E-2</v>
      </c>
      <c r="J122" s="232">
        <v>0</v>
      </c>
      <c r="K122" s="232">
        <f t="shared" si="26"/>
        <v>-5.5511151231257827E-17</v>
      </c>
      <c r="M122" s="276" t="s">
        <v>465</v>
      </c>
      <c r="N122" s="159">
        <f>(N116*50%)+(O116*40%)+(P116*30%)+(Q116*20%)+(R116*10%)</f>
        <v>41.30334619553868</v>
      </c>
    </row>
    <row r="123" spans="2:19">
      <c r="B123" s="253" t="s">
        <v>239</v>
      </c>
      <c r="C123" s="253" t="s">
        <v>533</v>
      </c>
      <c r="D123" s="232">
        <v>1.1497845089999998</v>
      </c>
      <c r="E123" s="232">
        <v>0.13606889</v>
      </c>
      <c r="F123" s="232">
        <v>0.35055316999999986</v>
      </c>
      <c r="G123" s="232">
        <v>0.38949961700000002</v>
      </c>
      <c r="H123" s="232">
        <v>4.6628319999999501E-3</v>
      </c>
      <c r="I123" s="232"/>
      <c r="J123" s="232">
        <v>0</v>
      </c>
      <c r="K123" s="232">
        <f t="shared" si="26"/>
        <v>0.26900000000000002</v>
      </c>
    </row>
    <row r="124" spans="2:19">
      <c r="B124" s="253" t="s">
        <v>239</v>
      </c>
      <c r="C124" s="253" t="s">
        <v>598</v>
      </c>
      <c r="D124" s="232">
        <v>2.7404074880000002</v>
      </c>
      <c r="E124" s="232"/>
      <c r="F124" s="232">
        <v>0</v>
      </c>
      <c r="G124" s="232">
        <v>2.0110266179999998</v>
      </c>
      <c r="H124" s="232">
        <v>0</v>
      </c>
      <c r="I124" s="232">
        <v>1.4953037999999808E-2</v>
      </c>
      <c r="J124" s="232">
        <v>0</v>
      </c>
      <c r="K124" s="232">
        <f t="shared" si="26"/>
        <v>0.7144278320000006</v>
      </c>
    </row>
    <row r="125" spans="2:19">
      <c r="B125" s="253" t="s">
        <v>239</v>
      </c>
      <c r="C125" s="253" t="s">
        <v>531</v>
      </c>
      <c r="D125" s="232">
        <v>2.7274954689999995</v>
      </c>
      <c r="E125" s="232">
        <v>1.3713110129999995</v>
      </c>
      <c r="F125" s="232">
        <v>0.50449977700000015</v>
      </c>
      <c r="G125" s="232">
        <v>0.25783549999999988</v>
      </c>
      <c r="H125" s="232">
        <v>0.15891100000000002</v>
      </c>
      <c r="I125" s="232"/>
      <c r="J125" s="232">
        <v>0</v>
      </c>
      <c r="K125" s="232">
        <f t="shared" si="26"/>
        <v>0.43493817899999998</v>
      </c>
    </row>
    <row r="126" spans="2:19">
      <c r="B126" s="253" t="s">
        <v>239</v>
      </c>
      <c r="C126" s="253" t="s">
        <v>541</v>
      </c>
      <c r="D126" s="232">
        <v>0.64125125700000007</v>
      </c>
      <c r="E126" s="232">
        <v>0.16896759400000011</v>
      </c>
      <c r="F126" s="232">
        <v>0</v>
      </c>
      <c r="G126" s="232"/>
      <c r="H126" s="232">
        <v>0.47228366299999996</v>
      </c>
      <c r="I126" s="232"/>
      <c r="J126" s="232">
        <v>0</v>
      </c>
      <c r="K126" s="232">
        <f t="shared" si="26"/>
        <v>0</v>
      </c>
    </row>
    <row r="127" spans="2:19">
      <c r="B127" s="253" t="s">
        <v>239</v>
      </c>
      <c r="C127" s="253" t="s">
        <v>543</v>
      </c>
      <c r="D127" s="232">
        <v>2.2268811499999988</v>
      </c>
      <c r="E127" s="232">
        <v>1.1432695009999987</v>
      </c>
      <c r="F127" s="232">
        <v>0.37787313200000006</v>
      </c>
      <c r="G127" s="232"/>
      <c r="H127" s="232">
        <v>0</v>
      </c>
      <c r="I127" s="232"/>
      <c r="J127" s="232">
        <v>0</v>
      </c>
      <c r="K127" s="232">
        <f t="shared" si="26"/>
        <v>0.70573851700000001</v>
      </c>
    </row>
    <row r="128" spans="2:19">
      <c r="B128" s="253" t="s">
        <v>239</v>
      </c>
      <c r="C128" s="253" t="s">
        <v>599</v>
      </c>
      <c r="D128" s="232">
        <v>0.63565290299999988</v>
      </c>
      <c r="E128" s="232">
        <v>0.31896370099999988</v>
      </c>
      <c r="F128" s="232">
        <v>0</v>
      </c>
      <c r="G128" s="232">
        <v>8.5945000000000049E-3</v>
      </c>
      <c r="H128" s="232">
        <v>0</v>
      </c>
      <c r="I128" s="232">
        <v>1.0947019999999474E-3</v>
      </c>
      <c r="J128" s="232">
        <v>0</v>
      </c>
      <c r="K128" s="232">
        <f t="shared" si="26"/>
        <v>0.30700000000000005</v>
      </c>
    </row>
    <row r="129" spans="2:11">
      <c r="B129" s="253" t="s">
        <v>239</v>
      </c>
      <c r="C129" s="253" t="s">
        <v>600</v>
      </c>
      <c r="D129" s="232">
        <v>1.4239273299999999</v>
      </c>
      <c r="E129" s="232">
        <v>0.3382027809999999</v>
      </c>
      <c r="F129" s="232">
        <v>0.3040885900000001</v>
      </c>
      <c r="G129" s="232"/>
      <c r="H129" s="232">
        <v>6.777800000000056E-3</v>
      </c>
      <c r="I129" s="232"/>
      <c r="J129" s="232">
        <v>0</v>
      </c>
      <c r="K129" s="232">
        <f t="shared" si="26"/>
        <v>0.77485815899999988</v>
      </c>
    </row>
    <row r="130" spans="2:11">
      <c r="B130" s="253" t="s">
        <v>239</v>
      </c>
      <c r="C130" s="253" t="s">
        <v>601</v>
      </c>
      <c r="D130" s="232">
        <v>0.82823081500000018</v>
      </c>
      <c r="E130" s="232"/>
      <c r="F130" s="232">
        <v>0</v>
      </c>
      <c r="G130" s="232"/>
      <c r="H130" s="232">
        <v>6.4755899999999977E-2</v>
      </c>
      <c r="I130" s="232"/>
      <c r="J130" s="232">
        <v>0</v>
      </c>
      <c r="K130" s="232">
        <f t="shared" si="26"/>
        <v>0.7634749150000002</v>
      </c>
    </row>
    <row r="131" spans="2:11">
      <c r="B131" s="253" t="s">
        <v>239</v>
      </c>
      <c r="C131" s="253" t="s">
        <v>602</v>
      </c>
      <c r="D131" s="232">
        <v>0.93118219400000013</v>
      </c>
      <c r="E131" s="232">
        <v>0.48803644400000012</v>
      </c>
      <c r="F131" s="232">
        <v>0</v>
      </c>
      <c r="G131" s="232"/>
      <c r="H131" s="232">
        <v>0</v>
      </c>
      <c r="I131" s="232">
        <v>1.3366499999999393E-3</v>
      </c>
      <c r="J131" s="232">
        <v>0</v>
      </c>
      <c r="K131" s="232">
        <f t="shared" si="26"/>
        <v>0.44180910000000007</v>
      </c>
    </row>
    <row r="132" spans="2:11">
      <c r="B132" s="253" t="s">
        <v>239</v>
      </c>
      <c r="C132" s="253" t="s">
        <v>576</v>
      </c>
      <c r="D132" s="232">
        <v>1.058221294</v>
      </c>
      <c r="E132" s="232">
        <v>1.003002594</v>
      </c>
      <c r="F132" s="232">
        <v>0</v>
      </c>
      <c r="G132" s="232"/>
      <c r="H132" s="232">
        <v>0</v>
      </c>
      <c r="I132" s="232">
        <v>1.0750000000000065E-3</v>
      </c>
      <c r="J132" s="232">
        <v>0</v>
      </c>
      <c r="K132" s="232">
        <f t="shared" si="26"/>
        <v>5.4143699999999947E-2</v>
      </c>
    </row>
    <row r="133" spans="2:11">
      <c r="B133" s="253" t="s">
        <v>239</v>
      </c>
      <c r="C133" s="253" t="s">
        <v>603</v>
      </c>
      <c r="D133" s="232">
        <v>0.16286250000000002</v>
      </c>
      <c r="E133" s="232">
        <v>0.14983780000000002</v>
      </c>
      <c r="F133" s="232">
        <v>1.621999999999995E-4</v>
      </c>
      <c r="G133" s="232"/>
      <c r="H133" s="232">
        <v>0</v>
      </c>
      <c r="I133" s="232">
        <v>1.2862499999999999E-2</v>
      </c>
      <c r="J133" s="232">
        <v>0</v>
      </c>
      <c r="K133" s="232">
        <f t="shared" si="26"/>
        <v>0</v>
      </c>
    </row>
    <row r="134" spans="2:11">
      <c r="B134" s="253" t="s">
        <v>400</v>
      </c>
      <c r="C134" s="253" t="s">
        <v>604</v>
      </c>
      <c r="D134" s="232">
        <v>0.48785684999999995</v>
      </c>
      <c r="E134" s="232">
        <v>0.47015055599999994</v>
      </c>
      <c r="F134" s="232">
        <v>1.4794293999999986E-2</v>
      </c>
      <c r="G134" s="232"/>
      <c r="H134" s="232">
        <v>0</v>
      </c>
      <c r="I134" s="232">
        <v>0</v>
      </c>
      <c r="J134" s="232">
        <v>0</v>
      </c>
      <c r="K134" s="232">
        <f t="shared" si="26"/>
        <v>2.9120000000000257E-3</v>
      </c>
    </row>
    <row r="135" spans="2:11">
      <c r="B135" s="253" t="s">
        <v>400</v>
      </c>
      <c r="C135" s="253" t="s">
        <v>605</v>
      </c>
      <c r="D135" s="232">
        <v>3.8451427409999996</v>
      </c>
      <c r="E135" s="232">
        <v>3.2573295109999996</v>
      </c>
      <c r="F135" s="232">
        <v>0.53172596600000022</v>
      </c>
      <c r="G135" s="232">
        <v>0</v>
      </c>
      <c r="H135" s="232">
        <v>0</v>
      </c>
      <c r="I135" s="232">
        <v>0</v>
      </c>
      <c r="J135" s="232">
        <v>0</v>
      </c>
      <c r="K135" s="232">
        <f t="shared" si="26"/>
        <v>5.6087263999999859E-2</v>
      </c>
    </row>
    <row r="136" spans="2:11">
      <c r="B136" s="253" t="s">
        <v>400</v>
      </c>
      <c r="C136" s="253" t="s">
        <v>606</v>
      </c>
      <c r="D136" s="232">
        <v>0.5275763</v>
      </c>
      <c r="E136" s="232">
        <v>0.52488148899999998</v>
      </c>
      <c r="F136" s="232"/>
      <c r="G136" s="232"/>
      <c r="H136" s="232"/>
      <c r="I136" s="232">
        <v>0</v>
      </c>
      <c r="J136" s="232">
        <v>0</v>
      </c>
      <c r="K136" s="232">
        <f t="shared" si="26"/>
        <v>2.6948110000000192E-3</v>
      </c>
    </row>
    <row r="137" spans="2:11">
      <c r="B137" s="253" t="s">
        <v>400</v>
      </c>
      <c r="C137" s="253" t="s">
        <v>539</v>
      </c>
      <c r="D137" s="232">
        <v>3.5221452229999999</v>
      </c>
      <c r="E137" s="232">
        <v>1.8625359009999998</v>
      </c>
      <c r="F137" s="232">
        <v>0.33370346900000014</v>
      </c>
      <c r="G137" s="232">
        <v>0.79570354799999998</v>
      </c>
      <c r="H137" s="232"/>
      <c r="I137" s="232">
        <v>0</v>
      </c>
      <c r="J137" s="232">
        <v>0.20688046199999999</v>
      </c>
      <c r="K137" s="232">
        <f t="shared" si="26"/>
        <v>0.5302023050000001</v>
      </c>
    </row>
    <row r="138" spans="2:11">
      <c r="B138" s="253" t="s">
        <v>400</v>
      </c>
      <c r="C138" s="253" t="s">
        <v>537</v>
      </c>
      <c r="D138" s="232">
        <v>0.63207639999999998</v>
      </c>
      <c r="E138" s="232">
        <v>0</v>
      </c>
      <c r="F138" s="232">
        <v>0.63207639999999998</v>
      </c>
      <c r="G138" s="232"/>
      <c r="H138" s="232"/>
      <c r="I138" s="232"/>
      <c r="J138" s="232">
        <v>0</v>
      </c>
      <c r="K138" s="232">
        <f t="shared" si="26"/>
        <v>0</v>
      </c>
    </row>
    <row r="139" spans="2:11">
      <c r="B139" s="253" t="s">
        <v>400</v>
      </c>
      <c r="C139" s="253" t="s">
        <v>536</v>
      </c>
      <c r="D139" s="232">
        <v>0.95223307499999998</v>
      </c>
      <c r="E139" s="232">
        <v>0</v>
      </c>
      <c r="F139" s="232">
        <v>0.95223307499999998</v>
      </c>
      <c r="G139" s="232">
        <v>0</v>
      </c>
      <c r="H139" s="232">
        <v>0</v>
      </c>
      <c r="I139" s="232">
        <v>0</v>
      </c>
      <c r="J139" s="232">
        <v>0</v>
      </c>
      <c r="K139" s="232">
        <f t="shared" si="26"/>
        <v>0</v>
      </c>
    </row>
    <row r="140" spans="2:11">
      <c r="B140" s="253" t="s">
        <v>400</v>
      </c>
      <c r="C140" s="253" t="s">
        <v>607</v>
      </c>
      <c r="D140" s="232">
        <v>2.3216592599999997</v>
      </c>
      <c r="E140" s="232">
        <v>0</v>
      </c>
      <c r="F140" s="232">
        <v>2.3216592600000001</v>
      </c>
      <c r="G140" s="232">
        <v>0</v>
      </c>
      <c r="H140" s="232">
        <v>0</v>
      </c>
      <c r="I140" s="232">
        <v>0</v>
      </c>
      <c r="J140" s="232">
        <v>0</v>
      </c>
      <c r="K140" s="232">
        <f t="shared" si="26"/>
        <v>-4.4408920985006262E-16</v>
      </c>
    </row>
    <row r="141" spans="2:11">
      <c r="B141" s="253" t="s">
        <v>400</v>
      </c>
      <c r="C141" s="253" t="s">
        <v>549</v>
      </c>
      <c r="D141" s="232">
        <v>0.22099828500000002</v>
      </c>
      <c r="E141" s="232">
        <v>5.4931685000000008E-2</v>
      </c>
      <c r="F141" s="232">
        <v>0</v>
      </c>
      <c r="G141" s="232">
        <v>0.16606660000000001</v>
      </c>
      <c r="H141" s="232"/>
      <c r="I141" s="232"/>
      <c r="J141" s="232">
        <v>0</v>
      </c>
      <c r="K141" s="232">
        <f t="shared" si="26"/>
        <v>0</v>
      </c>
    </row>
    <row r="142" spans="2:11">
      <c r="B142" s="253" t="s">
        <v>400</v>
      </c>
      <c r="C142" s="253" t="s">
        <v>542</v>
      </c>
      <c r="D142" s="232">
        <v>1.0179389050000001</v>
      </c>
      <c r="E142" s="232">
        <v>0</v>
      </c>
      <c r="F142" s="232">
        <v>1.0179389050000001</v>
      </c>
      <c r="G142" s="232">
        <v>0</v>
      </c>
      <c r="H142" s="232">
        <v>0</v>
      </c>
      <c r="I142" s="232">
        <v>0</v>
      </c>
      <c r="J142" s="232">
        <v>0</v>
      </c>
      <c r="K142" s="232">
        <f t="shared" si="26"/>
        <v>0</v>
      </c>
    </row>
    <row r="143" spans="2:11">
      <c r="B143" s="253" t="s">
        <v>213</v>
      </c>
      <c r="C143" s="253" t="s">
        <v>553</v>
      </c>
      <c r="D143" s="257">
        <v>0.29862952799999998</v>
      </c>
      <c r="E143" s="232">
        <v>1.6371808999999984E-2</v>
      </c>
      <c r="F143" s="232">
        <v>7.2267089999999992E-2</v>
      </c>
      <c r="G143" s="232">
        <v>0</v>
      </c>
      <c r="H143" s="232">
        <v>0</v>
      </c>
      <c r="I143" s="232">
        <v>0</v>
      </c>
      <c r="J143" s="232">
        <v>0</v>
      </c>
      <c r="K143" s="232">
        <f t="shared" si="26"/>
        <v>0.20999062900000004</v>
      </c>
    </row>
    <row r="144" spans="2:11">
      <c r="B144" s="253" t="s">
        <v>213</v>
      </c>
      <c r="C144" s="253" t="s">
        <v>554</v>
      </c>
      <c r="D144" s="232">
        <v>1.1247415630000026</v>
      </c>
      <c r="E144" s="232">
        <v>0</v>
      </c>
      <c r="F144" s="232">
        <v>1.1247415630000026</v>
      </c>
      <c r="G144" s="232">
        <v>0</v>
      </c>
      <c r="H144" s="232">
        <v>0</v>
      </c>
      <c r="I144" s="232">
        <v>0</v>
      </c>
      <c r="J144" s="232">
        <v>0</v>
      </c>
      <c r="K144" s="232">
        <f t="shared" si="26"/>
        <v>0</v>
      </c>
    </row>
    <row r="145" spans="2:11">
      <c r="B145" s="253" t="s">
        <v>213</v>
      </c>
      <c r="C145" s="253" t="s">
        <v>232</v>
      </c>
      <c r="D145" s="232">
        <v>15.710363527</v>
      </c>
      <c r="E145" s="232">
        <v>7.2784029190000012</v>
      </c>
      <c r="F145" s="232">
        <v>5.1252754849999995</v>
      </c>
      <c r="G145" s="232">
        <v>3.3066851229999998</v>
      </c>
      <c r="H145" s="232">
        <v>0</v>
      </c>
      <c r="I145" s="232">
        <v>0</v>
      </c>
      <c r="J145" s="232">
        <v>0</v>
      </c>
      <c r="K145" s="232">
        <f t="shared" si="26"/>
        <v>-4.4408920985006262E-16</v>
      </c>
    </row>
    <row r="146" spans="2:11">
      <c r="B146" s="253" t="s">
        <v>213</v>
      </c>
      <c r="C146" s="253" t="s">
        <v>228</v>
      </c>
      <c r="D146" s="257">
        <v>4.507463529999999</v>
      </c>
      <c r="E146" s="232">
        <v>3.4421469849999995</v>
      </c>
      <c r="F146" s="232">
        <v>0.9683845919999996</v>
      </c>
      <c r="G146" s="232">
        <v>9.6931953000000112E-2</v>
      </c>
      <c r="H146" s="232">
        <v>0</v>
      </c>
      <c r="I146" s="232">
        <v>0</v>
      </c>
      <c r="J146" s="232">
        <v>0</v>
      </c>
      <c r="K146" s="232">
        <f t="shared" si="26"/>
        <v>-2.0816681711721685E-16</v>
      </c>
    </row>
    <row r="147" spans="2:11">
      <c r="B147" s="253" t="s">
        <v>213</v>
      </c>
      <c r="C147" s="253" t="s">
        <v>218</v>
      </c>
      <c r="D147" s="232">
        <v>0.47279423900000001</v>
      </c>
      <c r="E147" s="232">
        <v>0</v>
      </c>
      <c r="F147" s="232">
        <v>2.3267190000000038E-2</v>
      </c>
      <c r="G147" s="232">
        <v>6.8528399999999998E-4</v>
      </c>
      <c r="H147" s="232">
        <v>0</v>
      </c>
      <c r="I147" s="232">
        <v>0</v>
      </c>
      <c r="J147" s="232">
        <v>0</v>
      </c>
      <c r="K147" s="232">
        <f t="shared" si="26"/>
        <v>0.44884176499999995</v>
      </c>
    </row>
    <row r="148" spans="2:11">
      <c r="B148" s="253" t="s">
        <v>213</v>
      </c>
      <c r="C148" s="253" t="s">
        <v>555</v>
      </c>
      <c r="D148" s="257">
        <v>11.155269400000002</v>
      </c>
      <c r="E148" s="232">
        <v>3.38236650000006E-2</v>
      </c>
      <c r="F148" s="232">
        <v>6.696256999999285E-3</v>
      </c>
      <c r="G148" s="232">
        <v>10.348145078000002</v>
      </c>
      <c r="H148" s="232">
        <v>0</v>
      </c>
      <c r="I148" s="232">
        <v>0</v>
      </c>
      <c r="J148" s="232">
        <v>0</v>
      </c>
      <c r="K148" s="232">
        <f t="shared" si="26"/>
        <v>0.7666044000000003</v>
      </c>
    </row>
    <row r="149" spans="2:11">
      <c r="B149" s="253" t="s">
        <v>213</v>
      </c>
      <c r="C149" s="253" t="s">
        <v>220</v>
      </c>
      <c r="D149" s="232">
        <v>0.42830925400000003</v>
      </c>
      <c r="E149" s="232">
        <v>0.42830925400000003</v>
      </c>
      <c r="F149" s="232"/>
      <c r="G149" s="232">
        <v>0</v>
      </c>
      <c r="H149" s="232">
        <v>0</v>
      </c>
      <c r="I149" s="232">
        <v>0</v>
      </c>
      <c r="J149" s="232">
        <v>0</v>
      </c>
      <c r="K149" s="232">
        <f t="shared" si="26"/>
        <v>0</v>
      </c>
    </row>
    <row r="150" spans="2:11">
      <c r="B150" s="253" t="s">
        <v>213</v>
      </c>
      <c r="C150" s="253" t="s">
        <v>608</v>
      </c>
      <c r="D150" s="257">
        <v>39.615198300000003</v>
      </c>
      <c r="E150" s="232">
        <v>0</v>
      </c>
      <c r="F150" s="232">
        <v>0</v>
      </c>
      <c r="G150" s="232">
        <v>0</v>
      </c>
      <c r="H150" s="232">
        <v>0</v>
      </c>
      <c r="I150" s="232">
        <v>0</v>
      </c>
      <c r="J150" s="232">
        <v>0</v>
      </c>
      <c r="K150" s="232">
        <f t="shared" si="26"/>
        <v>39.615198300000003</v>
      </c>
    </row>
    <row r="151" spans="2:11">
      <c r="B151" s="253" t="s">
        <v>213</v>
      </c>
      <c r="C151" s="253" t="s">
        <v>556</v>
      </c>
      <c r="D151" s="257">
        <v>5.2897581300000018</v>
      </c>
      <c r="E151" s="232">
        <v>1.8973825219999998</v>
      </c>
      <c r="F151" s="232">
        <v>3.8565856999999655E-2</v>
      </c>
      <c r="G151" s="232">
        <v>0</v>
      </c>
      <c r="H151" s="232">
        <v>0</v>
      </c>
      <c r="I151" s="232">
        <v>0</v>
      </c>
      <c r="J151" s="232">
        <v>0</v>
      </c>
      <c r="K151" s="232">
        <f t="shared" si="26"/>
        <v>3.3538097510000022</v>
      </c>
    </row>
    <row r="152" spans="2:11">
      <c r="B152" s="253" t="s">
        <v>213</v>
      </c>
      <c r="C152" s="253" t="s">
        <v>609</v>
      </c>
      <c r="D152" s="232">
        <v>0.49268440000000002</v>
      </c>
      <c r="E152" s="232">
        <v>0</v>
      </c>
      <c r="F152" s="232">
        <v>0</v>
      </c>
      <c r="G152" s="232">
        <v>0</v>
      </c>
      <c r="H152" s="232">
        <v>0</v>
      </c>
      <c r="I152" s="232">
        <v>0</v>
      </c>
      <c r="J152" s="232">
        <v>0</v>
      </c>
      <c r="K152" s="232">
        <f t="shared" si="26"/>
        <v>0.49268440000000002</v>
      </c>
    </row>
    <row r="153" spans="2:11">
      <c r="B153" s="253" t="s">
        <v>213</v>
      </c>
      <c r="C153" s="253" t="s">
        <v>230</v>
      </c>
      <c r="D153" s="232">
        <v>3.0839999999999999E-2</v>
      </c>
      <c r="E153" s="232">
        <v>3.0839999999999999E-2</v>
      </c>
      <c r="F153" s="232">
        <v>0</v>
      </c>
      <c r="G153" s="232">
        <v>0</v>
      </c>
      <c r="H153" s="232">
        <v>0</v>
      </c>
      <c r="I153" s="232">
        <v>0</v>
      </c>
      <c r="J153" s="232">
        <v>0</v>
      </c>
      <c r="K153" s="232">
        <f t="shared" si="26"/>
        <v>0</v>
      </c>
    </row>
    <row r="154" spans="2:11">
      <c r="B154" s="253" t="s">
        <v>213</v>
      </c>
      <c r="C154" s="253" t="s">
        <v>610</v>
      </c>
      <c r="D154" s="232">
        <v>0.06</v>
      </c>
      <c r="E154" s="232">
        <v>0</v>
      </c>
      <c r="F154" s="232">
        <v>0.06</v>
      </c>
      <c r="G154" s="232">
        <v>0</v>
      </c>
      <c r="H154" s="232">
        <v>0</v>
      </c>
      <c r="I154" s="232">
        <v>0</v>
      </c>
      <c r="J154" s="232">
        <v>0</v>
      </c>
      <c r="K154" s="232">
        <f t="shared" si="26"/>
        <v>0</v>
      </c>
    </row>
    <row r="155" spans="2:11">
      <c r="B155" s="253" t="s">
        <v>363</v>
      </c>
      <c r="C155" s="253" t="s">
        <v>475</v>
      </c>
      <c r="D155" s="232">
        <v>0.23427930600000002</v>
      </c>
      <c r="E155" s="232">
        <v>0</v>
      </c>
      <c r="F155" s="232">
        <v>9.419950699999996E-2</v>
      </c>
      <c r="G155" s="232">
        <v>5.7911500000000005E-2</v>
      </c>
      <c r="H155" s="232">
        <v>8.2168299000000056E-2</v>
      </c>
      <c r="I155" s="232">
        <v>0</v>
      </c>
      <c r="J155" s="232">
        <v>0</v>
      </c>
      <c r="K155" s="232">
        <f t="shared" si="26"/>
        <v>0</v>
      </c>
    </row>
    <row r="156" spans="2:11">
      <c r="B156" s="253" t="s">
        <v>363</v>
      </c>
      <c r="C156" s="253" t="s">
        <v>557</v>
      </c>
      <c r="D156" s="232">
        <v>2.3515530999999999E-2</v>
      </c>
      <c r="E156" s="232">
        <v>0</v>
      </c>
      <c r="F156" s="232">
        <v>1.8989999999999979E-3</v>
      </c>
      <c r="G156" s="232">
        <v>1.3000000000000001E-8</v>
      </c>
      <c r="H156" s="232">
        <v>0</v>
      </c>
      <c r="I156" s="232">
        <v>0</v>
      </c>
      <c r="J156" s="232">
        <v>0</v>
      </c>
      <c r="K156" s="232">
        <f t="shared" si="26"/>
        <v>2.1616518000000001E-2</v>
      </c>
    </row>
    <row r="157" spans="2:11">
      <c r="B157" s="253" t="s">
        <v>363</v>
      </c>
      <c r="C157" s="253" t="s">
        <v>476</v>
      </c>
      <c r="D157" s="232">
        <v>0.22139086600000002</v>
      </c>
      <c r="E157" s="232">
        <v>0</v>
      </c>
      <c r="F157" s="232">
        <v>0</v>
      </c>
      <c r="G157" s="232">
        <v>0</v>
      </c>
      <c r="H157" s="232">
        <v>0</v>
      </c>
      <c r="I157" s="232">
        <v>0</v>
      </c>
      <c r="J157" s="232">
        <v>0</v>
      </c>
      <c r="K157" s="232">
        <f t="shared" si="26"/>
        <v>0.22139086600000002</v>
      </c>
    </row>
    <row r="158" spans="2:11">
      <c r="B158" s="253" t="s">
        <v>363</v>
      </c>
      <c r="C158" s="253" t="s">
        <v>558</v>
      </c>
      <c r="D158" s="232">
        <v>0.273541335</v>
      </c>
      <c r="E158" s="232">
        <v>0</v>
      </c>
      <c r="F158" s="232">
        <v>0</v>
      </c>
      <c r="G158" s="232">
        <v>0</v>
      </c>
      <c r="H158" s="232">
        <v>0</v>
      </c>
      <c r="I158" s="232">
        <v>0</v>
      </c>
      <c r="J158" s="232">
        <v>0</v>
      </c>
      <c r="K158" s="232">
        <f t="shared" si="26"/>
        <v>0.273541335</v>
      </c>
    </row>
    <row r="159" spans="2:11">
      <c r="B159" s="253" t="s">
        <v>363</v>
      </c>
      <c r="C159" s="253" t="s">
        <v>611</v>
      </c>
      <c r="D159" s="232">
        <v>0.12840476099999998</v>
      </c>
      <c r="E159" s="232">
        <v>0</v>
      </c>
      <c r="F159" s="232">
        <v>0</v>
      </c>
      <c r="G159" s="232">
        <v>0</v>
      </c>
      <c r="H159" s="232">
        <v>0</v>
      </c>
      <c r="I159" s="232">
        <v>0</v>
      </c>
      <c r="J159" s="232">
        <v>0</v>
      </c>
      <c r="K159" s="232">
        <f t="shared" si="26"/>
        <v>0.12840476099999998</v>
      </c>
    </row>
    <row r="160" spans="2:11">
      <c r="B160" s="253" t="s">
        <v>363</v>
      </c>
      <c r="C160" s="253" t="s">
        <v>612</v>
      </c>
      <c r="D160" s="232">
        <v>0.57996217800000005</v>
      </c>
      <c r="E160" s="232">
        <v>0</v>
      </c>
      <c r="F160" s="232">
        <v>0.57996217800000005</v>
      </c>
      <c r="G160" s="232">
        <v>0</v>
      </c>
      <c r="H160" s="232">
        <v>0</v>
      </c>
      <c r="I160" s="232">
        <v>0</v>
      </c>
      <c r="J160" s="232">
        <v>0</v>
      </c>
      <c r="K160" s="232">
        <f t="shared" si="26"/>
        <v>0</v>
      </c>
    </row>
    <row r="161" spans="2:11">
      <c r="B161" s="253" t="s">
        <v>363</v>
      </c>
      <c r="C161" s="253" t="s">
        <v>477</v>
      </c>
      <c r="D161" s="232">
        <v>0.9364441750000011</v>
      </c>
      <c r="E161" s="232">
        <v>0</v>
      </c>
      <c r="F161" s="232">
        <v>0.9364441750000011</v>
      </c>
      <c r="G161" s="232">
        <v>0</v>
      </c>
      <c r="H161" s="232">
        <v>0</v>
      </c>
      <c r="I161" s="232">
        <v>0</v>
      </c>
      <c r="J161" s="232">
        <v>0</v>
      </c>
      <c r="K161" s="232">
        <f t="shared" si="26"/>
        <v>0</v>
      </c>
    </row>
    <row r="162" spans="2:11">
      <c r="B162" s="253" t="s">
        <v>363</v>
      </c>
      <c r="C162" s="253" t="s">
        <v>560</v>
      </c>
      <c r="D162" s="232">
        <v>0.12708302999999999</v>
      </c>
      <c r="E162" s="232">
        <v>1.3122887999963417E-2</v>
      </c>
      <c r="F162" s="232">
        <v>6.8602622000000002E-2</v>
      </c>
      <c r="G162" s="232">
        <v>0</v>
      </c>
      <c r="H162" s="232">
        <v>4.5357520000036566E-2</v>
      </c>
      <c r="I162" s="232">
        <v>0</v>
      </c>
      <c r="J162" s="232">
        <v>0</v>
      </c>
      <c r="K162" s="232">
        <f t="shared" si="26"/>
        <v>0</v>
      </c>
    </row>
    <row r="163" spans="2:11">
      <c r="B163" s="253" t="s">
        <v>363</v>
      </c>
      <c r="C163" s="253" t="s">
        <v>613</v>
      </c>
      <c r="D163" s="232">
        <v>0.96062063600000014</v>
      </c>
      <c r="E163" s="232">
        <v>0</v>
      </c>
      <c r="F163" s="232">
        <v>0</v>
      </c>
      <c r="G163" s="232">
        <v>0</v>
      </c>
      <c r="H163" s="232">
        <v>0</v>
      </c>
      <c r="I163" s="232">
        <v>0</v>
      </c>
      <c r="J163" s="232">
        <v>0</v>
      </c>
      <c r="K163" s="232">
        <f t="shared" si="26"/>
        <v>0.96062063600000014</v>
      </c>
    </row>
    <row r="164" spans="2:11">
      <c r="B164" s="253" t="s">
        <v>363</v>
      </c>
      <c r="C164" s="253" t="s">
        <v>614</v>
      </c>
      <c r="D164" s="232">
        <v>5.860887E-2</v>
      </c>
      <c r="E164" s="232">
        <v>5.860887E-2</v>
      </c>
      <c r="F164" s="232">
        <v>0</v>
      </c>
      <c r="G164" s="232">
        <v>0</v>
      </c>
      <c r="H164" s="232">
        <v>0</v>
      </c>
      <c r="I164" s="232">
        <v>0</v>
      </c>
      <c r="J164" s="232">
        <v>0</v>
      </c>
      <c r="K164" s="232">
        <f t="shared" si="26"/>
        <v>0</v>
      </c>
    </row>
    <row r="165" spans="2:11">
      <c r="B165" s="253" t="s">
        <v>363</v>
      </c>
      <c r="C165" s="253" t="s">
        <v>615</v>
      </c>
      <c r="D165" s="232">
        <v>8.3495200000000006E-2</v>
      </c>
      <c r="E165" s="232">
        <v>9.9999999999999995E-8</v>
      </c>
      <c r="F165" s="232">
        <v>9.9999999999999995E-8</v>
      </c>
      <c r="G165" s="232">
        <v>0</v>
      </c>
      <c r="H165" s="232">
        <v>0</v>
      </c>
      <c r="I165" s="232">
        <v>0</v>
      </c>
      <c r="J165" s="232">
        <v>0</v>
      </c>
      <c r="K165" s="232">
        <f t="shared" si="26"/>
        <v>8.3495E-2</v>
      </c>
    </row>
    <row r="166" spans="2:11">
      <c r="B166" s="253" t="s">
        <v>363</v>
      </c>
      <c r="C166" s="253" t="s">
        <v>561</v>
      </c>
      <c r="D166" s="232">
        <v>0.11014313000000001</v>
      </c>
      <c r="E166" s="232">
        <v>0</v>
      </c>
      <c r="F166" s="232">
        <v>5.6354000000000126E-3</v>
      </c>
      <c r="G166" s="232">
        <v>0</v>
      </c>
      <c r="H166" s="232">
        <v>0</v>
      </c>
      <c r="I166" s="232">
        <v>0</v>
      </c>
      <c r="J166" s="232">
        <v>0</v>
      </c>
      <c r="K166" s="232">
        <f t="shared" si="26"/>
        <v>0.10450772999999999</v>
      </c>
    </row>
    <row r="167" spans="2:11">
      <c r="B167" s="253" t="s">
        <v>363</v>
      </c>
      <c r="C167" s="253" t="s">
        <v>616</v>
      </c>
      <c r="D167" s="232">
        <v>0.17435980000000001</v>
      </c>
      <c r="E167" s="232">
        <v>0</v>
      </c>
      <c r="F167" s="232">
        <v>0</v>
      </c>
      <c r="G167" s="232">
        <v>6.1999999999999999E-8</v>
      </c>
      <c r="H167" s="232">
        <v>0</v>
      </c>
      <c r="I167" s="232">
        <v>0</v>
      </c>
      <c r="J167" s="232">
        <v>0</v>
      </c>
      <c r="K167" s="232">
        <f t="shared" si="26"/>
        <v>0.17435973800000001</v>
      </c>
    </row>
    <row r="168" spans="2:11">
      <c r="B168" s="253" t="s">
        <v>363</v>
      </c>
      <c r="C168" s="253" t="s">
        <v>563</v>
      </c>
      <c r="D168" s="232">
        <v>6.8314479999999886E-2</v>
      </c>
      <c r="E168" s="232">
        <v>0</v>
      </c>
      <c r="F168" s="232">
        <v>4.1259999999988806E-4</v>
      </c>
      <c r="G168" s="232">
        <v>1.3663229999999985E-2</v>
      </c>
      <c r="H168" s="232">
        <v>5.4238650000000013E-2</v>
      </c>
      <c r="I168" s="232">
        <v>0</v>
      </c>
      <c r="J168" s="232">
        <v>0</v>
      </c>
      <c r="K168" s="232">
        <f t="shared" si="26"/>
        <v>0</v>
      </c>
    </row>
    <row r="169" spans="2:11">
      <c r="B169" s="253" t="s">
        <v>363</v>
      </c>
      <c r="C169" s="253" t="s">
        <v>617</v>
      </c>
      <c r="D169" s="232">
        <v>0.223209242</v>
      </c>
      <c r="E169" s="232">
        <v>0</v>
      </c>
      <c r="F169" s="232">
        <v>0</v>
      </c>
      <c r="G169" s="232">
        <v>0</v>
      </c>
      <c r="H169" s="232">
        <v>0</v>
      </c>
      <c r="I169" s="232">
        <v>0</v>
      </c>
      <c r="J169" s="232">
        <v>0</v>
      </c>
      <c r="K169" s="232">
        <f t="shared" si="26"/>
        <v>0.223209242</v>
      </c>
    </row>
    <row r="170" spans="2:11">
      <c r="B170" s="253" t="s">
        <v>363</v>
      </c>
      <c r="C170" s="253" t="s">
        <v>618</v>
      </c>
      <c r="D170" s="232">
        <v>3.7653300000000001E-2</v>
      </c>
      <c r="E170" s="232">
        <v>0</v>
      </c>
      <c r="F170" s="232">
        <v>0</v>
      </c>
      <c r="G170" s="232">
        <v>0</v>
      </c>
      <c r="H170" s="232">
        <v>0</v>
      </c>
      <c r="I170" s="232">
        <v>0</v>
      </c>
      <c r="J170" s="232">
        <v>0</v>
      </c>
      <c r="K170" s="232">
        <f t="shared" si="26"/>
        <v>3.7653300000000001E-2</v>
      </c>
    </row>
    <row r="171" spans="2:11">
      <c r="B171" s="253" t="s">
        <v>363</v>
      </c>
      <c r="C171" s="253" t="s">
        <v>564</v>
      </c>
      <c r="D171" s="232">
        <v>0.28368216099999999</v>
      </c>
      <c r="E171" s="232">
        <v>0</v>
      </c>
      <c r="F171" s="232">
        <v>9.4305354000000008E-2</v>
      </c>
      <c r="G171" s="232">
        <v>0</v>
      </c>
      <c r="H171" s="232">
        <v>0.18937680699999998</v>
      </c>
      <c r="I171" s="232">
        <v>0</v>
      </c>
      <c r="J171" s="232">
        <v>0</v>
      </c>
      <c r="K171" s="232">
        <f t="shared" si="26"/>
        <v>0</v>
      </c>
    </row>
    <row r="172" spans="2:11">
      <c r="B172" s="253" t="s">
        <v>363</v>
      </c>
      <c r="C172" s="253" t="s">
        <v>566</v>
      </c>
      <c r="D172" s="232">
        <v>3.3250200000000001E-2</v>
      </c>
      <c r="E172" s="232">
        <v>0</v>
      </c>
      <c r="F172" s="232">
        <v>6E-9</v>
      </c>
      <c r="G172" s="232">
        <v>0</v>
      </c>
      <c r="H172" s="232">
        <v>0</v>
      </c>
      <c r="I172" s="232">
        <v>0</v>
      </c>
      <c r="J172" s="232">
        <v>0</v>
      </c>
      <c r="K172" s="232">
        <f t="shared" si="26"/>
        <v>3.3250194000000004E-2</v>
      </c>
    </row>
    <row r="173" spans="2:11">
      <c r="B173" s="253" t="s">
        <v>363</v>
      </c>
      <c r="C173" s="253" t="s">
        <v>478</v>
      </c>
      <c r="D173" s="232">
        <v>0.64706053799999996</v>
      </c>
      <c r="E173" s="232">
        <v>0</v>
      </c>
      <c r="F173" s="232">
        <v>0.58615276000000016</v>
      </c>
      <c r="G173" s="232">
        <v>6.0907777999999801E-2</v>
      </c>
      <c r="H173" s="232">
        <v>0</v>
      </c>
      <c r="I173" s="232">
        <v>0</v>
      </c>
      <c r="J173" s="232">
        <v>0</v>
      </c>
      <c r="K173" s="232">
        <f t="shared" si="26"/>
        <v>0</v>
      </c>
    </row>
    <row r="174" spans="2:11">
      <c r="B174" s="253" t="s">
        <v>363</v>
      </c>
      <c r="C174" s="253" t="s">
        <v>619</v>
      </c>
      <c r="D174" s="232">
        <v>2.1094499999999999E-2</v>
      </c>
      <c r="E174" s="232">
        <v>0</v>
      </c>
      <c r="F174" s="232">
        <v>0</v>
      </c>
      <c r="G174" s="232">
        <v>0</v>
      </c>
      <c r="H174" s="232">
        <v>0</v>
      </c>
      <c r="I174" s="232">
        <v>0</v>
      </c>
      <c r="J174" s="232">
        <v>0</v>
      </c>
      <c r="K174" s="232">
        <f t="shared" si="26"/>
        <v>2.1094499999999999E-2</v>
      </c>
    </row>
    <row r="175" spans="2:11">
      <c r="B175" s="253" t="s">
        <v>363</v>
      </c>
      <c r="C175" s="253" t="s">
        <v>479</v>
      </c>
      <c r="D175" s="232">
        <v>4.6623907999999971E-2</v>
      </c>
      <c r="E175" s="232">
        <v>0</v>
      </c>
      <c r="F175" s="232">
        <v>4.6623907999999971E-2</v>
      </c>
      <c r="G175" s="232">
        <v>0</v>
      </c>
      <c r="H175" s="232">
        <v>0</v>
      </c>
      <c r="I175" s="232">
        <v>0</v>
      </c>
      <c r="J175" s="232">
        <v>0</v>
      </c>
      <c r="K175" s="232">
        <f t="shared" si="26"/>
        <v>0</v>
      </c>
    </row>
    <row r="176" spans="2:11">
      <c r="B176" s="253" t="s">
        <v>193</v>
      </c>
      <c r="C176" s="253" t="s">
        <v>527</v>
      </c>
      <c r="D176" s="232">
        <v>1.5674603812103318</v>
      </c>
      <c r="E176" s="232"/>
      <c r="F176" s="232"/>
      <c r="G176" s="232">
        <v>0</v>
      </c>
      <c r="H176" s="232">
        <v>0</v>
      </c>
      <c r="I176" s="232">
        <v>0.59</v>
      </c>
      <c r="J176" s="232">
        <v>0.97746038121033185</v>
      </c>
      <c r="K176" s="232">
        <f t="shared" si="26"/>
        <v>0.97746038121033185</v>
      </c>
    </row>
    <row r="177" spans="2:11">
      <c r="B177" s="253" t="s">
        <v>193</v>
      </c>
      <c r="C177" s="253" t="s">
        <v>528</v>
      </c>
      <c r="D177" s="232">
        <v>5.423187481617564</v>
      </c>
      <c r="E177" s="232"/>
      <c r="F177" s="232"/>
      <c r="G177" s="232"/>
      <c r="H177" s="232">
        <v>4.1532</v>
      </c>
      <c r="I177" s="232">
        <v>1.1799874816175639</v>
      </c>
      <c r="J177" s="232">
        <v>0</v>
      </c>
      <c r="K177" s="232">
        <f t="shared" si="26"/>
        <v>9.000000000000008E-2</v>
      </c>
    </row>
    <row r="178" spans="2:11">
      <c r="B178" s="253" t="s">
        <v>193</v>
      </c>
      <c r="C178" s="253" t="s">
        <v>240</v>
      </c>
      <c r="D178" s="232">
        <v>0.41941459500000006</v>
      </c>
      <c r="E178" s="232">
        <v>0.419414595</v>
      </c>
      <c r="F178" s="232">
        <v>0</v>
      </c>
      <c r="G178" s="232">
        <v>0</v>
      </c>
      <c r="H178" s="232">
        <v>0</v>
      </c>
      <c r="I178" s="232"/>
      <c r="J178" s="232">
        <v>0</v>
      </c>
      <c r="K178" s="232">
        <f t="shared" ref="K178:K197" si="41">D178-E178-F178-G178-H178-I178</f>
        <v>5.5511151231257827E-17</v>
      </c>
    </row>
    <row r="179" spans="2:11">
      <c r="B179" s="253" t="s">
        <v>193</v>
      </c>
      <c r="C179" s="253" t="s">
        <v>209</v>
      </c>
      <c r="D179" s="232">
        <v>0.27583197300000001</v>
      </c>
      <c r="E179" s="232">
        <v>0</v>
      </c>
      <c r="F179" s="232">
        <v>0</v>
      </c>
      <c r="G179" s="232">
        <v>0.265831973</v>
      </c>
      <c r="H179" s="232">
        <v>0.01</v>
      </c>
      <c r="I179" s="232"/>
      <c r="J179" s="232">
        <v>0</v>
      </c>
      <c r="K179" s="232">
        <f t="shared" si="41"/>
        <v>8.6736173798840355E-18</v>
      </c>
    </row>
    <row r="180" spans="2:11">
      <c r="B180" s="253" t="s">
        <v>193</v>
      </c>
      <c r="C180" s="253" t="s">
        <v>568</v>
      </c>
      <c r="D180" s="232">
        <v>1.2638878198919354</v>
      </c>
      <c r="E180" s="232">
        <v>0.49288581589193498</v>
      </c>
      <c r="F180" s="232">
        <v>0</v>
      </c>
      <c r="G180" s="232">
        <v>0</v>
      </c>
      <c r="H180" s="232">
        <v>0</v>
      </c>
      <c r="I180" s="232"/>
      <c r="J180" s="232">
        <v>0.77100200400000052</v>
      </c>
      <c r="K180" s="232">
        <f t="shared" si="41"/>
        <v>0.77100200400000052</v>
      </c>
    </row>
    <row r="181" spans="2:11">
      <c r="B181" s="253" t="s">
        <v>193</v>
      </c>
      <c r="C181" s="253" t="s">
        <v>204</v>
      </c>
      <c r="D181" s="232">
        <v>1.8724655189242405</v>
      </c>
      <c r="E181" s="232">
        <v>0.16649570992424101</v>
      </c>
      <c r="F181" s="232">
        <v>0.02</v>
      </c>
      <c r="G181" s="232">
        <v>0</v>
      </c>
      <c r="H181" s="232">
        <v>0</v>
      </c>
      <c r="I181" s="232"/>
      <c r="J181" s="232">
        <v>1.6859698089999995</v>
      </c>
      <c r="K181" s="232">
        <f t="shared" si="41"/>
        <v>1.6859698089999995</v>
      </c>
    </row>
    <row r="182" spans="2:11">
      <c r="B182" s="253" t="s">
        <v>193</v>
      </c>
      <c r="C182" s="253" t="s">
        <v>211</v>
      </c>
      <c r="D182" s="232">
        <v>4.3010581772245953</v>
      </c>
      <c r="E182" s="232">
        <v>0</v>
      </c>
      <c r="F182" s="232">
        <v>0</v>
      </c>
      <c r="G182" s="232">
        <v>1.97</v>
      </c>
      <c r="H182" s="232">
        <v>1.7510581772245952</v>
      </c>
      <c r="I182" s="232">
        <v>0.57999999999999996</v>
      </c>
      <c r="J182" s="232">
        <v>0</v>
      </c>
      <c r="K182" s="232">
        <f t="shared" si="41"/>
        <v>0</v>
      </c>
    </row>
    <row r="183" spans="2:11">
      <c r="B183" s="253" t="s">
        <v>193</v>
      </c>
      <c r="C183" s="253" t="s">
        <v>207</v>
      </c>
      <c r="D183" s="232">
        <v>4.2378855778478544</v>
      </c>
      <c r="E183" s="232">
        <v>0.75680148084785404</v>
      </c>
      <c r="F183" s="232">
        <v>0</v>
      </c>
      <c r="G183" s="232">
        <v>0</v>
      </c>
      <c r="H183" s="232">
        <v>0</v>
      </c>
      <c r="I183" s="232"/>
      <c r="J183" s="232">
        <v>3.4810840970000001</v>
      </c>
      <c r="K183" s="232">
        <f t="shared" si="41"/>
        <v>3.4810840970000001</v>
      </c>
    </row>
    <row r="184" spans="2:11">
      <c r="B184" s="253" t="s">
        <v>193</v>
      </c>
      <c r="C184" s="253" t="s">
        <v>569</v>
      </c>
      <c r="D184" s="232">
        <v>0.35960949799999997</v>
      </c>
      <c r="E184" s="232"/>
      <c r="F184" s="232">
        <v>0</v>
      </c>
      <c r="G184" s="232">
        <v>0</v>
      </c>
      <c r="H184" s="232">
        <v>0</v>
      </c>
      <c r="I184" s="232"/>
      <c r="J184" s="232">
        <v>0.10960949799999997</v>
      </c>
      <c r="K184" s="232">
        <f t="shared" si="41"/>
        <v>0.35960949799999997</v>
      </c>
    </row>
    <row r="185" spans="2:11">
      <c r="B185" s="253" t="s">
        <v>193</v>
      </c>
      <c r="C185" s="253" t="s">
        <v>570</v>
      </c>
      <c r="D185" s="232">
        <v>0.23154673199999998</v>
      </c>
      <c r="E185" s="232"/>
      <c r="F185" s="232">
        <v>0.04</v>
      </c>
      <c r="G185" s="232">
        <v>0</v>
      </c>
      <c r="H185" s="232">
        <v>0</v>
      </c>
      <c r="I185" s="232"/>
      <c r="J185" s="232">
        <v>0</v>
      </c>
      <c r="K185" s="232">
        <f t="shared" si="41"/>
        <v>0.19154673199999997</v>
      </c>
    </row>
    <row r="186" spans="2:11">
      <c r="B186" s="253" t="s">
        <v>493</v>
      </c>
      <c r="C186" s="253" t="s">
        <v>525</v>
      </c>
      <c r="D186" s="232">
        <v>0.23922323600000003</v>
      </c>
      <c r="E186" s="232">
        <v>0</v>
      </c>
      <c r="F186" s="232">
        <v>0</v>
      </c>
      <c r="G186" s="232">
        <v>0</v>
      </c>
      <c r="H186" s="232">
        <v>0</v>
      </c>
      <c r="I186" s="232">
        <v>0</v>
      </c>
      <c r="J186" s="232">
        <v>0.23922323600000003</v>
      </c>
      <c r="K186" s="232">
        <f t="shared" si="41"/>
        <v>0.23922323600000003</v>
      </c>
    </row>
    <row r="187" spans="2:11">
      <c r="B187" s="253" t="s">
        <v>493</v>
      </c>
      <c r="C187" s="253" t="s">
        <v>280</v>
      </c>
      <c r="D187" s="232">
        <v>0.15088985999999999</v>
      </c>
      <c r="E187" s="232">
        <v>0</v>
      </c>
      <c r="F187" s="232">
        <v>0</v>
      </c>
      <c r="G187" s="232">
        <v>0</v>
      </c>
      <c r="H187" s="232">
        <v>0</v>
      </c>
      <c r="I187" s="232">
        <v>0</v>
      </c>
      <c r="J187" s="232">
        <v>0.15088985999999999</v>
      </c>
      <c r="K187" s="232">
        <f t="shared" si="41"/>
        <v>0.15088985999999999</v>
      </c>
    </row>
    <row r="188" spans="2:11">
      <c r="B188" s="253" t="s">
        <v>493</v>
      </c>
      <c r="C188" s="253" t="s">
        <v>281</v>
      </c>
      <c r="D188" s="232">
        <v>0.55281944900000002</v>
      </c>
      <c r="E188" s="232">
        <v>0.34389398500000001</v>
      </c>
      <c r="F188" s="232">
        <v>5.9399644000000001E-2</v>
      </c>
      <c r="G188" s="232">
        <v>6.6566200000000006E-2</v>
      </c>
      <c r="H188" s="232">
        <v>2.0223499999999998E-2</v>
      </c>
      <c r="I188" s="232">
        <v>0</v>
      </c>
      <c r="J188" s="232">
        <v>6.2736120000000006E-2</v>
      </c>
      <c r="K188" s="232">
        <f t="shared" si="41"/>
        <v>6.2736120000000006E-2</v>
      </c>
    </row>
    <row r="189" spans="2:11">
      <c r="B189" s="253" t="s">
        <v>493</v>
      </c>
      <c r="C189" s="253" t="s">
        <v>275</v>
      </c>
      <c r="D189" s="232">
        <v>2.6042860579999996</v>
      </c>
      <c r="E189" s="232">
        <v>3.3858429999997774E-3</v>
      </c>
      <c r="F189" s="232">
        <v>0</v>
      </c>
      <c r="G189" s="232">
        <v>0</v>
      </c>
      <c r="H189" s="232">
        <v>0</v>
      </c>
      <c r="I189" s="232">
        <v>0</v>
      </c>
      <c r="J189" s="232">
        <v>0</v>
      </c>
      <c r="K189" s="232">
        <f t="shared" si="41"/>
        <v>2.6009002149999998</v>
      </c>
    </row>
    <row r="190" spans="2:11">
      <c r="B190" s="253" t="s">
        <v>493</v>
      </c>
      <c r="C190" s="253" t="s">
        <v>571</v>
      </c>
      <c r="D190" s="232">
        <v>0.59585929999999998</v>
      </c>
      <c r="E190" s="232">
        <v>0</v>
      </c>
      <c r="F190" s="232">
        <v>0</v>
      </c>
      <c r="G190" s="232">
        <v>0</v>
      </c>
      <c r="H190" s="232">
        <v>0</v>
      </c>
      <c r="I190" s="232">
        <v>0</v>
      </c>
      <c r="J190" s="232">
        <v>0.59585929999999998</v>
      </c>
      <c r="K190" s="232">
        <f t="shared" si="41"/>
        <v>0.59585929999999998</v>
      </c>
    </row>
    <row r="191" spans="2:11">
      <c r="B191" s="253" t="s">
        <v>493</v>
      </c>
      <c r="C191" s="253" t="s">
        <v>572</v>
      </c>
      <c r="D191" s="232">
        <v>2.4802548000000001E-2</v>
      </c>
      <c r="E191" s="232">
        <v>0</v>
      </c>
      <c r="F191" s="232">
        <v>0</v>
      </c>
      <c r="G191" s="232">
        <v>0</v>
      </c>
      <c r="H191" s="232">
        <v>0</v>
      </c>
      <c r="I191" s="232">
        <v>0</v>
      </c>
      <c r="J191" s="232">
        <v>0</v>
      </c>
      <c r="K191" s="232">
        <f t="shared" si="41"/>
        <v>2.4802548000000001E-2</v>
      </c>
    </row>
    <row r="192" spans="2:11">
      <c r="B192" s="253" t="s">
        <v>493</v>
      </c>
      <c r="C192" s="253" t="s">
        <v>279</v>
      </c>
      <c r="D192" s="232">
        <v>0.202641817</v>
      </c>
      <c r="E192" s="232">
        <v>0.19778680600000001</v>
      </c>
      <c r="F192" s="232">
        <v>0</v>
      </c>
      <c r="G192" s="232">
        <v>0</v>
      </c>
      <c r="H192" s="232">
        <v>0</v>
      </c>
      <c r="I192" s="232">
        <v>0</v>
      </c>
      <c r="J192" s="232">
        <v>4.8550109999999924E-3</v>
      </c>
      <c r="K192" s="232">
        <f t="shared" si="41"/>
        <v>4.8550109999999924E-3</v>
      </c>
    </row>
    <row r="193" spans="2:11">
      <c r="B193" s="253" t="s">
        <v>493</v>
      </c>
      <c r="C193" s="253" t="s">
        <v>295</v>
      </c>
      <c r="D193" s="232">
        <v>9.9328314999999989</v>
      </c>
      <c r="E193" s="232">
        <v>0</v>
      </c>
      <c r="F193" s="232">
        <v>0</v>
      </c>
      <c r="G193" s="232">
        <v>9.9328314999999989</v>
      </c>
      <c r="H193" s="232">
        <v>0</v>
      </c>
      <c r="I193" s="232">
        <v>0</v>
      </c>
      <c r="J193" s="232">
        <v>0</v>
      </c>
      <c r="K193" s="232">
        <f t="shared" si="41"/>
        <v>0</v>
      </c>
    </row>
    <row r="194" spans="2:11">
      <c r="B194" s="253" t="s">
        <v>530</v>
      </c>
      <c r="C194" s="253" t="s">
        <v>530</v>
      </c>
      <c r="D194" s="232">
        <v>5.6630341390000005</v>
      </c>
      <c r="E194" s="254">
        <f>D194</f>
        <v>5.6630341390000005</v>
      </c>
      <c r="F194" s="232">
        <v>0</v>
      </c>
      <c r="G194" s="232">
        <v>0</v>
      </c>
      <c r="H194" s="232">
        <v>0</v>
      </c>
      <c r="I194" s="232">
        <v>0</v>
      </c>
      <c r="J194" s="232">
        <v>0</v>
      </c>
      <c r="K194" s="232">
        <f t="shared" si="41"/>
        <v>0</v>
      </c>
    </row>
    <row r="195" spans="2:11">
      <c r="B195" s="253" t="s">
        <v>534</v>
      </c>
      <c r="C195" s="253" t="s">
        <v>534</v>
      </c>
      <c r="D195" s="232">
        <v>6.3440602999999998E-2</v>
      </c>
      <c r="E195" s="254">
        <f>D195</f>
        <v>6.3440602999999998E-2</v>
      </c>
      <c r="F195" s="232">
        <v>0</v>
      </c>
      <c r="G195" s="232">
        <v>0</v>
      </c>
      <c r="H195" s="232">
        <v>0</v>
      </c>
      <c r="I195" s="232">
        <v>0</v>
      </c>
      <c r="J195" s="232">
        <v>0</v>
      </c>
      <c r="K195" s="232">
        <f t="shared" si="41"/>
        <v>0</v>
      </c>
    </row>
    <row r="196" spans="2:11">
      <c r="B196" s="253" t="s">
        <v>342</v>
      </c>
      <c r="C196" s="231" t="s">
        <v>620</v>
      </c>
      <c r="D196" s="232">
        <v>0.11107577999999999</v>
      </c>
      <c r="E196" s="254">
        <f>D196</f>
        <v>0.11107577999999999</v>
      </c>
      <c r="F196" s="232">
        <v>0</v>
      </c>
      <c r="G196" s="232">
        <v>0</v>
      </c>
      <c r="H196" s="232">
        <v>0</v>
      </c>
      <c r="I196" s="232">
        <v>0</v>
      </c>
      <c r="J196" s="232">
        <v>0</v>
      </c>
      <c r="K196" s="232">
        <f t="shared" si="41"/>
        <v>0</v>
      </c>
    </row>
    <row r="197" spans="2:11">
      <c r="B197" s="253" t="s">
        <v>342</v>
      </c>
      <c r="C197" s="231" t="s">
        <v>621</v>
      </c>
      <c r="D197" s="232">
        <v>0.71377423600000001</v>
      </c>
      <c r="E197" s="254">
        <f>D197</f>
        <v>0.71377423600000001</v>
      </c>
      <c r="F197" s="232">
        <v>0</v>
      </c>
      <c r="G197" s="232">
        <v>0</v>
      </c>
      <c r="H197" s="232">
        <v>0</v>
      </c>
      <c r="I197" s="232">
        <v>0</v>
      </c>
      <c r="J197" s="232">
        <v>0</v>
      </c>
      <c r="K197" s="232">
        <f t="shared" si="41"/>
        <v>0</v>
      </c>
    </row>
  </sheetData>
  <mergeCells count="8">
    <mergeCell ref="D101:H101"/>
    <mergeCell ref="E110:I110"/>
    <mergeCell ref="B2:M2"/>
    <mergeCell ref="B3:M3"/>
    <mergeCell ref="B5:M5"/>
    <mergeCell ref="B13:M13"/>
    <mergeCell ref="B14:M14"/>
    <mergeCell ref="D21:H21"/>
  </mergeCells>
  <conditionalFormatting sqref="B23">
    <cfRule type="duplicateValues" dxfId="2" priority="2"/>
  </conditionalFormatting>
  <conditionalFormatting sqref="B24">
    <cfRule type="duplicateValues" dxfId="1" priority="1"/>
  </conditionalFormatting>
  <conditionalFormatting sqref="B25:B96">
    <cfRule type="duplicateValues" dxfId="0" priority="3"/>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B2:T27"/>
  <sheetViews>
    <sheetView workbookViewId="0">
      <selection activeCell="M6" sqref="M6"/>
    </sheetView>
  </sheetViews>
  <sheetFormatPr defaultRowHeight="14.4"/>
  <cols>
    <col min="2" max="2" width="16.6640625" customWidth="1"/>
    <col min="3" max="3" width="22.88671875" customWidth="1"/>
    <col min="4" max="10" width="12.33203125" customWidth="1"/>
    <col min="11" max="11" width="13.33203125" customWidth="1"/>
    <col min="12" max="12" width="16.6640625" customWidth="1"/>
    <col min="13" max="13" width="55" customWidth="1"/>
  </cols>
  <sheetData>
    <row r="2" spans="2:20">
      <c r="B2" s="360" t="s">
        <v>653</v>
      </c>
      <c r="C2" s="361"/>
      <c r="D2" s="361"/>
      <c r="E2" s="349"/>
      <c r="F2" s="349"/>
      <c r="G2" s="349"/>
      <c r="H2" s="349"/>
      <c r="I2" s="349"/>
      <c r="J2" s="349"/>
      <c r="K2" s="361"/>
      <c r="L2" s="361"/>
      <c r="M2" s="362"/>
    </row>
    <row r="3" spans="2:20" ht="14.4" customHeight="1">
      <c r="B3" s="293" t="s">
        <v>156</v>
      </c>
      <c r="C3" s="363"/>
      <c r="D3" s="363"/>
      <c r="E3" s="352"/>
      <c r="F3" s="352"/>
      <c r="G3" s="352"/>
      <c r="H3" s="352"/>
      <c r="I3" s="352"/>
      <c r="J3" s="352"/>
      <c r="K3" s="363"/>
      <c r="L3" s="363"/>
      <c r="M3" s="364"/>
    </row>
    <row r="4" spans="2:20" ht="36">
      <c r="B4" s="24" t="s">
        <v>0</v>
      </c>
      <c r="C4" s="24" t="s">
        <v>70</v>
      </c>
      <c r="D4" s="33" t="s">
        <v>65</v>
      </c>
      <c r="E4" s="33" t="s">
        <v>458</v>
      </c>
      <c r="F4" s="33" t="s">
        <v>459</v>
      </c>
      <c r="G4" s="33" t="s">
        <v>460</v>
      </c>
      <c r="H4" s="33" t="s">
        <v>461</v>
      </c>
      <c r="I4" s="33" t="s">
        <v>462</v>
      </c>
      <c r="J4" s="33" t="s">
        <v>501</v>
      </c>
      <c r="K4" s="24" t="s">
        <v>464</v>
      </c>
      <c r="L4" s="24" t="s">
        <v>654</v>
      </c>
      <c r="M4" s="24" t="s">
        <v>22</v>
      </c>
    </row>
    <row r="5" spans="2:20">
      <c r="B5" s="293" t="s">
        <v>94</v>
      </c>
      <c r="C5" s="294"/>
      <c r="D5" s="294"/>
      <c r="E5" s="352"/>
      <c r="F5" s="352"/>
      <c r="G5" s="352"/>
      <c r="H5" s="352"/>
      <c r="I5" s="352"/>
      <c r="J5" s="352"/>
      <c r="K5" s="294"/>
      <c r="L5" s="294"/>
      <c r="M5" s="295"/>
      <c r="Q5">
        <f>36.27*50%+15.77*50%</f>
        <v>26.020000000000003</v>
      </c>
    </row>
    <row r="6" spans="2:20" ht="192" customHeight="1">
      <c r="B6" s="40">
        <v>1</v>
      </c>
      <c r="C6" s="43" t="s">
        <v>118</v>
      </c>
      <c r="D6" s="44">
        <f>D27</f>
        <v>285.63818505399996</v>
      </c>
      <c r="E6" s="56">
        <f>O15</f>
        <v>0</v>
      </c>
      <c r="F6" s="56">
        <f t="shared" ref="F6:J6" si="0">P15</f>
        <v>53.916194699000002</v>
      </c>
      <c r="G6" s="56">
        <f t="shared" si="0"/>
        <v>7.7489999999999997</v>
      </c>
      <c r="H6" s="56">
        <f t="shared" si="0"/>
        <v>10.085000000000001</v>
      </c>
      <c r="I6" s="56">
        <f t="shared" si="0"/>
        <v>0</v>
      </c>
      <c r="J6" s="56">
        <f t="shared" si="0"/>
        <v>213.887990355</v>
      </c>
      <c r="K6" s="44">
        <f>O20</f>
        <v>113.77301613212488</v>
      </c>
      <c r="L6" s="44">
        <f>O21</f>
        <v>25.9081778796</v>
      </c>
      <c r="M6" s="88" t="s">
        <v>662</v>
      </c>
      <c r="O6" s="39">
        <v>0.3</v>
      </c>
    </row>
    <row r="7" spans="2:20">
      <c r="B7" s="34"/>
      <c r="C7" s="32" t="s">
        <v>23</v>
      </c>
      <c r="D7" s="45">
        <f>SUM(D6:D6)</f>
        <v>285.63818505399996</v>
      </c>
      <c r="E7" s="45"/>
      <c r="F7" s="45"/>
      <c r="G7" s="45"/>
      <c r="H7" s="45"/>
      <c r="I7" s="45"/>
      <c r="J7" s="45"/>
      <c r="K7" s="45">
        <f>SUM(K6:K6)</f>
        <v>113.77301613212488</v>
      </c>
      <c r="L7" s="45">
        <f>SUM(L6:L6)</f>
        <v>25.9081778796</v>
      </c>
      <c r="M7" s="34"/>
    </row>
    <row r="8" spans="2:20">
      <c r="B8" s="296" t="s">
        <v>20</v>
      </c>
      <c r="C8" s="297"/>
      <c r="D8" s="297"/>
      <c r="E8" s="342"/>
      <c r="F8" s="342"/>
      <c r="G8" s="342"/>
      <c r="H8" s="342"/>
      <c r="I8" s="342"/>
      <c r="J8" s="342"/>
      <c r="K8" s="297"/>
      <c r="L8" s="297"/>
      <c r="M8" s="298"/>
    </row>
    <row r="9" spans="2:20" ht="105" customHeight="1">
      <c r="B9" s="299" t="s">
        <v>652</v>
      </c>
      <c r="C9" s="299"/>
      <c r="D9" s="299"/>
      <c r="E9" s="299"/>
      <c r="F9" s="299"/>
      <c r="G9" s="299"/>
      <c r="H9" s="299"/>
      <c r="I9" s="299"/>
      <c r="J9" s="299"/>
      <c r="K9" s="299"/>
      <c r="L9" s="299"/>
      <c r="M9" s="299"/>
    </row>
    <row r="13" spans="2:20" ht="15.6" customHeight="1">
      <c r="B13" s="239" t="s">
        <v>632</v>
      </c>
      <c r="C13" s="240"/>
      <c r="D13" s="241"/>
      <c r="E13" s="359" t="s">
        <v>588</v>
      </c>
      <c r="F13" s="359"/>
      <c r="G13" s="359"/>
      <c r="H13" s="359"/>
      <c r="I13" s="359"/>
      <c r="J13" s="241"/>
      <c r="K13" s="116"/>
      <c r="N13" s="162" t="s">
        <v>436</v>
      </c>
      <c r="O13" s="119">
        <v>1</v>
      </c>
      <c r="P13" s="119">
        <f>O13+1</f>
        <v>2</v>
      </c>
      <c r="Q13" s="119">
        <f t="shared" ref="Q13:T13" si="1">P13+1</f>
        <v>3</v>
      </c>
      <c r="R13" s="119">
        <f t="shared" si="1"/>
        <v>4</v>
      </c>
      <c r="S13" s="119">
        <f t="shared" si="1"/>
        <v>5</v>
      </c>
      <c r="T13" s="119">
        <f t="shared" si="1"/>
        <v>6</v>
      </c>
    </row>
    <row r="14" spans="2:20" ht="43.2">
      <c r="B14" s="242" t="s">
        <v>2</v>
      </c>
      <c r="C14" s="242" t="s">
        <v>186</v>
      </c>
      <c r="D14" s="230" t="s">
        <v>633</v>
      </c>
      <c r="E14" s="230" t="s">
        <v>426</v>
      </c>
      <c r="F14" s="230" t="s">
        <v>427</v>
      </c>
      <c r="G14" s="230" t="s">
        <v>428</v>
      </c>
      <c r="H14" s="230" t="s">
        <v>429</v>
      </c>
      <c r="I14" s="230" t="s">
        <v>430</v>
      </c>
      <c r="J14" s="230" t="s">
        <v>422</v>
      </c>
      <c r="K14" s="243" t="s">
        <v>501</v>
      </c>
      <c r="N14" s="163" t="s">
        <v>437</v>
      </c>
      <c r="O14" s="164">
        <f>D27</f>
        <v>285.63818505399996</v>
      </c>
      <c r="P14" s="165"/>
      <c r="Q14" s="165"/>
      <c r="R14" s="165"/>
      <c r="S14" s="165"/>
      <c r="T14" s="116"/>
    </row>
    <row r="15" spans="2:20" ht="43.2">
      <c r="B15" s="244" t="s">
        <v>634</v>
      </c>
      <c r="C15" s="245" t="s">
        <v>342</v>
      </c>
      <c r="D15" s="246">
        <v>3.3174226170000001</v>
      </c>
      <c r="E15" s="246">
        <v>0</v>
      </c>
      <c r="F15" s="246">
        <v>0</v>
      </c>
      <c r="G15" s="246">
        <v>0</v>
      </c>
      <c r="H15" s="246">
        <v>0</v>
      </c>
      <c r="I15" s="246">
        <v>0</v>
      </c>
      <c r="J15" s="246">
        <v>0</v>
      </c>
      <c r="K15" s="238">
        <f>D15-E15-F15-G15-H15-I15</f>
        <v>3.3174226170000001</v>
      </c>
      <c r="N15" s="163" t="s">
        <v>438</v>
      </c>
      <c r="O15" s="164">
        <f>E27</f>
        <v>0</v>
      </c>
      <c r="P15" s="164">
        <f>F27</f>
        <v>53.916194699000002</v>
      </c>
      <c r="Q15" s="164">
        <f t="shared" ref="Q15:S15" si="2">G27</f>
        <v>7.7489999999999997</v>
      </c>
      <c r="R15" s="164">
        <f t="shared" si="2"/>
        <v>10.085000000000001</v>
      </c>
      <c r="S15" s="164">
        <f t="shared" si="2"/>
        <v>0</v>
      </c>
      <c r="T15" s="164">
        <f>K27</f>
        <v>213.887990355</v>
      </c>
    </row>
    <row r="16" spans="2:20" ht="28.8">
      <c r="B16" s="244" t="s">
        <v>635</v>
      </c>
      <c r="C16" s="247" t="s">
        <v>636</v>
      </c>
      <c r="D16" s="246">
        <v>1.24</v>
      </c>
      <c r="E16" s="246">
        <v>0</v>
      </c>
      <c r="F16" s="246">
        <v>0</v>
      </c>
      <c r="G16" s="246">
        <v>0</v>
      </c>
      <c r="H16" s="246">
        <v>0</v>
      </c>
      <c r="I16" s="246">
        <v>0</v>
      </c>
      <c r="J16" s="246">
        <v>0</v>
      </c>
      <c r="K16" s="238">
        <f t="shared" ref="K16:K26" si="3">D16-E16-F16-G16-H16-I16</f>
        <v>1.24</v>
      </c>
      <c r="N16" s="163" t="s">
        <v>439</v>
      </c>
      <c r="O16" s="165">
        <v>1</v>
      </c>
      <c r="P16" s="165">
        <f>O16+1</f>
        <v>2</v>
      </c>
      <c r="Q16" s="165">
        <f t="shared" ref="Q16:T16" si="4">P16+1</f>
        <v>3</v>
      </c>
      <c r="R16" s="165">
        <f t="shared" si="4"/>
        <v>4</v>
      </c>
      <c r="S16" s="165">
        <f t="shared" si="4"/>
        <v>5</v>
      </c>
      <c r="T16" s="165">
        <f t="shared" si="4"/>
        <v>6</v>
      </c>
    </row>
    <row r="17" spans="2:20" ht="28.8">
      <c r="B17" s="244" t="s">
        <v>637</v>
      </c>
      <c r="C17" s="245" t="s">
        <v>213</v>
      </c>
      <c r="D17" s="246">
        <v>5.22</v>
      </c>
      <c r="E17" s="246">
        <v>0</v>
      </c>
      <c r="F17" s="246">
        <v>0</v>
      </c>
      <c r="G17" s="246">
        <v>0</v>
      </c>
      <c r="H17" s="246">
        <v>0</v>
      </c>
      <c r="I17" s="246">
        <v>0</v>
      </c>
      <c r="J17" s="246">
        <v>0</v>
      </c>
      <c r="K17" s="238">
        <f t="shared" si="3"/>
        <v>5.22</v>
      </c>
      <c r="N17" s="163" t="s">
        <v>153</v>
      </c>
      <c r="O17" s="166">
        <f>1/(1+$O$18)^O16</f>
        <v>0.85470085470085477</v>
      </c>
      <c r="P17" s="166">
        <f t="shared" ref="P17:S17" si="5">1/(1+$O$18)^P16</f>
        <v>0.73051355102637161</v>
      </c>
      <c r="Q17" s="166">
        <f t="shared" si="5"/>
        <v>0.62437055643279626</v>
      </c>
      <c r="R17" s="166">
        <f t="shared" si="5"/>
        <v>0.53365004823315931</v>
      </c>
      <c r="S17" s="166">
        <f t="shared" si="5"/>
        <v>0.45611115233603361</v>
      </c>
      <c r="T17" s="275">
        <v>0.3</v>
      </c>
    </row>
    <row r="18" spans="2:20" ht="28.8">
      <c r="B18" s="244" t="s">
        <v>638</v>
      </c>
      <c r="C18" s="247" t="s">
        <v>636</v>
      </c>
      <c r="D18" s="246">
        <v>18.55</v>
      </c>
      <c r="E18" s="246">
        <v>0</v>
      </c>
      <c r="F18" s="246">
        <v>0</v>
      </c>
      <c r="G18" s="246">
        <v>7.7489999999999997</v>
      </c>
      <c r="H18" s="246">
        <f>10.085</f>
        <v>10.085000000000001</v>
      </c>
      <c r="I18" s="246">
        <v>0</v>
      </c>
      <c r="J18" s="246">
        <f>D18-G18-H18</f>
        <v>0.71600000000000108</v>
      </c>
      <c r="K18" s="238">
        <f t="shared" si="3"/>
        <v>0.71600000000000108</v>
      </c>
      <c r="N18" s="163" t="s">
        <v>440</v>
      </c>
      <c r="O18" s="167">
        <v>0.17</v>
      </c>
      <c r="P18" s="165"/>
      <c r="Q18" s="165"/>
      <c r="R18" s="165"/>
      <c r="S18" s="165"/>
      <c r="T18" s="116"/>
    </row>
    <row r="19" spans="2:20" ht="28.8">
      <c r="B19" s="244" t="s">
        <v>639</v>
      </c>
      <c r="C19" s="247" t="s">
        <v>636</v>
      </c>
      <c r="D19" s="246">
        <v>0.87</v>
      </c>
      <c r="E19" s="246">
        <v>0</v>
      </c>
      <c r="F19" s="246">
        <v>0</v>
      </c>
      <c r="G19" s="246">
        <v>0</v>
      </c>
      <c r="H19" s="246">
        <v>0</v>
      </c>
      <c r="I19" s="246">
        <v>0</v>
      </c>
      <c r="J19" s="246">
        <v>0</v>
      </c>
      <c r="K19" s="238">
        <f t="shared" si="3"/>
        <v>0.87</v>
      </c>
      <c r="N19" s="163" t="s">
        <v>441</v>
      </c>
      <c r="O19" s="164">
        <f>O15*O17</f>
        <v>0</v>
      </c>
      <c r="P19" s="164">
        <f t="shared" ref="P19:S19" si="6">P15*P17</f>
        <v>39.386510847395726</v>
      </c>
      <c r="Q19" s="164">
        <f t="shared" si="6"/>
        <v>4.8382474417977379</v>
      </c>
      <c r="R19" s="164">
        <f t="shared" si="6"/>
        <v>5.3818607364314124</v>
      </c>
      <c r="S19" s="164">
        <f t="shared" si="6"/>
        <v>0</v>
      </c>
      <c r="T19" s="164">
        <f>T15*T17</f>
        <v>64.1663971065</v>
      </c>
    </row>
    <row r="20" spans="2:20" ht="57.6">
      <c r="B20" s="244" t="s">
        <v>640</v>
      </c>
      <c r="C20" s="245" t="s">
        <v>493</v>
      </c>
      <c r="D20" s="246">
        <v>0</v>
      </c>
      <c r="E20" s="246">
        <v>0</v>
      </c>
      <c r="F20" s="246">
        <v>0</v>
      </c>
      <c r="G20" s="246">
        <v>0</v>
      </c>
      <c r="H20" s="246">
        <v>0</v>
      </c>
      <c r="I20" s="246">
        <v>0</v>
      </c>
      <c r="J20" s="246">
        <v>0</v>
      </c>
      <c r="K20" s="238">
        <f t="shared" si="3"/>
        <v>0</v>
      </c>
      <c r="N20" s="168" t="s">
        <v>442</v>
      </c>
      <c r="O20" s="169">
        <f>SUM(O19:T19)</f>
        <v>113.77301613212488</v>
      </c>
      <c r="P20" s="162"/>
      <c r="Q20" s="162"/>
      <c r="R20" s="162"/>
      <c r="S20" s="170"/>
      <c r="T20" s="170"/>
    </row>
    <row r="21" spans="2:20" ht="57.6">
      <c r="B21" s="244" t="s">
        <v>641</v>
      </c>
      <c r="C21" s="245" t="s">
        <v>493</v>
      </c>
      <c r="D21" s="246">
        <v>2.8708936380000001</v>
      </c>
      <c r="E21" s="246"/>
      <c r="F21" s="246"/>
      <c r="G21" s="246"/>
      <c r="H21" s="246"/>
      <c r="I21" s="246"/>
      <c r="J21" s="246"/>
      <c r="K21" s="238">
        <f t="shared" si="3"/>
        <v>2.8708936380000001</v>
      </c>
      <c r="N21" s="276" t="s">
        <v>465</v>
      </c>
      <c r="O21" s="159">
        <f>(O15*50%)+(P15*40%)+(Q15*30%)+(R15*20%)+(S15*10%)</f>
        <v>25.9081778796</v>
      </c>
    </row>
    <row r="22" spans="2:20" ht="43.2">
      <c r="B22" s="244" t="s">
        <v>640</v>
      </c>
      <c r="C22" s="247" t="s">
        <v>636</v>
      </c>
      <c r="D22" s="246">
        <v>1.68</v>
      </c>
      <c r="E22" s="246">
        <v>0</v>
      </c>
      <c r="F22" s="246">
        <f>D22</f>
        <v>1.68</v>
      </c>
      <c r="G22" s="246">
        <v>0</v>
      </c>
      <c r="H22" s="246">
        <v>0</v>
      </c>
      <c r="I22" s="246">
        <v>0</v>
      </c>
      <c r="J22" s="246">
        <v>0</v>
      </c>
      <c r="K22" s="238">
        <f t="shared" si="3"/>
        <v>0</v>
      </c>
    </row>
    <row r="23" spans="2:20" ht="28.8">
      <c r="B23" s="244" t="s">
        <v>642</v>
      </c>
      <c r="C23" s="245" t="s">
        <v>213</v>
      </c>
      <c r="D23" s="246">
        <f>42.196194699-5.93</f>
        <v>36.266194699000003</v>
      </c>
      <c r="E23" s="246">
        <v>0</v>
      </c>
      <c r="F23" s="246">
        <f>D23</f>
        <v>36.266194699000003</v>
      </c>
      <c r="G23" s="246">
        <v>0</v>
      </c>
      <c r="H23" s="246">
        <v>0</v>
      </c>
      <c r="I23" s="246">
        <v>0</v>
      </c>
      <c r="J23" s="246">
        <v>0</v>
      </c>
      <c r="K23" s="238">
        <f t="shared" si="3"/>
        <v>0</v>
      </c>
    </row>
    <row r="24" spans="2:20" ht="28.8">
      <c r="B24" s="244" t="s">
        <v>643</v>
      </c>
      <c r="C24" s="245" t="s">
        <v>213</v>
      </c>
      <c r="D24" s="246">
        <v>198.81367409999999</v>
      </c>
      <c r="E24" s="246"/>
      <c r="F24" s="246"/>
      <c r="G24" s="246"/>
      <c r="H24" s="246"/>
      <c r="I24" s="246"/>
      <c r="J24" s="246">
        <f>D24</f>
        <v>198.81367409999999</v>
      </c>
      <c r="K24" s="238">
        <f t="shared" si="3"/>
        <v>198.81367409999999</v>
      </c>
    </row>
    <row r="25" spans="2:20" ht="28.8">
      <c r="B25" s="244" t="s">
        <v>644</v>
      </c>
      <c r="C25" s="245" t="s">
        <v>213</v>
      </c>
      <c r="D25" s="246">
        <v>15.97</v>
      </c>
      <c r="E25" s="246">
        <v>0</v>
      </c>
      <c r="F25" s="246">
        <f>D25</f>
        <v>15.97</v>
      </c>
      <c r="G25" s="246">
        <v>0</v>
      </c>
      <c r="H25" s="246">
        <v>0</v>
      </c>
      <c r="I25" s="246">
        <v>0</v>
      </c>
      <c r="J25" s="246">
        <v>0</v>
      </c>
      <c r="K25" s="238">
        <f t="shared" si="3"/>
        <v>0</v>
      </c>
    </row>
    <row r="26" spans="2:20" ht="43.2">
      <c r="B26" s="244" t="s">
        <v>645</v>
      </c>
      <c r="C26" s="245" t="s">
        <v>636</v>
      </c>
      <c r="D26" s="246">
        <v>0.84</v>
      </c>
      <c r="E26" s="246">
        <v>0</v>
      </c>
      <c r="F26" s="246">
        <v>0</v>
      </c>
      <c r="G26" s="246">
        <v>0</v>
      </c>
      <c r="H26" s="246">
        <v>0</v>
      </c>
      <c r="I26" s="246">
        <v>0</v>
      </c>
      <c r="J26" s="246">
        <v>0</v>
      </c>
      <c r="K26" s="238">
        <f t="shared" si="3"/>
        <v>0.84</v>
      </c>
    </row>
    <row r="27" spans="2:20">
      <c r="B27" s="258" t="s">
        <v>21</v>
      </c>
      <c r="C27" s="258"/>
      <c r="D27" s="259">
        <f t="shared" ref="D27:J27" si="7">SUM(D15:D26)</f>
        <v>285.63818505399996</v>
      </c>
      <c r="E27" s="259">
        <f t="shared" si="7"/>
        <v>0</v>
      </c>
      <c r="F27" s="259">
        <f t="shared" si="7"/>
        <v>53.916194699000002</v>
      </c>
      <c r="G27" s="259">
        <f t="shared" si="7"/>
        <v>7.7489999999999997</v>
      </c>
      <c r="H27" s="259">
        <f t="shared" si="7"/>
        <v>10.085000000000001</v>
      </c>
      <c r="I27" s="259">
        <f t="shared" si="7"/>
        <v>0</v>
      </c>
      <c r="J27" s="259">
        <f t="shared" si="7"/>
        <v>199.52967409999999</v>
      </c>
      <c r="K27" s="259">
        <f>SUM(K15:K26)</f>
        <v>213.887990355</v>
      </c>
    </row>
  </sheetData>
  <mergeCells count="6">
    <mergeCell ref="E13:I13"/>
    <mergeCell ref="B2:M2"/>
    <mergeCell ref="B3:M3"/>
    <mergeCell ref="B5:M5"/>
    <mergeCell ref="B8:M8"/>
    <mergeCell ref="B9:M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39997558519241921"/>
  </sheetPr>
  <dimension ref="B2:I9"/>
  <sheetViews>
    <sheetView topLeftCell="A4" workbookViewId="0">
      <selection activeCell="G6" sqref="G6"/>
    </sheetView>
  </sheetViews>
  <sheetFormatPr defaultRowHeight="14.4"/>
  <cols>
    <col min="3" max="3" width="14.6640625" customWidth="1"/>
    <col min="7" max="7" width="83.33203125" customWidth="1"/>
  </cols>
  <sheetData>
    <row r="2" spans="2:9">
      <c r="B2" s="348" t="s">
        <v>119</v>
      </c>
      <c r="C2" s="349"/>
      <c r="D2" s="349"/>
      <c r="E2" s="349"/>
      <c r="F2" s="349"/>
      <c r="G2" s="350"/>
    </row>
    <row r="3" spans="2:9">
      <c r="B3" s="351" t="str">
        <f>'Interest Accrued-IV'!B3:M3</f>
        <v>Details as on 30th September, 2018</v>
      </c>
      <c r="C3" s="352"/>
      <c r="D3" s="352"/>
      <c r="E3" s="352"/>
      <c r="F3" s="352"/>
      <c r="G3" s="353"/>
    </row>
    <row r="4" spans="2:9" ht="48">
      <c r="B4" s="24" t="s">
        <v>0</v>
      </c>
      <c r="C4" s="24" t="s">
        <v>70</v>
      </c>
      <c r="D4" s="33" t="s">
        <v>65</v>
      </c>
      <c r="E4" s="24" t="s">
        <v>464</v>
      </c>
      <c r="F4" s="24" t="s">
        <v>465</v>
      </c>
      <c r="G4" s="24" t="s">
        <v>22</v>
      </c>
    </row>
    <row r="5" spans="2:9">
      <c r="B5" s="351" t="str">
        <f>[4]SUMMARY!B5</f>
        <v>Figures in INR Crores</v>
      </c>
      <c r="C5" s="352"/>
      <c r="D5" s="352"/>
      <c r="E5" s="352"/>
      <c r="F5" s="352"/>
      <c r="G5" s="353"/>
    </row>
    <row r="6" spans="2:9" ht="102.6">
      <c r="B6" s="40">
        <v>1</v>
      </c>
      <c r="C6" s="43" t="s">
        <v>119</v>
      </c>
      <c r="D6" s="44">
        <v>29.18</v>
      </c>
      <c r="E6" s="44">
        <f t="shared" ref="E6" si="0">$D6*H6</f>
        <v>23.344000000000001</v>
      </c>
      <c r="F6" s="44">
        <f>$E6*I6</f>
        <v>11.672000000000001</v>
      </c>
      <c r="G6" s="89" t="s">
        <v>663</v>
      </c>
      <c r="H6" s="39">
        <v>0.8</v>
      </c>
      <c r="I6" s="39">
        <v>0.5</v>
      </c>
    </row>
    <row r="7" spans="2:9">
      <c r="B7" s="34"/>
      <c r="C7" s="195" t="s">
        <v>23</v>
      </c>
      <c r="D7" s="45">
        <f>SUM(D6:D6)</f>
        <v>29.18</v>
      </c>
      <c r="E7" s="45">
        <f>SUM(E6:E6)</f>
        <v>23.344000000000001</v>
      </c>
      <c r="F7" s="45">
        <f>SUM(F6:F6)</f>
        <v>11.672000000000001</v>
      </c>
      <c r="G7" s="34"/>
    </row>
    <row r="8" spans="2:9">
      <c r="B8" s="341" t="s">
        <v>20</v>
      </c>
      <c r="C8" s="342"/>
      <c r="D8" s="342"/>
      <c r="E8" s="342"/>
      <c r="F8" s="342"/>
      <c r="G8" s="365"/>
    </row>
    <row r="9" spans="2:9" ht="128.25" customHeight="1">
      <c r="B9" s="299" t="s">
        <v>652</v>
      </c>
      <c r="C9" s="299"/>
      <c r="D9" s="299"/>
      <c r="E9" s="299"/>
      <c r="F9" s="299"/>
      <c r="G9" s="299"/>
    </row>
  </sheetData>
  <mergeCells count="5">
    <mergeCell ref="B2:G2"/>
    <mergeCell ref="B3:G3"/>
    <mergeCell ref="B5:G5"/>
    <mergeCell ref="B8:G8"/>
    <mergeCell ref="B9:G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249977111117893"/>
  </sheetPr>
  <dimension ref="B2:U20"/>
  <sheetViews>
    <sheetView workbookViewId="0">
      <selection activeCell="M6" sqref="M6"/>
    </sheetView>
  </sheetViews>
  <sheetFormatPr defaultRowHeight="14.4"/>
  <cols>
    <col min="3" max="3" width="17.109375" customWidth="1"/>
    <col min="12" max="12" width="11.33203125" customWidth="1"/>
    <col min="13" max="13" width="61.6640625" customWidth="1"/>
  </cols>
  <sheetData>
    <row r="2" spans="2:21">
      <c r="B2" s="366" t="s">
        <v>622</v>
      </c>
      <c r="C2" s="367"/>
      <c r="D2" s="367"/>
      <c r="E2" s="367"/>
      <c r="F2" s="367"/>
      <c r="G2" s="367"/>
      <c r="H2" s="367"/>
      <c r="I2" s="367"/>
      <c r="J2" s="367"/>
      <c r="K2" s="367"/>
      <c r="L2" s="367"/>
      <c r="M2" s="367"/>
    </row>
    <row r="3" spans="2:21">
      <c r="B3" s="368" t="s">
        <v>156</v>
      </c>
      <c r="C3" s="369"/>
      <c r="D3" s="369"/>
      <c r="E3" s="369"/>
      <c r="F3" s="369"/>
      <c r="G3" s="369"/>
      <c r="H3" s="369"/>
      <c r="I3" s="369"/>
      <c r="J3" s="369"/>
      <c r="K3" s="369"/>
      <c r="L3" s="369"/>
      <c r="M3" s="369"/>
    </row>
    <row r="4" spans="2:21" ht="48">
      <c r="B4" s="24" t="s">
        <v>0</v>
      </c>
      <c r="C4" s="24" t="s">
        <v>70</v>
      </c>
      <c r="D4" s="33" t="s">
        <v>65</v>
      </c>
      <c r="E4" s="24" t="s">
        <v>458</v>
      </c>
      <c r="F4" s="24" t="s">
        <v>459</v>
      </c>
      <c r="G4" s="24" t="s">
        <v>460</v>
      </c>
      <c r="H4" s="24" t="s">
        <v>461</v>
      </c>
      <c r="I4" s="24" t="s">
        <v>462</v>
      </c>
      <c r="J4" s="236" t="s">
        <v>422</v>
      </c>
      <c r="K4" s="24" t="s">
        <v>464</v>
      </c>
      <c r="L4" s="24" t="s">
        <v>465</v>
      </c>
      <c r="M4" s="24" t="s">
        <v>22</v>
      </c>
    </row>
    <row r="5" spans="2:21">
      <c r="B5" s="351" t="s">
        <v>94</v>
      </c>
      <c r="C5" s="352"/>
      <c r="D5" s="352"/>
      <c r="E5" s="352"/>
      <c r="F5" s="352"/>
      <c r="G5" s="352"/>
      <c r="H5" s="352"/>
      <c r="I5" s="352"/>
      <c r="J5" s="352"/>
      <c r="K5" s="352"/>
      <c r="L5" s="352"/>
      <c r="M5" s="353"/>
    </row>
    <row r="6" spans="2:21" ht="228">
      <c r="B6" s="194">
        <v>1</v>
      </c>
      <c r="C6" s="60" t="s">
        <v>120</v>
      </c>
      <c r="D6" s="56">
        <f>38.12-7.75</f>
        <v>30.369999999999997</v>
      </c>
      <c r="E6" s="56">
        <f>P15</f>
        <v>0</v>
      </c>
      <c r="F6" s="56">
        <f t="shared" ref="F6:I6" si="0">Q15</f>
        <v>5.42</v>
      </c>
      <c r="G6" s="56">
        <f t="shared" si="0"/>
        <v>16.670000000000002</v>
      </c>
      <c r="H6" s="56">
        <f t="shared" si="0"/>
        <v>0</v>
      </c>
      <c r="I6" s="56">
        <f t="shared" si="0"/>
        <v>0</v>
      </c>
      <c r="J6" s="56">
        <f>U15</f>
        <v>8.2799999999999994</v>
      </c>
      <c r="K6" s="56">
        <f>P20</f>
        <v>16.851640622297648</v>
      </c>
      <c r="L6" s="56">
        <v>0</v>
      </c>
      <c r="M6" s="88" t="s">
        <v>664</v>
      </c>
    </row>
    <row r="7" spans="2:21">
      <c r="B7" s="34"/>
      <c r="C7" s="195" t="s">
        <v>23</v>
      </c>
      <c r="D7" s="235">
        <f>SUM(D3:D6)</f>
        <v>30.369999999999997</v>
      </c>
      <c r="E7" s="235">
        <f t="shared" ref="E7:J7" si="1">SUM(E3:E6)</f>
        <v>0</v>
      </c>
      <c r="F7" s="235"/>
      <c r="G7" s="235"/>
      <c r="H7" s="235"/>
      <c r="I7" s="235"/>
      <c r="J7" s="235">
        <f t="shared" si="1"/>
        <v>8.2799999999999994</v>
      </c>
      <c r="K7" s="186">
        <f>K6</f>
        <v>16.851640622297648</v>
      </c>
      <c r="L7" s="186">
        <f>L6</f>
        <v>0</v>
      </c>
      <c r="M7" s="34"/>
    </row>
    <row r="8" spans="2:21">
      <c r="B8" s="370" t="s">
        <v>20</v>
      </c>
      <c r="C8" s="371"/>
      <c r="D8" s="371"/>
      <c r="E8" s="371"/>
      <c r="F8" s="371"/>
      <c r="G8" s="371"/>
      <c r="H8" s="371"/>
      <c r="I8" s="371"/>
      <c r="J8" s="371"/>
      <c r="K8" s="371"/>
      <c r="L8" s="371"/>
      <c r="M8" s="371"/>
    </row>
    <row r="9" spans="2:21" ht="93" customHeight="1">
      <c r="B9" s="372" t="s">
        <v>674</v>
      </c>
      <c r="C9" s="373"/>
      <c r="D9" s="373"/>
      <c r="E9" s="373"/>
      <c r="F9" s="373"/>
      <c r="G9" s="373"/>
      <c r="H9" s="373"/>
      <c r="I9" s="373"/>
      <c r="J9" s="373"/>
      <c r="K9" s="373"/>
      <c r="L9" s="373"/>
      <c r="M9" s="373"/>
    </row>
    <row r="13" spans="2:21" ht="57.6">
      <c r="B13" s="260" t="s">
        <v>623</v>
      </c>
      <c r="C13" s="116"/>
      <c r="D13" s="116"/>
      <c r="E13" s="359" t="s">
        <v>588</v>
      </c>
      <c r="F13" s="359"/>
      <c r="G13" s="359"/>
      <c r="H13" s="359"/>
      <c r="I13" s="359"/>
      <c r="J13" s="116"/>
      <c r="K13" s="116"/>
      <c r="O13" s="162" t="s">
        <v>436</v>
      </c>
      <c r="P13" s="119">
        <v>1</v>
      </c>
      <c r="Q13" s="119">
        <f>P13+1</f>
        <v>2</v>
      </c>
      <c r="R13" s="119">
        <f t="shared" ref="R13:U13" si="2">Q13+1</f>
        <v>3</v>
      </c>
      <c r="S13" s="119">
        <f t="shared" si="2"/>
        <v>4</v>
      </c>
      <c r="T13" s="119">
        <f t="shared" si="2"/>
        <v>5</v>
      </c>
      <c r="U13" s="119">
        <f t="shared" si="2"/>
        <v>6</v>
      </c>
    </row>
    <row r="14" spans="2:21" ht="34.950000000000003" customHeight="1">
      <c r="B14" s="261" t="s">
        <v>624</v>
      </c>
      <c r="C14" s="261" t="s">
        <v>186</v>
      </c>
      <c r="D14" s="262" t="s">
        <v>548</v>
      </c>
      <c r="E14" s="230" t="s">
        <v>426</v>
      </c>
      <c r="F14" s="230" t="s">
        <v>427</v>
      </c>
      <c r="G14" s="230" t="s">
        <v>428</v>
      </c>
      <c r="H14" s="230" t="s">
        <v>429</v>
      </c>
      <c r="I14" s="230" t="s">
        <v>430</v>
      </c>
      <c r="J14" s="230" t="s">
        <v>422</v>
      </c>
      <c r="K14" s="24" t="s">
        <v>501</v>
      </c>
      <c r="O14" s="163" t="s">
        <v>437</v>
      </c>
      <c r="P14" s="164">
        <f>D7</f>
        <v>30.369999999999997</v>
      </c>
      <c r="Q14" s="165"/>
      <c r="R14" s="165"/>
      <c r="S14" s="165"/>
      <c r="T14" s="165"/>
      <c r="U14" s="116"/>
    </row>
    <row r="15" spans="2:21">
      <c r="B15" s="263" t="s">
        <v>625</v>
      </c>
      <c r="C15" s="263" t="s">
        <v>493</v>
      </c>
      <c r="D15" s="264">
        <v>12.27</v>
      </c>
      <c r="E15" s="232">
        <v>0</v>
      </c>
      <c r="F15" s="232">
        <v>5.42</v>
      </c>
      <c r="G15" s="232">
        <v>0.76</v>
      </c>
      <c r="H15" s="232">
        <v>0</v>
      </c>
      <c r="I15" s="232">
        <v>0</v>
      </c>
      <c r="J15" s="232">
        <v>0.53</v>
      </c>
      <c r="K15" s="238">
        <f>D15-E15-F15-G15-H15-I15</f>
        <v>6.09</v>
      </c>
      <c r="O15" s="163" t="s">
        <v>438</v>
      </c>
      <c r="P15" s="164">
        <f>E20</f>
        <v>0</v>
      </c>
      <c r="Q15" s="164">
        <f>F20</f>
        <v>5.42</v>
      </c>
      <c r="R15" s="164">
        <f>G20</f>
        <v>16.670000000000002</v>
      </c>
      <c r="S15" s="164">
        <f t="shared" ref="S15:T15" si="3">H20</f>
        <v>0</v>
      </c>
      <c r="T15" s="164">
        <f t="shared" si="3"/>
        <v>0</v>
      </c>
      <c r="U15" s="164">
        <f>K20</f>
        <v>8.2799999999999994</v>
      </c>
    </row>
    <row r="16" spans="2:21">
      <c r="B16" s="263" t="s">
        <v>626</v>
      </c>
      <c r="C16" s="263" t="s">
        <v>493</v>
      </c>
      <c r="D16" s="264">
        <v>0.02</v>
      </c>
      <c r="E16" s="232">
        <v>0</v>
      </c>
      <c r="F16" s="232">
        <v>0</v>
      </c>
      <c r="G16" s="232">
        <v>0</v>
      </c>
      <c r="H16" s="232">
        <v>0</v>
      </c>
      <c r="I16" s="232">
        <v>0</v>
      </c>
      <c r="J16" s="232">
        <v>0.02</v>
      </c>
      <c r="K16" s="238">
        <f t="shared" ref="K16:K19" si="4">D16-E16-F16-G16-H16-I16</f>
        <v>0.02</v>
      </c>
      <c r="O16" s="163" t="s">
        <v>439</v>
      </c>
      <c r="P16" s="165">
        <v>1</v>
      </c>
      <c r="Q16" s="165">
        <f>P16+1</f>
        <v>2</v>
      </c>
      <c r="R16" s="165">
        <f t="shared" ref="R16:U16" si="5">Q16+1</f>
        <v>3</v>
      </c>
      <c r="S16" s="165">
        <f t="shared" si="5"/>
        <v>4</v>
      </c>
      <c r="T16" s="165">
        <f t="shared" si="5"/>
        <v>5</v>
      </c>
      <c r="U16" s="165">
        <f t="shared" si="5"/>
        <v>6</v>
      </c>
    </row>
    <row r="17" spans="2:21">
      <c r="B17" s="263" t="s">
        <v>626</v>
      </c>
      <c r="C17" s="263" t="s">
        <v>342</v>
      </c>
      <c r="D17" s="264">
        <v>15.91</v>
      </c>
      <c r="E17" s="232">
        <v>0</v>
      </c>
      <c r="F17" s="232">
        <v>0</v>
      </c>
      <c r="G17" s="253">
        <v>15.91</v>
      </c>
      <c r="H17" s="232">
        <v>0</v>
      </c>
      <c r="I17" s="232">
        <v>0</v>
      </c>
      <c r="J17" s="232">
        <v>0</v>
      </c>
      <c r="K17" s="238">
        <f t="shared" si="4"/>
        <v>0</v>
      </c>
      <c r="O17" s="163" t="s">
        <v>153</v>
      </c>
      <c r="P17" s="166">
        <f>1/(1+$P$18)^P16</f>
        <v>0.85470085470085477</v>
      </c>
      <c r="Q17" s="166">
        <f t="shared" ref="Q17:T17" si="6">1/(1+$P$18)^Q16</f>
        <v>0.73051355102637161</v>
      </c>
      <c r="R17" s="166">
        <f t="shared" si="6"/>
        <v>0.62437055643279626</v>
      </c>
      <c r="S17" s="166">
        <f t="shared" si="6"/>
        <v>0.53365004823315931</v>
      </c>
      <c r="T17" s="166">
        <f t="shared" si="6"/>
        <v>0.45611115233603361</v>
      </c>
      <c r="U17" s="275">
        <v>0.3</v>
      </c>
    </row>
    <row r="18" spans="2:21">
      <c r="B18" s="263" t="s">
        <v>626</v>
      </c>
      <c r="C18" s="263" t="s">
        <v>363</v>
      </c>
      <c r="D18" s="264">
        <v>1.98</v>
      </c>
      <c r="E18" s="232">
        <v>0</v>
      </c>
      <c r="F18" s="232">
        <v>0</v>
      </c>
      <c r="G18" s="232">
        <v>0</v>
      </c>
      <c r="H18" s="232">
        <v>0</v>
      </c>
      <c r="I18" s="232">
        <v>0</v>
      </c>
      <c r="J18" s="232">
        <v>0.85</v>
      </c>
      <c r="K18" s="238">
        <f t="shared" si="4"/>
        <v>1.98</v>
      </c>
      <c r="O18" s="163" t="s">
        <v>440</v>
      </c>
      <c r="P18" s="167">
        <v>0.17</v>
      </c>
      <c r="Q18" s="165"/>
      <c r="R18" s="165"/>
      <c r="S18" s="165"/>
      <c r="T18" s="165"/>
      <c r="U18" s="116"/>
    </row>
    <row r="19" spans="2:21">
      <c r="B19" s="263" t="s">
        <v>626</v>
      </c>
      <c r="C19" s="263" t="s">
        <v>627</v>
      </c>
      <c r="D19" s="264">
        <v>0.19</v>
      </c>
      <c r="E19" s="232">
        <v>0</v>
      </c>
      <c r="F19" s="232">
        <v>0</v>
      </c>
      <c r="G19" s="232">
        <v>0</v>
      </c>
      <c r="H19" s="232">
        <v>0</v>
      </c>
      <c r="I19" s="232">
        <v>0</v>
      </c>
      <c r="J19" s="232">
        <v>0</v>
      </c>
      <c r="K19" s="238">
        <f t="shared" si="4"/>
        <v>0.19</v>
      </c>
      <c r="O19" s="163" t="s">
        <v>441</v>
      </c>
      <c r="P19" s="164">
        <f>P15*P17</f>
        <v>0</v>
      </c>
      <c r="Q19" s="164">
        <f t="shared" ref="Q19:T19" si="7">Q15*Q17</f>
        <v>3.9593834465629341</v>
      </c>
      <c r="R19" s="164">
        <f t="shared" si="7"/>
        <v>10.408257175734715</v>
      </c>
      <c r="S19" s="164">
        <f t="shared" si="7"/>
        <v>0</v>
      </c>
      <c r="T19" s="164">
        <f t="shared" si="7"/>
        <v>0</v>
      </c>
      <c r="U19" s="164">
        <f>U15*U17</f>
        <v>2.4839999999999995</v>
      </c>
    </row>
    <row r="20" spans="2:21" ht="57.6">
      <c r="B20" s="265" t="s">
        <v>628</v>
      </c>
      <c r="C20" s="265"/>
      <c r="D20" s="266">
        <v>30.37</v>
      </c>
      <c r="E20" s="266">
        <v>0</v>
      </c>
      <c r="F20" s="266">
        <v>5.42</v>
      </c>
      <c r="G20" s="266">
        <v>16.670000000000002</v>
      </c>
      <c r="H20" s="266">
        <v>0</v>
      </c>
      <c r="I20" s="266">
        <v>0</v>
      </c>
      <c r="J20" s="266">
        <v>1.4</v>
      </c>
      <c r="K20" s="266">
        <f>SUM(K15:K19)</f>
        <v>8.2799999999999994</v>
      </c>
      <c r="O20" s="168" t="s">
        <v>442</v>
      </c>
      <c r="P20" s="169">
        <f>SUM(P19:U19)</f>
        <v>16.851640622297648</v>
      </c>
      <c r="Q20" s="162"/>
      <c r="R20" s="162"/>
      <c r="S20" s="162"/>
      <c r="T20" s="170"/>
      <c r="U20" s="170"/>
    </row>
  </sheetData>
  <mergeCells count="6">
    <mergeCell ref="E13:I13"/>
    <mergeCell ref="B2:M2"/>
    <mergeCell ref="B3:M3"/>
    <mergeCell ref="B5:M5"/>
    <mergeCell ref="B8:M8"/>
    <mergeCell ref="B9:M9"/>
  </mergeCells>
  <phoneticPr fontId="73"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249977111117893"/>
  </sheetPr>
  <dimension ref="B2:I9"/>
  <sheetViews>
    <sheetView topLeftCell="A3" workbookViewId="0">
      <selection activeCell="B9" sqref="B9:G9"/>
    </sheetView>
  </sheetViews>
  <sheetFormatPr defaultRowHeight="14.4"/>
  <cols>
    <col min="3" max="3" width="22.88671875" customWidth="1"/>
    <col min="4" max="4" width="12.33203125" customWidth="1"/>
    <col min="5" max="5" width="13.33203125" customWidth="1"/>
    <col min="6" max="6" width="12.6640625" customWidth="1"/>
    <col min="7" max="7" width="55" customWidth="1"/>
  </cols>
  <sheetData>
    <row r="2" spans="2:9">
      <c r="B2" s="360" t="s">
        <v>146</v>
      </c>
      <c r="C2" s="361"/>
      <c r="D2" s="361"/>
      <c r="E2" s="361"/>
      <c r="F2" s="361"/>
      <c r="G2" s="362"/>
    </row>
    <row r="3" spans="2:9" ht="14.4" customHeight="1">
      <c r="B3" s="293" t="s">
        <v>156</v>
      </c>
      <c r="C3" s="363"/>
      <c r="D3" s="363"/>
      <c r="E3" s="363"/>
      <c r="F3" s="363"/>
      <c r="G3" s="364"/>
    </row>
    <row r="4" spans="2:9" ht="36">
      <c r="B4" s="24" t="s">
        <v>0</v>
      </c>
      <c r="C4" s="24" t="s">
        <v>70</v>
      </c>
      <c r="D4" s="33" t="s">
        <v>65</v>
      </c>
      <c r="E4" s="24" t="s">
        <v>464</v>
      </c>
      <c r="F4" s="24" t="s">
        <v>654</v>
      </c>
      <c r="G4" s="24" t="s">
        <v>22</v>
      </c>
    </row>
    <row r="5" spans="2:9">
      <c r="B5" s="293" t="s">
        <v>94</v>
      </c>
      <c r="C5" s="294"/>
      <c r="D5" s="294"/>
      <c r="E5" s="294"/>
      <c r="F5" s="294"/>
      <c r="G5" s="295"/>
    </row>
    <row r="6" spans="2:9" ht="67.95" customHeight="1">
      <c r="B6" s="40">
        <v>1</v>
      </c>
      <c r="C6" s="57" t="s">
        <v>146</v>
      </c>
      <c r="D6" s="56">
        <v>10.35</v>
      </c>
      <c r="E6" s="56">
        <f>D6*H6</f>
        <v>10.35</v>
      </c>
      <c r="F6" s="56">
        <f>E6*I6</f>
        <v>10.35</v>
      </c>
      <c r="G6" s="88" t="s">
        <v>665</v>
      </c>
      <c r="H6" s="39">
        <v>1</v>
      </c>
      <c r="I6" s="39">
        <v>1</v>
      </c>
    </row>
    <row r="7" spans="2:9">
      <c r="B7" s="34"/>
      <c r="C7" s="32" t="s">
        <v>23</v>
      </c>
      <c r="D7" s="45">
        <f>SUM(D6:D6)</f>
        <v>10.35</v>
      </c>
      <c r="E7" s="45">
        <f>SUM(E6:E6)</f>
        <v>10.35</v>
      </c>
      <c r="F7" s="45">
        <f>SUM(F6:F6)</f>
        <v>10.35</v>
      </c>
      <c r="G7" s="34"/>
    </row>
    <row r="8" spans="2:9">
      <c r="B8" s="296" t="s">
        <v>20</v>
      </c>
      <c r="C8" s="297"/>
      <c r="D8" s="297"/>
      <c r="E8" s="297"/>
      <c r="F8" s="297"/>
      <c r="G8" s="298"/>
    </row>
    <row r="9" spans="2:9" ht="105" customHeight="1">
      <c r="B9" s="299" t="s">
        <v>675</v>
      </c>
      <c r="C9" s="299"/>
      <c r="D9" s="299"/>
      <c r="E9" s="299"/>
      <c r="F9" s="299"/>
      <c r="G9" s="299"/>
    </row>
  </sheetData>
  <mergeCells count="5">
    <mergeCell ref="B2:G2"/>
    <mergeCell ref="B3:G3"/>
    <mergeCell ref="B5:G5"/>
    <mergeCell ref="B8:G8"/>
    <mergeCell ref="B9:G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B2:I17"/>
  <sheetViews>
    <sheetView topLeftCell="B8" workbookViewId="0">
      <selection activeCell="B10" sqref="B10:G10"/>
    </sheetView>
  </sheetViews>
  <sheetFormatPr defaultRowHeight="14.4"/>
  <cols>
    <col min="2" max="2" width="5.6640625" customWidth="1"/>
    <col min="3" max="3" width="22.33203125" customWidth="1"/>
    <col min="4" max="4" width="13.109375" customWidth="1"/>
    <col min="5" max="5" width="15.44140625" customWidth="1"/>
    <col min="6" max="6" width="14.5546875" customWidth="1"/>
    <col min="7" max="7" width="97" customWidth="1"/>
  </cols>
  <sheetData>
    <row r="2" spans="2:9">
      <c r="B2" s="360" t="s">
        <v>655</v>
      </c>
      <c r="C2" s="361"/>
      <c r="D2" s="361"/>
      <c r="E2" s="361"/>
      <c r="F2" s="361"/>
      <c r="G2" s="362"/>
    </row>
    <row r="3" spans="2:9">
      <c r="B3" s="293" t="s">
        <v>156</v>
      </c>
      <c r="C3" s="294"/>
      <c r="D3" s="294"/>
      <c r="E3" s="294"/>
      <c r="F3" s="294"/>
      <c r="G3" s="295"/>
    </row>
    <row r="4" spans="2:9" ht="24">
      <c r="B4" s="24" t="s">
        <v>0</v>
      </c>
      <c r="C4" s="24" t="s">
        <v>70</v>
      </c>
      <c r="D4" s="33" t="s">
        <v>65</v>
      </c>
      <c r="E4" s="24" t="s">
        <v>464</v>
      </c>
      <c r="F4" s="24" t="s">
        <v>654</v>
      </c>
      <c r="G4" s="24" t="s">
        <v>22</v>
      </c>
    </row>
    <row r="5" spans="2:9">
      <c r="B5" s="293" t="s">
        <v>94</v>
      </c>
      <c r="C5" s="294"/>
      <c r="D5" s="294"/>
      <c r="E5" s="294"/>
      <c r="F5" s="294"/>
      <c r="G5" s="295"/>
    </row>
    <row r="6" spans="2:9" ht="100.8">
      <c r="B6" s="37">
        <v>1</v>
      </c>
      <c r="C6" s="43" t="s">
        <v>136</v>
      </c>
      <c r="D6" s="44">
        <v>253.43</v>
      </c>
      <c r="E6" s="43">
        <f>$D$6*H6</f>
        <v>253.43</v>
      </c>
      <c r="F6" s="44">
        <f>$D$6*I6</f>
        <v>0</v>
      </c>
      <c r="G6" s="78" t="s">
        <v>680</v>
      </c>
      <c r="H6" s="39">
        <v>1</v>
      </c>
      <c r="I6" s="39">
        <v>0</v>
      </c>
    </row>
    <row r="7" spans="2:9" ht="72">
      <c r="B7" s="37">
        <v>2</v>
      </c>
      <c r="C7" s="83" t="s">
        <v>137</v>
      </c>
      <c r="D7" s="84">
        <f>83.88+33.57</f>
        <v>117.44999999999999</v>
      </c>
      <c r="E7" s="60">
        <f>D7*H7</f>
        <v>117.44999999999999</v>
      </c>
      <c r="F7" s="56">
        <v>0</v>
      </c>
      <c r="G7" s="90" t="s">
        <v>579</v>
      </c>
      <c r="H7" s="39">
        <v>1</v>
      </c>
      <c r="I7" s="39">
        <v>0</v>
      </c>
    </row>
    <row r="8" spans="2:9">
      <c r="B8" s="34"/>
      <c r="C8" s="59" t="s">
        <v>125</v>
      </c>
      <c r="D8" s="45">
        <f>SUM(D6:D7)</f>
        <v>370.88</v>
      </c>
      <c r="E8" s="45">
        <f t="shared" ref="E8:F8" si="0">SUM(E6:E7)</f>
        <v>370.88</v>
      </c>
      <c r="F8" s="45">
        <f t="shared" si="0"/>
        <v>0</v>
      </c>
      <c r="G8" s="34"/>
    </row>
    <row r="9" spans="2:9">
      <c r="B9" s="296" t="s">
        <v>20</v>
      </c>
      <c r="C9" s="297"/>
      <c r="D9" s="297"/>
      <c r="E9" s="297"/>
      <c r="F9" s="297"/>
      <c r="G9" s="298"/>
    </row>
    <row r="10" spans="2:9" ht="124.5" customHeight="1">
      <c r="B10" s="299" t="s">
        <v>650</v>
      </c>
      <c r="C10" s="299"/>
      <c r="D10" s="299"/>
      <c r="E10" s="299"/>
      <c r="F10" s="299"/>
      <c r="G10" s="299"/>
    </row>
    <row r="13" spans="2:9" ht="134.25" customHeight="1">
      <c r="C13" s="374" t="s">
        <v>84</v>
      </c>
      <c r="D13" s="374"/>
      <c r="E13" s="374"/>
      <c r="F13" s="374"/>
      <c r="G13" s="374"/>
    </row>
    <row r="15" spans="2:9" ht="70.5" customHeight="1">
      <c r="C15" s="374" t="s">
        <v>83</v>
      </c>
      <c r="D15" s="374"/>
      <c r="E15" s="374"/>
      <c r="F15" s="374"/>
      <c r="G15" s="374"/>
    </row>
    <row r="17" spans="3:7" ht="73.5" customHeight="1">
      <c r="C17" s="374" t="s">
        <v>85</v>
      </c>
      <c r="D17" s="374"/>
      <c r="E17" s="374"/>
      <c r="F17" s="374"/>
      <c r="G17" s="374"/>
    </row>
  </sheetData>
  <mergeCells count="8">
    <mergeCell ref="C15:G15"/>
    <mergeCell ref="C17:G17"/>
    <mergeCell ref="B2:G2"/>
    <mergeCell ref="B3:G3"/>
    <mergeCell ref="B5:G5"/>
    <mergeCell ref="B9:G9"/>
    <mergeCell ref="B10:G10"/>
    <mergeCell ref="C13:G13"/>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2:T57"/>
  <sheetViews>
    <sheetView topLeftCell="A7" workbookViewId="0">
      <selection activeCell="M6" sqref="M6"/>
    </sheetView>
  </sheetViews>
  <sheetFormatPr defaultRowHeight="14.4"/>
  <cols>
    <col min="3" max="3" width="14.6640625" customWidth="1"/>
    <col min="7" max="7" width="9.6640625" customWidth="1"/>
    <col min="13" max="13" width="63.6640625" customWidth="1"/>
  </cols>
  <sheetData>
    <row r="2" spans="1:20" ht="14.4" customHeight="1">
      <c r="B2" s="348" t="s">
        <v>656</v>
      </c>
      <c r="C2" s="349"/>
      <c r="D2" s="349"/>
      <c r="E2" s="349"/>
      <c r="F2" s="349"/>
      <c r="G2" s="349"/>
      <c r="H2" s="349"/>
      <c r="I2" s="349"/>
      <c r="J2" s="349"/>
      <c r="K2" s="349"/>
      <c r="L2" s="349"/>
      <c r="M2" s="350"/>
    </row>
    <row r="3" spans="1:20" ht="14.4" customHeight="1">
      <c r="B3" s="351" t="s">
        <v>156</v>
      </c>
      <c r="C3" s="352"/>
      <c r="D3" s="352"/>
      <c r="E3" s="352"/>
      <c r="F3" s="352"/>
      <c r="G3" s="352"/>
      <c r="H3" s="352"/>
      <c r="I3" s="352"/>
      <c r="J3" s="352"/>
      <c r="K3" s="352"/>
      <c r="L3" s="352"/>
      <c r="M3" s="353"/>
    </row>
    <row r="4" spans="1:20" ht="60">
      <c r="B4" s="24" t="s">
        <v>0</v>
      </c>
      <c r="C4" s="24" t="s">
        <v>70</v>
      </c>
      <c r="D4" s="33" t="s">
        <v>65</v>
      </c>
      <c r="E4" s="24" t="s">
        <v>458</v>
      </c>
      <c r="F4" s="24" t="s">
        <v>459</v>
      </c>
      <c r="G4" s="24" t="s">
        <v>460</v>
      </c>
      <c r="H4" s="24" t="s">
        <v>461</v>
      </c>
      <c r="I4" s="24" t="s">
        <v>462</v>
      </c>
      <c r="J4" s="24" t="s">
        <v>501</v>
      </c>
      <c r="K4" s="24" t="s">
        <v>464</v>
      </c>
      <c r="L4" s="24" t="s">
        <v>465</v>
      </c>
      <c r="M4" s="24" t="s">
        <v>22</v>
      </c>
    </row>
    <row r="5" spans="1:20" ht="14.4" customHeight="1">
      <c r="B5" s="351" t="str">
        <f>[2]SUMMARY!B5</f>
        <v>Figures in INR Crores</v>
      </c>
      <c r="C5" s="352"/>
      <c r="D5" s="352"/>
      <c r="E5" s="352"/>
      <c r="F5" s="352"/>
      <c r="G5" s="352"/>
      <c r="H5" s="352"/>
      <c r="I5" s="352"/>
      <c r="J5" s="352"/>
      <c r="K5" s="352"/>
      <c r="L5" s="352"/>
      <c r="M5" s="352"/>
    </row>
    <row r="6" spans="1:20" ht="250.8">
      <c r="B6" s="194">
        <v>1</v>
      </c>
      <c r="C6" s="196" t="s">
        <v>138</v>
      </c>
      <c r="D6" s="56">
        <f>4.69+877.39</f>
        <v>882.08</v>
      </c>
      <c r="E6" s="56">
        <f t="shared" ref="E6:J6" si="0">D12</f>
        <v>36.052361388803121</v>
      </c>
      <c r="F6" s="56">
        <f t="shared" si="0"/>
        <v>144.60296724156552</v>
      </c>
      <c r="G6" s="56">
        <f t="shared" si="0"/>
        <v>135.68590686775229</v>
      </c>
      <c r="H6" s="56">
        <f t="shared" si="0"/>
        <v>11.469999999999999</v>
      </c>
      <c r="I6" s="56">
        <f t="shared" si="0"/>
        <v>30.689999999999998</v>
      </c>
      <c r="J6" s="56">
        <f t="shared" si="0"/>
        <v>523.57871183555585</v>
      </c>
      <c r="K6" s="56">
        <f>O20</f>
        <v>398.35932722178131</v>
      </c>
      <c r="L6" s="56">
        <f>O21</f>
        <v>168.62164770212416</v>
      </c>
      <c r="M6" s="91" t="s">
        <v>667</v>
      </c>
      <c r="O6" s="39">
        <v>0.3</v>
      </c>
    </row>
    <row r="7" spans="1:20">
      <c r="B7" s="34"/>
      <c r="C7" s="195" t="s">
        <v>23</v>
      </c>
      <c r="D7" s="45">
        <f>SUM(D3:D6)</f>
        <v>882.08</v>
      </c>
      <c r="E7" s="45">
        <f>SUM(E3:E6)</f>
        <v>36.052361388803121</v>
      </c>
      <c r="F7" s="45">
        <f>SUM(F3:F6)</f>
        <v>144.60296724156552</v>
      </c>
      <c r="G7" s="45">
        <f t="shared" ref="G7:L7" si="1">SUM(G3:G6)</f>
        <v>135.68590686775229</v>
      </c>
      <c r="H7" s="45">
        <f t="shared" si="1"/>
        <v>11.469999999999999</v>
      </c>
      <c r="I7" s="45">
        <f t="shared" si="1"/>
        <v>30.689999999999998</v>
      </c>
      <c r="J7" s="45">
        <f t="shared" si="1"/>
        <v>523.57871183555585</v>
      </c>
      <c r="K7" s="45">
        <f t="shared" si="1"/>
        <v>398.35932722178131</v>
      </c>
      <c r="L7" s="45">
        <f t="shared" si="1"/>
        <v>168.62164770212416</v>
      </c>
      <c r="M7" s="45"/>
    </row>
    <row r="8" spans="1:20" ht="14.4" customHeight="1">
      <c r="B8" s="354" t="s">
        <v>20</v>
      </c>
      <c r="C8" s="355"/>
      <c r="D8" s="355"/>
      <c r="E8" s="355"/>
      <c r="F8" s="355"/>
      <c r="G8" s="355"/>
      <c r="H8" s="355"/>
      <c r="I8" s="355"/>
      <c r="J8" s="355"/>
      <c r="K8" s="355"/>
      <c r="L8" s="355"/>
      <c r="M8" s="356"/>
    </row>
    <row r="9" spans="1:20" ht="100.95" customHeight="1">
      <c r="B9" s="299" t="s">
        <v>679</v>
      </c>
      <c r="C9" s="299"/>
      <c r="D9" s="299"/>
      <c r="E9" s="299"/>
      <c r="F9" s="299"/>
      <c r="G9" s="299"/>
      <c r="H9" s="299"/>
      <c r="I9" s="299"/>
      <c r="J9" s="299"/>
      <c r="K9" s="299"/>
      <c r="L9" s="299"/>
      <c r="M9" s="299"/>
    </row>
    <row r="12" spans="1:20" ht="60.6">
      <c r="A12" s="197"/>
      <c r="B12" s="198" t="s">
        <v>502</v>
      </c>
      <c r="C12" s="199">
        <f t="shared" ref="C12:J12" si="2">SUBTOTAL(9,C14:C57)</f>
        <v>882.07994733367707</v>
      </c>
      <c r="D12" s="199">
        <f t="shared" si="2"/>
        <v>36.052361388803121</v>
      </c>
      <c r="E12" s="199">
        <f t="shared" si="2"/>
        <v>144.60296724156552</v>
      </c>
      <c r="F12" s="199">
        <f t="shared" si="2"/>
        <v>135.68590686775229</v>
      </c>
      <c r="G12" s="199">
        <f t="shared" si="2"/>
        <v>11.469999999999999</v>
      </c>
      <c r="H12" s="199">
        <f t="shared" si="2"/>
        <v>30.689999999999998</v>
      </c>
      <c r="I12" s="199">
        <f t="shared" ref="I12" si="3">SUBTOTAL(9,I14:I57)</f>
        <v>523.57871183555585</v>
      </c>
      <c r="J12" s="199">
        <f t="shared" si="2"/>
        <v>306.12105962966507</v>
      </c>
      <c r="K12" s="197"/>
    </row>
    <row r="13" spans="1:20" ht="36">
      <c r="A13" s="200" t="s">
        <v>186</v>
      </c>
      <c r="B13" s="200" t="s">
        <v>482</v>
      </c>
      <c r="C13" s="201" t="s">
        <v>483</v>
      </c>
      <c r="D13" s="201" t="s">
        <v>426</v>
      </c>
      <c r="E13" s="201" t="s">
        <v>427</v>
      </c>
      <c r="F13" s="201" t="s">
        <v>428</v>
      </c>
      <c r="G13" s="201" t="s">
        <v>429</v>
      </c>
      <c r="H13" s="201" t="s">
        <v>430</v>
      </c>
      <c r="I13" s="201" t="s">
        <v>422</v>
      </c>
      <c r="J13" s="205" t="s">
        <v>422</v>
      </c>
      <c r="K13" s="205" t="s">
        <v>22</v>
      </c>
      <c r="N13" s="162" t="s">
        <v>436</v>
      </c>
      <c r="O13" s="119">
        <v>1</v>
      </c>
      <c r="P13" s="119">
        <f>O13+1</f>
        <v>2</v>
      </c>
      <c r="Q13" s="119">
        <f t="shared" ref="Q13:T13" si="4">P13+1</f>
        <v>3</v>
      </c>
      <c r="R13" s="119">
        <f t="shared" si="4"/>
        <v>4</v>
      </c>
      <c r="S13" s="119">
        <f t="shared" si="4"/>
        <v>5</v>
      </c>
      <c r="T13" s="119">
        <f t="shared" si="4"/>
        <v>6</v>
      </c>
    </row>
    <row r="14" spans="1:20">
      <c r="A14" s="202" t="s">
        <v>213</v>
      </c>
      <c r="B14" s="202" t="s">
        <v>216</v>
      </c>
      <c r="C14" s="203">
        <v>125</v>
      </c>
      <c r="D14" s="203"/>
      <c r="E14" s="203"/>
      <c r="F14" s="203">
        <v>125</v>
      </c>
      <c r="G14" s="203"/>
      <c r="H14" s="203"/>
      <c r="I14" s="203">
        <f>C14-D14-E14-F14-G14-H14</f>
        <v>0</v>
      </c>
      <c r="J14" s="206">
        <v>0</v>
      </c>
      <c r="K14" s="207"/>
      <c r="N14" s="163" t="s">
        <v>437</v>
      </c>
      <c r="O14" s="164">
        <f>C12</f>
        <v>882.07994733367707</v>
      </c>
      <c r="P14" s="165"/>
      <c r="Q14" s="165"/>
      <c r="R14" s="165"/>
      <c r="S14" s="165"/>
      <c r="T14" s="116"/>
    </row>
    <row r="15" spans="1:20">
      <c r="A15" s="202" t="s">
        <v>213</v>
      </c>
      <c r="B15" s="202" t="s">
        <v>484</v>
      </c>
      <c r="C15" s="203">
        <v>42.64</v>
      </c>
      <c r="D15" s="203"/>
      <c r="E15" s="203"/>
      <c r="F15" s="203">
        <v>0</v>
      </c>
      <c r="G15" s="203">
        <v>0</v>
      </c>
      <c r="H15" s="203"/>
      <c r="I15" s="203">
        <f t="shared" ref="I15:I57" si="5">C15-D15-E15-F15-G15-H15</f>
        <v>42.64</v>
      </c>
      <c r="J15" s="206">
        <v>0</v>
      </c>
      <c r="K15" s="207"/>
      <c r="N15" s="163" t="s">
        <v>438</v>
      </c>
      <c r="O15" s="164">
        <f t="shared" ref="O15:T15" si="6">D12</f>
        <v>36.052361388803121</v>
      </c>
      <c r="P15" s="164">
        <f t="shared" si="6"/>
        <v>144.60296724156552</v>
      </c>
      <c r="Q15" s="164">
        <f t="shared" si="6"/>
        <v>135.68590686775229</v>
      </c>
      <c r="R15" s="164">
        <f t="shared" si="6"/>
        <v>11.469999999999999</v>
      </c>
      <c r="S15" s="164">
        <f t="shared" si="6"/>
        <v>30.689999999999998</v>
      </c>
      <c r="T15" s="164">
        <f t="shared" si="6"/>
        <v>523.57871183555585</v>
      </c>
    </row>
    <row r="16" spans="1:20">
      <c r="A16" s="202" t="s">
        <v>213</v>
      </c>
      <c r="B16" s="202" t="s">
        <v>220</v>
      </c>
      <c r="C16" s="203">
        <v>261.77233410000002</v>
      </c>
      <c r="D16" s="203"/>
      <c r="E16" s="203"/>
      <c r="F16" s="203"/>
      <c r="G16" s="203"/>
      <c r="H16" s="203"/>
      <c r="I16" s="203">
        <f t="shared" si="5"/>
        <v>261.77233410000002</v>
      </c>
      <c r="J16" s="206">
        <v>261.77233410000002</v>
      </c>
      <c r="K16" s="207" t="s">
        <v>434</v>
      </c>
      <c r="N16" s="163" t="s">
        <v>439</v>
      </c>
      <c r="O16" s="165">
        <v>1</v>
      </c>
      <c r="P16" s="165">
        <f>O16+1</f>
        <v>2</v>
      </c>
      <c r="Q16" s="165">
        <f t="shared" ref="Q16:T16" si="7">P16+1</f>
        <v>3</v>
      </c>
      <c r="R16" s="165">
        <f t="shared" si="7"/>
        <v>4</v>
      </c>
      <c r="S16" s="165">
        <f t="shared" si="7"/>
        <v>5</v>
      </c>
      <c r="T16" s="165">
        <f t="shared" si="7"/>
        <v>6</v>
      </c>
    </row>
    <row r="17" spans="1:20">
      <c r="A17" s="202" t="s">
        <v>213</v>
      </c>
      <c r="B17" s="202" t="s">
        <v>225</v>
      </c>
      <c r="C17" s="203">
        <v>25.85</v>
      </c>
      <c r="D17" s="203"/>
      <c r="E17" s="203">
        <v>25.85</v>
      </c>
      <c r="F17" s="203">
        <v>0</v>
      </c>
      <c r="G17" s="203"/>
      <c r="H17" s="203"/>
      <c r="I17" s="203">
        <f t="shared" si="5"/>
        <v>0</v>
      </c>
      <c r="J17" s="206">
        <v>0</v>
      </c>
      <c r="K17" s="207"/>
      <c r="N17" s="163" t="s">
        <v>153</v>
      </c>
      <c r="O17" s="166">
        <f>1/(1+$O$18)^O16</f>
        <v>0.85470085470085477</v>
      </c>
      <c r="P17" s="166">
        <f t="shared" ref="P17:S17" si="8">1/(1+$O$18)^P16</f>
        <v>0.73051355102637161</v>
      </c>
      <c r="Q17" s="166">
        <f t="shared" si="8"/>
        <v>0.62437055643279626</v>
      </c>
      <c r="R17" s="166">
        <f t="shared" si="8"/>
        <v>0.53365004823315931</v>
      </c>
      <c r="S17" s="166">
        <f t="shared" si="8"/>
        <v>0.45611115233603361</v>
      </c>
      <c r="T17" s="275">
        <v>0.3</v>
      </c>
    </row>
    <row r="18" spans="1:20">
      <c r="A18" s="202" t="s">
        <v>213</v>
      </c>
      <c r="B18" s="202" t="s">
        <v>214</v>
      </c>
      <c r="C18" s="203">
        <v>77.477000000000004</v>
      </c>
      <c r="D18" s="203"/>
      <c r="E18" s="203">
        <v>77.477000000000004</v>
      </c>
      <c r="F18" s="203">
        <v>0</v>
      </c>
      <c r="G18" s="203"/>
      <c r="H18" s="203"/>
      <c r="I18" s="203">
        <f t="shared" si="5"/>
        <v>0</v>
      </c>
      <c r="J18" s="206">
        <v>0</v>
      </c>
      <c r="K18" s="207"/>
      <c r="N18" s="163" t="s">
        <v>440</v>
      </c>
      <c r="O18" s="167">
        <v>0.17</v>
      </c>
      <c r="P18" s="165"/>
      <c r="Q18" s="165"/>
      <c r="R18" s="165"/>
      <c r="S18" s="165"/>
      <c r="T18" s="116"/>
    </row>
    <row r="19" spans="1:20">
      <c r="A19" s="202" t="s">
        <v>213</v>
      </c>
      <c r="B19" s="202" t="s">
        <v>222</v>
      </c>
      <c r="C19" s="203">
        <v>13.26</v>
      </c>
      <c r="D19" s="203"/>
      <c r="E19" s="203">
        <v>13.26</v>
      </c>
      <c r="F19" s="203"/>
      <c r="G19" s="203"/>
      <c r="H19" s="203"/>
      <c r="I19" s="203">
        <f t="shared" si="5"/>
        <v>0</v>
      </c>
      <c r="J19" s="206">
        <v>0</v>
      </c>
      <c r="K19" s="207"/>
      <c r="N19" s="163" t="s">
        <v>441</v>
      </c>
      <c r="O19" s="164">
        <f>O15*O17</f>
        <v>30.813984092994122</v>
      </c>
      <c r="P19" s="164">
        <f t="shared" ref="P19:S19" si="9">P15*P17</f>
        <v>105.63442708858612</v>
      </c>
      <c r="Q19" s="164">
        <f t="shared" si="9"/>
        <v>84.71828517110707</v>
      </c>
      <c r="R19" s="164">
        <f t="shared" si="9"/>
        <v>6.1209660532343371</v>
      </c>
      <c r="S19" s="164">
        <f t="shared" si="9"/>
        <v>13.998051265192871</v>
      </c>
      <c r="T19" s="164">
        <f>T15*T17</f>
        <v>157.07361355066675</v>
      </c>
    </row>
    <row r="20" spans="1:20" ht="57.6">
      <c r="A20" s="202" t="s">
        <v>363</v>
      </c>
      <c r="B20" s="202" t="s">
        <v>495</v>
      </c>
      <c r="C20" s="203">
        <v>10.64</v>
      </c>
      <c r="D20" s="203"/>
      <c r="E20" s="203"/>
      <c r="F20" s="203"/>
      <c r="G20" s="203"/>
      <c r="H20" s="203"/>
      <c r="I20" s="203">
        <f t="shared" si="5"/>
        <v>10.64</v>
      </c>
      <c r="J20" s="206">
        <v>10.64</v>
      </c>
      <c r="K20" s="207" t="s">
        <v>433</v>
      </c>
      <c r="N20" s="168" t="s">
        <v>442</v>
      </c>
      <c r="O20" s="169">
        <f>SUM(O19:T19)</f>
        <v>398.35932722178131</v>
      </c>
      <c r="P20" s="162"/>
      <c r="Q20" s="162"/>
      <c r="R20" s="162"/>
      <c r="S20" s="170"/>
      <c r="T20" s="170"/>
    </row>
    <row r="21" spans="1:20">
      <c r="A21" s="202" t="s">
        <v>363</v>
      </c>
      <c r="B21" s="202" t="s">
        <v>485</v>
      </c>
      <c r="C21" s="204">
        <v>0.38</v>
      </c>
      <c r="D21" s="203"/>
      <c r="E21" s="203"/>
      <c r="F21" s="203"/>
      <c r="G21" s="203"/>
      <c r="H21" s="203">
        <v>0.38</v>
      </c>
      <c r="I21" s="203">
        <f t="shared" si="5"/>
        <v>0</v>
      </c>
      <c r="J21" s="206">
        <v>0</v>
      </c>
      <c r="K21" s="207"/>
      <c r="N21" s="276" t="s">
        <v>465</v>
      </c>
      <c r="O21" s="159">
        <f>(O15*70%)+(P15*55%)+(Q15*40%)+(R15*30%)+(S15*20%)</f>
        <v>168.62164770212416</v>
      </c>
    </row>
    <row r="22" spans="1:20">
      <c r="A22" s="202" t="s">
        <v>363</v>
      </c>
      <c r="B22" s="202" t="s">
        <v>486</v>
      </c>
      <c r="C22" s="204">
        <v>2.2000000000000002</v>
      </c>
      <c r="D22" s="203"/>
      <c r="E22" s="203"/>
      <c r="F22" s="203"/>
      <c r="G22" s="203"/>
      <c r="H22" s="203">
        <v>2.2000000000000002</v>
      </c>
      <c r="I22" s="203">
        <f t="shared" si="5"/>
        <v>0</v>
      </c>
      <c r="J22" s="206">
        <v>0</v>
      </c>
      <c r="K22" s="207"/>
    </row>
    <row r="23" spans="1:20">
      <c r="A23" s="202" t="s">
        <v>363</v>
      </c>
      <c r="B23" s="202" t="s">
        <v>503</v>
      </c>
      <c r="C23" s="203">
        <v>0.51</v>
      </c>
      <c r="D23" s="203"/>
      <c r="E23" s="203"/>
      <c r="F23" s="203"/>
      <c r="G23" s="203">
        <v>0.51</v>
      </c>
      <c r="H23" s="203"/>
      <c r="I23" s="203">
        <f t="shared" si="5"/>
        <v>0</v>
      </c>
      <c r="J23" s="206">
        <v>0</v>
      </c>
      <c r="K23" s="207"/>
    </row>
    <row r="24" spans="1:20">
      <c r="A24" s="202" t="s">
        <v>363</v>
      </c>
      <c r="B24" s="202" t="s">
        <v>504</v>
      </c>
      <c r="C24" s="203">
        <v>9.6440862999870056</v>
      </c>
      <c r="D24" s="203"/>
      <c r="E24" s="203"/>
      <c r="F24" s="203"/>
      <c r="G24" s="203"/>
      <c r="H24" s="203"/>
      <c r="I24" s="203">
        <f t="shared" si="5"/>
        <v>9.6440862999870056</v>
      </c>
      <c r="J24" s="206">
        <v>0</v>
      </c>
      <c r="K24" s="207"/>
    </row>
    <row r="25" spans="1:20">
      <c r="A25" s="202" t="s">
        <v>363</v>
      </c>
      <c r="B25" s="202" t="s">
        <v>477</v>
      </c>
      <c r="C25" s="203">
        <v>0.35</v>
      </c>
      <c r="D25" s="203"/>
      <c r="E25" s="203"/>
      <c r="F25" s="203"/>
      <c r="G25" s="203"/>
      <c r="H25" s="203"/>
      <c r="I25" s="203">
        <f t="shared" si="5"/>
        <v>0.35</v>
      </c>
      <c r="J25" s="206">
        <v>0.35</v>
      </c>
      <c r="K25" s="207" t="s">
        <v>432</v>
      </c>
    </row>
    <row r="26" spans="1:20">
      <c r="A26" s="202" t="s">
        <v>363</v>
      </c>
      <c r="B26" s="202" t="s">
        <v>478</v>
      </c>
      <c r="C26" s="203">
        <v>0.2</v>
      </c>
      <c r="D26" s="203"/>
      <c r="E26" s="203">
        <v>0.2</v>
      </c>
      <c r="F26" s="203"/>
      <c r="G26" s="203"/>
      <c r="H26" s="203"/>
      <c r="I26" s="203">
        <f t="shared" si="5"/>
        <v>0</v>
      </c>
      <c r="J26" s="206">
        <v>0</v>
      </c>
      <c r="K26" s="207"/>
    </row>
    <row r="27" spans="1:20">
      <c r="A27" s="202" t="s">
        <v>363</v>
      </c>
      <c r="B27" s="202" t="s">
        <v>487</v>
      </c>
      <c r="C27" s="203">
        <v>1.9987481720000095</v>
      </c>
      <c r="D27" s="203"/>
      <c r="E27" s="203"/>
      <c r="F27" s="203"/>
      <c r="G27" s="203"/>
      <c r="H27" s="203"/>
      <c r="I27" s="203">
        <f t="shared" si="5"/>
        <v>1.9987481720000095</v>
      </c>
      <c r="J27" s="206">
        <v>1.4587481720000095</v>
      </c>
      <c r="K27" s="207" t="s">
        <v>433</v>
      </c>
    </row>
    <row r="28" spans="1:20">
      <c r="A28" s="202" t="s">
        <v>193</v>
      </c>
      <c r="B28" s="202" t="s">
        <v>488</v>
      </c>
      <c r="C28" s="203">
        <v>3.0210092</v>
      </c>
      <c r="D28" s="203">
        <v>0</v>
      </c>
      <c r="E28" s="203">
        <v>0</v>
      </c>
      <c r="F28" s="203">
        <v>0</v>
      </c>
      <c r="G28" s="203">
        <v>0</v>
      </c>
      <c r="H28" s="203">
        <v>0</v>
      </c>
      <c r="I28" s="203">
        <f t="shared" si="5"/>
        <v>3.0210092</v>
      </c>
      <c r="J28" s="206">
        <v>2.7910092</v>
      </c>
      <c r="K28" s="207" t="s">
        <v>433</v>
      </c>
    </row>
    <row r="29" spans="1:20">
      <c r="A29" s="202" t="s">
        <v>193</v>
      </c>
      <c r="B29" s="202" t="s">
        <v>489</v>
      </c>
      <c r="C29" s="203">
        <v>36.590000000000003</v>
      </c>
      <c r="D29" s="203">
        <v>0</v>
      </c>
      <c r="E29" s="203">
        <v>0</v>
      </c>
      <c r="F29" s="203">
        <v>0</v>
      </c>
      <c r="G29" s="203">
        <v>0</v>
      </c>
      <c r="H29" s="203">
        <v>0</v>
      </c>
      <c r="I29" s="203">
        <f t="shared" si="5"/>
        <v>36.590000000000003</v>
      </c>
      <c r="J29" s="206">
        <v>13.500000000000004</v>
      </c>
      <c r="K29" s="207" t="s">
        <v>433</v>
      </c>
    </row>
    <row r="30" spans="1:20">
      <c r="A30" s="202" t="s">
        <v>193</v>
      </c>
      <c r="B30" s="202" t="s">
        <v>505</v>
      </c>
      <c r="C30" s="203">
        <v>17.464936099999999</v>
      </c>
      <c r="D30" s="203">
        <v>0</v>
      </c>
      <c r="E30" s="203">
        <v>0.92</v>
      </c>
      <c r="F30" s="203">
        <v>7.09</v>
      </c>
      <c r="G30" s="203">
        <v>8.16</v>
      </c>
      <c r="H30" s="203">
        <v>0</v>
      </c>
      <c r="I30" s="203">
        <f t="shared" si="5"/>
        <v>1.2949360999999975</v>
      </c>
      <c r="J30" s="206">
        <v>4.9360999999974453E-3</v>
      </c>
      <c r="K30" s="207" t="s">
        <v>432</v>
      </c>
    </row>
    <row r="31" spans="1:20">
      <c r="A31" s="202" t="s">
        <v>193</v>
      </c>
      <c r="B31" s="202" t="s">
        <v>207</v>
      </c>
      <c r="C31" s="203">
        <v>27.82</v>
      </c>
      <c r="D31" s="203">
        <v>0</v>
      </c>
      <c r="E31" s="203">
        <v>0</v>
      </c>
      <c r="F31" s="203">
        <v>0</v>
      </c>
      <c r="G31" s="203">
        <v>0</v>
      </c>
      <c r="H31" s="203">
        <v>27.82</v>
      </c>
      <c r="I31" s="203">
        <f t="shared" si="5"/>
        <v>0</v>
      </c>
      <c r="J31" s="206">
        <v>0</v>
      </c>
      <c r="K31" s="207"/>
    </row>
    <row r="32" spans="1:20">
      <c r="A32" s="202" t="s">
        <v>193</v>
      </c>
      <c r="B32" s="202" t="s">
        <v>211</v>
      </c>
      <c r="C32" s="203">
        <v>41.73</v>
      </c>
      <c r="D32" s="203"/>
      <c r="E32" s="203"/>
      <c r="F32" s="203"/>
      <c r="G32" s="203"/>
      <c r="H32" s="203"/>
      <c r="I32" s="203">
        <f t="shared" si="5"/>
        <v>41.73</v>
      </c>
      <c r="J32" s="206">
        <v>0</v>
      </c>
      <c r="K32" s="207"/>
    </row>
    <row r="33" spans="1:11">
      <c r="A33" s="202" t="s">
        <v>400</v>
      </c>
      <c r="B33" s="202" t="s">
        <v>490</v>
      </c>
      <c r="C33" s="203">
        <v>8.0759672415655395</v>
      </c>
      <c r="D33" s="203">
        <v>4.82</v>
      </c>
      <c r="E33" s="203">
        <v>3.2559672415655392</v>
      </c>
      <c r="F33" s="203"/>
      <c r="G33" s="203"/>
      <c r="H33" s="203"/>
      <c r="I33" s="203">
        <f t="shared" si="5"/>
        <v>0</v>
      </c>
      <c r="J33" s="206">
        <v>0</v>
      </c>
      <c r="K33" s="207"/>
    </row>
    <row r="34" spans="1:11">
      <c r="A34" s="202" t="s">
        <v>400</v>
      </c>
      <c r="B34" s="202" t="s">
        <v>506</v>
      </c>
      <c r="C34" s="203">
        <v>5.2111442874588256</v>
      </c>
      <c r="D34" s="203">
        <v>5.21</v>
      </c>
      <c r="E34" s="203"/>
      <c r="F34" s="203"/>
      <c r="G34" s="203"/>
      <c r="H34" s="203"/>
      <c r="I34" s="203">
        <f t="shared" si="5"/>
        <v>1.1442874588256657E-3</v>
      </c>
      <c r="J34" s="206">
        <v>1.1442874588256657E-3</v>
      </c>
      <c r="K34" s="207" t="s">
        <v>433</v>
      </c>
    </row>
    <row r="35" spans="1:11">
      <c r="A35" s="202" t="s">
        <v>400</v>
      </c>
      <c r="B35" s="202" t="s">
        <v>507</v>
      </c>
      <c r="C35" s="203">
        <v>1.2495274854858787</v>
      </c>
      <c r="D35" s="203">
        <v>1.2495274854858787</v>
      </c>
      <c r="E35" s="203"/>
      <c r="F35" s="203"/>
      <c r="G35" s="203"/>
      <c r="H35" s="203"/>
      <c r="I35" s="203">
        <f t="shared" si="5"/>
        <v>0</v>
      </c>
      <c r="J35" s="206">
        <v>0</v>
      </c>
      <c r="K35" s="207"/>
    </row>
    <row r="36" spans="1:11">
      <c r="A36" s="202" t="s">
        <v>400</v>
      </c>
      <c r="B36" s="202" t="s">
        <v>491</v>
      </c>
      <c r="C36" s="203">
        <v>12.75593833799687</v>
      </c>
      <c r="D36" s="203">
        <v>12.75593833799687</v>
      </c>
      <c r="E36" s="203"/>
      <c r="F36" s="203"/>
      <c r="G36" s="203"/>
      <c r="H36" s="203"/>
      <c r="I36" s="203">
        <f t="shared" si="5"/>
        <v>0</v>
      </c>
      <c r="J36" s="206">
        <v>0</v>
      </c>
      <c r="K36" s="207"/>
    </row>
    <row r="37" spans="1:11">
      <c r="A37" s="202" t="s">
        <v>400</v>
      </c>
      <c r="B37" s="202" t="s">
        <v>508</v>
      </c>
      <c r="C37" s="203">
        <v>13.924491508047774</v>
      </c>
      <c r="D37" s="203">
        <v>0.26</v>
      </c>
      <c r="E37" s="203">
        <v>0.44</v>
      </c>
      <c r="F37" s="203">
        <v>0.1</v>
      </c>
      <c r="G37" s="203"/>
      <c r="H37" s="203"/>
      <c r="I37" s="203">
        <f t="shared" si="5"/>
        <v>13.124491508047775</v>
      </c>
      <c r="J37" s="206">
        <v>4.4915080477760938E-3</v>
      </c>
      <c r="K37" s="207" t="s">
        <v>433</v>
      </c>
    </row>
    <row r="38" spans="1:11">
      <c r="A38" s="202" t="s">
        <v>400</v>
      </c>
      <c r="B38" s="202" t="s">
        <v>509</v>
      </c>
      <c r="C38" s="203">
        <v>15.71015076215839</v>
      </c>
      <c r="D38" s="203">
        <v>2.33</v>
      </c>
      <c r="E38" s="203"/>
      <c r="F38" s="203"/>
      <c r="G38" s="203"/>
      <c r="H38" s="203"/>
      <c r="I38" s="203">
        <f t="shared" si="5"/>
        <v>13.38015076215839</v>
      </c>
      <c r="J38" s="206">
        <v>1.5076215838938367E-4</v>
      </c>
      <c r="K38" s="207" t="s">
        <v>433</v>
      </c>
    </row>
    <row r="39" spans="1:11">
      <c r="A39" s="202" t="s">
        <v>400</v>
      </c>
      <c r="B39" s="202" t="s">
        <v>510</v>
      </c>
      <c r="C39" s="203">
        <v>2.9397790449999994</v>
      </c>
      <c r="D39" s="203"/>
      <c r="E39" s="203"/>
      <c r="F39" s="203"/>
      <c r="G39" s="203"/>
      <c r="H39" s="203"/>
      <c r="I39" s="203">
        <f t="shared" si="5"/>
        <v>2.9397790449999994</v>
      </c>
      <c r="J39" s="206">
        <v>0</v>
      </c>
      <c r="K39" s="207"/>
    </row>
    <row r="40" spans="1:11">
      <c r="A40" s="202" t="s">
        <v>493</v>
      </c>
      <c r="B40" s="202" t="s">
        <v>275</v>
      </c>
      <c r="C40" s="203">
        <v>29.0148593135882</v>
      </c>
      <c r="D40" s="203">
        <v>0</v>
      </c>
      <c r="E40" s="203">
        <v>0</v>
      </c>
      <c r="F40" s="203">
        <v>0</v>
      </c>
      <c r="G40" s="203">
        <v>0</v>
      </c>
      <c r="H40" s="203">
        <v>0</v>
      </c>
      <c r="I40" s="203">
        <f t="shared" si="5"/>
        <v>29.0148593135882</v>
      </c>
      <c r="J40" s="206">
        <v>7</v>
      </c>
      <c r="K40" s="207" t="s">
        <v>431</v>
      </c>
    </row>
    <row r="41" spans="1:11">
      <c r="A41" s="202" t="s">
        <v>493</v>
      </c>
      <c r="B41" s="202" t="s">
        <v>279</v>
      </c>
      <c r="C41" s="203">
        <v>7.9180067545994044</v>
      </c>
      <c r="D41" s="203">
        <v>0</v>
      </c>
      <c r="E41" s="203">
        <v>0</v>
      </c>
      <c r="F41" s="203">
        <v>0</v>
      </c>
      <c r="G41" s="203">
        <v>0</v>
      </c>
      <c r="H41" s="203">
        <v>0</v>
      </c>
      <c r="I41" s="203">
        <f t="shared" si="5"/>
        <v>7.9180067545994044</v>
      </c>
      <c r="J41" s="206">
        <v>4.2</v>
      </c>
      <c r="K41" s="207" t="s">
        <v>431</v>
      </c>
    </row>
    <row r="42" spans="1:11">
      <c r="A42" s="202" t="s">
        <v>493</v>
      </c>
      <c r="B42" s="202" t="s">
        <v>494</v>
      </c>
      <c r="C42" s="203">
        <v>15.962812779085141</v>
      </c>
      <c r="D42" s="203">
        <v>0</v>
      </c>
      <c r="E42" s="203">
        <v>0</v>
      </c>
      <c r="F42" s="203">
        <v>0</v>
      </c>
      <c r="G42" s="203">
        <v>2.8</v>
      </c>
      <c r="H42" s="203">
        <v>0</v>
      </c>
      <c r="I42" s="203">
        <f t="shared" si="5"/>
        <v>13.16281277908514</v>
      </c>
      <c r="J42" s="206">
        <v>3.8000000000000007</v>
      </c>
      <c r="K42" s="207" t="s">
        <v>431</v>
      </c>
    </row>
    <row r="43" spans="1:11">
      <c r="A43" s="202" t="s">
        <v>493</v>
      </c>
      <c r="B43" s="202" t="s">
        <v>511</v>
      </c>
      <c r="C43" s="203">
        <v>1.57634E-2</v>
      </c>
      <c r="D43" s="203">
        <v>0</v>
      </c>
      <c r="E43" s="203">
        <v>0</v>
      </c>
      <c r="F43" s="203">
        <v>0</v>
      </c>
      <c r="G43" s="203">
        <v>0</v>
      </c>
      <c r="H43" s="203">
        <v>0</v>
      </c>
      <c r="I43" s="203">
        <f t="shared" si="5"/>
        <v>1.57634E-2</v>
      </c>
      <c r="J43" s="206">
        <v>0</v>
      </c>
      <c r="K43" s="207"/>
    </row>
    <row r="44" spans="1:11">
      <c r="A44" s="202" t="s">
        <v>493</v>
      </c>
      <c r="B44" s="202" t="s">
        <v>512</v>
      </c>
      <c r="C44" s="203">
        <v>7.53</v>
      </c>
      <c r="D44" s="203">
        <v>0</v>
      </c>
      <c r="E44" s="203">
        <v>7.53</v>
      </c>
      <c r="F44" s="203">
        <v>0</v>
      </c>
      <c r="G44" s="203">
        <v>0</v>
      </c>
      <c r="H44" s="203">
        <v>0</v>
      </c>
      <c r="I44" s="203">
        <f t="shared" si="5"/>
        <v>0</v>
      </c>
      <c r="J44" s="206">
        <v>0</v>
      </c>
      <c r="K44" s="207"/>
    </row>
    <row r="45" spans="1:11">
      <c r="A45" s="202" t="s">
        <v>496</v>
      </c>
      <c r="B45" s="202" t="s">
        <v>497</v>
      </c>
      <c r="C45" s="203">
        <v>0.77124550000000003</v>
      </c>
      <c r="D45" s="203"/>
      <c r="E45" s="203"/>
      <c r="F45" s="203"/>
      <c r="G45" s="203"/>
      <c r="H45" s="203"/>
      <c r="I45" s="203">
        <f t="shared" si="5"/>
        <v>0.77124550000000003</v>
      </c>
      <c r="J45" s="206">
        <v>0.20124549999999997</v>
      </c>
      <c r="K45" s="207" t="s">
        <v>433</v>
      </c>
    </row>
    <row r="46" spans="1:11">
      <c r="A46" s="202" t="s">
        <v>239</v>
      </c>
      <c r="B46" s="202" t="s">
        <v>513</v>
      </c>
      <c r="C46" s="203">
        <v>6.59</v>
      </c>
      <c r="D46" s="203"/>
      <c r="E46" s="203"/>
      <c r="F46" s="203"/>
      <c r="G46" s="203"/>
      <c r="H46" s="203"/>
      <c r="I46" s="203">
        <f t="shared" si="5"/>
        <v>6.59</v>
      </c>
      <c r="J46" s="206">
        <v>0</v>
      </c>
      <c r="K46" s="207"/>
    </row>
    <row r="47" spans="1:11">
      <c r="A47" s="202" t="s">
        <v>239</v>
      </c>
      <c r="B47" s="202" t="s">
        <v>514</v>
      </c>
      <c r="C47" s="203">
        <v>15.645906867752311</v>
      </c>
      <c r="D47" s="203"/>
      <c r="E47" s="203">
        <f>22.2-8.42</f>
        <v>13.78</v>
      </c>
      <c r="F47" s="203">
        <v>1.8659068677523116</v>
      </c>
      <c r="G47" s="203"/>
      <c r="H47" s="203"/>
      <c r="I47" s="203">
        <f t="shared" si="5"/>
        <v>0</v>
      </c>
      <c r="J47" s="206">
        <v>0</v>
      </c>
      <c r="K47" s="207"/>
    </row>
    <row r="48" spans="1:11">
      <c r="A48" s="202" t="s">
        <v>239</v>
      </c>
      <c r="B48" s="202" t="s">
        <v>515</v>
      </c>
      <c r="C48" s="203">
        <v>6.28</v>
      </c>
      <c r="D48" s="203">
        <v>6.28</v>
      </c>
      <c r="E48" s="203"/>
      <c r="F48" s="203"/>
      <c r="G48" s="203"/>
      <c r="H48" s="203"/>
      <c r="I48" s="203">
        <f t="shared" si="5"/>
        <v>0</v>
      </c>
      <c r="J48" s="206">
        <v>0</v>
      </c>
      <c r="K48" s="207"/>
    </row>
    <row r="49" spans="1:11">
      <c r="A49" s="202" t="s">
        <v>239</v>
      </c>
      <c r="B49" s="202" t="s">
        <v>516</v>
      </c>
      <c r="C49" s="203">
        <v>3.82</v>
      </c>
      <c r="D49" s="203"/>
      <c r="E49" s="203">
        <f>2.7-0.81</f>
        <v>1.8900000000000001</v>
      </c>
      <c r="F49" s="203">
        <v>1.63</v>
      </c>
      <c r="G49" s="203"/>
      <c r="H49" s="203">
        <v>0.28999999999999998</v>
      </c>
      <c r="I49" s="203">
        <f t="shared" si="5"/>
        <v>9.9999999999998423E-3</v>
      </c>
      <c r="J49" s="206">
        <v>9.9999999999998423E-3</v>
      </c>
      <c r="K49" s="207" t="s">
        <v>432</v>
      </c>
    </row>
    <row r="50" spans="1:11">
      <c r="A50" s="202" t="s">
        <v>239</v>
      </c>
      <c r="B50" s="202" t="s">
        <v>517</v>
      </c>
      <c r="C50" s="203">
        <v>1</v>
      </c>
      <c r="D50" s="203"/>
      <c r="E50" s="203"/>
      <c r="F50" s="203"/>
      <c r="G50" s="203"/>
      <c r="H50" s="203"/>
      <c r="I50" s="203">
        <f t="shared" si="5"/>
        <v>1</v>
      </c>
      <c r="J50" s="206">
        <v>0</v>
      </c>
      <c r="K50" s="207"/>
    </row>
    <row r="51" spans="1:11">
      <c r="A51" s="202" t="s">
        <v>239</v>
      </c>
      <c r="B51" s="202" t="s">
        <v>492</v>
      </c>
      <c r="C51" s="203">
        <f>17.95-7.58</f>
        <v>10.37</v>
      </c>
      <c r="D51" s="203">
        <v>2.11</v>
      </c>
      <c r="E51" s="203"/>
      <c r="F51" s="203"/>
      <c r="G51" s="203"/>
      <c r="H51" s="203"/>
      <c r="I51" s="203">
        <f t="shared" si="5"/>
        <v>8.26</v>
      </c>
      <c r="J51" s="206">
        <v>0</v>
      </c>
      <c r="K51" s="207"/>
    </row>
    <row r="52" spans="1:11">
      <c r="A52" s="202" t="s">
        <v>239</v>
      </c>
      <c r="B52" s="202" t="s">
        <v>518</v>
      </c>
      <c r="C52" s="203">
        <v>1.9311898140000001</v>
      </c>
      <c r="D52" s="203"/>
      <c r="E52" s="203"/>
      <c r="F52" s="203"/>
      <c r="G52" s="203"/>
      <c r="H52" s="203"/>
      <c r="I52" s="203">
        <f t="shared" si="5"/>
        <v>1.9311898140000001</v>
      </c>
      <c r="J52" s="206">
        <v>0</v>
      </c>
      <c r="K52" s="207"/>
    </row>
    <row r="53" spans="1:11">
      <c r="A53" s="202" t="s">
        <v>239</v>
      </c>
      <c r="B53" s="202" t="s">
        <v>240</v>
      </c>
      <c r="C53" s="203">
        <v>1.0711547996311701</v>
      </c>
      <c r="D53" s="203"/>
      <c r="E53" s="203"/>
      <c r="F53" s="203"/>
      <c r="G53" s="203"/>
      <c r="H53" s="203"/>
      <c r="I53" s="203">
        <f t="shared" si="5"/>
        <v>1.0711547996311701</v>
      </c>
      <c r="J53" s="206">
        <v>0</v>
      </c>
      <c r="K53" s="207"/>
    </row>
    <row r="54" spans="1:11">
      <c r="A54" s="202" t="s">
        <v>239</v>
      </c>
      <c r="B54" s="202" t="s">
        <v>519</v>
      </c>
      <c r="C54" s="203">
        <v>1.0368955653203711</v>
      </c>
      <c r="D54" s="203">
        <v>1.0368955653203711</v>
      </c>
      <c r="E54" s="203"/>
      <c r="F54" s="203"/>
      <c r="G54" s="203"/>
      <c r="H54" s="203"/>
      <c r="I54" s="203">
        <f t="shared" si="5"/>
        <v>0</v>
      </c>
      <c r="J54" s="206">
        <v>0</v>
      </c>
      <c r="K54" s="207"/>
    </row>
    <row r="55" spans="1:11">
      <c r="A55" s="202" t="s">
        <v>239</v>
      </c>
      <c r="B55" s="202" t="s">
        <v>520</v>
      </c>
      <c r="C55" s="203">
        <v>0.9</v>
      </c>
      <c r="D55" s="203"/>
      <c r="E55" s="203"/>
      <c r="F55" s="203"/>
      <c r="G55" s="203"/>
      <c r="H55" s="203"/>
      <c r="I55" s="203">
        <f t="shared" si="5"/>
        <v>0.9</v>
      </c>
      <c r="J55" s="206">
        <v>0</v>
      </c>
      <c r="K55" s="207"/>
    </row>
    <row r="56" spans="1:11">
      <c r="A56" s="202" t="s">
        <v>239</v>
      </c>
      <c r="B56" s="202" t="s">
        <v>499</v>
      </c>
      <c r="C56" s="203">
        <v>5.8170000000000002</v>
      </c>
      <c r="D56" s="203"/>
      <c r="E56" s="203"/>
      <c r="F56" s="203"/>
      <c r="G56" s="203"/>
      <c r="H56" s="203"/>
      <c r="I56" s="203">
        <f t="shared" si="5"/>
        <v>5.8170000000000002</v>
      </c>
      <c r="J56" s="206">
        <v>0.38700000000000045</v>
      </c>
      <c r="K56" s="207" t="s">
        <v>433</v>
      </c>
    </row>
    <row r="57" spans="1:11">
      <c r="A57" s="202" t="s">
        <v>239</v>
      </c>
      <c r="B57" s="202" t="s">
        <v>500</v>
      </c>
      <c r="C57" s="203">
        <v>7.99</v>
      </c>
      <c r="D57" s="203"/>
      <c r="E57" s="203"/>
      <c r="F57" s="203"/>
      <c r="G57" s="203"/>
      <c r="H57" s="203"/>
      <c r="I57" s="203">
        <f t="shared" si="5"/>
        <v>7.99</v>
      </c>
      <c r="J57" s="206">
        <v>0</v>
      </c>
      <c r="K57" s="207"/>
    </row>
  </sheetData>
  <mergeCells count="5">
    <mergeCell ref="B8:M8"/>
    <mergeCell ref="B9:M9"/>
    <mergeCell ref="B5:M5"/>
    <mergeCell ref="B2:M2"/>
    <mergeCell ref="B3:M3"/>
  </mergeCells>
  <hyperlinks>
    <hyperlink ref="C12" r:id="rId1" display="=@subtotal(9,D4:D40)"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2060"/>
  </sheetPr>
  <dimension ref="B2:T173"/>
  <sheetViews>
    <sheetView topLeftCell="A4" workbookViewId="0">
      <selection activeCell="M6" sqref="M6"/>
    </sheetView>
  </sheetViews>
  <sheetFormatPr defaultRowHeight="14.4"/>
  <cols>
    <col min="2" max="2" width="8.44140625" customWidth="1"/>
    <col min="3" max="3" width="17.33203125" customWidth="1"/>
    <col min="4" max="4" width="13.109375" customWidth="1"/>
    <col min="5" max="5" width="8.109375" customWidth="1"/>
    <col min="6" max="6" width="8.6640625" customWidth="1"/>
    <col min="7" max="7" width="8.44140625" customWidth="1"/>
    <col min="8" max="8" width="9.5546875" bestFit="1" customWidth="1"/>
    <col min="9" max="10" width="9" bestFit="1" customWidth="1"/>
    <col min="11" max="11" width="13.109375" customWidth="1"/>
    <col min="12" max="12" width="10.5546875" customWidth="1"/>
    <col min="13" max="13" width="73.5546875" customWidth="1"/>
    <col min="14" max="14" width="13.44140625" customWidth="1"/>
  </cols>
  <sheetData>
    <row r="2" spans="2:20" ht="14.4" customHeight="1">
      <c r="B2" s="348" t="s">
        <v>657</v>
      </c>
      <c r="C2" s="349"/>
      <c r="D2" s="349"/>
      <c r="E2" s="349"/>
      <c r="F2" s="349"/>
      <c r="G2" s="349"/>
      <c r="H2" s="349"/>
      <c r="I2" s="349"/>
      <c r="J2" s="349"/>
      <c r="K2" s="349"/>
      <c r="L2" s="349"/>
      <c r="M2" s="350"/>
    </row>
    <row r="3" spans="2:20" ht="14.4" customHeight="1">
      <c r="B3" s="351" t="s">
        <v>156</v>
      </c>
      <c r="C3" s="352"/>
      <c r="D3" s="352"/>
      <c r="E3" s="352"/>
      <c r="F3" s="352"/>
      <c r="G3" s="352"/>
      <c r="H3" s="352"/>
      <c r="I3" s="352"/>
      <c r="J3" s="352"/>
      <c r="K3" s="352"/>
      <c r="L3" s="352"/>
      <c r="M3" s="353"/>
    </row>
    <row r="4" spans="2:20" ht="60">
      <c r="B4" s="24" t="s">
        <v>0</v>
      </c>
      <c r="C4" s="24" t="s">
        <v>70</v>
      </c>
      <c r="D4" s="33" t="s">
        <v>65</v>
      </c>
      <c r="E4" s="24" t="s">
        <v>458</v>
      </c>
      <c r="F4" s="24" t="s">
        <v>459</v>
      </c>
      <c r="G4" s="24" t="s">
        <v>460</v>
      </c>
      <c r="H4" s="24" t="s">
        <v>461</v>
      </c>
      <c r="I4" s="24" t="s">
        <v>462</v>
      </c>
      <c r="J4" s="24" t="s">
        <v>501</v>
      </c>
      <c r="K4" s="24" t="s">
        <v>464</v>
      </c>
      <c r="L4" s="24" t="s">
        <v>654</v>
      </c>
      <c r="M4" s="24" t="s">
        <v>22</v>
      </c>
    </row>
    <row r="5" spans="2:20" ht="14.4" customHeight="1">
      <c r="B5" s="351" t="s">
        <v>94</v>
      </c>
      <c r="C5" s="352"/>
      <c r="D5" s="352"/>
      <c r="E5" s="352"/>
      <c r="F5" s="352"/>
      <c r="G5" s="352"/>
      <c r="H5" s="352"/>
      <c r="I5" s="352"/>
      <c r="J5" s="352"/>
      <c r="K5" s="352"/>
      <c r="L5" s="352"/>
      <c r="M5" s="353"/>
    </row>
    <row r="6" spans="2:20" ht="228">
      <c r="B6" s="37">
        <v>1</v>
      </c>
      <c r="C6" s="43" t="s">
        <v>126</v>
      </c>
      <c r="D6" s="44">
        <f>224.56+260.62</f>
        <v>485.18</v>
      </c>
      <c r="E6" s="44">
        <f t="shared" ref="E6:J6" si="0">F15</f>
        <v>68.890702599999997</v>
      </c>
      <c r="F6" s="44">
        <f t="shared" si="0"/>
        <v>70.625512523000012</v>
      </c>
      <c r="G6" s="44">
        <f t="shared" si="0"/>
        <v>41.382053080000006</v>
      </c>
      <c r="H6" s="44">
        <f t="shared" si="0"/>
        <v>21.47</v>
      </c>
      <c r="I6" s="44">
        <f t="shared" si="0"/>
        <v>5.0966536999999974</v>
      </c>
      <c r="J6" s="44">
        <f t="shared" si="0"/>
        <v>277.71403418175441</v>
      </c>
      <c r="K6" s="44">
        <f>O23</f>
        <v>233.40788922954471</v>
      </c>
      <c r="L6" s="44">
        <f>O24</f>
        <v>111.08067567965</v>
      </c>
      <c r="M6" s="88" t="s">
        <v>668</v>
      </c>
      <c r="O6" s="39">
        <v>0.3</v>
      </c>
    </row>
    <row r="7" spans="2:20">
      <c r="B7" s="34"/>
      <c r="C7" s="32" t="s">
        <v>23</v>
      </c>
      <c r="D7" s="45">
        <f t="shared" ref="D7:L7" si="1">SUM(D6:D6)</f>
        <v>485.18</v>
      </c>
      <c r="E7" s="45">
        <f t="shared" si="1"/>
        <v>68.890702599999997</v>
      </c>
      <c r="F7" s="45">
        <f t="shared" si="1"/>
        <v>70.625512523000012</v>
      </c>
      <c r="G7" s="45">
        <f t="shared" si="1"/>
        <v>41.382053080000006</v>
      </c>
      <c r="H7" s="45">
        <f t="shared" si="1"/>
        <v>21.47</v>
      </c>
      <c r="I7" s="45">
        <f t="shared" si="1"/>
        <v>5.0966536999999974</v>
      </c>
      <c r="J7" s="45">
        <f t="shared" si="1"/>
        <v>277.71403418175441</v>
      </c>
      <c r="K7" s="45">
        <f t="shared" si="1"/>
        <v>233.40788922954471</v>
      </c>
      <c r="L7" s="45">
        <f t="shared" si="1"/>
        <v>111.08067567965</v>
      </c>
      <c r="M7" s="34"/>
    </row>
    <row r="8" spans="2:20" ht="14.4" customHeight="1">
      <c r="B8" s="191" t="s">
        <v>20</v>
      </c>
      <c r="C8" s="192"/>
      <c r="D8" s="192"/>
      <c r="E8" s="192"/>
      <c r="F8" s="192"/>
      <c r="G8" s="193"/>
      <c r="H8" s="191"/>
      <c r="I8" s="192"/>
      <c r="J8" s="192"/>
      <c r="K8" s="192"/>
      <c r="L8" s="192"/>
      <c r="M8" s="193"/>
    </row>
    <row r="9" spans="2:20" ht="94.2" customHeight="1">
      <c r="B9" s="377" t="s">
        <v>677</v>
      </c>
      <c r="C9" s="378"/>
      <c r="D9" s="378"/>
      <c r="E9" s="378"/>
      <c r="F9" s="378"/>
      <c r="G9" s="378"/>
      <c r="H9" s="378"/>
      <c r="I9" s="378"/>
      <c r="J9" s="378"/>
      <c r="K9" s="378"/>
      <c r="L9" s="378"/>
      <c r="M9" s="378"/>
    </row>
    <row r="15" spans="2:20">
      <c r="B15" s="268"/>
      <c r="C15" s="268"/>
      <c r="D15" s="268"/>
      <c r="E15" s="269">
        <f>SUBTOTAL(9,E18:E173)</f>
        <v>485.1789560847543</v>
      </c>
      <c r="F15" s="269">
        <f t="shared" ref="F15:K15" si="2">SUBTOTAL(9,F18:F173)</f>
        <v>68.890702599999997</v>
      </c>
      <c r="G15" s="269">
        <f t="shared" si="2"/>
        <v>70.625512523000012</v>
      </c>
      <c r="H15" s="269">
        <f t="shared" si="2"/>
        <v>41.382053080000006</v>
      </c>
      <c r="I15" s="269">
        <f t="shared" si="2"/>
        <v>21.47</v>
      </c>
      <c r="J15" s="269">
        <f t="shared" si="2"/>
        <v>5.0966536999999974</v>
      </c>
      <c r="K15" s="269">
        <f t="shared" si="2"/>
        <v>277.71403418175441</v>
      </c>
      <c r="L15" s="190">
        <f t="shared" ref="L15" si="3">SUBTOTAL(9,L18:L173)</f>
        <v>263.5475952187544</v>
      </c>
    </row>
    <row r="16" spans="2:20" ht="14.4" customHeight="1">
      <c r="B16" s="379" t="s">
        <v>186</v>
      </c>
      <c r="C16" s="379" t="s">
        <v>187</v>
      </c>
      <c r="D16" s="379" t="s">
        <v>188</v>
      </c>
      <c r="E16" s="271" t="s">
        <v>184</v>
      </c>
      <c r="F16" s="380" t="s">
        <v>421</v>
      </c>
      <c r="G16" s="380"/>
      <c r="H16" s="380"/>
      <c r="I16" s="380"/>
      <c r="J16" s="380"/>
      <c r="K16" s="379" t="s">
        <v>481</v>
      </c>
      <c r="L16" s="375" t="s">
        <v>422</v>
      </c>
      <c r="N16" s="162" t="s">
        <v>436</v>
      </c>
      <c r="O16" s="119">
        <v>1</v>
      </c>
      <c r="P16" s="119">
        <f>O16+1</f>
        <v>2</v>
      </c>
      <c r="Q16" s="119">
        <f t="shared" ref="Q16:T16" si="4">P16+1</f>
        <v>3</v>
      </c>
      <c r="R16" s="119">
        <f t="shared" si="4"/>
        <v>4</v>
      </c>
      <c r="S16" s="119">
        <f t="shared" si="4"/>
        <v>5</v>
      </c>
      <c r="T16" s="119">
        <f t="shared" si="4"/>
        <v>6</v>
      </c>
    </row>
    <row r="17" spans="2:20" ht="26.4" customHeight="1">
      <c r="B17" s="379"/>
      <c r="C17" s="379"/>
      <c r="D17" s="379"/>
      <c r="E17" s="270" t="s">
        <v>480</v>
      </c>
      <c r="F17" s="270" t="s">
        <v>426</v>
      </c>
      <c r="G17" s="270" t="s">
        <v>427</v>
      </c>
      <c r="H17" s="270" t="s">
        <v>428</v>
      </c>
      <c r="I17" s="270" t="s">
        <v>429</v>
      </c>
      <c r="J17" s="270" t="s">
        <v>430</v>
      </c>
      <c r="K17" s="379"/>
      <c r="L17" s="376"/>
      <c r="N17" s="163" t="s">
        <v>437</v>
      </c>
      <c r="O17" s="164">
        <f>E15</f>
        <v>485.1789560847543</v>
      </c>
      <c r="P17" s="165"/>
      <c r="Q17" s="165"/>
      <c r="R17" s="165"/>
      <c r="S17" s="165"/>
      <c r="T17" s="116"/>
    </row>
    <row r="18" spans="2:20">
      <c r="B18" s="272" t="s">
        <v>193</v>
      </c>
      <c r="C18" s="272" t="s">
        <v>194</v>
      </c>
      <c r="D18" s="273" t="s">
        <v>195</v>
      </c>
      <c r="E18" s="274">
        <v>3.4437063999999999</v>
      </c>
      <c r="F18" s="274">
        <v>0</v>
      </c>
      <c r="G18" s="274">
        <v>2.7437063999999998</v>
      </c>
      <c r="H18" s="274">
        <v>0</v>
      </c>
      <c r="I18" s="274">
        <v>0</v>
      </c>
      <c r="J18" s="274">
        <v>0</v>
      </c>
      <c r="K18" s="274">
        <f>E18-F18-G18-H18-I18-J18</f>
        <v>0.70000000000000018</v>
      </c>
      <c r="L18" s="267">
        <v>0</v>
      </c>
      <c r="N18" s="163" t="s">
        <v>438</v>
      </c>
      <c r="O18" s="164">
        <f t="shared" ref="O18:T18" si="5">F15</f>
        <v>68.890702599999997</v>
      </c>
      <c r="P18" s="164">
        <f t="shared" si="5"/>
        <v>70.625512523000012</v>
      </c>
      <c r="Q18" s="164">
        <f t="shared" si="5"/>
        <v>41.382053080000006</v>
      </c>
      <c r="R18" s="164">
        <f t="shared" si="5"/>
        <v>21.47</v>
      </c>
      <c r="S18" s="164">
        <f t="shared" si="5"/>
        <v>5.0966536999999974</v>
      </c>
      <c r="T18" s="164">
        <f t="shared" si="5"/>
        <v>277.71403418175441</v>
      </c>
    </row>
    <row r="19" spans="2:20">
      <c r="B19" s="272" t="s">
        <v>193</v>
      </c>
      <c r="C19" s="272" t="s">
        <v>196</v>
      </c>
      <c r="D19" s="273" t="s">
        <v>197</v>
      </c>
      <c r="E19" s="274">
        <v>1.5178215000000002</v>
      </c>
      <c r="F19" s="274">
        <v>0</v>
      </c>
      <c r="G19" s="274">
        <v>0</v>
      </c>
      <c r="H19" s="274">
        <v>0</v>
      </c>
      <c r="I19" s="274">
        <v>0</v>
      </c>
      <c r="J19" s="274">
        <v>0</v>
      </c>
      <c r="K19" s="274">
        <f t="shared" ref="K19:K82" si="6">E19-F19-G19-H19-I19-J19</f>
        <v>1.5178215000000002</v>
      </c>
      <c r="L19" s="267">
        <v>1.0678215000000002</v>
      </c>
      <c r="N19" s="163" t="s">
        <v>439</v>
      </c>
      <c r="O19" s="165">
        <v>1</v>
      </c>
      <c r="P19" s="165">
        <f>O19+1</f>
        <v>2</v>
      </c>
      <c r="Q19" s="165">
        <f t="shared" ref="Q19:T19" si="7">P19+1</f>
        <v>3</v>
      </c>
      <c r="R19" s="165">
        <f t="shared" si="7"/>
        <v>4</v>
      </c>
      <c r="S19" s="165">
        <f t="shared" si="7"/>
        <v>5</v>
      </c>
      <c r="T19" s="165">
        <f t="shared" si="7"/>
        <v>6</v>
      </c>
    </row>
    <row r="20" spans="2:20" ht="24">
      <c r="B20" s="272" t="s">
        <v>193</v>
      </c>
      <c r="C20" s="272" t="s">
        <v>198</v>
      </c>
      <c r="D20" s="273" t="s">
        <v>199</v>
      </c>
      <c r="E20" s="274">
        <v>0</v>
      </c>
      <c r="F20" s="274">
        <v>0</v>
      </c>
      <c r="G20" s="274">
        <v>0</v>
      </c>
      <c r="H20" s="274">
        <v>0</v>
      </c>
      <c r="I20" s="274">
        <v>0</v>
      </c>
      <c r="J20" s="274">
        <v>0</v>
      </c>
      <c r="K20" s="274">
        <f t="shared" si="6"/>
        <v>0</v>
      </c>
      <c r="L20" s="267">
        <v>0</v>
      </c>
      <c r="N20" s="163" t="s">
        <v>153</v>
      </c>
      <c r="O20" s="166">
        <f>1/(1+$O$21)^O19</f>
        <v>0.85470085470085477</v>
      </c>
      <c r="P20" s="166">
        <f t="shared" ref="P20:S20" si="8">1/(1+$O$21)^P19</f>
        <v>0.73051355102637161</v>
      </c>
      <c r="Q20" s="166">
        <f t="shared" si="8"/>
        <v>0.62437055643279626</v>
      </c>
      <c r="R20" s="166">
        <f t="shared" si="8"/>
        <v>0.53365004823315931</v>
      </c>
      <c r="S20" s="166">
        <f t="shared" si="8"/>
        <v>0.45611115233603361</v>
      </c>
      <c r="T20" s="275">
        <v>0.3</v>
      </c>
    </row>
    <row r="21" spans="2:20" ht="36">
      <c r="B21" s="272" t="s">
        <v>193</v>
      </c>
      <c r="C21" s="272" t="s">
        <v>200</v>
      </c>
      <c r="D21" s="273" t="s">
        <v>201</v>
      </c>
      <c r="E21" s="274">
        <v>0</v>
      </c>
      <c r="F21" s="274">
        <v>0</v>
      </c>
      <c r="G21" s="274">
        <v>0</v>
      </c>
      <c r="H21" s="274">
        <v>0</v>
      </c>
      <c r="I21" s="274">
        <v>0</v>
      </c>
      <c r="J21" s="274">
        <v>0</v>
      </c>
      <c r="K21" s="274">
        <f t="shared" si="6"/>
        <v>0</v>
      </c>
      <c r="L21" s="267">
        <v>0</v>
      </c>
      <c r="N21" s="163" t="s">
        <v>440</v>
      </c>
      <c r="O21" s="167">
        <v>0.17</v>
      </c>
      <c r="P21" s="165"/>
      <c r="Q21" s="165"/>
      <c r="R21" s="165"/>
      <c r="S21" s="165"/>
      <c r="T21" s="116"/>
    </row>
    <row r="22" spans="2:20" ht="24">
      <c r="B22" s="272" t="s">
        <v>193</v>
      </c>
      <c r="C22" s="272" t="s">
        <v>202</v>
      </c>
      <c r="D22" s="273" t="s">
        <v>203</v>
      </c>
      <c r="E22" s="274">
        <v>4.2326460150000003</v>
      </c>
      <c r="F22" s="274">
        <v>0</v>
      </c>
      <c r="G22" s="274">
        <v>3.78</v>
      </c>
      <c r="H22" s="274">
        <v>0</v>
      </c>
      <c r="I22" s="274">
        <v>0.25</v>
      </c>
      <c r="J22" s="274">
        <v>0</v>
      </c>
      <c r="K22" s="274">
        <f t="shared" si="6"/>
        <v>0.20264601500000046</v>
      </c>
      <c r="L22" s="267">
        <v>0.20264601500000046</v>
      </c>
      <c r="N22" s="163" t="s">
        <v>441</v>
      </c>
      <c r="O22" s="164">
        <f>O18*O20</f>
        <v>58.880942393162393</v>
      </c>
      <c r="P22" s="164">
        <f t="shared" ref="P22:S22" si="9">P18*P20</f>
        <v>51.592893946234213</v>
      </c>
      <c r="Q22" s="164">
        <f t="shared" si="9"/>
        <v>25.837735507891114</v>
      </c>
      <c r="R22" s="164">
        <f t="shared" si="9"/>
        <v>11.45746653556593</v>
      </c>
      <c r="S22" s="164">
        <f t="shared" si="9"/>
        <v>2.324640592164708</v>
      </c>
      <c r="T22" s="164">
        <f>T18*T20</f>
        <v>83.314210254526316</v>
      </c>
    </row>
    <row r="23" spans="2:20" ht="28.8">
      <c r="B23" s="272" t="s">
        <v>193</v>
      </c>
      <c r="C23" s="272" t="s">
        <v>204</v>
      </c>
      <c r="D23" s="273" t="s">
        <v>205</v>
      </c>
      <c r="E23" s="274">
        <v>0.40070805399999998</v>
      </c>
      <c r="F23" s="274">
        <v>0</v>
      </c>
      <c r="G23" s="274">
        <v>0</v>
      </c>
      <c r="H23" s="274">
        <v>0</v>
      </c>
      <c r="I23" s="274">
        <v>0</v>
      </c>
      <c r="J23" s="274">
        <v>0</v>
      </c>
      <c r="K23" s="274">
        <f t="shared" si="6"/>
        <v>0.40070805399999998</v>
      </c>
      <c r="L23" s="267">
        <v>0.40070805399999998</v>
      </c>
      <c r="N23" s="168" t="s">
        <v>442</v>
      </c>
      <c r="O23" s="169">
        <f>SUM(O22:U22)</f>
        <v>233.40788922954471</v>
      </c>
      <c r="P23" s="162"/>
      <c r="Q23" s="162"/>
      <c r="R23" s="162"/>
      <c r="S23" s="170"/>
      <c r="T23" s="170"/>
    </row>
    <row r="24" spans="2:20" ht="36">
      <c r="B24" s="272" t="s">
        <v>193</v>
      </c>
      <c r="C24" s="272" t="s">
        <v>206</v>
      </c>
      <c r="D24" s="273" t="s">
        <v>201</v>
      </c>
      <c r="E24" s="274">
        <v>0</v>
      </c>
      <c r="F24" s="274">
        <v>0</v>
      </c>
      <c r="G24" s="274">
        <v>0</v>
      </c>
      <c r="H24" s="274">
        <v>0</v>
      </c>
      <c r="I24" s="274">
        <v>0</v>
      </c>
      <c r="J24" s="274">
        <v>0</v>
      </c>
      <c r="K24" s="274">
        <f t="shared" si="6"/>
        <v>0</v>
      </c>
      <c r="L24" s="267">
        <v>0</v>
      </c>
      <c r="N24" s="276" t="s">
        <v>465</v>
      </c>
      <c r="O24" s="159">
        <f>(O18*70%)+(P18*55%)+(Q18*40%)+(R18*30%)+(S18*20%)</f>
        <v>111.08067567965</v>
      </c>
    </row>
    <row r="25" spans="2:20" ht="24">
      <c r="B25" s="272" t="s">
        <v>193</v>
      </c>
      <c r="C25" s="272" t="s">
        <v>207</v>
      </c>
      <c r="D25" s="273" t="s">
        <v>208</v>
      </c>
      <c r="E25" s="274">
        <v>0</v>
      </c>
      <c r="F25" s="274">
        <v>0</v>
      </c>
      <c r="G25" s="274">
        <v>0</v>
      </c>
      <c r="H25" s="274">
        <v>0</v>
      </c>
      <c r="I25" s="274">
        <v>0</v>
      </c>
      <c r="J25" s="274">
        <v>0</v>
      </c>
      <c r="K25" s="274">
        <f t="shared" si="6"/>
        <v>0</v>
      </c>
      <c r="L25" s="267">
        <v>0</v>
      </c>
    </row>
    <row r="26" spans="2:20">
      <c r="B26" s="272" t="s">
        <v>193</v>
      </c>
      <c r="C26" s="272" t="s">
        <v>209</v>
      </c>
      <c r="D26" s="273" t="s">
        <v>210</v>
      </c>
      <c r="E26" s="274">
        <v>0</v>
      </c>
      <c r="F26" s="274">
        <v>0</v>
      </c>
      <c r="G26" s="274">
        <v>0</v>
      </c>
      <c r="H26" s="274">
        <v>0</v>
      </c>
      <c r="I26" s="274">
        <v>0</v>
      </c>
      <c r="J26" s="274">
        <v>0</v>
      </c>
      <c r="K26" s="274">
        <f t="shared" si="6"/>
        <v>0</v>
      </c>
      <c r="L26" s="267">
        <v>0</v>
      </c>
    </row>
    <row r="27" spans="2:20" ht="72">
      <c r="B27" s="272" t="s">
        <v>193</v>
      </c>
      <c r="C27" s="272" t="s">
        <v>211</v>
      </c>
      <c r="D27" s="273" t="s">
        <v>212</v>
      </c>
      <c r="E27" s="274">
        <v>0</v>
      </c>
      <c r="F27" s="274">
        <v>0</v>
      </c>
      <c r="G27" s="274">
        <v>0</v>
      </c>
      <c r="H27" s="274">
        <v>0</v>
      </c>
      <c r="I27" s="274">
        <v>0</v>
      </c>
      <c r="J27" s="274">
        <v>0</v>
      </c>
      <c r="K27" s="274">
        <f t="shared" si="6"/>
        <v>0</v>
      </c>
      <c r="L27" s="267">
        <v>0</v>
      </c>
    </row>
    <row r="28" spans="2:20" ht="36">
      <c r="B28" s="272" t="s">
        <v>213</v>
      </c>
      <c r="C28" s="272" t="s">
        <v>214</v>
      </c>
      <c r="D28" s="273" t="s">
        <v>215</v>
      </c>
      <c r="E28" s="274">
        <v>0</v>
      </c>
      <c r="F28" s="274">
        <v>0</v>
      </c>
      <c r="G28" s="274">
        <v>0</v>
      </c>
      <c r="H28" s="274">
        <v>0</v>
      </c>
      <c r="I28" s="274">
        <v>0</v>
      </c>
      <c r="J28" s="274">
        <v>0</v>
      </c>
      <c r="K28" s="274">
        <f t="shared" si="6"/>
        <v>0</v>
      </c>
      <c r="L28" s="267">
        <v>0</v>
      </c>
    </row>
    <row r="29" spans="2:20" ht="36">
      <c r="B29" s="272" t="s">
        <v>213</v>
      </c>
      <c r="C29" s="272" t="s">
        <v>216</v>
      </c>
      <c r="D29" s="273" t="s">
        <v>217</v>
      </c>
      <c r="E29" s="274">
        <v>0</v>
      </c>
      <c r="F29" s="274">
        <v>0</v>
      </c>
      <c r="G29" s="274">
        <v>0</v>
      </c>
      <c r="H29" s="274">
        <v>0</v>
      </c>
      <c r="I29" s="274">
        <v>0</v>
      </c>
      <c r="J29" s="274">
        <v>0</v>
      </c>
      <c r="K29" s="274">
        <f t="shared" si="6"/>
        <v>0</v>
      </c>
      <c r="L29" s="267">
        <v>0</v>
      </c>
    </row>
    <row r="30" spans="2:20">
      <c r="B30" s="272" t="s">
        <v>213</v>
      </c>
      <c r="C30" s="272" t="s">
        <v>218</v>
      </c>
      <c r="D30" s="273" t="s">
        <v>219</v>
      </c>
      <c r="E30" s="274">
        <v>0</v>
      </c>
      <c r="F30" s="274">
        <v>0</v>
      </c>
      <c r="G30" s="274">
        <v>0</v>
      </c>
      <c r="H30" s="274">
        <v>0</v>
      </c>
      <c r="I30" s="274">
        <v>0</v>
      </c>
      <c r="J30" s="274">
        <v>0</v>
      </c>
      <c r="K30" s="274">
        <f t="shared" si="6"/>
        <v>0</v>
      </c>
      <c r="L30" s="267">
        <v>0</v>
      </c>
    </row>
    <row r="31" spans="2:20" ht="36">
      <c r="B31" s="272" t="s">
        <v>213</v>
      </c>
      <c r="C31" s="272" t="s">
        <v>220</v>
      </c>
      <c r="D31" s="273" t="s">
        <v>221</v>
      </c>
      <c r="E31" s="274">
        <v>14.295931400000001</v>
      </c>
      <c r="F31" s="274">
        <v>0</v>
      </c>
      <c r="G31" s="274">
        <v>0</v>
      </c>
      <c r="H31" s="274">
        <v>0</v>
      </c>
      <c r="I31" s="274">
        <v>0</v>
      </c>
      <c r="J31" s="274">
        <v>0</v>
      </c>
      <c r="K31" s="274">
        <f t="shared" si="6"/>
        <v>14.295931400000001</v>
      </c>
      <c r="L31" s="267">
        <v>10.005931400000001</v>
      </c>
    </row>
    <row r="32" spans="2:20" ht="36">
      <c r="B32" s="272" t="s">
        <v>213</v>
      </c>
      <c r="C32" s="272" t="s">
        <v>222</v>
      </c>
      <c r="D32" s="273" t="s">
        <v>215</v>
      </c>
      <c r="E32" s="274">
        <v>4.4716089239999999</v>
      </c>
      <c r="F32" s="274">
        <v>0</v>
      </c>
      <c r="G32" s="274">
        <v>1.6</v>
      </c>
      <c r="H32" s="274">
        <v>0</v>
      </c>
      <c r="I32" s="274">
        <v>0</v>
      </c>
      <c r="J32" s="274">
        <v>0</v>
      </c>
      <c r="K32" s="274">
        <f t="shared" si="6"/>
        <v>2.8716089239999998</v>
      </c>
      <c r="L32" s="267">
        <v>2.8716089239999998</v>
      </c>
    </row>
    <row r="33" spans="2:12" ht="36">
      <c r="B33" s="272" t="s">
        <v>213</v>
      </c>
      <c r="C33" s="272" t="s">
        <v>223</v>
      </c>
      <c r="D33" s="273" t="s">
        <v>224</v>
      </c>
      <c r="E33" s="274">
        <v>5.5585218000000003</v>
      </c>
      <c r="F33" s="274">
        <v>0</v>
      </c>
      <c r="G33" s="274">
        <v>0</v>
      </c>
      <c r="H33" s="274">
        <v>0</v>
      </c>
      <c r="I33" s="274">
        <v>0</v>
      </c>
      <c r="J33" s="274">
        <v>0</v>
      </c>
      <c r="K33" s="274">
        <f t="shared" si="6"/>
        <v>5.5585218000000003</v>
      </c>
      <c r="L33" s="267">
        <v>5.5585218000000003</v>
      </c>
    </row>
    <row r="34" spans="2:12" ht="36">
      <c r="B34" s="272" t="s">
        <v>213</v>
      </c>
      <c r="C34" s="272" t="s">
        <v>225</v>
      </c>
      <c r="D34" s="273" t="s">
        <v>215</v>
      </c>
      <c r="E34" s="274">
        <v>0</v>
      </c>
      <c r="F34" s="274">
        <v>0</v>
      </c>
      <c r="G34" s="274">
        <v>0</v>
      </c>
      <c r="H34" s="274">
        <v>0</v>
      </c>
      <c r="I34" s="274">
        <v>0</v>
      </c>
      <c r="J34" s="274">
        <v>0</v>
      </c>
      <c r="K34" s="274">
        <f t="shared" si="6"/>
        <v>0</v>
      </c>
      <c r="L34" s="267">
        <v>0</v>
      </c>
    </row>
    <row r="35" spans="2:12" ht="36">
      <c r="B35" s="272" t="s">
        <v>213</v>
      </c>
      <c r="C35" s="272" t="s">
        <v>226</v>
      </c>
      <c r="D35" s="273" t="s">
        <v>215</v>
      </c>
      <c r="E35" s="274">
        <v>6.0735345000000001</v>
      </c>
      <c r="F35" s="274">
        <v>0</v>
      </c>
      <c r="G35" s="274">
        <v>0</v>
      </c>
      <c r="H35" s="274">
        <v>0</v>
      </c>
      <c r="I35" s="274">
        <v>0</v>
      </c>
      <c r="J35" s="274">
        <v>0</v>
      </c>
      <c r="K35" s="274">
        <f t="shared" si="6"/>
        <v>6.0735345000000001</v>
      </c>
      <c r="L35" s="267">
        <v>6.0735345000000001</v>
      </c>
    </row>
    <row r="36" spans="2:12">
      <c r="B36" s="272" t="s">
        <v>213</v>
      </c>
      <c r="C36" s="272" t="s">
        <v>226</v>
      </c>
      <c r="D36" s="273" t="s">
        <v>227</v>
      </c>
      <c r="E36" s="274">
        <v>0</v>
      </c>
      <c r="F36" s="274">
        <v>0</v>
      </c>
      <c r="G36" s="274">
        <v>0</v>
      </c>
      <c r="H36" s="274">
        <v>0</v>
      </c>
      <c r="I36" s="274">
        <v>0</v>
      </c>
      <c r="J36" s="274">
        <v>0</v>
      </c>
      <c r="K36" s="274">
        <f t="shared" si="6"/>
        <v>0</v>
      </c>
      <c r="L36" s="267">
        <v>0</v>
      </c>
    </row>
    <row r="37" spans="2:12">
      <c r="B37" s="272" t="s">
        <v>213</v>
      </c>
      <c r="C37" s="272" t="s">
        <v>228</v>
      </c>
      <c r="D37" s="273" t="s">
        <v>229</v>
      </c>
      <c r="E37" s="274">
        <v>4.8048447000000003</v>
      </c>
      <c r="F37" s="274">
        <v>4.8</v>
      </c>
      <c r="G37" s="274">
        <v>0</v>
      </c>
      <c r="H37" s="274">
        <v>0</v>
      </c>
      <c r="I37" s="274">
        <v>0</v>
      </c>
      <c r="J37" s="274">
        <v>0</v>
      </c>
      <c r="K37" s="274">
        <f t="shared" si="6"/>
        <v>4.8447000000004792E-3</v>
      </c>
      <c r="L37" s="267">
        <v>4.8447000000004792E-3</v>
      </c>
    </row>
    <row r="38" spans="2:12" ht="36">
      <c r="B38" s="272" t="s">
        <v>213</v>
      </c>
      <c r="C38" s="272" t="s">
        <v>230</v>
      </c>
      <c r="D38" s="273" t="s">
        <v>217</v>
      </c>
      <c r="E38" s="274">
        <v>0.48978996299999999</v>
      </c>
      <c r="F38" s="274">
        <v>0</v>
      </c>
      <c r="G38" s="274">
        <v>0</v>
      </c>
      <c r="H38" s="274">
        <v>0</v>
      </c>
      <c r="I38" s="274">
        <v>0</v>
      </c>
      <c r="J38" s="274">
        <v>0</v>
      </c>
      <c r="K38" s="274">
        <f t="shared" si="6"/>
        <v>0.48978996299999999</v>
      </c>
      <c r="L38" s="267">
        <v>0</v>
      </c>
    </row>
    <row r="39" spans="2:12" ht="36">
      <c r="B39" s="272" t="s">
        <v>213</v>
      </c>
      <c r="C39" s="272" t="s">
        <v>231</v>
      </c>
      <c r="D39" s="273" t="s">
        <v>217</v>
      </c>
      <c r="E39" s="274">
        <f>3.2716889-0.02</f>
        <v>3.2516889</v>
      </c>
      <c r="F39" s="274">
        <v>0</v>
      </c>
      <c r="G39" s="274">
        <v>0</v>
      </c>
      <c r="H39" s="274">
        <v>0</v>
      </c>
      <c r="I39" s="274">
        <v>0</v>
      </c>
      <c r="J39" s="274">
        <v>0</v>
      </c>
      <c r="K39" s="274">
        <f t="shared" si="6"/>
        <v>3.2516889</v>
      </c>
      <c r="L39" s="267">
        <v>3.2716889</v>
      </c>
    </row>
    <row r="40" spans="2:12">
      <c r="B40" s="272" t="s">
        <v>213</v>
      </c>
      <c r="C40" s="272" t="s">
        <v>232</v>
      </c>
      <c r="D40" s="273" t="s">
        <v>229</v>
      </c>
      <c r="E40" s="274">
        <v>3.1609923000000002</v>
      </c>
      <c r="F40" s="274">
        <v>0</v>
      </c>
      <c r="G40" s="274">
        <v>0</v>
      </c>
      <c r="H40" s="274">
        <v>3.16</v>
      </c>
      <c r="I40" s="274">
        <v>0</v>
      </c>
      <c r="J40" s="274">
        <v>0</v>
      </c>
      <c r="K40" s="274">
        <f t="shared" si="6"/>
        <v>9.9230000000005703E-4</v>
      </c>
      <c r="L40" s="267">
        <v>9.9230000000005703E-4</v>
      </c>
    </row>
    <row r="41" spans="2:12" ht="36">
      <c r="B41" s="272" t="s">
        <v>213</v>
      </c>
      <c r="C41" s="272" t="s">
        <v>233</v>
      </c>
      <c r="D41" s="273" t="s">
        <v>234</v>
      </c>
      <c r="E41" s="274">
        <v>0</v>
      </c>
      <c r="F41" s="274">
        <v>0</v>
      </c>
      <c r="G41" s="274">
        <v>0</v>
      </c>
      <c r="H41" s="274">
        <v>0</v>
      </c>
      <c r="I41" s="274">
        <v>0</v>
      </c>
      <c r="J41" s="274">
        <v>0</v>
      </c>
      <c r="K41" s="274">
        <f t="shared" si="6"/>
        <v>0</v>
      </c>
      <c r="L41" s="267">
        <v>0</v>
      </c>
    </row>
    <row r="42" spans="2:12" ht="24">
      <c r="B42" s="272" t="s">
        <v>213</v>
      </c>
      <c r="C42" s="272" t="s">
        <v>235</v>
      </c>
      <c r="D42" s="273" t="s">
        <v>236</v>
      </c>
      <c r="E42" s="274">
        <v>0</v>
      </c>
      <c r="F42" s="274">
        <v>0</v>
      </c>
      <c r="G42" s="274">
        <v>0</v>
      </c>
      <c r="H42" s="274">
        <v>0</v>
      </c>
      <c r="I42" s="274">
        <v>0</v>
      </c>
      <c r="J42" s="274">
        <v>0</v>
      </c>
      <c r="K42" s="274">
        <f t="shared" si="6"/>
        <v>0</v>
      </c>
      <c r="L42" s="267">
        <v>0</v>
      </c>
    </row>
    <row r="43" spans="2:12" ht="36">
      <c r="B43" s="272" t="s">
        <v>213</v>
      </c>
      <c r="C43" s="272" t="s">
        <v>237</v>
      </c>
      <c r="D43" s="273" t="s">
        <v>238</v>
      </c>
      <c r="E43" s="274">
        <v>0</v>
      </c>
      <c r="F43" s="274">
        <v>0</v>
      </c>
      <c r="G43" s="274">
        <v>0</v>
      </c>
      <c r="H43" s="274">
        <v>0</v>
      </c>
      <c r="I43" s="274">
        <v>0</v>
      </c>
      <c r="J43" s="274">
        <v>0</v>
      </c>
      <c r="K43" s="274">
        <f t="shared" si="6"/>
        <v>0</v>
      </c>
      <c r="L43" s="267">
        <v>0</v>
      </c>
    </row>
    <row r="44" spans="2:12">
      <c r="B44" s="272" t="s">
        <v>239</v>
      </c>
      <c r="C44" s="272" t="s">
        <v>240</v>
      </c>
      <c r="D44" s="273" t="s">
        <v>240</v>
      </c>
      <c r="E44" s="274">
        <v>0</v>
      </c>
      <c r="F44" s="274">
        <v>0</v>
      </c>
      <c r="G44" s="274">
        <v>0</v>
      </c>
      <c r="H44" s="274">
        <v>0</v>
      </c>
      <c r="I44" s="274">
        <v>0</v>
      </c>
      <c r="J44" s="274">
        <v>0</v>
      </c>
      <c r="K44" s="274">
        <f t="shared" si="6"/>
        <v>0</v>
      </c>
      <c r="L44" s="267">
        <v>0</v>
      </c>
    </row>
    <row r="45" spans="2:12">
      <c r="B45" s="272" t="s">
        <v>239</v>
      </c>
      <c r="C45" s="272" t="s">
        <v>241</v>
      </c>
      <c r="D45" s="273" t="s">
        <v>242</v>
      </c>
      <c r="E45" s="274">
        <v>1.4612157059999999</v>
      </c>
      <c r="F45" s="274">
        <v>0</v>
      </c>
      <c r="G45" s="274">
        <v>0</v>
      </c>
      <c r="H45" s="274">
        <v>0</v>
      </c>
      <c r="I45" s="274">
        <v>0</v>
      </c>
      <c r="J45" s="274">
        <v>0</v>
      </c>
      <c r="K45" s="274">
        <f t="shared" si="6"/>
        <v>1.4612157059999999</v>
      </c>
      <c r="L45" s="267">
        <v>1.4612157059999999</v>
      </c>
    </row>
    <row r="46" spans="2:12" ht="36">
      <c r="B46" s="272" t="s">
        <v>239</v>
      </c>
      <c r="C46" s="272" t="s">
        <v>243</v>
      </c>
      <c r="D46" s="273" t="s">
        <v>244</v>
      </c>
      <c r="E46" s="274">
        <v>3.0927340000000525E-2</v>
      </c>
      <c r="F46" s="274">
        <v>0</v>
      </c>
      <c r="G46" s="274">
        <v>0</v>
      </c>
      <c r="H46" s="274">
        <v>0</v>
      </c>
      <c r="I46" s="274">
        <v>0</v>
      </c>
      <c r="J46" s="274">
        <v>0</v>
      </c>
      <c r="K46" s="274">
        <f t="shared" si="6"/>
        <v>3.0927340000000525E-2</v>
      </c>
      <c r="L46" s="267">
        <v>3.0927340000000525E-2</v>
      </c>
    </row>
    <row r="47" spans="2:12">
      <c r="B47" s="272" t="s">
        <v>239</v>
      </c>
      <c r="C47" s="272" t="s">
        <v>245</v>
      </c>
      <c r="D47" s="273" t="s">
        <v>246</v>
      </c>
      <c r="E47" s="274">
        <v>31.786709812519998</v>
      </c>
      <c r="F47" s="274">
        <v>0</v>
      </c>
      <c r="G47" s="274">
        <v>5.7240099999999998</v>
      </c>
      <c r="H47" s="274">
        <v>0</v>
      </c>
      <c r="I47" s="274">
        <v>3.95</v>
      </c>
      <c r="J47" s="274">
        <v>3.73</v>
      </c>
      <c r="K47" s="274">
        <f t="shared" si="6"/>
        <v>18.382699812519999</v>
      </c>
      <c r="L47" s="267">
        <v>18.382699812519999</v>
      </c>
    </row>
    <row r="48" spans="2:12">
      <c r="B48" s="272" t="s">
        <v>239</v>
      </c>
      <c r="C48" s="272" t="s">
        <v>247</v>
      </c>
      <c r="D48" s="273" t="s">
        <v>248</v>
      </c>
      <c r="E48" s="274">
        <v>22.992446180000002</v>
      </c>
      <c r="F48" s="274">
        <v>1.35</v>
      </c>
      <c r="G48" s="274">
        <v>0.76</v>
      </c>
      <c r="H48" s="274">
        <v>0</v>
      </c>
      <c r="I48" s="274">
        <v>0</v>
      </c>
      <c r="J48" s="274">
        <v>0</v>
      </c>
      <c r="K48" s="274">
        <f t="shared" si="6"/>
        <v>20.882446179999999</v>
      </c>
      <c r="L48" s="267">
        <v>20.882446179999999</v>
      </c>
    </row>
    <row r="49" spans="2:12">
      <c r="B49" s="272" t="s">
        <v>239</v>
      </c>
      <c r="C49" s="272" t="s">
        <v>249</v>
      </c>
      <c r="D49" s="273" t="s">
        <v>250</v>
      </c>
      <c r="E49" s="274">
        <v>19.991443207704972</v>
      </c>
      <c r="F49" s="274">
        <v>0</v>
      </c>
      <c r="G49" s="274">
        <v>10.06</v>
      </c>
      <c r="H49" s="274">
        <v>9.0500000000000007</v>
      </c>
      <c r="I49" s="274">
        <v>0</v>
      </c>
      <c r="J49" s="274">
        <v>0</v>
      </c>
      <c r="K49" s="274">
        <f t="shared" si="6"/>
        <v>0.88144320770497053</v>
      </c>
      <c r="L49" s="267">
        <v>0.88144320770497053</v>
      </c>
    </row>
    <row r="50" spans="2:12">
      <c r="B50" s="272" t="s">
        <v>239</v>
      </c>
      <c r="C50" s="272" t="s">
        <v>251</v>
      </c>
      <c r="D50" s="273" t="s">
        <v>248</v>
      </c>
      <c r="E50" s="274">
        <v>14.554383926658174</v>
      </c>
      <c r="F50" s="274">
        <v>12.83</v>
      </c>
      <c r="G50" s="274">
        <v>1.72</v>
      </c>
      <c r="H50" s="274">
        <v>0</v>
      </c>
      <c r="I50" s="274">
        <v>0</v>
      </c>
      <c r="J50" s="274">
        <v>0</v>
      </c>
      <c r="K50" s="274">
        <f t="shared" si="6"/>
        <v>4.3839266581737757E-3</v>
      </c>
      <c r="L50" s="267">
        <v>4.3839266581737757E-3</v>
      </c>
    </row>
    <row r="51" spans="2:12">
      <c r="B51" s="272" t="s">
        <v>239</v>
      </c>
      <c r="C51" s="272" t="s">
        <v>252</v>
      </c>
      <c r="D51" s="273" t="s">
        <v>250</v>
      </c>
      <c r="E51" s="274">
        <v>30.536653699999999</v>
      </c>
      <c r="F51" s="274">
        <v>8.33</v>
      </c>
      <c r="G51" s="274">
        <v>1.95</v>
      </c>
      <c r="H51" s="274">
        <v>15.81</v>
      </c>
      <c r="I51" s="274">
        <v>3.08</v>
      </c>
      <c r="J51" s="274">
        <v>1.366653699999997</v>
      </c>
      <c r="K51" s="274">
        <f t="shared" si="6"/>
        <v>0</v>
      </c>
      <c r="L51" s="267">
        <v>0</v>
      </c>
    </row>
    <row r="52" spans="2:12">
      <c r="B52" s="272" t="s">
        <v>239</v>
      </c>
      <c r="C52" s="272" t="s">
        <v>253</v>
      </c>
      <c r="D52" s="273" t="s">
        <v>250</v>
      </c>
      <c r="E52" s="274">
        <v>11.381022570000001</v>
      </c>
      <c r="F52" s="274">
        <v>0.74666529999999998</v>
      </c>
      <c r="G52" s="274">
        <v>2.2635193999999998</v>
      </c>
      <c r="H52" s="274">
        <v>0.89694859999999998</v>
      </c>
      <c r="I52" s="274">
        <v>0</v>
      </c>
      <c r="J52" s="274">
        <v>0</v>
      </c>
      <c r="K52" s="274">
        <f t="shared" si="6"/>
        <v>7.4738892700000008</v>
      </c>
      <c r="L52" s="267">
        <v>7.4738892700000008</v>
      </c>
    </row>
    <row r="53" spans="2:12">
      <c r="B53" s="272" t="s">
        <v>239</v>
      </c>
      <c r="C53" s="272" t="s">
        <v>254</v>
      </c>
      <c r="D53" s="273" t="s">
        <v>246</v>
      </c>
      <c r="E53" s="274">
        <v>22.909640799999998</v>
      </c>
      <c r="F53" s="274">
        <v>8.5399999999999991</v>
      </c>
      <c r="G53" s="274">
        <v>14.37</v>
      </c>
      <c r="H53" s="274">
        <v>0</v>
      </c>
      <c r="I53" s="274">
        <v>0</v>
      </c>
      <c r="J53" s="274">
        <v>0</v>
      </c>
      <c r="K53" s="274">
        <f t="shared" si="6"/>
        <v>-3.5920000000011498E-4</v>
      </c>
      <c r="L53" s="267">
        <v>-3.5920000000011498E-4</v>
      </c>
    </row>
    <row r="54" spans="2:12" ht="48">
      <c r="B54" s="272" t="s">
        <v>239</v>
      </c>
      <c r="C54" s="272" t="s">
        <v>255</v>
      </c>
      <c r="D54" s="273" t="s">
        <v>256</v>
      </c>
      <c r="E54" s="274">
        <v>5.133212307</v>
      </c>
      <c r="F54" s="274">
        <v>5.13</v>
      </c>
      <c r="G54" s="274">
        <v>0</v>
      </c>
      <c r="H54" s="274">
        <v>0</v>
      </c>
      <c r="I54" s="274">
        <v>0</v>
      </c>
      <c r="J54" s="274">
        <v>0</v>
      </c>
      <c r="K54" s="274">
        <f t="shared" si="6"/>
        <v>3.2123070000000808E-3</v>
      </c>
      <c r="L54" s="267">
        <v>3.2123070000000808E-3</v>
      </c>
    </row>
    <row r="55" spans="2:12" ht="48">
      <c r="B55" s="272" t="s">
        <v>239</v>
      </c>
      <c r="C55" s="272" t="s">
        <v>257</v>
      </c>
      <c r="D55" s="273" t="s">
        <v>258</v>
      </c>
      <c r="E55" s="274">
        <v>5.0229968999999999</v>
      </c>
      <c r="F55" s="274">
        <v>2.6923597000000004</v>
      </c>
      <c r="G55" s="274">
        <v>1.5546319229999996</v>
      </c>
      <c r="H55" s="274">
        <v>0.77510447999999998</v>
      </c>
      <c r="I55" s="274">
        <v>0</v>
      </c>
      <c r="J55" s="274">
        <v>0</v>
      </c>
      <c r="K55" s="274">
        <f t="shared" si="6"/>
        <v>9.0079699999989771E-4</v>
      </c>
      <c r="L55" s="267">
        <v>9.0079699999989771E-4</v>
      </c>
    </row>
    <row r="56" spans="2:12">
      <c r="B56" s="272" t="s">
        <v>239</v>
      </c>
      <c r="C56" s="272" t="s">
        <v>259</v>
      </c>
      <c r="D56" s="273" t="s">
        <v>246</v>
      </c>
      <c r="E56" s="274">
        <v>20.466322399999999</v>
      </c>
      <c r="F56" s="274">
        <v>7.6566776000000001</v>
      </c>
      <c r="G56" s="274">
        <v>12.809644799999999</v>
      </c>
      <c r="H56" s="274">
        <v>0</v>
      </c>
      <c r="I56" s="274">
        <v>0</v>
      </c>
      <c r="J56" s="274">
        <v>0</v>
      </c>
      <c r="K56" s="274">
        <f t="shared" si="6"/>
        <v>0</v>
      </c>
      <c r="L56" s="267">
        <v>0</v>
      </c>
    </row>
    <row r="57" spans="2:12" ht="48">
      <c r="B57" s="272" t="s">
        <v>239</v>
      </c>
      <c r="C57" s="272" t="s">
        <v>260</v>
      </c>
      <c r="D57" s="273" t="s">
        <v>261</v>
      </c>
      <c r="E57" s="274">
        <v>10.08693098</v>
      </c>
      <c r="F57" s="274">
        <v>5.085</v>
      </c>
      <c r="G57" s="274">
        <v>2.27</v>
      </c>
      <c r="H57" s="274">
        <v>2.29</v>
      </c>
      <c r="I57" s="274">
        <v>0</v>
      </c>
      <c r="J57" s="274">
        <v>0</v>
      </c>
      <c r="K57" s="274">
        <f t="shared" si="6"/>
        <v>0.44193097999999997</v>
      </c>
      <c r="L57" s="267">
        <v>0.44193097999999997</v>
      </c>
    </row>
    <row r="58" spans="2:12" ht="48">
      <c r="B58" s="272" t="s">
        <v>239</v>
      </c>
      <c r="C58" s="272" t="s">
        <v>262</v>
      </c>
      <c r="D58" s="273" t="s">
        <v>261</v>
      </c>
      <c r="E58" s="274">
        <v>19.5040643</v>
      </c>
      <c r="F58" s="274">
        <v>6.73</v>
      </c>
      <c r="G58" s="274">
        <v>6.07</v>
      </c>
      <c r="H58" s="274">
        <v>4.59</v>
      </c>
      <c r="I58" s="274">
        <v>1.83</v>
      </c>
      <c r="J58" s="274">
        <v>0</v>
      </c>
      <c r="K58" s="274">
        <f t="shared" si="6"/>
        <v>0.28406429999999894</v>
      </c>
      <c r="L58" s="267">
        <v>0.28406429999999894</v>
      </c>
    </row>
    <row r="59" spans="2:12" ht="48">
      <c r="B59" s="272" t="s">
        <v>239</v>
      </c>
      <c r="C59" s="272" t="s">
        <v>263</v>
      </c>
      <c r="D59" s="273" t="s">
        <v>261</v>
      </c>
      <c r="E59" s="274">
        <v>18.475365400000001</v>
      </c>
      <c r="F59" s="274">
        <v>0</v>
      </c>
      <c r="G59" s="274">
        <v>2.95</v>
      </c>
      <c r="H59" s="274">
        <v>4.8099999999999996</v>
      </c>
      <c r="I59" s="274">
        <v>5.76</v>
      </c>
      <c r="J59" s="274">
        <v>0</v>
      </c>
      <c r="K59" s="274">
        <f t="shared" si="6"/>
        <v>4.9553654000000034</v>
      </c>
      <c r="L59" s="267">
        <v>4.9553654000000034</v>
      </c>
    </row>
    <row r="60" spans="2:12" ht="48">
      <c r="B60" s="272" t="s">
        <v>239</v>
      </c>
      <c r="C60" s="272" t="s">
        <v>264</v>
      </c>
      <c r="D60" s="273" t="s">
        <v>265</v>
      </c>
      <c r="E60" s="274">
        <v>15.2297049</v>
      </c>
      <c r="F60" s="274">
        <v>0</v>
      </c>
      <c r="G60" s="274">
        <v>0</v>
      </c>
      <c r="H60" s="274">
        <v>0</v>
      </c>
      <c r="I60" s="274">
        <v>0</v>
      </c>
      <c r="J60" s="274">
        <v>0</v>
      </c>
      <c r="K60" s="274">
        <f t="shared" si="6"/>
        <v>15.2297049</v>
      </c>
      <c r="L60" s="267">
        <v>15.2297049</v>
      </c>
    </row>
    <row r="61" spans="2:12" ht="48">
      <c r="B61" s="272" t="s">
        <v>239</v>
      </c>
      <c r="C61" s="272" t="s">
        <v>266</v>
      </c>
      <c r="D61" s="273" t="s">
        <v>265</v>
      </c>
      <c r="E61" s="274">
        <v>4.6772245999999997</v>
      </c>
      <c r="F61" s="274">
        <v>0</v>
      </c>
      <c r="G61" s="274">
        <v>0</v>
      </c>
      <c r="H61" s="274">
        <v>0</v>
      </c>
      <c r="I61" s="274">
        <v>0</v>
      </c>
      <c r="J61" s="274">
        <v>0</v>
      </c>
      <c r="K61" s="274">
        <f t="shared" si="6"/>
        <v>4.6772245999999997</v>
      </c>
      <c r="L61" s="267">
        <v>4.6772245999999997</v>
      </c>
    </row>
    <row r="62" spans="2:12" ht="48">
      <c r="B62" s="272" t="s">
        <v>239</v>
      </c>
      <c r="C62" s="272" t="s">
        <v>267</v>
      </c>
      <c r="D62" s="273" t="s">
        <v>265</v>
      </c>
      <c r="E62" s="274">
        <v>9.1696937999999992</v>
      </c>
      <c r="F62" s="274">
        <v>0</v>
      </c>
      <c r="G62" s="274">
        <v>0</v>
      </c>
      <c r="H62" s="274">
        <v>0</v>
      </c>
      <c r="I62" s="274">
        <v>0</v>
      </c>
      <c r="J62" s="274">
        <v>0</v>
      </c>
      <c r="K62" s="274">
        <f t="shared" si="6"/>
        <v>9.1696937999999992</v>
      </c>
      <c r="L62" s="267">
        <v>9.1696937999999992</v>
      </c>
    </row>
    <row r="63" spans="2:12" ht="48">
      <c r="B63" s="272" t="s">
        <v>239</v>
      </c>
      <c r="C63" s="272" t="s">
        <v>268</v>
      </c>
      <c r="D63" s="273" t="s">
        <v>265</v>
      </c>
      <c r="E63" s="274">
        <v>15.768838269999998</v>
      </c>
      <c r="F63" s="274">
        <v>0</v>
      </c>
      <c r="G63" s="274">
        <v>0</v>
      </c>
      <c r="H63" s="274">
        <v>0</v>
      </c>
      <c r="I63" s="274">
        <v>0</v>
      </c>
      <c r="J63" s="274">
        <v>0</v>
      </c>
      <c r="K63" s="274">
        <f t="shared" si="6"/>
        <v>15.768838269999998</v>
      </c>
      <c r="L63" s="267">
        <v>15.768838269999998</v>
      </c>
    </row>
    <row r="64" spans="2:12" ht="48">
      <c r="B64" s="272" t="s">
        <v>239</v>
      </c>
      <c r="C64" s="272" t="s">
        <v>269</v>
      </c>
      <c r="D64" s="273" t="s">
        <v>265</v>
      </c>
      <c r="E64" s="274">
        <v>5.9527369999999999</v>
      </c>
      <c r="F64" s="274">
        <v>0</v>
      </c>
      <c r="G64" s="274">
        <v>0</v>
      </c>
      <c r="H64" s="274">
        <v>0</v>
      </c>
      <c r="I64" s="274">
        <v>0</v>
      </c>
      <c r="J64" s="274">
        <v>0</v>
      </c>
      <c r="K64" s="274">
        <f t="shared" si="6"/>
        <v>5.9527369999999999</v>
      </c>
      <c r="L64" s="267">
        <v>5.9527369999999999</v>
      </c>
    </row>
    <row r="65" spans="2:12" ht="48">
      <c r="B65" s="272" t="s">
        <v>239</v>
      </c>
      <c r="C65" s="272" t="s">
        <v>270</v>
      </c>
      <c r="D65" s="273" t="s">
        <v>265</v>
      </c>
      <c r="E65" s="274">
        <v>5.8280719000000003</v>
      </c>
      <c r="F65" s="274">
        <v>0</v>
      </c>
      <c r="G65" s="274">
        <v>0</v>
      </c>
      <c r="H65" s="274">
        <v>0</v>
      </c>
      <c r="I65" s="274">
        <v>0</v>
      </c>
      <c r="J65" s="274">
        <v>0</v>
      </c>
      <c r="K65" s="274">
        <f t="shared" si="6"/>
        <v>5.8280719000000003</v>
      </c>
      <c r="L65" s="267">
        <v>5.8280719000000003</v>
      </c>
    </row>
    <row r="66" spans="2:12">
      <c r="B66" s="272" t="s">
        <v>271</v>
      </c>
      <c r="C66" s="272" t="s">
        <v>272</v>
      </c>
      <c r="D66" s="273" t="s">
        <v>273</v>
      </c>
      <c r="E66" s="274">
        <v>0</v>
      </c>
      <c r="F66" s="274">
        <v>0</v>
      </c>
      <c r="G66" s="274">
        <v>0</v>
      </c>
      <c r="H66" s="274">
        <v>0</v>
      </c>
      <c r="I66" s="274">
        <v>0</v>
      </c>
      <c r="J66" s="274">
        <v>0</v>
      </c>
      <c r="K66" s="274">
        <f t="shared" si="6"/>
        <v>0</v>
      </c>
      <c r="L66" s="267">
        <v>0</v>
      </c>
    </row>
    <row r="67" spans="2:12">
      <c r="B67" s="272" t="s">
        <v>271</v>
      </c>
      <c r="C67" s="272" t="s">
        <v>274</v>
      </c>
      <c r="D67" s="273" t="s">
        <v>274</v>
      </c>
      <c r="E67" s="274">
        <v>3.142245</v>
      </c>
      <c r="F67" s="274">
        <v>0</v>
      </c>
      <c r="G67" s="274">
        <v>0</v>
      </c>
      <c r="H67" s="274">
        <v>0</v>
      </c>
      <c r="I67" s="274">
        <v>0</v>
      </c>
      <c r="J67" s="274">
        <v>0</v>
      </c>
      <c r="K67" s="274">
        <f t="shared" si="6"/>
        <v>3.142245</v>
      </c>
      <c r="L67" s="267">
        <v>3.142245</v>
      </c>
    </row>
    <row r="68" spans="2:12" ht="24">
      <c r="B68" s="272" t="s">
        <v>271</v>
      </c>
      <c r="C68" s="272" t="s">
        <v>275</v>
      </c>
      <c r="D68" s="273" t="s">
        <v>276</v>
      </c>
      <c r="E68" s="274">
        <v>0.41546091000000002</v>
      </c>
      <c r="F68" s="274">
        <v>0</v>
      </c>
      <c r="G68" s="274">
        <v>0</v>
      </c>
      <c r="H68" s="274">
        <v>0</v>
      </c>
      <c r="I68" s="274">
        <v>0</v>
      </c>
      <c r="J68" s="274">
        <v>0</v>
      </c>
      <c r="K68" s="274">
        <f t="shared" si="6"/>
        <v>0.41546091000000002</v>
      </c>
      <c r="L68" s="267">
        <v>0.41546091000000002</v>
      </c>
    </row>
    <row r="69" spans="2:12">
      <c r="B69" s="272" t="s">
        <v>271</v>
      </c>
      <c r="C69" s="272" t="s">
        <v>277</v>
      </c>
      <c r="D69" s="273" t="s">
        <v>278</v>
      </c>
      <c r="E69" s="274">
        <v>0</v>
      </c>
      <c r="F69" s="274">
        <v>0</v>
      </c>
      <c r="G69" s="274">
        <v>0</v>
      </c>
      <c r="H69" s="274">
        <v>0</v>
      </c>
      <c r="I69" s="274">
        <v>0</v>
      </c>
      <c r="J69" s="274">
        <v>0</v>
      </c>
      <c r="K69" s="274">
        <f t="shared" si="6"/>
        <v>0</v>
      </c>
      <c r="L69" s="267">
        <v>0</v>
      </c>
    </row>
    <row r="70" spans="2:12">
      <c r="B70" s="272" t="s">
        <v>271</v>
      </c>
      <c r="C70" s="272" t="s">
        <v>279</v>
      </c>
      <c r="D70" s="273" t="s">
        <v>278</v>
      </c>
      <c r="E70" s="274">
        <v>4.8071460999999998</v>
      </c>
      <c r="F70" s="274">
        <v>0</v>
      </c>
      <c r="G70" s="274">
        <v>0</v>
      </c>
      <c r="H70" s="274">
        <v>0</v>
      </c>
      <c r="I70" s="274">
        <v>0</v>
      </c>
      <c r="J70" s="274">
        <v>0</v>
      </c>
      <c r="K70" s="274">
        <f t="shared" si="6"/>
        <v>4.8071460999999998</v>
      </c>
      <c r="L70" s="267">
        <v>4.8071460999999998</v>
      </c>
    </row>
    <row r="71" spans="2:12" ht="24">
      <c r="B71" s="272" t="s">
        <v>271</v>
      </c>
      <c r="C71" s="272" t="s">
        <v>280</v>
      </c>
      <c r="D71" s="273" t="s">
        <v>276</v>
      </c>
      <c r="E71" s="274">
        <v>0</v>
      </c>
      <c r="F71" s="274">
        <v>0</v>
      </c>
      <c r="G71" s="274">
        <v>0</v>
      </c>
      <c r="H71" s="274">
        <v>0</v>
      </c>
      <c r="I71" s="274">
        <v>0</v>
      </c>
      <c r="J71" s="274">
        <v>0</v>
      </c>
      <c r="K71" s="274">
        <f t="shared" si="6"/>
        <v>0</v>
      </c>
      <c r="L71" s="267">
        <v>0</v>
      </c>
    </row>
    <row r="72" spans="2:12" ht="24">
      <c r="B72" s="272" t="s">
        <v>271</v>
      </c>
      <c r="C72" s="272" t="s">
        <v>281</v>
      </c>
      <c r="D72" s="273" t="s">
        <v>276</v>
      </c>
      <c r="E72" s="274">
        <v>0.70516000000000001</v>
      </c>
      <c r="F72" s="274">
        <v>0</v>
      </c>
      <c r="G72" s="274">
        <v>0</v>
      </c>
      <c r="H72" s="274">
        <v>0</v>
      </c>
      <c r="I72" s="274">
        <v>0</v>
      </c>
      <c r="J72" s="274">
        <v>0</v>
      </c>
      <c r="K72" s="274">
        <f t="shared" si="6"/>
        <v>0.70516000000000001</v>
      </c>
      <c r="L72" s="267">
        <v>0.70516000000000001</v>
      </c>
    </row>
    <row r="73" spans="2:12">
      <c r="B73" s="272" t="s">
        <v>271</v>
      </c>
      <c r="C73" s="272" t="s">
        <v>282</v>
      </c>
      <c r="D73" s="273" t="s">
        <v>283</v>
      </c>
      <c r="E73" s="274">
        <v>0</v>
      </c>
      <c r="F73" s="274">
        <v>0</v>
      </c>
      <c r="G73" s="274">
        <v>0</v>
      </c>
      <c r="H73" s="274">
        <v>0</v>
      </c>
      <c r="I73" s="274">
        <v>0</v>
      </c>
      <c r="J73" s="274">
        <v>0</v>
      </c>
      <c r="K73" s="274">
        <f t="shared" si="6"/>
        <v>0</v>
      </c>
      <c r="L73" s="267">
        <v>0</v>
      </c>
    </row>
    <row r="74" spans="2:12" ht="24">
      <c r="B74" s="272" t="s">
        <v>271</v>
      </c>
      <c r="C74" s="272" t="s">
        <v>284</v>
      </c>
      <c r="D74" s="273" t="s">
        <v>285</v>
      </c>
      <c r="E74" s="274">
        <v>38.40722387687125</v>
      </c>
      <c r="F74" s="274">
        <v>0</v>
      </c>
      <c r="G74" s="274">
        <v>0</v>
      </c>
      <c r="H74" s="274">
        <v>0</v>
      </c>
      <c r="I74" s="274">
        <v>0</v>
      </c>
      <c r="J74" s="274">
        <v>0</v>
      </c>
      <c r="K74" s="274">
        <f t="shared" si="6"/>
        <v>38.40722387687125</v>
      </c>
      <c r="L74" s="267">
        <v>38.40722387687125</v>
      </c>
    </row>
    <row r="75" spans="2:12" ht="36">
      <c r="B75" s="272" t="s">
        <v>271</v>
      </c>
      <c r="C75" s="272" t="s">
        <v>286</v>
      </c>
      <c r="D75" s="273" t="s">
        <v>287</v>
      </c>
      <c r="E75" s="274">
        <v>18.144133400000001</v>
      </c>
      <c r="F75" s="274">
        <v>0</v>
      </c>
      <c r="G75" s="274">
        <v>0</v>
      </c>
      <c r="H75" s="274">
        <v>0</v>
      </c>
      <c r="I75" s="274">
        <v>0</v>
      </c>
      <c r="J75" s="274">
        <v>0</v>
      </c>
      <c r="K75" s="274">
        <f t="shared" si="6"/>
        <v>18.144133400000001</v>
      </c>
      <c r="L75" s="267">
        <v>18.144133400000001</v>
      </c>
    </row>
    <row r="76" spans="2:12" ht="24">
      <c r="B76" s="272" t="s">
        <v>271</v>
      </c>
      <c r="C76" s="272" t="s">
        <v>288</v>
      </c>
      <c r="D76" s="273" t="s">
        <v>289</v>
      </c>
      <c r="E76" s="274">
        <v>8.8958780999999991</v>
      </c>
      <c r="F76" s="274">
        <v>0</v>
      </c>
      <c r="G76" s="274">
        <v>0</v>
      </c>
      <c r="H76" s="274">
        <v>0</v>
      </c>
      <c r="I76" s="274">
        <v>0</v>
      </c>
      <c r="J76" s="274">
        <v>0</v>
      </c>
      <c r="K76" s="274">
        <f t="shared" si="6"/>
        <v>8.8958780999999991</v>
      </c>
      <c r="L76" s="267">
        <v>8.8958780999999991</v>
      </c>
    </row>
    <row r="77" spans="2:12" ht="24">
      <c r="B77" s="272" t="s">
        <v>271</v>
      </c>
      <c r="C77" s="272" t="s">
        <v>290</v>
      </c>
      <c r="D77" s="273" t="s">
        <v>291</v>
      </c>
      <c r="E77" s="274">
        <v>9.4098368000000008</v>
      </c>
      <c r="F77" s="274">
        <v>0</v>
      </c>
      <c r="G77" s="274">
        <v>0</v>
      </c>
      <c r="H77" s="274">
        <v>0</v>
      </c>
      <c r="I77" s="274">
        <v>0</v>
      </c>
      <c r="J77" s="274">
        <v>0</v>
      </c>
      <c r="K77" s="274">
        <f t="shared" si="6"/>
        <v>9.4098368000000008</v>
      </c>
      <c r="L77" s="267">
        <v>9.4098368000000008</v>
      </c>
    </row>
    <row r="78" spans="2:12" ht="24">
      <c r="B78" s="272" t="s">
        <v>271</v>
      </c>
      <c r="C78" s="272" t="s">
        <v>292</v>
      </c>
      <c r="D78" s="273" t="s">
        <v>293</v>
      </c>
      <c r="E78" s="274">
        <v>7.392532590000001</v>
      </c>
      <c r="F78" s="274">
        <v>0</v>
      </c>
      <c r="G78" s="274">
        <v>0</v>
      </c>
      <c r="H78" s="274">
        <v>0</v>
      </c>
      <c r="I78" s="274">
        <v>0</v>
      </c>
      <c r="J78" s="274">
        <v>0</v>
      </c>
      <c r="K78" s="274">
        <f t="shared" si="6"/>
        <v>7.392532590000001</v>
      </c>
      <c r="L78" s="267">
        <v>7.392532590000001</v>
      </c>
    </row>
    <row r="79" spans="2:12">
      <c r="B79" s="272" t="s">
        <v>271</v>
      </c>
      <c r="C79" s="272" t="s">
        <v>294</v>
      </c>
      <c r="D79" s="273" t="s">
        <v>278</v>
      </c>
      <c r="E79" s="274">
        <v>3.6050536000000002</v>
      </c>
      <c r="F79" s="274">
        <v>0</v>
      </c>
      <c r="G79" s="274">
        <v>0</v>
      </c>
      <c r="H79" s="274">
        <v>0</v>
      </c>
      <c r="I79" s="274">
        <v>0</v>
      </c>
      <c r="J79" s="274">
        <v>0</v>
      </c>
      <c r="K79" s="274">
        <f t="shared" si="6"/>
        <v>3.6050536000000002</v>
      </c>
      <c r="L79" s="267">
        <v>3.6050536000000002</v>
      </c>
    </row>
    <row r="80" spans="2:12" ht="24">
      <c r="B80" s="272" t="s">
        <v>271</v>
      </c>
      <c r="C80" s="272" t="s">
        <v>295</v>
      </c>
      <c r="D80" s="273" t="s">
        <v>296</v>
      </c>
      <c r="E80" s="274">
        <v>4.3594160000000004</v>
      </c>
      <c r="F80" s="274">
        <v>0</v>
      </c>
      <c r="G80" s="274">
        <v>0</v>
      </c>
      <c r="H80" s="274">
        <v>0</v>
      </c>
      <c r="I80" s="274">
        <v>3.8</v>
      </c>
      <c r="J80" s="274">
        <v>0</v>
      </c>
      <c r="K80" s="274">
        <f t="shared" si="6"/>
        <v>0.55941600000000058</v>
      </c>
      <c r="L80" s="267">
        <v>0.55941600000000058</v>
      </c>
    </row>
    <row r="81" spans="2:12">
      <c r="B81" s="272" t="s">
        <v>271</v>
      </c>
      <c r="C81" s="272" t="s">
        <v>297</v>
      </c>
      <c r="D81" s="273" t="s">
        <v>278</v>
      </c>
      <c r="E81" s="274">
        <v>4.0478845000000003</v>
      </c>
      <c r="F81" s="274">
        <v>0</v>
      </c>
      <c r="G81" s="274">
        <v>0</v>
      </c>
      <c r="H81" s="274">
        <v>0</v>
      </c>
      <c r="I81" s="274">
        <v>0</v>
      </c>
      <c r="J81" s="274">
        <v>0</v>
      </c>
      <c r="K81" s="274">
        <f t="shared" si="6"/>
        <v>4.0478845000000003</v>
      </c>
      <c r="L81" s="267">
        <v>4.0478845000000003</v>
      </c>
    </row>
    <row r="82" spans="2:12" ht="24">
      <c r="B82" s="272" t="s">
        <v>271</v>
      </c>
      <c r="C82" s="272" t="s">
        <v>298</v>
      </c>
      <c r="D82" s="273" t="s">
        <v>299</v>
      </c>
      <c r="E82" s="274">
        <v>1.6945048</v>
      </c>
      <c r="F82" s="274">
        <v>0</v>
      </c>
      <c r="G82" s="274">
        <v>0</v>
      </c>
      <c r="H82" s="274">
        <v>0</v>
      </c>
      <c r="I82" s="274">
        <v>0</v>
      </c>
      <c r="J82" s="274">
        <v>0</v>
      </c>
      <c r="K82" s="274">
        <f t="shared" si="6"/>
        <v>1.6945048</v>
      </c>
      <c r="L82" s="267">
        <v>1.6945048</v>
      </c>
    </row>
    <row r="83" spans="2:12" ht="24">
      <c r="B83" s="272" t="s">
        <v>271</v>
      </c>
      <c r="C83" s="272" t="s">
        <v>300</v>
      </c>
      <c r="D83" s="273" t="s">
        <v>301</v>
      </c>
      <c r="E83" s="274">
        <v>1.1024075</v>
      </c>
      <c r="F83" s="274">
        <v>0</v>
      </c>
      <c r="G83" s="274">
        <v>0</v>
      </c>
      <c r="H83" s="274">
        <v>0</v>
      </c>
      <c r="I83" s="274">
        <v>0</v>
      </c>
      <c r="J83" s="274">
        <v>0</v>
      </c>
      <c r="K83" s="274">
        <f t="shared" ref="K83:K146" si="10">E83-F83-G83-H83-I83-J83</f>
        <v>1.1024075</v>
      </c>
      <c r="L83" s="267">
        <v>1.1024075</v>
      </c>
    </row>
    <row r="84" spans="2:12" ht="36">
      <c r="B84" s="272" t="s">
        <v>271</v>
      </c>
      <c r="C84" s="272" t="s">
        <v>302</v>
      </c>
      <c r="D84" s="273" t="s">
        <v>303</v>
      </c>
      <c r="E84" s="274">
        <v>0.9570805</v>
      </c>
      <c r="F84" s="274">
        <v>0</v>
      </c>
      <c r="G84" s="274">
        <v>0</v>
      </c>
      <c r="H84" s="274">
        <v>0</v>
      </c>
      <c r="I84" s="274">
        <v>0</v>
      </c>
      <c r="J84" s="274">
        <v>0</v>
      </c>
      <c r="K84" s="274">
        <f t="shared" si="10"/>
        <v>0.9570805</v>
      </c>
      <c r="L84" s="267">
        <v>0.9570805</v>
      </c>
    </row>
    <row r="85" spans="2:12" ht="24">
      <c r="B85" s="272" t="s">
        <v>271</v>
      </c>
      <c r="C85" s="272" t="s">
        <v>304</v>
      </c>
      <c r="D85" s="273" t="s">
        <v>285</v>
      </c>
      <c r="E85" s="274">
        <v>0.78892949999999995</v>
      </c>
      <c r="F85" s="274">
        <v>0</v>
      </c>
      <c r="G85" s="274">
        <v>0</v>
      </c>
      <c r="H85" s="274">
        <v>0</v>
      </c>
      <c r="I85" s="274">
        <v>0</v>
      </c>
      <c r="J85" s="274">
        <v>0</v>
      </c>
      <c r="K85" s="274">
        <f t="shared" si="10"/>
        <v>0.78892949999999995</v>
      </c>
      <c r="L85" s="267">
        <v>0.78892949999999995</v>
      </c>
    </row>
    <row r="86" spans="2:12" ht="24">
      <c r="B86" s="272" t="s">
        <v>271</v>
      </c>
      <c r="C86" s="272" t="s">
        <v>305</v>
      </c>
      <c r="D86" s="273" t="s">
        <v>306</v>
      </c>
      <c r="E86" s="274">
        <v>0</v>
      </c>
      <c r="F86" s="274">
        <v>0</v>
      </c>
      <c r="G86" s="274">
        <v>0</v>
      </c>
      <c r="H86" s="274">
        <v>0</v>
      </c>
      <c r="I86" s="274">
        <v>0</v>
      </c>
      <c r="J86" s="274">
        <v>0</v>
      </c>
      <c r="K86" s="274">
        <f t="shared" si="10"/>
        <v>0</v>
      </c>
      <c r="L86" s="267">
        <v>0</v>
      </c>
    </row>
    <row r="87" spans="2:12" ht="24">
      <c r="B87" s="272" t="s">
        <v>271</v>
      </c>
      <c r="C87" s="272" t="s">
        <v>307</v>
      </c>
      <c r="D87" s="273" t="s">
        <v>308</v>
      </c>
      <c r="E87" s="274">
        <v>0.93541574999999999</v>
      </c>
      <c r="F87" s="274">
        <v>0</v>
      </c>
      <c r="G87" s="274">
        <v>0</v>
      </c>
      <c r="H87" s="274">
        <v>0</v>
      </c>
      <c r="I87" s="274">
        <v>0</v>
      </c>
      <c r="J87" s="274">
        <v>0</v>
      </c>
      <c r="K87" s="274">
        <f t="shared" si="10"/>
        <v>0.93541574999999999</v>
      </c>
      <c r="L87" s="267">
        <v>0.93541574999999999</v>
      </c>
    </row>
    <row r="88" spans="2:12" ht="24">
      <c r="B88" s="272" t="s">
        <v>271</v>
      </c>
      <c r="C88" s="272" t="s">
        <v>309</v>
      </c>
      <c r="D88" s="273" t="s">
        <v>289</v>
      </c>
      <c r="E88" s="274">
        <v>0.33853499999999997</v>
      </c>
      <c r="F88" s="274">
        <v>0</v>
      </c>
      <c r="G88" s="274">
        <v>0</v>
      </c>
      <c r="H88" s="274">
        <v>0</v>
      </c>
      <c r="I88" s="274">
        <v>0</v>
      </c>
      <c r="J88" s="274">
        <v>0</v>
      </c>
      <c r="K88" s="274">
        <f t="shared" si="10"/>
        <v>0.33853499999999997</v>
      </c>
      <c r="L88" s="267">
        <v>0.33853499999999997</v>
      </c>
    </row>
    <row r="89" spans="2:12" ht="36">
      <c r="B89" s="272" t="s">
        <v>271</v>
      </c>
      <c r="C89" s="272" t="s">
        <v>310</v>
      </c>
      <c r="D89" s="273" t="s">
        <v>311</v>
      </c>
      <c r="E89" s="274">
        <v>0</v>
      </c>
      <c r="F89" s="274">
        <v>0</v>
      </c>
      <c r="G89" s="274">
        <v>0</v>
      </c>
      <c r="H89" s="274">
        <v>0</v>
      </c>
      <c r="I89" s="274">
        <v>0</v>
      </c>
      <c r="J89" s="274">
        <v>0</v>
      </c>
      <c r="K89" s="274">
        <f t="shared" si="10"/>
        <v>0</v>
      </c>
      <c r="L89" s="267">
        <v>0</v>
      </c>
    </row>
    <row r="90" spans="2:12">
      <c r="B90" s="272" t="s">
        <v>271</v>
      </c>
      <c r="C90" s="272" t="s">
        <v>312</v>
      </c>
      <c r="D90" s="273" t="s">
        <v>313</v>
      </c>
      <c r="E90" s="274">
        <v>0</v>
      </c>
      <c r="F90" s="274">
        <v>0</v>
      </c>
      <c r="G90" s="274">
        <v>0</v>
      </c>
      <c r="H90" s="274">
        <v>0</v>
      </c>
      <c r="I90" s="274">
        <v>0</v>
      </c>
      <c r="J90" s="274">
        <v>0</v>
      </c>
      <c r="K90" s="274">
        <f t="shared" si="10"/>
        <v>0</v>
      </c>
      <c r="L90" s="267">
        <v>0</v>
      </c>
    </row>
    <row r="91" spans="2:12">
      <c r="B91" s="272" t="s">
        <v>271</v>
      </c>
      <c r="C91" s="272" t="s">
        <v>314</v>
      </c>
      <c r="D91" s="273" t="s">
        <v>313</v>
      </c>
      <c r="E91" s="274">
        <v>0</v>
      </c>
      <c r="F91" s="274">
        <v>0</v>
      </c>
      <c r="G91" s="274">
        <v>0</v>
      </c>
      <c r="H91" s="274">
        <v>0</v>
      </c>
      <c r="I91" s="274">
        <v>0</v>
      </c>
      <c r="J91" s="274">
        <v>0</v>
      </c>
      <c r="K91" s="274">
        <f t="shared" si="10"/>
        <v>0</v>
      </c>
      <c r="L91" s="267">
        <v>0</v>
      </c>
    </row>
    <row r="92" spans="2:12">
      <c r="B92" s="272" t="s">
        <v>271</v>
      </c>
      <c r="C92" s="272" t="s">
        <v>315</v>
      </c>
      <c r="D92" s="273" t="s">
        <v>313</v>
      </c>
      <c r="E92" s="274">
        <v>0</v>
      </c>
      <c r="F92" s="274">
        <v>0</v>
      </c>
      <c r="G92" s="274">
        <v>0</v>
      </c>
      <c r="H92" s="274">
        <v>0</v>
      </c>
      <c r="I92" s="274">
        <v>0</v>
      </c>
      <c r="J92" s="274">
        <v>0</v>
      </c>
      <c r="K92" s="274">
        <f t="shared" si="10"/>
        <v>0</v>
      </c>
      <c r="L92" s="267">
        <v>0</v>
      </c>
    </row>
    <row r="93" spans="2:12">
      <c r="B93" s="272" t="s">
        <v>271</v>
      </c>
      <c r="C93" s="272" t="s">
        <v>316</v>
      </c>
      <c r="D93" s="273" t="s">
        <v>313</v>
      </c>
      <c r="E93" s="274">
        <v>0</v>
      </c>
      <c r="F93" s="274">
        <v>0</v>
      </c>
      <c r="G93" s="274">
        <v>0</v>
      </c>
      <c r="H93" s="274">
        <v>0</v>
      </c>
      <c r="I93" s="274">
        <v>0</v>
      </c>
      <c r="J93" s="274">
        <v>0</v>
      </c>
      <c r="K93" s="274">
        <f t="shared" si="10"/>
        <v>0</v>
      </c>
      <c r="L93" s="267">
        <v>0</v>
      </c>
    </row>
    <row r="94" spans="2:12">
      <c r="B94" s="272" t="s">
        <v>271</v>
      </c>
      <c r="C94" s="272" t="s">
        <v>317</v>
      </c>
      <c r="D94" s="273" t="s">
        <v>313</v>
      </c>
      <c r="E94" s="274">
        <v>0</v>
      </c>
      <c r="F94" s="274">
        <v>0</v>
      </c>
      <c r="G94" s="274">
        <v>0</v>
      </c>
      <c r="H94" s="274">
        <v>0</v>
      </c>
      <c r="I94" s="274">
        <v>0</v>
      </c>
      <c r="J94" s="274">
        <v>0</v>
      </c>
      <c r="K94" s="274">
        <f t="shared" si="10"/>
        <v>0</v>
      </c>
      <c r="L94" s="267">
        <v>0</v>
      </c>
    </row>
    <row r="95" spans="2:12">
      <c r="B95" s="272" t="s">
        <v>271</v>
      </c>
      <c r="C95" s="272" t="s">
        <v>318</v>
      </c>
      <c r="D95" s="273" t="s">
        <v>313</v>
      </c>
      <c r="E95" s="274">
        <v>0</v>
      </c>
      <c r="F95" s="274">
        <v>0</v>
      </c>
      <c r="G95" s="274">
        <v>0</v>
      </c>
      <c r="H95" s="274">
        <v>0</v>
      </c>
      <c r="I95" s="274">
        <v>0</v>
      </c>
      <c r="J95" s="274">
        <v>0</v>
      </c>
      <c r="K95" s="274">
        <f t="shared" si="10"/>
        <v>0</v>
      </c>
      <c r="L95" s="267">
        <v>0</v>
      </c>
    </row>
    <row r="96" spans="2:12">
      <c r="B96" s="272" t="s">
        <v>271</v>
      </c>
      <c r="C96" s="272" t="s">
        <v>319</v>
      </c>
      <c r="D96" s="273" t="s">
        <v>313</v>
      </c>
      <c r="E96" s="274">
        <v>0</v>
      </c>
      <c r="F96" s="274">
        <v>0</v>
      </c>
      <c r="G96" s="274">
        <v>0</v>
      </c>
      <c r="H96" s="274">
        <v>0</v>
      </c>
      <c r="I96" s="274">
        <v>0</v>
      </c>
      <c r="J96" s="274">
        <v>0</v>
      </c>
      <c r="K96" s="274">
        <f t="shared" si="10"/>
        <v>0</v>
      </c>
      <c r="L96" s="267">
        <v>0</v>
      </c>
    </row>
    <row r="97" spans="2:12">
      <c r="B97" s="272" t="s">
        <v>271</v>
      </c>
      <c r="C97" s="272" t="s">
        <v>320</v>
      </c>
      <c r="D97" s="273" t="s">
        <v>313</v>
      </c>
      <c r="E97" s="274">
        <v>0</v>
      </c>
      <c r="F97" s="274">
        <v>0</v>
      </c>
      <c r="G97" s="274">
        <v>0</v>
      </c>
      <c r="H97" s="274">
        <v>0</v>
      </c>
      <c r="I97" s="274">
        <v>0</v>
      </c>
      <c r="J97" s="274">
        <v>0</v>
      </c>
      <c r="K97" s="274">
        <f t="shared" si="10"/>
        <v>0</v>
      </c>
      <c r="L97" s="267">
        <v>0</v>
      </c>
    </row>
    <row r="98" spans="2:12">
      <c r="B98" s="272" t="s">
        <v>271</v>
      </c>
      <c r="C98" s="272" t="s">
        <v>321</v>
      </c>
      <c r="D98" s="273" t="s">
        <v>313</v>
      </c>
      <c r="E98" s="274">
        <v>0</v>
      </c>
      <c r="F98" s="274">
        <v>0</v>
      </c>
      <c r="G98" s="274">
        <v>0</v>
      </c>
      <c r="H98" s="274">
        <v>0</v>
      </c>
      <c r="I98" s="274">
        <v>0</v>
      </c>
      <c r="J98" s="274">
        <v>0</v>
      </c>
      <c r="K98" s="274">
        <f t="shared" si="10"/>
        <v>0</v>
      </c>
      <c r="L98" s="267">
        <v>0</v>
      </c>
    </row>
    <row r="99" spans="2:12">
      <c r="B99" s="272" t="s">
        <v>271</v>
      </c>
      <c r="C99" s="272" t="s">
        <v>322</v>
      </c>
      <c r="D99" s="273" t="s">
        <v>313</v>
      </c>
      <c r="E99" s="274">
        <v>0</v>
      </c>
      <c r="F99" s="274">
        <v>0</v>
      </c>
      <c r="G99" s="274">
        <v>0</v>
      </c>
      <c r="H99" s="274">
        <v>0</v>
      </c>
      <c r="I99" s="274">
        <v>0</v>
      </c>
      <c r="J99" s="274">
        <v>0</v>
      </c>
      <c r="K99" s="274">
        <f t="shared" si="10"/>
        <v>0</v>
      </c>
      <c r="L99" s="267">
        <v>0</v>
      </c>
    </row>
    <row r="100" spans="2:12">
      <c r="B100" s="272" t="s">
        <v>271</v>
      </c>
      <c r="C100" s="272" t="s">
        <v>323</v>
      </c>
      <c r="D100" s="273" t="s">
        <v>313</v>
      </c>
      <c r="E100" s="274">
        <v>0</v>
      </c>
      <c r="F100" s="274">
        <v>0</v>
      </c>
      <c r="G100" s="274">
        <v>0</v>
      </c>
      <c r="H100" s="274">
        <v>0</v>
      </c>
      <c r="I100" s="274">
        <v>0</v>
      </c>
      <c r="J100" s="274">
        <v>0</v>
      </c>
      <c r="K100" s="274">
        <f t="shared" si="10"/>
        <v>0</v>
      </c>
      <c r="L100" s="267">
        <v>0</v>
      </c>
    </row>
    <row r="101" spans="2:12">
      <c r="B101" s="272" t="s">
        <v>271</v>
      </c>
      <c r="C101" s="272" t="s">
        <v>324</v>
      </c>
      <c r="D101" s="273" t="s">
        <v>313</v>
      </c>
      <c r="E101" s="274">
        <v>0</v>
      </c>
      <c r="F101" s="274">
        <v>0</v>
      </c>
      <c r="G101" s="274">
        <v>0</v>
      </c>
      <c r="H101" s="274">
        <v>0</v>
      </c>
      <c r="I101" s="274">
        <v>0</v>
      </c>
      <c r="J101" s="274">
        <v>0</v>
      </c>
      <c r="K101" s="274">
        <f t="shared" si="10"/>
        <v>0</v>
      </c>
      <c r="L101" s="267">
        <v>0</v>
      </c>
    </row>
    <row r="102" spans="2:12">
      <c r="B102" s="272" t="s">
        <v>271</v>
      </c>
      <c r="C102" s="272" t="s">
        <v>325</v>
      </c>
      <c r="D102" s="273" t="s">
        <v>313</v>
      </c>
      <c r="E102" s="274">
        <v>0</v>
      </c>
      <c r="F102" s="274">
        <v>0</v>
      </c>
      <c r="G102" s="274">
        <v>0</v>
      </c>
      <c r="H102" s="274">
        <v>0</v>
      </c>
      <c r="I102" s="274">
        <v>0</v>
      </c>
      <c r="J102" s="274">
        <v>0</v>
      </c>
      <c r="K102" s="274">
        <f t="shared" si="10"/>
        <v>0</v>
      </c>
      <c r="L102" s="267">
        <v>0</v>
      </c>
    </row>
    <row r="103" spans="2:12">
      <c r="B103" s="272" t="s">
        <v>271</v>
      </c>
      <c r="C103" s="272" t="s">
        <v>326</v>
      </c>
      <c r="D103" s="273" t="s">
        <v>313</v>
      </c>
      <c r="E103" s="274">
        <v>0</v>
      </c>
      <c r="F103" s="274">
        <v>0</v>
      </c>
      <c r="G103" s="274">
        <v>0</v>
      </c>
      <c r="H103" s="274">
        <v>0</v>
      </c>
      <c r="I103" s="274">
        <v>0</v>
      </c>
      <c r="J103" s="274">
        <v>0</v>
      </c>
      <c r="K103" s="274">
        <f t="shared" si="10"/>
        <v>0</v>
      </c>
      <c r="L103" s="267">
        <v>0</v>
      </c>
    </row>
    <row r="104" spans="2:12">
      <c r="B104" s="272" t="s">
        <v>271</v>
      </c>
      <c r="C104" s="272" t="s">
        <v>327</v>
      </c>
      <c r="D104" s="273" t="s">
        <v>313</v>
      </c>
      <c r="E104" s="274">
        <v>0</v>
      </c>
      <c r="F104" s="274">
        <v>0</v>
      </c>
      <c r="G104" s="274">
        <v>0</v>
      </c>
      <c r="H104" s="274">
        <v>0</v>
      </c>
      <c r="I104" s="274">
        <v>0</v>
      </c>
      <c r="J104" s="274">
        <v>0</v>
      </c>
      <c r="K104" s="274">
        <f t="shared" si="10"/>
        <v>0</v>
      </c>
      <c r="L104" s="267">
        <v>0</v>
      </c>
    </row>
    <row r="105" spans="2:12">
      <c r="B105" s="272" t="s">
        <v>271</v>
      </c>
      <c r="C105" s="272" t="s">
        <v>328</v>
      </c>
      <c r="D105" s="273" t="s">
        <v>313</v>
      </c>
      <c r="E105" s="274">
        <v>0</v>
      </c>
      <c r="F105" s="274">
        <v>0</v>
      </c>
      <c r="G105" s="274">
        <v>0</v>
      </c>
      <c r="H105" s="274">
        <v>0</v>
      </c>
      <c r="I105" s="274">
        <v>0</v>
      </c>
      <c r="J105" s="274">
        <v>0</v>
      </c>
      <c r="K105" s="274">
        <f t="shared" si="10"/>
        <v>0</v>
      </c>
      <c r="L105" s="267">
        <v>0</v>
      </c>
    </row>
    <row r="106" spans="2:12">
      <c r="B106" s="272" t="s">
        <v>271</v>
      </c>
      <c r="C106" s="272" t="s">
        <v>329</v>
      </c>
      <c r="D106" s="273" t="s">
        <v>313</v>
      </c>
      <c r="E106" s="274">
        <v>0</v>
      </c>
      <c r="F106" s="274">
        <v>0</v>
      </c>
      <c r="G106" s="274">
        <v>0</v>
      </c>
      <c r="H106" s="274">
        <v>0</v>
      </c>
      <c r="I106" s="274">
        <v>0</v>
      </c>
      <c r="J106" s="274">
        <v>0</v>
      </c>
      <c r="K106" s="274">
        <f t="shared" si="10"/>
        <v>0</v>
      </c>
      <c r="L106" s="267">
        <v>0</v>
      </c>
    </row>
    <row r="107" spans="2:12">
      <c r="B107" s="272" t="s">
        <v>271</v>
      </c>
      <c r="C107" s="272" t="s">
        <v>330</v>
      </c>
      <c r="D107" s="273" t="s">
        <v>313</v>
      </c>
      <c r="E107" s="274">
        <v>0</v>
      </c>
      <c r="F107" s="274">
        <v>0</v>
      </c>
      <c r="G107" s="274">
        <v>0</v>
      </c>
      <c r="H107" s="274">
        <v>0</v>
      </c>
      <c r="I107" s="274">
        <v>0</v>
      </c>
      <c r="J107" s="274">
        <v>0</v>
      </c>
      <c r="K107" s="274">
        <f t="shared" si="10"/>
        <v>0</v>
      </c>
      <c r="L107" s="267">
        <v>0</v>
      </c>
    </row>
    <row r="108" spans="2:12">
      <c r="B108" s="272" t="s">
        <v>271</v>
      </c>
      <c r="C108" s="272" t="s">
        <v>331</v>
      </c>
      <c r="D108" s="273" t="s">
        <v>313</v>
      </c>
      <c r="E108" s="274">
        <v>0</v>
      </c>
      <c r="F108" s="274">
        <v>0</v>
      </c>
      <c r="G108" s="274">
        <v>0</v>
      </c>
      <c r="H108" s="274">
        <v>0</v>
      </c>
      <c r="I108" s="274">
        <v>0</v>
      </c>
      <c r="J108" s="274">
        <v>0</v>
      </c>
      <c r="K108" s="274">
        <f t="shared" si="10"/>
        <v>0</v>
      </c>
      <c r="L108" s="267">
        <v>0</v>
      </c>
    </row>
    <row r="109" spans="2:12">
      <c r="B109" s="272" t="s">
        <v>271</v>
      </c>
      <c r="C109" s="272" t="s">
        <v>332</v>
      </c>
      <c r="D109" s="273" t="s">
        <v>313</v>
      </c>
      <c r="E109" s="274">
        <v>0</v>
      </c>
      <c r="F109" s="274">
        <v>0</v>
      </c>
      <c r="G109" s="274">
        <v>0</v>
      </c>
      <c r="H109" s="274">
        <v>0</v>
      </c>
      <c r="I109" s="274">
        <v>0</v>
      </c>
      <c r="J109" s="274">
        <v>0</v>
      </c>
      <c r="K109" s="274">
        <f t="shared" si="10"/>
        <v>0</v>
      </c>
      <c r="L109" s="267">
        <v>0</v>
      </c>
    </row>
    <row r="110" spans="2:12">
      <c r="B110" s="272" t="s">
        <v>271</v>
      </c>
      <c r="C110" s="272" t="s">
        <v>333</v>
      </c>
      <c r="D110" s="273" t="s">
        <v>313</v>
      </c>
      <c r="E110" s="274">
        <v>0</v>
      </c>
      <c r="F110" s="274">
        <v>0</v>
      </c>
      <c r="G110" s="274">
        <v>0</v>
      </c>
      <c r="H110" s="274">
        <v>0</v>
      </c>
      <c r="I110" s="274">
        <v>0</v>
      </c>
      <c r="J110" s="274">
        <v>0</v>
      </c>
      <c r="K110" s="274">
        <f t="shared" si="10"/>
        <v>0</v>
      </c>
      <c r="L110" s="267">
        <v>0</v>
      </c>
    </row>
    <row r="111" spans="2:12">
      <c r="B111" s="272" t="s">
        <v>271</v>
      </c>
      <c r="C111" s="272" t="s">
        <v>334</v>
      </c>
      <c r="D111" s="273" t="s">
        <v>313</v>
      </c>
      <c r="E111" s="274">
        <v>0</v>
      </c>
      <c r="F111" s="274">
        <v>0</v>
      </c>
      <c r="G111" s="274">
        <v>0</v>
      </c>
      <c r="H111" s="274">
        <v>0</v>
      </c>
      <c r="I111" s="274">
        <v>0</v>
      </c>
      <c r="J111" s="274">
        <v>0</v>
      </c>
      <c r="K111" s="274">
        <f t="shared" si="10"/>
        <v>0</v>
      </c>
      <c r="L111" s="267">
        <v>0</v>
      </c>
    </row>
    <row r="112" spans="2:12">
      <c r="B112" s="272" t="s">
        <v>271</v>
      </c>
      <c r="C112" s="272" t="s">
        <v>335</v>
      </c>
      <c r="D112" s="273" t="s">
        <v>313</v>
      </c>
      <c r="E112" s="274">
        <v>0</v>
      </c>
      <c r="F112" s="274">
        <v>0</v>
      </c>
      <c r="G112" s="274">
        <v>0</v>
      </c>
      <c r="H112" s="274">
        <v>0</v>
      </c>
      <c r="I112" s="274">
        <v>0</v>
      </c>
      <c r="J112" s="274">
        <v>0</v>
      </c>
      <c r="K112" s="274">
        <f t="shared" si="10"/>
        <v>0</v>
      </c>
      <c r="L112" s="267">
        <v>0</v>
      </c>
    </row>
    <row r="113" spans="2:12">
      <c r="B113" s="272" t="s">
        <v>271</v>
      </c>
      <c r="C113" s="272" t="s">
        <v>336</v>
      </c>
      <c r="D113" s="273" t="s">
        <v>313</v>
      </c>
      <c r="E113" s="274">
        <v>0</v>
      </c>
      <c r="F113" s="274">
        <v>0</v>
      </c>
      <c r="G113" s="274">
        <v>0</v>
      </c>
      <c r="H113" s="274">
        <v>0</v>
      </c>
      <c r="I113" s="274">
        <v>0</v>
      </c>
      <c r="J113" s="274">
        <v>0</v>
      </c>
      <c r="K113" s="274">
        <f t="shared" si="10"/>
        <v>0</v>
      </c>
      <c r="L113" s="267">
        <v>0</v>
      </c>
    </row>
    <row r="114" spans="2:12">
      <c r="B114" s="272" t="s">
        <v>271</v>
      </c>
      <c r="C114" s="272" t="s">
        <v>337</v>
      </c>
      <c r="D114" s="273" t="s">
        <v>313</v>
      </c>
      <c r="E114" s="274">
        <v>0</v>
      </c>
      <c r="F114" s="274">
        <v>0</v>
      </c>
      <c r="G114" s="274">
        <v>0</v>
      </c>
      <c r="H114" s="274">
        <v>0</v>
      </c>
      <c r="I114" s="274">
        <v>0</v>
      </c>
      <c r="J114" s="274">
        <v>0</v>
      </c>
      <c r="K114" s="274">
        <f t="shared" si="10"/>
        <v>0</v>
      </c>
      <c r="L114" s="267">
        <v>0</v>
      </c>
    </row>
    <row r="115" spans="2:12">
      <c r="B115" s="272" t="s">
        <v>271</v>
      </c>
      <c r="C115" s="272" t="s">
        <v>338</v>
      </c>
      <c r="D115" s="273" t="s">
        <v>313</v>
      </c>
      <c r="E115" s="274">
        <v>0</v>
      </c>
      <c r="F115" s="274">
        <v>0</v>
      </c>
      <c r="G115" s="274">
        <v>0</v>
      </c>
      <c r="H115" s="274">
        <v>0</v>
      </c>
      <c r="I115" s="274">
        <v>0</v>
      </c>
      <c r="J115" s="274">
        <v>0</v>
      </c>
      <c r="K115" s="274">
        <f t="shared" si="10"/>
        <v>0</v>
      </c>
      <c r="L115" s="267">
        <v>0</v>
      </c>
    </row>
    <row r="116" spans="2:12">
      <c r="B116" s="272" t="s">
        <v>271</v>
      </c>
      <c r="C116" s="272" t="s">
        <v>339</v>
      </c>
      <c r="D116" s="273" t="s">
        <v>313</v>
      </c>
      <c r="E116" s="274">
        <v>0</v>
      </c>
      <c r="F116" s="274">
        <v>0</v>
      </c>
      <c r="G116" s="274">
        <v>0</v>
      </c>
      <c r="H116" s="274">
        <v>0</v>
      </c>
      <c r="I116" s="274">
        <v>0</v>
      </c>
      <c r="J116" s="274">
        <v>0</v>
      </c>
      <c r="K116" s="274">
        <f t="shared" si="10"/>
        <v>0</v>
      </c>
      <c r="L116" s="267">
        <v>0</v>
      </c>
    </row>
    <row r="117" spans="2:12">
      <c r="B117" s="272" t="s">
        <v>271</v>
      </c>
      <c r="C117" s="272" t="s">
        <v>340</v>
      </c>
      <c r="D117" s="273" t="s">
        <v>341</v>
      </c>
      <c r="E117" s="274">
        <v>0</v>
      </c>
      <c r="F117" s="274">
        <v>0</v>
      </c>
      <c r="G117" s="274">
        <v>0</v>
      </c>
      <c r="H117" s="274">
        <v>0</v>
      </c>
      <c r="I117" s="274">
        <v>0</v>
      </c>
      <c r="J117" s="274">
        <v>0</v>
      </c>
      <c r="K117" s="274">
        <f t="shared" si="10"/>
        <v>0</v>
      </c>
      <c r="L117" s="267">
        <v>0</v>
      </c>
    </row>
    <row r="118" spans="2:12">
      <c r="B118" s="272" t="s">
        <v>342</v>
      </c>
      <c r="C118" s="272" t="s">
        <v>342</v>
      </c>
      <c r="D118" s="272" t="s">
        <v>343</v>
      </c>
      <c r="E118" s="274">
        <v>0</v>
      </c>
      <c r="F118" s="274">
        <v>0</v>
      </c>
      <c r="G118" s="274">
        <v>0</v>
      </c>
      <c r="H118" s="274">
        <v>0</v>
      </c>
      <c r="I118" s="274">
        <v>0</v>
      </c>
      <c r="J118" s="274">
        <v>0</v>
      </c>
      <c r="K118" s="274">
        <f t="shared" si="10"/>
        <v>0</v>
      </c>
      <c r="L118" s="267">
        <v>0</v>
      </c>
    </row>
    <row r="119" spans="2:12">
      <c r="B119" s="272" t="s">
        <v>342</v>
      </c>
      <c r="C119" s="272" t="s">
        <v>342</v>
      </c>
      <c r="D119" s="272" t="s">
        <v>344</v>
      </c>
      <c r="E119" s="274">
        <v>0</v>
      </c>
      <c r="F119" s="274">
        <v>0</v>
      </c>
      <c r="G119" s="274">
        <v>0</v>
      </c>
      <c r="H119" s="274">
        <v>0</v>
      </c>
      <c r="I119" s="274">
        <v>0</v>
      </c>
      <c r="J119" s="274">
        <v>0</v>
      </c>
      <c r="K119" s="274">
        <f t="shared" si="10"/>
        <v>0</v>
      </c>
      <c r="L119" s="267">
        <v>0</v>
      </c>
    </row>
    <row r="120" spans="2:12">
      <c r="B120" s="272" t="s">
        <v>342</v>
      </c>
      <c r="C120" s="272" t="s">
        <v>342</v>
      </c>
      <c r="D120" s="272" t="s">
        <v>345</v>
      </c>
      <c r="E120" s="274">
        <v>0</v>
      </c>
      <c r="F120" s="274">
        <v>0</v>
      </c>
      <c r="G120" s="274">
        <v>0</v>
      </c>
      <c r="H120" s="274">
        <v>0</v>
      </c>
      <c r="I120" s="274">
        <v>0</v>
      </c>
      <c r="J120" s="274">
        <v>0</v>
      </c>
      <c r="K120" s="274">
        <f t="shared" si="10"/>
        <v>0</v>
      </c>
      <c r="L120" s="267">
        <v>0</v>
      </c>
    </row>
    <row r="121" spans="2:12">
      <c r="B121" s="272" t="s">
        <v>342</v>
      </c>
      <c r="C121" s="272" t="s">
        <v>342</v>
      </c>
      <c r="D121" s="272" t="s">
        <v>346</v>
      </c>
      <c r="E121" s="274">
        <v>0</v>
      </c>
      <c r="F121" s="274">
        <v>0</v>
      </c>
      <c r="G121" s="274">
        <v>0</v>
      </c>
      <c r="H121" s="274">
        <v>0</v>
      </c>
      <c r="I121" s="274">
        <v>0</v>
      </c>
      <c r="J121" s="274">
        <v>0</v>
      </c>
      <c r="K121" s="274">
        <f t="shared" si="10"/>
        <v>0</v>
      </c>
      <c r="L121" s="267">
        <v>0</v>
      </c>
    </row>
    <row r="122" spans="2:12">
      <c r="B122" s="272" t="s">
        <v>342</v>
      </c>
      <c r="C122" s="272" t="s">
        <v>342</v>
      </c>
      <c r="D122" s="272" t="s">
        <v>199</v>
      </c>
      <c r="E122" s="274">
        <v>0</v>
      </c>
      <c r="F122" s="274">
        <v>0</v>
      </c>
      <c r="G122" s="274">
        <v>0</v>
      </c>
      <c r="H122" s="274">
        <v>0</v>
      </c>
      <c r="I122" s="274">
        <v>0</v>
      </c>
      <c r="J122" s="274">
        <v>0</v>
      </c>
      <c r="K122" s="274">
        <f t="shared" si="10"/>
        <v>0</v>
      </c>
      <c r="L122" s="267">
        <v>0</v>
      </c>
    </row>
    <row r="123" spans="2:12">
      <c r="B123" s="272" t="s">
        <v>342</v>
      </c>
      <c r="C123" s="272" t="s">
        <v>342</v>
      </c>
      <c r="D123" s="272" t="s">
        <v>347</v>
      </c>
      <c r="E123" s="274">
        <v>0</v>
      </c>
      <c r="F123" s="274">
        <v>0</v>
      </c>
      <c r="G123" s="274">
        <v>0</v>
      </c>
      <c r="H123" s="274">
        <v>0</v>
      </c>
      <c r="I123" s="274">
        <v>0</v>
      </c>
      <c r="J123" s="274">
        <v>0</v>
      </c>
      <c r="K123" s="274">
        <f t="shared" si="10"/>
        <v>0</v>
      </c>
      <c r="L123" s="267">
        <v>0</v>
      </c>
    </row>
    <row r="124" spans="2:12">
      <c r="B124" s="272" t="s">
        <v>342</v>
      </c>
      <c r="C124" s="272" t="s">
        <v>342</v>
      </c>
      <c r="D124" s="272" t="s">
        <v>348</v>
      </c>
      <c r="E124" s="274">
        <v>0</v>
      </c>
      <c r="F124" s="274">
        <v>0</v>
      </c>
      <c r="G124" s="274">
        <v>0</v>
      </c>
      <c r="H124" s="274">
        <v>0</v>
      </c>
      <c r="I124" s="274">
        <v>0</v>
      </c>
      <c r="J124" s="274">
        <v>0</v>
      </c>
      <c r="K124" s="274">
        <f t="shared" si="10"/>
        <v>0</v>
      </c>
      <c r="L124" s="267">
        <v>0</v>
      </c>
    </row>
    <row r="125" spans="2:12">
      <c r="B125" s="272" t="s">
        <v>349</v>
      </c>
      <c r="C125" s="272" t="s">
        <v>342</v>
      </c>
      <c r="D125" s="272" t="s">
        <v>350</v>
      </c>
      <c r="E125" s="274">
        <v>0</v>
      </c>
      <c r="F125" s="274">
        <v>0</v>
      </c>
      <c r="G125" s="274">
        <v>0</v>
      </c>
      <c r="H125" s="274">
        <v>0</v>
      </c>
      <c r="I125" s="274">
        <v>0</v>
      </c>
      <c r="J125" s="274">
        <v>0</v>
      </c>
      <c r="K125" s="274">
        <f t="shared" si="10"/>
        <v>0</v>
      </c>
      <c r="L125" s="267">
        <v>0</v>
      </c>
    </row>
    <row r="126" spans="2:12">
      <c r="B126" s="272" t="s">
        <v>342</v>
      </c>
      <c r="C126" s="272" t="s">
        <v>342</v>
      </c>
      <c r="D126" s="272" t="s">
        <v>351</v>
      </c>
      <c r="E126" s="274">
        <v>0</v>
      </c>
      <c r="F126" s="274">
        <v>0</v>
      </c>
      <c r="G126" s="274">
        <v>0</v>
      </c>
      <c r="H126" s="274">
        <v>0</v>
      </c>
      <c r="I126" s="274">
        <v>0</v>
      </c>
      <c r="J126" s="274">
        <v>0</v>
      </c>
      <c r="K126" s="274">
        <f t="shared" si="10"/>
        <v>0</v>
      </c>
      <c r="L126" s="267">
        <v>0</v>
      </c>
    </row>
    <row r="127" spans="2:12">
      <c r="B127" s="272" t="s">
        <v>342</v>
      </c>
      <c r="C127" s="272" t="s">
        <v>342</v>
      </c>
      <c r="D127" s="272" t="s">
        <v>352</v>
      </c>
      <c r="E127" s="274">
        <v>0</v>
      </c>
      <c r="F127" s="274">
        <v>0</v>
      </c>
      <c r="G127" s="274">
        <v>0</v>
      </c>
      <c r="H127" s="274">
        <v>0</v>
      </c>
      <c r="I127" s="274">
        <v>0</v>
      </c>
      <c r="J127" s="274">
        <v>0</v>
      </c>
      <c r="K127" s="274">
        <f t="shared" si="10"/>
        <v>0</v>
      </c>
      <c r="L127" s="267">
        <v>0</v>
      </c>
    </row>
    <row r="128" spans="2:12">
      <c r="B128" s="272" t="s">
        <v>342</v>
      </c>
      <c r="C128" s="272" t="s">
        <v>342</v>
      </c>
      <c r="D128" s="272" t="s">
        <v>353</v>
      </c>
      <c r="E128" s="274">
        <v>0</v>
      </c>
      <c r="F128" s="274">
        <v>0</v>
      </c>
      <c r="G128" s="274">
        <v>0</v>
      </c>
      <c r="H128" s="274">
        <v>0</v>
      </c>
      <c r="I128" s="274">
        <v>0</v>
      </c>
      <c r="J128" s="274">
        <v>0</v>
      </c>
      <c r="K128" s="274">
        <f t="shared" si="10"/>
        <v>0</v>
      </c>
      <c r="L128" s="267">
        <v>0</v>
      </c>
    </row>
    <row r="129" spans="2:12">
      <c r="B129" s="272" t="s">
        <v>342</v>
      </c>
      <c r="C129" s="272" t="s">
        <v>342</v>
      </c>
      <c r="D129" s="272" t="s">
        <v>354</v>
      </c>
      <c r="E129" s="274">
        <v>0</v>
      </c>
      <c r="F129" s="274">
        <v>0</v>
      </c>
      <c r="G129" s="274">
        <v>0</v>
      </c>
      <c r="H129" s="274">
        <v>0</v>
      </c>
      <c r="I129" s="274">
        <v>0</v>
      </c>
      <c r="J129" s="274">
        <v>0</v>
      </c>
      <c r="K129" s="274">
        <f t="shared" si="10"/>
        <v>0</v>
      </c>
      <c r="L129" s="267">
        <v>0</v>
      </c>
    </row>
    <row r="130" spans="2:12">
      <c r="B130" s="272" t="s">
        <v>342</v>
      </c>
      <c r="C130" s="272" t="s">
        <v>342</v>
      </c>
      <c r="D130" s="272" t="s">
        <v>355</v>
      </c>
      <c r="E130" s="274">
        <v>0</v>
      </c>
      <c r="F130" s="274">
        <v>0</v>
      </c>
      <c r="G130" s="274">
        <v>0</v>
      </c>
      <c r="H130" s="274">
        <v>0</v>
      </c>
      <c r="I130" s="274">
        <v>0</v>
      </c>
      <c r="J130" s="274">
        <v>0</v>
      </c>
      <c r="K130" s="274">
        <f t="shared" si="10"/>
        <v>0</v>
      </c>
      <c r="L130" s="267">
        <v>0</v>
      </c>
    </row>
    <row r="131" spans="2:12">
      <c r="B131" s="272" t="s">
        <v>342</v>
      </c>
      <c r="C131" s="272" t="s">
        <v>342</v>
      </c>
      <c r="D131" s="272" t="s">
        <v>350</v>
      </c>
      <c r="E131" s="274">
        <v>0</v>
      </c>
      <c r="F131" s="274">
        <v>0</v>
      </c>
      <c r="G131" s="274">
        <v>0</v>
      </c>
      <c r="H131" s="274">
        <v>0</v>
      </c>
      <c r="I131" s="274">
        <v>0</v>
      </c>
      <c r="J131" s="274">
        <v>0</v>
      </c>
      <c r="K131" s="274">
        <f t="shared" si="10"/>
        <v>0</v>
      </c>
      <c r="L131" s="267">
        <v>0</v>
      </c>
    </row>
    <row r="132" spans="2:12">
      <c r="B132" s="272" t="s">
        <v>342</v>
      </c>
      <c r="C132" s="272" t="s">
        <v>342</v>
      </c>
      <c r="D132" s="272" t="s">
        <v>356</v>
      </c>
      <c r="E132" s="274">
        <v>0</v>
      </c>
      <c r="F132" s="274">
        <v>0</v>
      </c>
      <c r="G132" s="274">
        <v>0</v>
      </c>
      <c r="H132" s="274">
        <v>0</v>
      </c>
      <c r="I132" s="274">
        <v>0</v>
      </c>
      <c r="J132" s="274">
        <v>0</v>
      </c>
      <c r="K132" s="274">
        <f t="shared" si="10"/>
        <v>0</v>
      </c>
      <c r="L132" s="267">
        <v>0</v>
      </c>
    </row>
    <row r="133" spans="2:12">
      <c r="B133" s="272" t="s">
        <v>342</v>
      </c>
      <c r="C133" s="272" t="s">
        <v>342</v>
      </c>
      <c r="D133" s="272" t="s">
        <v>357</v>
      </c>
      <c r="E133" s="274">
        <v>0</v>
      </c>
      <c r="F133" s="274">
        <v>0</v>
      </c>
      <c r="G133" s="274">
        <v>0</v>
      </c>
      <c r="H133" s="274">
        <v>0</v>
      </c>
      <c r="I133" s="274">
        <v>0</v>
      </c>
      <c r="J133" s="274">
        <v>0</v>
      </c>
      <c r="K133" s="274">
        <f t="shared" si="10"/>
        <v>0</v>
      </c>
      <c r="L133" s="267">
        <v>0</v>
      </c>
    </row>
    <row r="134" spans="2:12" ht="48">
      <c r="B134" s="272" t="s">
        <v>342</v>
      </c>
      <c r="C134" s="272" t="s">
        <v>342</v>
      </c>
      <c r="D134" s="273" t="s">
        <v>358</v>
      </c>
      <c r="E134" s="274">
        <v>0</v>
      </c>
      <c r="F134" s="274">
        <v>0</v>
      </c>
      <c r="G134" s="274">
        <v>0</v>
      </c>
      <c r="H134" s="274">
        <v>0</v>
      </c>
      <c r="I134" s="274">
        <v>0</v>
      </c>
      <c r="J134" s="274">
        <v>0</v>
      </c>
      <c r="K134" s="274">
        <f t="shared" si="10"/>
        <v>0</v>
      </c>
      <c r="L134" s="267">
        <v>0</v>
      </c>
    </row>
    <row r="135" spans="2:12">
      <c r="B135" s="272" t="s">
        <v>342</v>
      </c>
      <c r="C135" s="272" t="s">
        <v>342</v>
      </c>
      <c r="D135" s="272" t="s">
        <v>359</v>
      </c>
      <c r="E135" s="274">
        <v>0</v>
      </c>
      <c r="F135" s="274">
        <v>0</v>
      </c>
      <c r="G135" s="274">
        <v>0</v>
      </c>
      <c r="H135" s="274">
        <v>0</v>
      </c>
      <c r="I135" s="274">
        <v>0</v>
      </c>
      <c r="J135" s="274">
        <v>0</v>
      </c>
      <c r="K135" s="274">
        <f t="shared" si="10"/>
        <v>0</v>
      </c>
      <c r="L135" s="267">
        <v>0</v>
      </c>
    </row>
    <row r="136" spans="2:12">
      <c r="B136" s="272" t="s">
        <v>342</v>
      </c>
      <c r="C136" s="272" t="s">
        <v>342</v>
      </c>
      <c r="D136" s="272" t="s">
        <v>360</v>
      </c>
      <c r="E136" s="274">
        <v>0</v>
      </c>
      <c r="F136" s="274">
        <v>0</v>
      </c>
      <c r="G136" s="274">
        <v>0</v>
      </c>
      <c r="H136" s="274">
        <v>0</v>
      </c>
      <c r="I136" s="274">
        <v>0</v>
      </c>
      <c r="J136" s="274">
        <v>0</v>
      </c>
      <c r="K136" s="274">
        <f t="shared" si="10"/>
        <v>0</v>
      </c>
      <c r="L136" s="267">
        <v>0</v>
      </c>
    </row>
    <row r="137" spans="2:12">
      <c r="B137" s="272" t="s">
        <v>342</v>
      </c>
      <c r="C137" s="272" t="s">
        <v>342</v>
      </c>
      <c r="D137" s="272" t="s">
        <v>361</v>
      </c>
      <c r="E137" s="274">
        <v>0</v>
      </c>
      <c r="F137" s="274">
        <v>0</v>
      </c>
      <c r="G137" s="274">
        <v>0</v>
      </c>
      <c r="H137" s="274">
        <v>0</v>
      </c>
      <c r="I137" s="274">
        <v>0</v>
      </c>
      <c r="J137" s="274">
        <v>0</v>
      </c>
      <c r="K137" s="274">
        <f t="shared" si="10"/>
        <v>0</v>
      </c>
      <c r="L137" s="267">
        <v>0</v>
      </c>
    </row>
    <row r="138" spans="2:12">
      <c r="B138" s="272" t="s">
        <v>342</v>
      </c>
      <c r="C138" s="272" t="s">
        <v>342</v>
      </c>
      <c r="D138" s="272" t="s">
        <v>362</v>
      </c>
      <c r="E138" s="274">
        <v>0</v>
      </c>
      <c r="F138" s="274">
        <v>0</v>
      </c>
      <c r="G138" s="274">
        <v>0</v>
      </c>
      <c r="H138" s="274">
        <v>0</v>
      </c>
      <c r="I138" s="274">
        <v>0</v>
      </c>
      <c r="J138" s="274">
        <v>0</v>
      </c>
      <c r="K138" s="274">
        <f t="shared" si="10"/>
        <v>0</v>
      </c>
      <c r="L138" s="267">
        <v>0</v>
      </c>
    </row>
    <row r="139" spans="2:12" ht="24">
      <c r="B139" s="272" t="s">
        <v>363</v>
      </c>
      <c r="C139" s="272" t="s">
        <v>364</v>
      </c>
      <c r="D139" s="273" t="s">
        <v>365</v>
      </c>
      <c r="E139" s="274">
        <v>0</v>
      </c>
      <c r="F139" s="274">
        <v>0</v>
      </c>
      <c r="G139" s="274">
        <v>0</v>
      </c>
      <c r="H139" s="274">
        <v>0</v>
      </c>
      <c r="I139" s="274">
        <v>0</v>
      </c>
      <c r="J139" s="274">
        <v>0</v>
      </c>
      <c r="K139" s="274">
        <f t="shared" si="10"/>
        <v>0</v>
      </c>
      <c r="L139" s="267">
        <v>0</v>
      </c>
    </row>
    <row r="140" spans="2:12">
      <c r="B140" s="272" t="s">
        <v>363</v>
      </c>
      <c r="C140" s="272" t="s">
        <v>366</v>
      </c>
      <c r="D140" s="273" t="s">
        <v>367</v>
      </c>
      <c r="E140" s="274">
        <v>4.4482672000000001</v>
      </c>
      <c r="F140" s="274">
        <v>0</v>
      </c>
      <c r="G140" s="274">
        <v>0</v>
      </c>
      <c r="H140" s="274">
        <v>0</v>
      </c>
      <c r="I140" s="274">
        <v>0</v>
      </c>
      <c r="J140" s="274">
        <v>0</v>
      </c>
      <c r="K140" s="274">
        <f t="shared" si="10"/>
        <v>4.4482672000000001</v>
      </c>
      <c r="L140" s="267">
        <v>0</v>
      </c>
    </row>
    <row r="141" spans="2:12" ht="36">
      <c r="B141" s="272" t="s">
        <v>363</v>
      </c>
      <c r="C141" s="272" t="s">
        <v>368</v>
      </c>
      <c r="D141" s="273" t="s">
        <v>369</v>
      </c>
      <c r="E141" s="274">
        <v>5.6833575700000001</v>
      </c>
      <c r="F141" s="274">
        <v>5</v>
      </c>
      <c r="G141" s="274"/>
      <c r="H141" s="274">
        <v>0</v>
      </c>
      <c r="I141" s="274">
        <v>0</v>
      </c>
      <c r="J141" s="274">
        <v>0</v>
      </c>
      <c r="K141" s="274">
        <f t="shared" si="10"/>
        <v>0.68335757000000008</v>
      </c>
      <c r="L141" s="267">
        <v>3.3575700000000319E-3</v>
      </c>
    </row>
    <row r="142" spans="2:12">
      <c r="B142" s="272" t="s">
        <v>363</v>
      </c>
      <c r="C142" s="272" t="s">
        <v>370</v>
      </c>
      <c r="D142" s="273" t="s">
        <v>371</v>
      </c>
      <c r="E142" s="274">
        <v>5.4318524999999998</v>
      </c>
      <c r="F142" s="274">
        <v>0</v>
      </c>
      <c r="G142" s="274">
        <v>0</v>
      </c>
      <c r="H142" s="274">
        <v>0</v>
      </c>
      <c r="I142" s="274">
        <v>0</v>
      </c>
      <c r="J142" s="274">
        <v>0</v>
      </c>
      <c r="K142" s="274">
        <f t="shared" si="10"/>
        <v>5.4318524999999998</v>
      </c>
      <c r="L142" s="267">
        <v>4.3318525000000001</v>
      </c>
    </row>
    <row r="143" spans="2:12">
      <c r="B143" s="272" t="s">
        <v>363</v>
      </c>
      <c r="C143" s="272" t="s">
        <v>372</v>
      </c>
      <c r="D143" s="273" t="s">
        <v>373</v>
      </c>
      <c r="E143" s="274">
        <v>2.446291204</v>
      </c>
      <c r="F143" s="274">
        <v>0</v>
      </c>
      <c r="G143" s="274">
        <v>0</v>
      </c>
      <c r="H143" s="274">
        <v>0</v>
      </c>
      <c r="I143" s="274">
        <v>0</v>
      </c>
      <c r="J143" s="274"/>
      <c r="K143" s="274">
        <f t="shared" si="10"/>
        <v>2.446291204</v>
      </c>
      <c r="L143" s="267">
        <v>1.1062912039999999</v>
      </c>
    </row>
    <row r="144" spans="2:12" ht="24">
      <c r="B144" s="272" t="s">
        <v>363</v>
      </c>
      <c r="C144" s="272" t="s">
        <v>374</v>
      </c>
      <c r="D144" s="273" t="s">
        <v>375</v>
      </c>
      <c r="E144" s="274">
        <v>2.8012896</v>
      </c>
      <c r="F144" s="274">
        <v>0</v>
      </c>
      <c r="G144" s="274">
        <v>0</v>
      </c>
      <c r="H144" s="274">
        <v>0</v>
      </c>
      <c r="I144" s="274">
        <v>2.8</v>
      </c>
      <c r="J144" s="274">
        <v>0</v>
      </c>
      <c r="K144" s="274">
        <f t="shared" si="10"/>
        <v>1.2896000000002239E-3</v>
      </c>
      <c r="L144" s="267">
        <v>1.2896000000002239E-3</v>
      </c>
    </row>
    <row r="145" spans="2:12">
      <c r="B145" s="272" t="s">
        <v>363</v>
      </c>
      <c r="C145" s="272" t="s">
        <v>376</v>
      </c>
      <c r="D145" s="273"/>
      <c r="E145" s="274">
        <v>0</v>
      </c>
      <c r="F145" s="274">
        <v>0</v>
      </c>
      <c r="G145" s="274">
        <v>0</v>
      </c>
      <c r="H145" s="274">
        <v>0</v>
      </c>
      <c r="I145" s="274">
        <v>0</v>
      </c>
      <c r="J145" s="274">
        <v>0</v>
      </c>
      <c r="K145" s="274">
        <f t="shared" si="10"/>
        <v>0</v>
      </c>
      <c r="L145" s="267">
        <v>0</v>
      </c>
    </row>
    <row r="146" spans="2:12" ht="72">
      <c r="B146" s="272" t="s">
        <v>363</v>
      </c>
      <c r="C146" s="272" t="s">
        <v>377</v>
      </c>
      <c r="D146" s="273" t="s">
        <v>378</v>
      </c>
      <c r="E146" s="274">
        <v>0</v>
      </c>
      <c r="F146" s="274">
        <v>0</v>
      </c>
      <c r="G146" s="274">
        <v>0</v>
      </c>
      <c r="H146" s="274">
        <v>0</v>
      </c>
      <c r="I146" s="274">
        <v>0</v>
      </c>
      <c r="J146" s="274">
        <v>0</v>
      </c>
      <c r="K146" s="274">
        <f t="shared" si="10"/>
        <v>0</v>
      </c>
      <c r="L146" s="267">
        <v>0</v>
      </c>
    </row>
    <row r="147" spans="2:12" ht="24">
      <c r="B147" s="272" t="s">
        <v>363</v>
      </c>
      <c r="C147" s="272" t="s">
        <v>379</v>
      </c>
      <c r="D147" s="273" t="s">
        <v>365</v>
      </c>
      <c r="E147" s="274">
        <v>0</v>
      </c>
      <c r="F147" s="274">
        <v>0</v>
      </c>
      <c r="G147" s="274">
        <v>0</v>
      </c>
      <c r="H147" s="274">
        <v>0</v>
      </c>
      <c r="I147" s="274">
        <v>0</v>
      </c>
      <c r="J147" s="274">
        <v>0</v>
      </c>
      <c r="K147" s="274">
        <f t="shared" ref="K147:K173" si="11">E147-F147-G147-H147-I147-J147</f>
        <v>0</v>
      </c>
      <c r="L147" s="267">
        <v>0</v>
      </c>
    </row>
    <row r="148" spans="2:12" ht="24">
      <c r="B148" s="272" t="s">
        <v>363</v>
      </c>
      <c r="C148" s="272" t="s">
        <v>380</v>
      </c>
      <c r="D148" s="273" t="s">
        <v>381</v>
      </c>
      <c r="E148" s="274">
        <v>-9.3837E-3</v>
      </c>
      <c r="F148" s="274"/>
      <c r="G148" s="274">
        <v>0</v>
      </c>
      <c r="H148" s="274">
        <v>0</v>
      </c>
      <c r="I148" s="274">
        <v>0</v>
      </c>
      <c r="J148" s="274">
        <v>0</v>
      </c>
      <c r="K148" s="274">
        <f t="shared" si="11"/>
        <v>-9.3837E-3</v>
      </c>
      <c r="L148" s="267">
        <v>0</v>
      </c>
    </row>
    <row r="149" spans="2:12">
      <c r="B149" s="272" t="s">
        <v>363</v>
      </c>
      <c r="C149" s="272" t="s">
        <v>382</v>
      </c>
      <c r="D149" s="273" t="s">
        <v>373</v>
      </c>
      <c r="E149" s="274">
        <v>2.650078857</v>
      </c>
      <c r="F149" s="274">
        <v>0</v>
      </c>
      <c r="G149" s="274">
        <v>0</v>
      </c>
      <c r="H149" s="274">
        <v>0</v>
      </c>
      <c r="I149" s="274">
        <v>0</v>
      </c>
      <c r="J149" s="274"/>
      <c r="K149" s="274">
        <f t="shared" si="11"/>
        <v>2.650078857</v>
      </c>
      <c r="L149" s="267">
        <v>1.940078857</v>
      </c>
    </row>
    <row r="150" spans="2:12" ht="36">
      <c r="B150" s="272" t="s">
        <v>363</v>
      </c>
      <c r="C150" s="272" t="s">
        <v>383</v>
      </c>
      <c r="D150" s="273" t="s">
        <v>384</v>
      </c>
      <c r="E150" s="274">
        <v>0</v>
      </c>
      <c r="F150" s="274">
        <v>0</v>
      </c>
      <c r="G150" s="274">
        <v>0</v>
      </c>
      <c r="H150" s="274">
        <v>0</v>
      </c>
      <c r="I150" s="274">
        <v>0</v>
      </c>
      <c r="J150" s="274">
        <v>0</v>
      </c>
      <c r="K150" s="274">
        <f t="shared" si="11"/>
        <v>0</v>
      </c>
      <c r="L150" s="267">
        <v>0</v>
      </c>
    </row>
    <row r="151" spans="2:12" ht="48">
      <c r="B151" s="272" t="s">
        <v>363</v>
      </c>
      <c r="C151" s="272" t="s">
        <v>385</v>
      </c>
      <c r="D151" s="273" t="s">
        <v>386</v>
      </c>
      <c r="E151" s="274">
        <v>0</v>
      </c>
      <c r="F151" s="274">
        <v>0</v>
      </c>
      <c r="G151" s="274">
        <v>0</v>
      </c>
      <c r="H151" s="274">
        <v>0</v>
      </c>
      <c r="I151" s="274">
        <v>0</v>
      </c>
      <c r="J151" s="274">
        <v>0</v>
      </c>
      <c r="K151" s="274">
        <f t="shared" si="11"/>
        <v>0</v>
      </c>
      <c r="L151" s="267">
        <v>0</v>
      </c>
    </row>
    <row r="152" spans="2:12">
      <c r="B152" s="272" t="s">
        <v>363</v>
      </c>
      <c r="C152" s="272" t="s">
        <v>387</v>
      </c>
      <c r="D152" s="273" t="s">
        <v>388</v>
      </c>
      <c r="E152" s="274">
        <v>0</v>
      </c>
      <c r="F152" s="274">
        <v>0</v>
      </c>
      <c r="G152" s="274">
        <v>0</v>
      </c>
      <c r="H152" s="274">
        <v>0</v>
      </c>
      <c r="I152" s="274">
        <v>0</v>
      </c>
      <c r="J152" s="274">
        <v>0</v>
      </c>
      <c r="K152" s="274">
        <f t="shared" si="11"/>
        <v>0</v>
      </c>
      <c r="L152" s="267">
        <v>0</v>
      </c>
    </row>
    <row r="153" spans="2:12" ht="48">
      <c r="B153" s="272" t="s">
        <v>363</v>
      </c>
      <c r="C153" s="272" t="s">
        <v>389</v>
      </c>
      <c r="D153" s="273" t="s">
        <v>390</v>
      </c>
      <c r="E153" s="274">
        <v>0</v>
      </c>
      <c r="F153" s="274">
        <v>0</v>
      </c>
      <c r="G153" s="274">
        <v>0</v>
      </c>
      <c r="H153" s="274">
        <v>0</v>
      </c>
      <c r="I153" s="274">
        <v>0</v>
      </c>
      <c r="J153" s="274">
        <v>0</v>
      </c>
      <c r="K153" s="274">
        <f t="shared" si="11"/>
        <v>0</v>
      </c>
      <c r="L153" s="267">
        <v>0</v>
      </c>
    </row>
    <row r="154" spans="2:12" ht="24">
      <c r="B154" s="272" t="s">
        <v>363</v>
      </c>
      <c r="C154" s="272" t="s">
        <v>391</v>
      </c>
      <c r="D154" s="273" t="s">
        <v>392</v>
      </c>
      <c r="E154" s="274">
        <v>-1.2234500000000001E-2</v>
      </c>
      <c r="F154" s="274">
        <v>0</v>
      </c>
      <c r="G154" s="274">
        <v>0</v>
      </c>
      <c r="H154" s="274">
        <v>0</v>
      </c>
      <c r="I154" s="274">
        <v>0</v>
      </c>
      <c r="J154" s="274">
        <v>0</v>
      </c>
      <c r="K154" s="274">
        <f t="shared" si="11"/>
        <v>-1.2234500000000001E-2</v>
      </c>
      <c r="L154" s="267">
        <v>0</v>
      </c>
    </row>
    <row r="155" spans="2:12">
      <c r="B155" s="272" t="s">
        <v>363</v>
      </c>
      <c r="C155" s="272" t="s">
        <v>393</v>
      </c>
      <c r="D155" s="273" t="s">
        <v>388</v>
      </c>
      <c r="E155" s="274">
        <v>0</v>
      </c>
      <c r="F155" s="274">
        <v>0</v>
      </c>
      <c r="G155" s="274">
        <v>0</v>
      </c>
      <c r="H155" s="274">
        <v>0</v>
      </c>
      <c r="I155" s="274">
        <v>0</v>
      </c>
      <c r="J155" s="274">
        <v>0</v>
      </c>
      <c r="K155" s="274">
        <f t="shared" si="11"/>
        <v>0</v>
      </c>
      <c r="L155" s="267">
        <v>0</v>
      </c>
    </row>
    <row r="156" spans="2:12">
      <c r="B156" s="272" t="s">
        <v>363</v>
      </c>
      <c r="C156" s="272" t="s">
        <v>394</v>
      </c>
      <c r="D156" s="273" t="s">
        <v>395</v>
      </c>
      <c r="E156" s="274">
        <v>0</v>
      </c>
      <c r="F156" s="274">
        <v>0</v>
      </c>
      <c r="G156" s="274">
        <v>0</v>
      </c>
      <c r="H156" s="274">
        <v>0</v>
      </c>
      <c r="I156" s="274">
        <v>0</v>
      </c>
      <c r="J156" s="274">
        <v>0</v>
      </c>
      <c r="K156" s="274">
        <f t="shared" si="11"/>
        <v>0</v>
      </c>
      <c r="L156" s="267">
        <v>0</v>
      </c>
    </row>
    <row r="157" spans="2:12" ht="48">
      <c r="B157" s="272" t="s">
        <v>363</v>
      </c>
      <c r="C157" s="272" t="s">
        <v>396</v>
      </c>
      <c r="D157" s="273" t="s">
        <v>397</v>
      </c>
      <c r="E157" s="274">
        <v>0</v>
      </c>
      <c r="F157" s="274">
        <v>0</v>
      </c>
      <c r="G157" s="274">
        <v>0</v>
      </c>
      <c r="H157" s="274">
        <v>0</v>
      </c>
      <c r="I157" s="274">
        <v>0</v>
      </c>
      <c r="J157" s="274">
        <v>0</v>
      </c>
      <c r="K157" s="274">
        <f t="shared" si="11"/>
        <v>0</v>
      </c>
      <c r="L157" s="267">
        <v>0</v>
      </c>
    </row>
    <row r="158" spans="2:12">
      <c r="B158" s="272" t="s">
        <v>363</v>
      </c>
      <c r="C158" s="272" t="s">
        <v>398</v>
      </c>
      <c r="D158" s="273"/>
      <c r="E158" s="274">
        <v>0</v>
      </c>
      <c r="F158" s="274">
        <v>0</v>
      </c>
      <c r="G158" s="274">
        <v>0</v>
      </c>
      <c r="H158" s="274">
        <v>0</v>
      </c>
      <c r="I158" s="274">
        <v>0</v>
      </c>
      <c r="J158" s="274">
        <v>0</v>
      </c>
      <c r="K158" s="274">
        <f t="shared" si="11"/>
        <v>0</v>
      </c>
      <c r="L158" s="267">
        <v>0</v>
      </c>
    </row>
    <row r="159" spans="2:12">
      <c r="B159" s="272" t="s">
        <v>363</v>
      </c>
      <c r="C159" s="272" t="s">
        <v>399</v>
      </c>
      <c r="D159" s="273"/>
      <c r="E159" s="274">
        <v>0</v>
      </c>
      <c r="F159" s="274">
        <v>0</v>
      </c>
      <c r="G159" s="274">
        <v>0</v>
      </c>
      <c r="H159" s="274">
        <v>0</v>
      </c>
      <c r="I159" s="274">
        <v>0</v>
      </c>
      <c r="J159" s="274">
        <v>0</v>
      </c>
      <c r="K159" s="274">
        <f t="shared" si="11"/>
        <v>0</v>
      </c>
      <c r="L159" s="267">
        <v>0</v>
      </c>
    </row>
    <row r="160" spans="2:12">
      <c r="B160" s="272" t="s">
        <v>400</v>
      </c>
      <c r="C160" s="272" t="s">
        <v>401</v>
      </c>
      <c r="D160" s="268" t="s">
        <v>402</v>
      </c>
      <c r="E160" s="274">
        <v>0</v>
      </c>
      <c r="F160" s="274">
        <v>0</v>
      </c>
      <c r="G160" s="274">
        <v>0</v>
      </c>
      <c r="H160" s="274">
        <v>0</v>
      </c>
      <c r="I160" s="274">
        <v>0</v>
      </c>
      <c r="J160" s="274">
        <v>0</v>
      </c>
      <c r="K160" s="274">
        <f t="shared" si="11"/>
        <v>0</v>
      </c>
      <c r="L160" s="267">
        <v>0</v>
      </c>
    </row>
    <row r="161" spans="2:12">
      <c r="B161" s="272" t="s">
        <v>400</v>
      </c>
      <c r="C161" s="272" t="s">
        <v>403</v>
      </c>
      <c r="D161" s="268" t="s">
        <v>402</v>
      </c>
      <c r="E161" s="274">
        <v>0</v>
      </c>
      <c r="F161" s="274">
        <v>0</v>
      </c>
      <c r="G161" s="274">
        <v>0</v>
      </c>
      <c r="H161" s="274">
        <v>0</v>
      </c>
      <c r="I161" s="274">
        <v>0</v>
      </c>
      <c r="J161" s="274">
        <v>0</v>
      </c>
      <c r="K161" s="274">
        <f t="shared" si="11"/>
        <v>0</v>
      </c>
      <c r="L161" s="267">
        <v>0</v>
      </c>
    </row>
    <row r="162" spans="2:12">
      <c r="B162" s="272" t="s">
        <v>400</v>
      </c>
      <c r="C162" s="272" t="s">
        <v>404</v>
      </c>
      <c r="D162" s="268" t="s">
        <v>402</v>
      </c>
      <c r="E162" s="274">
        <v>0</v>
      </c>
      <c r="F162" s="274">
        <v>0</v>
      </c>
      <c r="G162" s="274">
        <v>0</v>
      </c>
      <c r="H162" s="274">
        <v>0</v>
      </c>
      <c r="I162" s="274">
        <v>0</v>
      </c>
      <c r="J162" s="274">
        <v>0</v>
      </c>
      <c r="K162" s="274">
        <f t="shared" si="11"/>
        <v>0</v>
      </c>
      <c r="L162" s="267">
        <v>0</v>
      </c>
    </row>
    <row r="163" spans="2:12">
      <c r="B163" s="272" t="s">
        <v>400</v>
      </c>
      <c r="C163" s="272" t="s">
        <v>405</v>
      </c>
      <c r="D163" s="268" t="s">
        <v>402</v>
      </c>
      <c r="E163" s="274">
        <v>0</v>
      </c>
      <c r="F163" s="274">
        <v>0</v>
      </c>
      <c r="G163" s="274">
        <v>0</v>
      </c>
      <c r="H163" s="274">
        <v>0</v>
      </c>
      <c r="I163" s="274">
        <v>0</v>
      </c>
      <c r="J163" s="274">
        <v>0</v>
      </c>
      <c r="K163" s="274">
        <f t="shared" si="11"/>
        <v>0</v>
      </c>
      <c r="L163" s="267">
        <v>0</v>
      </c>
    </row>
    <row r="164" spans="2:12">
      <c r="B164" s="272" t="s">
        <v>400</v>
      </c>
      <c r="C164" s="272" t="s">
        <v>406</v>
      </c>
      <c r="D164" s="268" t="s">
        <v>402</v>
      </c>
      <c r="E164" s="274">
        <v>0</v>
      </c>
      <c r="F164" s="274">
        <v>0</v>
      </c>
      <c r="G164" s="274">
        <v>0</v>
      </c>
      <c r="H164" s="274">
        <v>0</v>
      </c>
      <c r="I164" s="274">
        <v>0</v>
      </c>
      <c r="J164" s="274">
        <v>0</v>
      </c>
      <c r="K164" s="274">
        <f t="shared" si="11"/>
        <v>0</v>
      </c>
      <c r="L164" s="267">
        <v>0</v>
      </c>
    </row>
    <row r="165" spans="2:12">
      <c r="B165" s="272" t="s">
        <v>400</v>
      </c>
      <c r="C165" s="272" t="s">
        <v>407</v>
      </c>
      <c r="D165" s="268" t="s">
        <v>407</v>
      </c>
      <c r="E165" s="274">
        <v>0</v>
      </c>
      <c r="F165" s="274">
        <v>0</v>
      </c>
      <c r="G165" s="274">
        <v>0</v>
      </c>
      <c r="H165" s="274">
        <v>0</v>
      </c>
      <c r="I165" s="274">
        <v>0</v>
      </c>
      <c r="J165" s="274">
        <v>0</v>
      </c>
      <c r="K165" s="274">
        <f t="shared" si="11"/>
        <v>0</v>
      </c>
      <c r="L165" s="267">
        <v>0</v>
      </c>
    </row>
    <row r="166" spans="2:12">
      <c r="B166" s="272" t="s">
        <v>400</v>
      </c>
      <c r="C166" s="272" t="s">
        <v>408</v>
      </c>
      <c r="D166" s="268" t="s">
        <v>409</v>
      </c>
      <c r="E166" s="274">
        <v>-9.2899999959428214E-7</v>
      </c>
      <c r="F166" s="274">
        <v>0</v>
      </c>
      <c r="G166" s="274">
        <v>0</v>
      </c>
      <c r="H166" s="274">
        <v>0</v>
      </c>
      <c r="I166" s="274">
        <v>0</v>
      </c>
      <c r="J166" s="274">
        <v>0</v>
      </c>
      <c r="K166" s="274">
        <f t="shared" si="11"/>
        <v>-9.2899999959428214E-7</v>
      </c>
      <c r="L166" s="267">
        <v>-9.2899999959428214E-7</v>
      </c>
    </row>
    <row r="167" spans="2:12">
      <c r="B167" s="268" t="s">
        <v>410</v>
      </c>
      <c r="C167" s="268" t="s">
        <v>411</v>
      </c>
      <c r="D167" s="268" t="s">
        <v>412</v>
      </c>
      <c r="E167" s="274">
        <v>9.9291938999999996</v>
      </c>
      <c r="F167" s="274">
        <v>0</v>
      </c>
      <c r="G167" s="274">
        <v>0</v>
      </c>
      <c r="H167" s="274">
        <v>0</v>
      </c>
      <c r="I167" s="274">
        <v>0</v>
      </c>
      <c r="J167" s="274">
        <v>0</v>
      </c>
      <c r="K167" s="274">
        <f t="shared" si="11"/>
        <v>9.9291938999999996</v>
      </c>
      <c r="L167" s="267">
        <v>9.9291938999999996</v>
      </c>
    </row>
    <row r="168" spans="2:12">
      <c r="B168" s="268" t="s">
        <v>413</v>
      </c>
      <c r="C168" s="268" t="s">
        <v>413</v>
      </c>
      <c r="D168" s="268" t="s">
        <v>414</v>
      </c>
      <c r="E168" s="274">
        <v>0</v>
      </c>
      <c r="F168" s="274">
        <v>0</v>
      </c>
      <c r="G168" s="274">
        <v>0</v>
      </c>
      <c r="H168" s="274">
        <v>0</v>
      </c>
      <c r="I168" s="274">
        <v>0</v>
      </c>
      <c r="J168" s="274">
        <v>0</v>
      </c>
      <c r="K168" s="274">
        <f t="shared" si="11"/>
        <v>0</v>
      </c>
      <c r="L168" s="267">
        <v>0</v>
      </c>
    </row>
    <row r="169" spans="2:12">
      <c r="B169" s="268" t="s">
        <v>413</v>
      </c>
      <c r="C169" s="268" t="s">
        <v>413</v>
      </c>
      <c r="D169" s="268" t="s">
        <v>415</v>
      </c>
      <c r="E169" s="274">
        <v>0</v>
      </c>
      <c r="F169" s="274">
        <v>0</v>
      </c>
      <c r="G169" s="274">
        <v>0</v>
      </c>
      <c r="H169" s="274">
        <v>0</v>
      </c>
      <c r="I169" s="274">
        <v>0</v>
      </c>
      <c r="J169" s="274">
        <v>0</v>
      </c>
      <c r="K169" s="274">
        <f t="shared" si="11"/>
        <v>0</v>
      </c>
      <c r="L169" s="267">
        <v>0</v>
      </c>
    </row>
    <row r="170" spans="2:12">
      <c r="B170" s="268" t="s">
        <v>413</v>
      </c>
      <c r="C170" s="268" t="s">
        <v>413</v>
      </c>
      <c r="D170" s="268" t="s">
        <v>416</v>
      </c>
      <c r="E170" s="274">
        <v>0</v>
      </c>
      <c r="F170" s="274">
        <v>0</v>
      </c>
      <c r="G170" s="274">
        <v>0</v>
      </c>
      <c r="H170" s="274">
        <v>0</v>
      </c>
      <c r="I170" s="274">
        <v>0</v>
      </c>
      <c r="J170" s="274">
        <v>0</v>
      </c>
      <c r="K170" s="274">
        <f t="shared" si="11"/>
        <v>0</v>
      </c>
      <c r="L170" s="267">
        <v>0</v>
      </c>
    </row>
    <row r="171" spans="2:12">
      <c r="B171" s="268" t="s">
        <v>413</v>
      </c>
      <c r="C171" s="268" t="s">
        <v>413</v>
      </c>
      <c r="D171" s="268" t="s">
        <v>417</v>
      </c>
      <c r="E171" s="274">
        <v>0</v>
      </c>
      <c r="F171" s="274">
        <v>0</v>
      </c>
      <c r="G171" s="274">
        <v>0</v>
      </c>
      <c r="H171" s="274">
        <v>0</v>
      </c>
      <c r="I171" s="274">
        <v>0</v>
      </c>
      <c r="J171" s="274">
        <v>0</v>
      </c>
      <c r="K171" s="274">
        <f t="shared" si="11"/>
        <v>0</v>
      </c>
      <c r="L171" s="267">
        <v>0</v>
      </c>
    </row>
    <row r="172" spans="2:12">
      <c r="B172" s="268" t="s">
        <v>413</v>
      </c>
      <c r="C172" s="268" t="s">
        <v>413</v>
      </c>
      <c r="D172" s="268" t="s">
        <v>418</v>
      </c>
      <c r="E172" s="274">
        <v>0</v>
      </c>
      <c r="F172" s="274">
        <v>0</v>
      </c>
      <c r="G172" s="274">
        <v>0</v>
      </c>
      <c r="H172" s="274">
        <v>0</v>
      </c>
      <c r="I172" s="274">
        <v>0</v>
      </c>
      <c r="J172" s="274">
        <v>0</v>
      </c>
      <c r="K172" s="274">
        <f t="shared" si="11"/>
        <v>0</v>
      </c>
      <c r="L172" s="267">
        <v>0</v>
      </c>
    </row>
    <row r="173" spans="2:12">
      <c r="B173" s="268" t="s">
        <v>419</v>
      </c>
      <c r="C173" s="268" t="s">
        <v>419</v>
      </c>
      <c r="D173" s="268"/>
      <c r="E173" s="274">
        <v>0</v>
      </c>
      <c r="F173" s="274">
        <v>0</v>
      </c>
      <c r="G173" s="274">
        <v>0</v>
      </c>
      <c r="H173" s="274">
        <v>0</v>
      </c>
      <c r="I173" s="274">
        <v>0</v>
      </c>
      <c r="J173" s="274">
        <v>0</v>
      </c>
      <c r="K173" s="274">
        <f t="shared" si="11"/>
        <v>0</v>
      </c>
      <c r="L173" s="267">
        <v>0</v>
      </c>
    </row>
  </sheetData>
  <mergeCells count="10">
    <mergeCell ref="L16:L17"/>
    <mergeCell ref="B9:M9"/>
    <mergeCell ref="B2:M2"/>
    <mergeCell ref="B3:M3"/>
    <mergeCell ref="B5:M5"/>
    <mergeCell ref="B16:B17"/>
    <mergeCell ref="C16:C17"/>
    <mergeCell ref="D16:D17"/>
    <mergeCell ref="F16:J16"/>
    <mergeCell ref="K16:K1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10"/>
  <sheetViews>
    <sheetView topLeftCell="A4" workbookViewId="0">
      <selection activeCell="B6" sqref="B6:G6"/>
    </sheetView>
  </sheetViews>
  <sheetFormatPr defaultRowHeight="14.4"/>
  <cols>
    <col min="2" max="2" width="5.6640625" customWidth="1"/>
    <col min="3" max="3" width="22.33203125" customWidth="1"/>
    <col min="4" max="4" width="13.109375" customWidth="1"/>
    <col min="5" max="5" width="15.44140625" customWidth="1"/>
    <col min="6" max="6" width="14.5546875" customWidth="1"/>
    <col min="7" max="7" width="44" customWidth="1"/>
  </cols>
  <sheetData>
    <row r="2" spans="2:9">
      <c r="B2" s="360" t="s">
        <v>69</v>
      </c>
      <c r="C2" s="361"/>
      <c r="D2" s="361"/>
      <c r="E2" s="361"/>
      <c r="F2" s="361"/>
      <c r="G2" s="362"/>
    </row>
    <row r="3" spans="2:9">
      <c r="B3" s="293" t="e">
        <f>SUMMARY!#REF!</f>
        <v>#REF!</v>
      </c>
      <c r="C3" s="294"/>
      <c r="D3" s="294"/>
      <c r="E3" s="294"/>
      <c r="F3" s="294"/>
      <c r="G3" s="295"/>
    </row>
    <row r="4" spans="2:9" ht="24">
      <c r="B4" s="24" t="s">
        <v>0</v>
      </c>
      <c r="C4" s="24" t="s">
        <v>70</v>
      </c>
      <c r="D4" s="33" t="s">
        <v>65</v>
      </c>
      <c r="E4" s="24" t="s">
        <v>29</v>
      </c>
      <c r="F4" s="24" t="s">
        <v>77</v>
      </c>
      <c r="G4" s="24" t="s">
        <v>22</v>
      </c>
    </row>
    <row r="5" spans="2:9">
      <c r="B5" s="293" t="e">
        <f>SUMMARY!#REF!</f>
        <v>#REF!</v>
      </c>
      <c r="C5" s="294"/>
      <c r="D5" s="294"/>
      <c r="E5" s="294"/>
      <c r="F5" s="294"/>
      <c r="G5" s="295"/>
    </row>
    <row r="6" spans="2:9" ht="148.19999999999999">
      <c r="B6" s="209">
        <v>1</v>
      </c>
      <c r="C6" s="210" t="s">
        <v>148</v>
      </c>
      <c r="D6" s="211">
        <v>10.14</v>
      </c>
      <c r="E6" s="211">
        <f t="shared" ref="E6:F7" si="0">D6*H6</f>
        <v>7.0979999999999999</v>
      </c>
      <c r="F6" s="211">
        <f t="shared" si="0"/>
        <v>3.5489999999999999</v>
      </c>
      <c r="G6" s="72" t="s">
        <v>180</v>
      </c>
      <c r="H6" s="39">
        <v>0.7</v>
      </c>
      <c r="I6" s="39">
        <v>0.5</v>
      </c>
    </row>
    <row r="7" spans="2:9" ht="73.2" customHeight="1">
      <c r="B7" s="209">
        <v>2</v>
      </c>
      <c r="C7" s="210" t="s">
        <v>138</v>
      </c>
      <c r="D7" s="211">
        <v>4.6900000000000004</v>
      </c>
      <c r="E7" s="211">
        <f t="shared" si="0"/>
        <v>3.2829999999999999</v>
      </c>
      <c r="F7" s="211">
        <f t="shared" si="0"/>
        <v>1.6415</v>
      </c>
      <c r="G7" s="212" t="s">
        <v>183</v>
      </c>
      <c r="H7" s="39">
        <v>0.7</v>
      </c>
      <c r="I7" s="39">
        <v>0.5</v>
      </c>
    </row>
    <row r="8" spans="2:9">
      <c r="B8" s="34"/>
      <c r="C8" s="32" t="s">
        <v>23</v>
      </c>
      <c r="D8" s="45">
        <f>SUM(D6:D7)</f>
        <v>14.830000000000002</v>
      </c>
      <c r="E8" s="45">
        <f>SUM(E6:E7)</f>
        <v>10.381</v>
      </c>
      <c r="F8" s="45">
        <f>SUM(F6:F7)</f>
        <v>5.1905000000000001</v>
      </c>
      <c r="G8" s="34"/>
    </row>
    <row r="9" spans="2:9">
      <c r="B9" s="381" t="s">
        <v>20</v>
      </c>
      <c r="C9" s="382"/>
      <c r="D9" s="382"/>
      <c r="E9" s="382"/>
      <c r="F9" s="382"/>
      <c r="G9" s="383"/>
    </row>
    <row r="10" spans="2:9" ht="108.75" customHeight="1">
      <c r="B10" s="299" t="s">
        <v>82</v>
      </c>
      <c r="C10" s="299"/>
      <c r="D10" s="299"/>
      <c r="E10" s="299"/>
      <c r="F10" s="299"/>
      <c r="G10" s="299"/>
    </row>
  </sheetData>
  <mergeCells count="5">
    <mergeCell ref="B2:G2"/>
    <mergeCell ref="B3:G3"/>
    <mergeCell ref="B5:G5"/>
    <mergeCell ref="B9:G9"/>
    <mergeCell ref="B10:G10"/>
  </mergeCells>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K13"/>
  <sheetViews>
    <sheetView workbookViewId="0">
      <selection activeCell="D7" sqref="D7"/>
    </sheetView>
  </sheetViews>
  <sheetFormatPr defaultRowHeight="14.4"/>
  <cols>
    <col min="3" max="3" width="11.109375" customWidth="1"/>
    <col min="7" max="7" width="32.33203125" customWidth="1"/>
  </cols>
  <sheetData>
    <row r="2" spans="2:11">
      <c r="B2" s="319" t="s">
        <v>102</v>
      </c>
      <c r="C2" s="319"/>
      <c r="D2" s="319"/>
      <c r="E2" s="319"/>
      <c r="F2" s="319"/>
      <c r="G2" s="319"/>
    </row>
    <row r="3" spans="2:11">
      <c r="B3" s="320" t="e">
        <f>SUMMARY!#REF!</f>
        <v>#REF!</v>
      </c>
      <c r="C3" s="320"/>
      <c r="D3" s="320"/>
      <c r="E3" s="320"/>
      <c r="F3" s="320"/>
      <c r="G3" s="320"/>
    </row>
    <row r="4" spans="2:11" ht="48">
      <c r="B4" s="66" t="s">
        <v>103</v>
      </c>
      <c r="C4" s="66" t="s">
        <v>1</v>
      </c>
      <c r="D4" s="33" t="s">
        <v>65</v>
      </c>
      <c r="E4" s="66" t="s">
        <v>97</v>
      </c>
      <c r="F4" s="66" t="s">
        <v>122</v>
      </c>
      <c r="G4" s="66" t="s">
        <v>22</v>
      </c>
    </row>
    <row r="5" spans="2:11">
      <c r="B5" s="385" t="e">
        <f>SUMMARY!#REF!</f>
        <v>#REF!</v>
      </c>
      <c r="C5" s="385"/>
      <c r="D5" s="385"/>
      <c r="E5" s="385"/>
      <c r="F5" s="385"/>
      <c r="G5" s="385"/>
    </row>
    <row r="6" spans="2:11" ht="100.8">
      <c r="B6" s="76">
        <v>1</v>
      </c>
      <c r="C6" s="73" t="s">
        <v>121</v>
      </c>
      <c r="D6" s="77">
        <v>111.66</v>
      </c>
      <c r="E6" s="77" t="s">
        <v>129</v>
      </c>
      <c r="F6" s="63" t="s">
        <v>129</v>
      </c>
      <c r="G6" s="85" t="s">
        <v>128</v>
      </c>
    </row>
    <row r="7" spans="2:11">
      <c r="B7" s="74"/>
      <c r="C7" s="75"/>
      <c r="D7" s="48">
        <f>SUM(D6)</f>
        <v>111.66</v>
      </c>
      <c r="E7" s="52">
        <f t="shared" ref="E7:F7" si="0">SUM(E6)</f>
        <v>0</v>
      </c>
      <c r="F7" s="52">
        <f t="shared" si="0"/>
        <v>0</v>
      </c>
      <c r="G7" s="49"/>
      <c r="K7" s="58"/>
    </row>
    <row r="8" spans="2:11">
      <c r="B8" s="386"/>
      <c r="C8" s="386"/>
      <c r="D8" s="386"/>
      <c r="E8" s="386"/>
      <c r="F8" s="386"/>
      <c r="G8" s="386"/>
    </row>
    <row r="9" spans="2:11">
      <c r="B9" s="387" t="s">
        <v>20</v>
      </c>
      <c r="C9" s="387"/>
      <c r="D9" s="387"/>
      <c r="E9" s="387"/>
      <c r="F9" s="387"/>
      <c r="G9" s="387"/>
    </row>
    <row r="10" spans="2:11" ht="39" customHeight="1">
      <c r="B10" s="384" t="s">
        <v>104</v>
      </c>
      <c r="C10" s="384"/>
      <c r="D10" s="384"/>
      <c r="E10" s="384"/>
      <c r="F10" s="384"/>
      <c r="G10" s="384"/>
    </row>
    <row r="11" spans="2:11" ht="49.5" customHeight="1">
      <c r="B11" s="384" t="s">
        <v>105</v>
      </c>
      <c r="C11" s="384"/>
      <c r="D11" s="384"/>
      <c r="E11" s="384"/>
      <c r="F11" s="384"/>
      <c r="G11" s="384"/>
    </row>
    <row r="12" spans="2:11" ht="60" customHeight="1">
      <c r="B12" s="384" t="s">
        <v>106</v>
      </c>
      <c r="C12" s="384"/>
      <c r="D12" s="384"/>
      <c r="E12" s="384"/>
      <c r="F12" s="384"/>
      <c r="G12" s="384"/>
    </row>
    <row r="13" spans="2:11" ht="91.5" customHeight="1">
      <c r="B13" s="384" t="s">
        <v>107</v>
      </c>
      <c r="C13" s="384"/>
      <c r="D13" s="384"/>
      <c r="E13" s="384"/>
      <c r="F13" s="384"/>
      <c r="G13" s="384"/>
    </row>
  </sheetData>
  <mergeCells count="9">
    <mergeCell ref="B13:G13"/>
    <mergeCell ref="B2:G2"/>
    <mergeCell ref="B3:G3"/>
    <mergeCell ref="B5:G5"/>
    <mergeCell ref="B8:G8"/>
    <mergeCell ref="B9:G9"/>
    <mergeCell ref="B10:G10"/>
    <mergeCell ref="B11:G11"/>
    <mergeCell ref="B12:G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G25"/>
  <sheetViews>
    <sheetView zoomScaleNormal="100" workbookViewId="0">
      <pane ySplit="4" topLeftCell="A5" activePane="bottomLeft" state="frozen"/>
      <selection pane="bottomLeft" activeCell="C6" sqref="C6"/>
    </sheetView>
  </sheetViews>
  <sheetFormatPr defaultColWidth="9" defaultRowHeight="13.2"/>
  <cols>
    <col min="1" max="1" width="11" style="28" bestFit="1" customWidth="1"/>
    <col min="2" max="2" width="16.88671875" style="28" customWidth="1"/>
    <col min="3" max="3" width="31.33203125" style="28" customWidth="1"/>
    <col min="4" max="16384" width="9" style="28"/>
  </cols>
  <sheetData>
    <row r="2" spans="2:7">
      <c r="B2" s="280" t="s">
        <v>66</v>
      </c>
      <c r="C2" s="280"/>
      <c r="D2" s="280"/>
      <c r="E2" s="280"/>
      <c r="F2" s="281"/>
      <c r="G2" s="280"/>
    </row>
    <row r="3" spans="2:7">
      <c r="B3" s="282" t="s">
        <v>130</v>
      </c>
      <c r="C3" s="282"/>
      <c r="D3" s="282"/>
      <c r="E3" s="282"/>
      <c r="F3" s="283"/>
      <c r="G3" s="282"/>
    </row>
    <row r="4" spans="2:7" ht="46.5" customHeight="1">
      <c r="B4" s="29" t="s">
        <v>24</v>
      </c>
      <c r="C4" s="29" t="s">
        <v>2</v>
      </c>
      <c r="D4" s="30" t="s">
        <v>65</v>
      </c>
      <c r="E4" s="30" t="s">
        <v>28</v>
      </c>
      <c r="F4" s="30" t="s">
        <v>115</v>
      </c>
      <c r="G4" s="29" t="s">
        <v>25</v>
      </c>
    </row>
    <row r="5" spans="2:7">
      <c r="B5" s="284" t="s">
        <v>94</v>
      </c>
      <c r="C5" s="284"/>
      <c r="D5" s="284"/>
      <c r="E5" s="284"/>
      <c r="F5" s="285"/>
      <c r="G5" s="284"/>
    </row>
    <row r="6" spans="2:7">
      <c r="B6" s="35">
        <v>1</v>
      </c>
      <c r="C6" s="27" t="s">
        <v>629</v>
      </c>
      <c r="D6" s="50">
        <v>4.78</v>
      </c>
      <c r="E6" s="46">
        <f>0.9+1.09</f>
        <v>1.9900000000000002</v>
      </c>
      <c r="F6" s="46">
        <f>0.63+0.763</f>
        <v>1.393</v>
      </c>
      <c r="G6" s="46" t="s">
        <v>179</v>
      </c>
    </row>
    <row r="7" spans="2:7">
      <c r="B7" s="35">
        <v>2</v>
      </c>
      <c r="C7" s="27" t="s">
        <v>578</v>
      </c>
      <c r="D7" s="50">
        <v>128.63999999999999</v>
      </c>
      <c r="E7" s="46">
        <v>95.27</v>
      </c>
      <c r="F7" s="46">
        <v>62.61</v>
      </c>
      <c r="G7" s="46" t="s">
        <v>179</v>
      </c>
    </row>
    <row r="8" spans="2:7">
      <c r="B8" s="35">
        <v>3</v>
      </c>
      <c r="C8" s="27" t="s">
        <v>10</v>
      </c>
      <c r="D8" s="50">
        <v>111.66</v>
      </c>
      <c r="E8" s="46">
        <v>118.44</v>
      </c>
      <c r="F8" s="46">
        <v>82.91</v>
      </c>
      <c r="G8" s="46" t="s">
        <v>179</v>
      </c>
    </row>
    <row r="9" spans="2:7">
      <c r="B9" s="35">
        <v>4</v>
      </c>
      <c r="C9" s="27" t="s">
        <v>630</v>
      </c>
      <c r="D9" s="50">
        <v>3.75</v>
      </c>
      <c r="E9" s="46" t="s">
        <v>179</v>
      </c>
      <c r="F9" s="46" t="s">
        <v>179</v>
      </c>
      <c r="G9" s="46" t="s">
        <v>179</v>
      </c>
    </row>
    <row r="10" spans="2:7">
      <c r="B10" s="35">
        <v>5</v>
      </c>
      <c r="C10" s="27" t="s">
        <v>140</v>
      </c>
      <c r="D10" s="50">
        <v>0.65</v>
      </c>
      <c r="E10" s="46" t="s">
        <v>179</v>
      </c>
      <c r="F10" s="46" t="s">
        <v>179</v>
      </c>
      <c r="G10" s="46" t="s">
        <v>179</v>
      </c>
    </row>
    <row r="11" spans="2:7">
      <c r="B11" s="35">
        <v>6</v>
      </c>
      <c r="C11" s="27" t="s">
        <v>88</v>
      </c>
      <c r="D11" s="50">
        <f>'NCI-I'!D10</f>
        <v>56.55</v>
      </c>
      <c r="E11" s="50">
        <f>'NCI-I'!H10</f>
        <v>60.997381557744873</v>
      </c>
      <c r="F11" s="50">
        <f>'NCI-I'!I10</f>
        <v>60.997381557744873</v>
      </c>
      <c r="G11" s="36" t="s">
        <v>31</v>
      </c>
    </row>
    <row r="12" spans="2:7">
      <c r="B12" s="35">
        <v>7</v>
      </c>
      <c r="C12" s="27" t="s">
        <v>100</v>
      </c>
      <c r="D12" s="50">
        <f>'Trade Receivable-II'!D8</f>
        <v>264.43521027179679</v>
      </c>
      <c r="E12" s="50">
        <f>'Trade Receivable-II'!K8</f>
        <v>170.01901940781846</v>
      </c>
      <c r="F12" s="50">
        <f>'Trade Receivable-II'!L8</f>
        <v>84.594992611175982</v>
      </c>
      <c r="G12" s="36" t="s">
        <v>74</v>
      </c>
    </row>
    <row r="13" spans="2:7">
      <c r="B13" s="35">
        <v>8</v>
      </c>
      <c r="C13" s="27" t="s">
        <v>631</v>
      </c>
      <c r="D13" s="50">
        <f>'Loans and Other Assets-III'!D12</f>
        <v>635.41533778271639</v>
      </c>
      <c r="E13" s="50">
        <f>'Loans and Other Assets-III'!K12</f>
        <v>470.2370652978916</v>
      </c>
      <c r="F13" s="50">
        <f>'Loans and Other Assets-III'!L12</f>
        <v>347.84566351703859</v>
      </c>
      <c r="G13" s="36" t="s">
        <v>75</v>
      </c>
    </row>
    <row r="14" spans="2:7">
      <c r="B14" s="35">
        <v>9</v>
      </c>
      <c r="C14" s="27" t="s">
        <v>118</v>
      </c>
      <c r="D14" s="50">
        <f>'Interest Accrued-IV'!D7</f>
        <v>285.63818505399996</v>
      </c>
      <c r="E14" s="50">
        <f>'Interest Accrued-IV'!K6</f>
        <v>113.77301613212488</v>
      </c>
      <c r="F14" s="50">
        <f>'Interest Accrued-IV'!L6</f>
        <v>25.9081778796</v>
      </c>
      <c r="G14" s="36" t="s">
        <v>32</v>
      </c>
    </row>
    <row r="15" spans="2:7">
      <c r="B15" s="35">
        <v>10</v>
      </c>
      <c r="C15" s="27" t="s">
        <v>646</v>
      </c>
      <c r="D15" s="50">
        <f>'Claim for PBG-V'!D6</f>
        <v>29.18</v>
      </c>
      <c r="E15" s="50">
        <f>'Claim for PBG-V'!E6</f>
        <v>23.344000000000001</v>
      </c>
      <c r="F15" s="50">
        <f>'Claim for PBG-V'!F6</f>
        <v>11.672000000000001</v>
      </c>
      <c r="G15" s="36" t="s">
        <v>86</v>
      </c>
    </row>
    <row r="16" spans="2:7">
      <c r="B16" s="35">
        <v>11</v>
      </c>
      <c r="C16" s="28" t="s">
        <v>120</v>
      </c>
      <c r="D16" s="50">
        <f>'Other Receivables-VI'!D7</f>
        <v>30.369999999999997</v>
      </c>
      <c r="E16" s="50">
        <f>'Other Receivables-VI'!K7</f>
        <v>16.851640622297648</v>
      </c>
      <c r="F16" s="50">
        <f>'Other Receivables-VI'!L7</f>
        <v>0</v>
      </c>
      <c r="G16" s="46" t="s">
        <v>87</v>
      </c>
    </row>
    <row r="17" spans="2:7">
      <c r="B17" s="35">
        <v>12</v>
      </c>
      <c r="C17" s="27" t="s">
        <v>146</v>
      </c>
      <c r="D17" s="50">
        <f>'Margin Money-VII'!D7</f>
        <v>10.35</v>
      </c>
      <c r="E17" s="50">
        <f>'Margin Money-VII'!E7</f>
        <v>10.35</v>
      </c>
      <c r="F17" s="50">
        <f>'Margin Money-VII'!F7</f>
        <v>10.35</v>
      </c>
      <c r="G17" s="46" t="s">
        <v>90</v>
      </c>
    </row>
    <row r="18" spans="2:7">
      <c r="B18" s="35">
        <v>13</v>
      </c>
      <c r="C18" s="27" t="s">
        <v>647</v>
      </c>
      <c r="D18" s="50">
        <f>'Tax Assets-VIII'!D8</f>
        <v>370.88</v>
      </c>
      <c r="E18" s="50">
        <f>'Tax Assets-VIII'!E8</f>
        <v>370.88</v>
      </c>
      <c r="F18" s="50">
        <f>'Tax Assets-VIII'!F8</f>
        <v>0</v>
      </c>
      <c r="G18" s="50" t="s">
        <v>91</v>
      </c>
    </row>
    <row r="19" spans="2:7">
      <c r="B19" s="35">
        <v>14</v>
      </c>
      <c r="C19" s="27" t="s">
        <v>138</v>
      </c>
      <c r="D19" s="50">
        <f>'Non-Current Inventories-IX'!D7+0.01</f>
        <v>882.09</v>
      </c>
      <c r="E19" s="46">
        <f>'Non-Current Inventories-IX'!K7</f>
        <v>398.35932722178131</v>
      </c>
      <c r="F19" s="46">
        <f>'Non-Current Inventories-IX'!L7</f>
        <v>168.62164770212416</v>
      </c>
      <c r="G19" s="46" t="s">
        <v>92</v>
      </c>
    </row>
    <row r="20" spans="2:7">
      <c r="B20" s="35">
        <v>15</v>
      </c>
      <c r="C20" s="27" t="s">
        <v>184</v>
      </c>
      <c r="D20" s="50">
        <f>'Retention Money-X'!D7+0.01</f>
        <v>485.19</v>
      </c>
      <c r="E20" s="50">
        <f>'Retention Money-X'!K7</f>
        <v>233.40788922954471</v>
      </c>
      <c r="F20" s="50">
        <f>'Retention Money-X'!L7</f>
        <v>111.08067567965</v>
      </c>
      <c r="G20" s="46" t="s">
        <v>93</v>
      </c>
    </row>
    <row r="21" spans="2:7" ht="15" customHeight="1">
      <c r="B21" s="35">
        <v>16</v>
      </c>
      <c r="C21" s="27" t="s">
        <v>89</v>
      </c>
      <c r="D21" s="50">
        <f>'Cash &amp; Cash Equivalents-XI'!D10</f>
        <v>22.660000000000004</v>
      </c>
      <c r="E21" s="50">
        <f>'Cash &amp; Cash Equivalents-XI'!E10</f>
        <v>18.11</v>
      </c>
      <c r="F21" s="50">
        <f>'Cash &amp; Cash Equivalents-XI'!F10</f>
        <v>18.11</v>
      </c>
      <c r="G21" s="46" t="s">
        <v>185</v>
      </c>
    </row>
    <row r="22" spans="2:7" ht="16.2" customHeight="1">
      <c r="B22" s="279" t="s">
        <v>21</v>
      </c>
      <c r="C22" s="279"/>
      <c r="D22" s="237">
        <f>SUM(D6:D21)</f>
        <v>3322.2387331085129</v>
      </c>
      <c r="E22" s="237">
        <f>SUM(E6:E21)</f>
        <v>2102.0293394692035</v>
      </c>
      <c r="F22" s="237">
        <f>SUM(F6:F21)</f>
        <v>986.09353894733363</v>
      </c>
      <c r="G22" s="31"/>
    </row>
    <row r="23" spans="2:7" ht="16.2" customHeight="1">
      <c r="B23" s="286" t="s">
        <v>20</v>
      </c>
      <c r="C23" s="287"/>
      <c r="D23" s="287"/>
      <c r="E23" s="287"/>
      <c r="F23" s="288"/>
      <c r="G23" s="289"/>
    </row>
    <row r="24" spans="2:7" ht="184.2" customHeight="1">
      <c r="B24" s="278" t="s">
        <v>157</v>
      </c>
      <c r="C24" s="278"/>
      <c r="D24" s="278"/>
      <c r="E24" s="278"/>
      <c r="F24" s="278"/>
      <c r="G24" s="278"/>
    </row>
    <row r="25" spans="2:7" ht="48.75" customHeight="1"/>
  </sheetData>
  <mergeCells count="6">
    <mergeCell ref="B24:G24"/>
    <mergeCell ref="B22:C22"/>
    <mergeCell ref="B2:G2"/>
    <mergeCell ref="B3:G3"/>
    <mergeCell ref="B5:G5"/>
    <mergeCell ref="B23:G23"/>
  </mergeCells>
  <pageMargins left="0.7" right="0.7" top="0.75" bottom="0.75" header="0.3" footer="0.3"/>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B2:G22"/>
  <sheetViews>
    <sheetView topLeftCell="A12" workbookViewId="0">
      <selection activeCell="B12" sqref="B12:G12"/>
    </sheetView>
  </sheetViews>
  <sheetFormatPr defaultRowHeight="14.4"/>
  <cols>
    <col min="3" max="3" width="28.33203125" customWidth="1"/>
    <col min="4" max="4" width="13.33203125" customWidth="1"/>
    <col min="5" max="5" width="13" customWidth="1"/>
    <col min="6" max="6" width="12.6640625" customWidth="1"/>
    <col min="7" max="7" width="87.33203125" customWidth="1"/>
  </cols>
  <sheetData>
    <row r="2" spans="2:7">
      <c r="B2" s="397" t="s">
        <v>114</v>
      </c>
      <c r="C2" s="397"/>
      <c r="D2" s="397"/>
      <c r="E2" s="397"/>
      <c r="F2" s="397"/>
      <c r="G2" s="397"/>
    </row>
    <row r="3" spans="2:7">
      <c r="B3" s="320" t="s">
        <v>156</v>
      </c>
      <c r="C3" s="320"/>
      <c r="D3" s="320"/>
      <c r="E3" s="320"/>
      <c r="F3" s="320"/>
      <c r="G3" s="320"/>
    </row>
    <row r="4" spans="2:7" ht="42.6" customHeight="1">
      <c r="B4" s="48" t="s">
        <v>24</v>
      </c>
      <c r="C4" s="71" t="s">
        <v>1</v>
      </c>
      <c r="D4" s="66" t="s">
        <v>65</v>
      </c>
      <c r="E4" s="66" t="s">
        <v>97</v>
      </c>
      <c r="F4" s="66" t="s">
        <v>122</v>
      </c>
      <c r="G4" s="66" t="s">
        <v>22</v>
      </c>
    </row>
    <row r="5" spans="2:7">
      <c r="B5" s="322" t="s">
        <v>94</v>
      </c>
      <c r="C5" s="322"/>
      <c r="D5" s="322"/>
      <c r="E5" s="322"/>
      <c r="F5" s="322"/>
      <c r="G5" s="322"/>
    </row>
    <row r="6" spans="2:7">
      <c r="B6" s="404" t="s">
        <v>108</v>
      </c>
      <c r="C6" s="404"/>
      <c r="D6" s="404"/>
      <c r="E6" s="404"/>
      <c r="F6" s="404"/>
      <c r="G6" s="404"/>
    </row>
    <row r="7" spans="2:7" ht="79.5" customHeight="1">
      <c r="B7" s="63" t="s">
        <v>109</v>
      </c>
      <c r="C7" s="47" t="s">
        <v>123</v>
      </c>
      <c r="D7" s="64">
        <v>0.49</v>
      </c>
      <c r="E7" s="64">
        <f>D7</f>
        <v>0.49</v>
      </c>
      <c r="F7" s="47">
        <f>E7</f>
        <v>0.49</v>
      </c>
      <c r="G7" s="78" t="s">
        <v>145</v>
      </c>
    </row>
    <row r="8" spans="2:7" ht="67.5" customHeight="1">
      <c r="B8" s="63">
        <v>2</v>
      </c>
      <c r="C8" s="65" t="s">
        <v>124</v>
      </c>
      <c r="D8" s="64">
        <v>8.2100000000000009</v>
      </c>
      <c r="E8" s="64">
        <v>3.66</v>
      </c>
      <c r="F8" s="64">
        <v>3.66</v>
      </c>
      <c r="G8" s="78" t="s">
        <v>147</v>
      </c>
    </row>
    <row r="9" spans="2:7" ht="156" customHeight="1">
      <c r="B9" s="63">
        <v>3</v>
      </c>
      <c r="C9" s="65" t="s">
        <v>139</v>
      </c>
      <c r="D9" s="64">
        <v>13.96</v>
      </c>
      <c r="E9" s="64">
        <f>D9</f>
        <v>13.96</v>
      </c>
      <c r="F9" s="47">
        <f>E9</f>
        <v>13.96</v>
      </c>
      <c r="G9" s="78" t="s">
        <v>676</v>
      </c>
    </row>
    <row r="10" spans="2:7">
      <c r="B10" s="62"/>
      <c r="C10" s="66" t="s">
        <v>21</v>
      </c>
      <c r="D10" s="66">
        <f>SUM(D7:D9)</f>
        <v>22.660000000000004</v>
      </c>
      <c r="E10" s="67">
        <f t="shared" ref="E10:F10" si="0">SUM(E7:E9)</f>
        <v>18.11</v>
      </c>
      <c r="F10" s="67">
        <f t="shared" si="0"/>
        <v>18.11</v>
      </c>
      <c r="G10" s="68"/>
    </row>
    <row r="11" spans="2:7">
      <c r="B11" s="405" t="s">
        <v>678</v>
      </c>
      <c r="C11" s="405"/>
      <c r="D11" s="405"/>
      <c r="E11" s="405"/>
      <c r="F11" s="405"/>
      <c r="G11" s="405"/>
    </row>
    <row r="12" spans="2:7" ht="145.5" customHeight="1">
      <c r="B12" s="406" t="s">
        <v>677</v>
      </c>
      <c r="C12" s="399"/>
      <c r="D12" s="399"/>
      <c r="E12" s="399"/>
      <c r="F12" s="399"/>
      <c r="G12" s="400"/>
    </row>
    <row r="13" spans="2:7">
      <c r="B13" s="398"/>
      <c r="C13" s="399"/>
      <c r="D13" s="399"/>
      <c r="E13" s="399"/>
      <c r="F13" s="399"/>
      <c r="G13" s="400"/>
    </row>
    <row r="14" spans="2:7">
      <c r="B14" s="398"/>
      <c r="C14" s="399"/>
      <c r="D14" s="399"/>
      <c r="E14" s="399"/>
      <c r="F14" s="399"/>
      <c r="G14" s="400"/>
    </row>
    <row r="15" spans="2:7">
      <c r="B15" s="401"/>
      <c r="C15" s="402"/>
      <c r="D15" s="402"/>
      <c r="E15" s="402"/>
      <c r="F15" s="402"/>
      <c r="G15" s="403"/>
    </row>
    <row r="18" spans="5:7" ht="47.25" customHeight="1">
      <c r="E18" s="388" t="s">
        <v>110</v>
      </c>
      <c r="F18" s="389"/>
      <c r="G18" s="390"/>
    </row>
    <row r="19" spans="5:7" ht="31.5" customHeight="1">
      <c r="E19" s="391" t="s">
        <v>111</v>
      </c>
      <c r="F19" s="392"/>
      <c r="G19" s="393"/>
    </row>
    <row r="20" spans="5:7" ht="104.25" customHeight="1">
      <c r="E20" s="391" t="s">
        <v>112</v>
      </c>
      <c r="F20" s="392"/>
      <c r="G20" s="393"/>
    </row>
    <row r="21" spans="5:7">
      <c r="E21" s="69"/>
      <c r="G21" s="70"/>
    </row>
    <row r="22" spans="5:7" ht="92.25" customHeight="1">
      <c r="E22" s="394" t="s">
        <v>113</v>
      </c>
      <c r="F22" s="395"/>
      <c r="G22" s="396"/>
    </row>
  </sheetData>
  <mergeCells count="13">
    <mergeCell ref="E18:G18"/>
    <mergeCell ref="E19:G19"/>
    <mergeCell ref="E20:G20"/>
    <mergeCell ref="E22:G22"/>
    <mergeCell ref="B2:G2"/>
    <mergeCell ref="B3:G3"/>
    <mergeCell ref="B14:G14"/>
    <mergeCell ref="B15:G15"/>
    <mergeCell ref="B5:G5"/>
    <mergeCell ref="B6:G6"/>
    <mergeCell ref="B11:G11"/>
    <mergeCell ref="B12:G12"/>
    <mergeCell ref="B13:G13"/>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11"/>
  <sheetViews>
    <sheetView workbookViewId="0">
      <selection activeCell="B6" sqref="B6:G6"/>
    </sheetView>
  </sheetViews>
  <sheetFormatPr defaultRowHeight="14.4"/>
  <cols>
    <col min="2" max="2" width="5.6640625" customWidth="1"/>
    <col min="3" max="3" width="22.33203125" customWidth="1"/>
    <col min="4" max="4" width="13.109375" customWidth="1"/>
    <col min="5" max="5" width="15.44140625" customWidth="1"/>
    <col min="6" max="6" width="14.5546875" customWidth="1"/>
    <col min="7" max="7" width="44" customWidth="1"/>
  </cols>
  <sheetData>
    <row r="2" spans="2:9">
      <c r="B2" s="360" t="s">
        <v>33</v>
      </c>
      <c r="C2" s="361"/>
      <c r="D2" s="361"/>
      <c r="E2" s="361"/>
      <c r="F2" s="361"/>
      <c r="G2" s="362"/>
    </row>
    <row r="3" spans="2:9">
      <c r="B3" s="293" t="e">
        <f>SUMMARY!#REF!</f>
        <v>#REF!</v>
      </c>
      <c r="C3" s="294"/>
      <c r="D3" s="294"/>
      <c r="E3" s="294"/>
      <c r="F3" s="294"/>
      <c r="G3" s="295"/>
    </row>
    <row r="4" spans="2:9" ht="24">
      <c r="B4" s="24" t="s">
        <v>0</v>
      </c>
      <c r="C4" s="24" t="s">
        <v>70</v>
      </c>
      <c r="D4" s="33" t="s">
        <v>64</v>
      </c>
      <c r="E4" s="24" t="s">
        <v>29</v>
      </c>
      <c r="F4" s="24" t="s">
        <v>77</v>
      </c>
      <c r="G4" s="24" t="s">
        <v>22</v>
      </c>
    </row>
    <row r="5" spans="2:9">
      <c r="B5" s="293" t="e">
        <f>SUMMARY!#REF!</f>
        <v>#REF!</v>
      </c>
      <c r="C5" s="294"/>
      <c r="D5" s="294"/>
      <c r="E5" s="294"/>
      <c r="F5" s="294"/>
      <c r="G5" s="295"/>
    </row>
    <row r="6" spans="2:9" ht="129.75" customHeight="1">
      <c r="B6" s="209">
        <v>1</v>
      </c>
      <c r="C6" s="210" t="s">
        <v>148</v>
      </c>
      <c r="D6" s="211">
        <v>106.08</v>
      </c>
      <c r="E6" s="211">
        <f t="shared" ref="E6:F8" si="0">D6*H6</f>
        <v>84.864000000000004</v>
      </c>
      <c r="F6" s="211">
        <f t="shared" si="0"/>
        <v>50.918399999999998</v>
      </c>
      <c r="G6" s="72" t="s">
        <v>181</v>
      </c>
      <c r="H6" s="39">
        <v>0.8</v>
      </c>
      <c r="I6" s="39">
        <v>0.6</v>
      </c>
    </row>
    <row r="7" spans="2:9" ht="91.2">
      <c r="B7" s="225">
        <v>2</v>
      </c>
      <c r="C7" s="227" t="s">
        <v>127</v>
      </c>
      <c r="D7" s="226">
        <v>-24.97</v>
      </c>
      <c r="E7" s="211">
        <f t="shared" si="0"/>
        <v>-24.97</v>
      </c>
      <c r="F7" s="211">
        <f t="shared" si="0"/>
        <v>-24.97</v>
      </c>
      <c r="G7" s="72" t="s">
        <v>149</v>
      </c>
      <c r="H7" s="39">
        <v>1</v>
      </c>
      <c r="I7" s="39">
        <v>1</v>
      </c>
    </row>
    <row r="8" spans="2:9" ht="250.8">
      <c r="B8" s="225">
        <v>3</v>
      </c>
      <c r="C8" s="210" t="s">
        <v>138</v>
      </c>
      <c r="D8" s="226">
        <v>877.39</v>
      </c>
      <c r="E8" s="226">
        <f t="shared" si="0"/>
        <v>701.91200000000003</v>
      </c>
      <c r="F8" s="226">
        <f t="shared" si="0"/>
        <v>421.1472</v>
      </c>
      <c r="G8" s="212" t="s">
        <v>182</v>
      </c>
      <c r="H8" s="39">
        <v>0.8</v>
      </c>
      <c r="I8" s="39">
        <v>0.6</v>
      </c>
    </row>
    <row r="9" spans="2:9">
      <c r="B9" s="34"/>
      <c r="C9" s="32" t="s">
        <v>23</v>
      </c>
      <c r="D9" s="45">
        <f>SUM(D6:D8)</f>
        <v>958.5</v>
      </c>
      <c r="E9" s="45">
        <f>SUM(E6:E8)</f>
        <v>761.80600000000004</v>
      </c>
      <c r="F9" s="45">
        <f>SUM(F6:F8)</f>
        <v>447.09559999999999</v>
      </c>
      <c r="G9" s="34"/>
    </row>
    <row r="10" spans="2:9">
      <c r="B10" s="381" t="str">
        <f>[1]SUMMARY!B16</f>
        <v>REMARKS &amp; NOTES:-</v>
      </c>
      <c r="C10" s="382"/>
      <c r="D10" s="382"/>
      <c r="E10" s="382"/>
      <c r="F10" s="382"/>
      <c r="G10" s="383"/>
    </row>
    <row r="11" spans="2:9" ht="124.5" customHeight="1">
      <c r="B11" s="299" t="s">
        <v>82</v>
      </c>
      <c r="C11" s="299"/>
      <c r="D11" s="299"/>
      <c r="E11" s="299"/>
      <c r="F11" s="299"/>
      <c r="G11" s="299"/>
    </row>
  </sheetData>
  <mergeCells count="5">
    <mergeCell ref="B2:G2"/>
    <mergeCell ref="B3:G3"/>
    <mergeCell ref="B5:G5"/>
    <mergeCell ref="B10:G10"/>
    <mergeCell ref="B11:G11"/>
  </mergeCells>
  <pageMargins left="0.7" right="0.7" top="0.75" bottom="0.7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G9"/>
  <sheetViews>
    <sheetView workbookViewId="0">
      <selection activeCell="B2" sqref="B2:G9"/>
    </sheetView>
  </sheetViews>
  <sheetFormatPr defaultRowHeight="14.4"/>
  <cols>
    <col min="3" max="3" width="15.6640625" customWidth="1"/>
    <col min="7" max="7" width="47.33203125" customWidth="1"/>
  </cols>
  <sheetData>
    <row r="2" spans="2:7">
      <c r="B2" s="348" t="s">
        <v>69</v>
      </c>
      <c r="C2" s="349"/>
      <c r="D2" s="349"/>
      <c r="E2" s="349"/>
      <c r="F2" s="349"/>
      <c r="G2" s="350"/>
    </row>
    <row r="3" spans="2:7" ht="14.4" customHeight="1">
      <c r="B3" s="293" t="e">
        <f>SUMMARY!#REF!</f>
        <v>#REF!</v>
      </c>
      <c r="C3" s="294"/>
      <c r="D3" s="294"/>
      <c r="E3" s="294"/>
      <c r="F3" s="294"/>
      <c r="G3" s="295"/>
    </row>
    <row r="4" spans="2:7" ht="48">
      <c r="B4" s="24" t="s">
        <v>0</v>
      </c>
      <c r="C4" s="24" t="s">
        <v>70</v>
      </c>
      <c r="D4" s="33" t="s">
        <v>65</v>
      </c>
      <c r="E4" s="24" t="s">
        <v>464</v>
      </c>
      <c r="F4" s="24" t="s">
        <v>465</v>
      </c>
      <c r="G4" s="24" t="s">
        <v>22</v>
      </c>
    </row>
    <row r="5" spans="2:7">
      <c r="B5" s="351" t="str">
        <f>[4]SUMMARY!B5</f>
        <v>Figures in INR Crores</v>
      </c>
      <c r="C5" s="352"/>
      <c r="D5" s="352"/>
      <c r="E5" s="352"/>
      <c r="F5" s="352"/>
      <c r="G5" s="353"/>
    </row>
    <row r="6" spans="2:7" ht="100.2" customHeight="1">
      <c r="B6" s="194">
        <v>1</v>
      </c>
      <c r="C6" s="60" t="s">
        <v>127</v>
      </c>
      <c r="D6" s="56">
        <v>-24.97</v>
      </c>
      <c r="E6" s="44">
        <f>D6</f>
        <v>-24.97</v>
      </c>
      <c r="F6" s="44">
        <f>E6</f>
        <v>-24.97</v>
      </c>
      <c r="G6" s="91" t="s">
        <v>149</v>
      </c>
    </row>
    <row r="7" spans="2:7">
      <c r="B7" s="34"/>
      <c r="C7" s="195" t="s">
        <v>23</v>
      </c>
      <c r="D7" s="45">
        <f>SUM(D3:D6)</f>
        <v>-24.97</v>
      </c>
      <c r="E7" s="45">
        <f>SUM(E3:E6)</f>
        <v>-24.97</v>
      </c>
      <c r="F7" s="45">
        <f>SUM(F3:F6)</f>
        <v>-24.97</v>
      </c>
      <c r="G7" s="34"/>
    </row>
    <row r="8" spans="2:7">
      <c r="B8" s="354" t="s">
        <v>20</v>
      </c>
      <c r="C8" s="355"/>
      <c r="D8" s="355"/>
      <c r="E8" s="355"/>
      <c r="F8" s="355"/>
      <c r="G8" s="356"/>
    </row>
    <row r="9" spans="2:7">
      <c r="B9" s="299" t="s">
        <v>82</v>
      </c>
      <c r="C9" s="299"/>
      <c r="D9" s="299"/>
      <c r="E9" s="299"/>
      <c r="F9" s="299"/>
      <c r="G9" s="299"/>
    </row>
  </sheetData>
  <mergeCells count="5">
    <mergeCell ref="B2:G2"/>
    <mergeCell ref="B3:G3"/>
    <mergeCell ref="B5:G5"/>
    <mergeCell ref="B8:G8"/>
    <mergeCell ref="B9:G9"/>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L47"/>
  <sheetViews>
    <sheetView topLeftCell="A28" workbookViewId="0">
      <selection activeCell="L11" sqref="L11"/>
    </sheetView>
  </sheetViews>
  <sheetFormatPr defaultRowHeight="14.4"/>
  <cols>
    <col min="2" max="2" width="22" customWidth="1"/>
    <col min="3" max="3" width="13.6640625" bestFit="1" customWidth="1"/>
    <col min="4" max="5" width="15.33203125" bestFit="1" customWidth="1"/>
    <col min="7" max="7" width="15.33203125" bestFit="1" customWidth="1"/>
    <col min="10" max="10" width="12" customWidth="1"/>
    <col min="11" max="11" width="14.5546875" customWidth="1"/>
    <col min="12" max="12" width="10.44140625" bestFit="1" customWidth="1"/>
  </cols>
  <sheetData>
    <row r="2" spans="2:12">
      <c r="B2" s="116" t="s">
        <v>158</v>
      </c>
      <c r="C2" s="117">
        <v>43388</v>
      </c>
    </row>
    <row r="3" spans="2:12">
      <c r="B3" s="116" t="s">
        <v>159</v>
      </c>
      <c r="C3" s="118">
        <f>D43/4</f>
        <v>3.48025E-2</v>
      </c>
    </row>
    <row r="5" spans="2:12">
      <c r="D5" s="119" t="s">
        <v>160</v>
      </c>
      <c r="E5" s="119" t="s">
        <v>161</v>
      </c>
      <c r="F5" s="119" t="s">
        <v>152</v>
      </c>
      <c r="G5" s="119" t="s">
        <v>162</v>
      </c>
    </row>
    <row r="6" spans="2:12">
      <c r="D6" s="120">
        <v>43465</v>
      </c>
      <c r="E6" s="121">
        <f>K43</f>
        <v>634.26575000000003</v>
      </c>
      <c r="F6" s="100">
        <f>(D6-$C$2)/91.25</f>
        <v>0.84383561643835614</v>
      </c>
      <c r="G6" s="122">
        <f>E6/(1+$C$3)^F6</f>
        <v>616.21745873677651</v>
      </c>
    </row>
    <row r="7" spans="2:12">
      <c r="D7" s="120">
        <f>EDATE(D6,3)</f>
        <v>43555</v>
      </c>
      <c r="E7" s="121">
        <f>E6</f>
        <v>634.26575000000003</v>
      </c>
      <c r="F7" s="100">
        <f t="shared" ref="F7:F37" si="0">(D7-$C$2)/91.25</f>
        <v>1.8301369863013699</v>
      </c>
      <c r="G7" s="122">
        <f t="shared" ref="G7:G37" si="1">E7/(1+$C$3)^F7</f>
        <v>595.77195594717068</v>
      </c>
    </row>
    <row r="8" spans="2:12">
      <c r="D8" s="120">
        <f>EDATE(D7,3)</f>
        <v>43646</v>
      </c>
      <c r="E8" s="121">
        <f t="shared" ref="E8:E36" si="2">E7</f>
        <v>634.26575000000003</v>
      </c>
      <c r="F8" s="100">
        <f t="shared" si="0"/>
        <v>2.8273972602739725</v>
      </c>
      <c r="G8" s="122">
        <f t="shared" si="1"/>
        <v>575.78890547843855</v>
      </c>
    </row>
    <row r="9" spans="2:12">
      <c r="D9" s="120">
        <f t="shared" ref="D9:D36" si="3">EDATE(D8,3)</f>
        <v>43738</v>
      </c>
      <c r="E9" s="121">
        <f t="shared" si="2"/>
        <v>634.26575000000003</v>
      </c>
      <c r="F9" s="100">
        <f t="shared" si="0"/>
        <v>3.8356164383561642</v>
      </c>
      <c r="G9" s="122">
        <f t="shared" si="1"/>
        <v>556.26752567661299</v>
      </c>
      <c r="K9" t="s">
        <v>158</v>
      </c>
      <c r="L9" s="123">
        <v>43388</v>
      </c>
    </row>
    <row r="10" spans="2:12">
      <c r="D10" s="120">
        <f t="shared" si="3"/>
        <v>43829</v>
      </c>
      <c r="E10" s="121">
        <f t="shared" si="2"/>
        <v>634.26575000000003</v>
      </c>
      <c r="F10" s="100">
        <f t="shared" si="0"/>
        <v>4.8328767123287673</v>
      </c>
      <c r="G10" s="122">
        <f t="shared" si="1"/>
        <v>537.6095107620971</v>
      </c>
      <c r="L10" s="123">
        <v>43465</v>
      </c>
    </row>
    <row r="11" spans="2:12">
      <c r="D11" s="120">
        <f t="shared" si="3"/>
        <v>43920</v>
      </c>
      <c r="E11" s="121">
        <f t="shared" si="2"/>
        <v>634.26575000000003</v>
      </c>
      <c r="F11" s="100">
        <f t="shared" si="0"/>
        <v>5.8301369863013699</v>
      </c>
      <c r="G11" s="122">
        <f t="shared" si="1"/>
        <v>519.57731257151613</v>
      </c>
      <c r="K11" t="s">
        <v>163</v>
      </c>
      <c r="L11" s="123">
        <v>46226</v>
      </c>
    </row>
    <row r="12" spans="2:12">
      <c r="D12" s="120">
        <f t="shared" si="3"/>
        <v>44012</v>
      </c>
      <c r="E12" s="121">
        <f t="shared" si="2"/>
        <v>634.26575000000003</v>
      </c>
      <c r="F12" s="100">
        <f t="shared" si="0"/>
        <v>6.838356164383562</v>
      </c>
      <c r="G12" s="122">
        <f t="shared" si="1"/>
        <v>501.96171428781463</v>
      </c>
      <c r="L12" s="123">
        <v>46203</v>
      </c>
    </row>
    <row r="13" spans="2:12">
      <c r="D13" s="120">
        <f t="shared" si="3"/>
        <v>44104</v>
      </c>
      <c r="E13" s="121">
        <f t="shared" si="2"/>
        <v>634.26575000000003</v>
      </c>
      <c r="F13" s="100">
        <f t="shared" si="0"/>
        <v>7.8465753424657532</v>
      </c>
      <c r="G13" s="122">
        <f t="shared" si="1"/>
        <v>484.94335013151738</v>
      </c>
      <c r="L13">
        <f>(L12-L10)/90</f>
        <v>30.422222222222221</v>
      </c>
    </row>
    <row r="14" spans="2:12">
      <c r="D14" s="120">
        <f t="shared" si="3"/>
        <v>44195</v>
      </c>
      <c r="E14" s="121">
        <f t="shared" si="2"/>
        <v>634.26575000000003</v>
      </c>
      <c r="F14" s="100">
        <f t="shared" si="0"/>
        <v>8.8438356164383567</v>
      </c>
      <c r="G14" s="122">
        <f t="shared" si="1"/>
        <v>468.67765090982806</v>
      </c>
    </row>
    <row r="15" spans="2:12">
      <c r="D15" s="120">
        <f t="shared" si="3"/>
        <v>44285</v>
      </c>
      <c r="E15" s="121">
        <f t="shared" si="2"/>
        <v>634.26575000000003</v>
      </c>
      <c r="F15" s="100">
        <f t="shared" si="0"/>
        <v>9.830136986301369</v>
      </c>
      <c r="G15" s="122">
        <f t="shared" si="1"/>
        <v>453.12737708482769</v>
      </c>
    </row>
    <row r="16" spans="2:12">
      <c r="D16" s="120">
        <f t="shared" si="3"/>
        <v>44377</v>
      </c>
      <c r="E16" s="121">
        <f t="shared" si="2"/>
        <v>634.26575000000003</v>
      </c>
      <c r="F16" s="100">
        <f t="shared" si="0"/>
        <v>10.838356164383562</v>
      </c>
      <c r="G16" s="122">
        <f t="shared" si="1"/>
        <v>437.76467811214115</v>
      </c>
    </row>
    <row r="17" spans="4:7">
      <c r="D17" s="120">
        <f t="shared" si="3"/>
        <v>44469</v>
      </c>
      <c r="E17" s="121">
        <f t="shared" si="2"/>
        <v>634.26575000000003</v>
      </c>
      <c r="F17" s="100">
        <f t="shared" si="0"/>
        <v>11.846575342465753</v>
      </c>
      <c r="G17" s="122">
        <f t="shared" si="1"/>
        <v>422.92283162301834</v>
      </c>
    </row>
    <row r="18" spans="4:7">
      <c r="D18" s="120">
        <f t="shared" si="3"/>
        <v>44560</v>
      </c>
      <c r="E18" s="121">
        <f t="shared" si="2"/>
        <v>634.26575000000003</v>
      </c>
      <c r="F18" s="100">
        <f t="shared" si="0"/>
        <v>12.843835616438357</v>
      </c>
      <c r="G18" s="122">
        <f t="shared" si="1"/>
        <v>408.73739002185084</v>
      </c>
    </row>
    <row r="19" spans="4:7">
      <c r="D19" s="120">
        <f t="shared" si="3"/>
        <v>44650</v>
      </c>
      <c r="E19" s="121">
        <f t="shared" si="2"/>
        <v>634.26575000000003</v>
      </c>
      <c r="F19" s="100">
        <f t="shared" si="0"/>
        <v>13.830136986301369</v>
      </c>
      <c r="G19" s="122">
        <f t="shared" si="1"/>
        <v>395.1758764207284</v>
      </c>
    </row>
    <row r="20" spans="4:7">
      <c r="D20" s="120">
        <f t="shared" si="3"/>
        <v>44742</v>
      </c>
      <c r="E20" s="121">
        <f t="shared" si="2"/>
        <v>634.26575000000003</v>
      </c>
      <c r="F20" s="100">
        <f t="shared" si="0"/>
        <v>14.838356164383562</v>
      </c>
      <c r="G20" s="122">
        <f t="shared" si="1"/>
        <v>381.77794829337375</v>
      </c>
    </row>
    <row r="21" spans="4:7">
      <c r="D21" s="120">
        <f t="shared" si="3"/>
        <v>44834</v>
      </c>
      <c r="E21" s="121">
        <f t="shared" si="2"/>
        <v>634.26575000000003</v>
      </c>
      <c r="F21" s="100">
        <f t="shared" si="0"/>
        <v>15.846575342465753</v>
      </c>
      <c r="G21" s="122">
        <f t="shared" si="1"/>
        <v>368.83425962955022</v>
      </c>
    </row>
    <row r="22" spans="4:7">
      <c r="D22" s="120">
        <f t="shared" si="3"/>
        <v>44925</v>
      </c>
      <c r="E22" s="121">
        <f t="shared" si="2"/>
        <v>634.26575000000003</v>
      </c>
      <c r="F22" s="100">
        <f t="shared" si="0"/>
        <v>16.843835616438355</v>
      </c>
      <c r="G22" s="122">
        <f t="shared" si="1"/>
        <v>356.46302672541469</v>
      </c>
    </row>
    <row r="23" spans="4:7">
      <c r="D23" s="120">
        <f t="shared" si="3"/>
        <v>45015</v>
      </c>
      <c r="E23" s="121">
        <f t="shared" si="2"/>
        <v>634.26575000000003</v>
      </c>
      <c r="F23" s="100">
        <f t="shared" si="0"/>
        <v>17.830136986301369</v>
      </c>
      <c r="G23" s="122">
        <f t="shared" si="1"/>
        <v>344.63592623682086</v>
      </c>
    </row>
    <row r="24" spans="4:7">
      <c r="D24" s="120">
        <f t="shared" si="3"/>
        <v>45107</v>
      </c>
      <c r="E24" s="121">
        <f t="shared" si="2"/>
        <v>634.26575000000003</v>
      </c>
      <c r="F24" s="100">
        <f t="shared" si="0"/>
        <v>18.838356164383562</v>
      </c>
      <c r="G24" s="122">
        <f t="shared" si="1"/>
        <v>332.9514899001523</v>
      </c>
    </row>
    <row r="25" spans="4:7">
      <c r="D25" s="120">
        <f t="shared" si="3"/>
        <v>45199</v>
      </c>
      <c r="E25" s="121">
        <f t="shared" si="2"/>
        <v>634.26575000000003</v>
      </c>
      <c r="F25" s="100">
        <f t="shared" si="0"/>
        <v>19.846575342465755</v>
      </c>
      <c r="G25" s="122">
        <f t="shared" si="1"/>
        <v>321.66319929906155</v>
      </c>
    </row>
    <row r="26" spans="4:7">
      <c r="D26" s="120">
        <f t="shared" si="3"/>
        <v>45290</v>
      </c>
      <c r="E26" s="121">
        <f t="shared" si="2"/>
        <v>634.26575000000003</v>
      </c>
      <c r="F26" s="100">
        <f t="shared" si="0"/>
        <v>20.843835616438355</v>
      </c>
      <c r="G26" s="122">
        <f t="shared" si="1"/>
        <v>310.87415177615833</v>
      </c>
    </row>
    <row r="27" spans="4:7">
      <c r="D27" s="120">
        <f t="shared" si="3"/>
        <v>45381</v>
      </c>
      <c r="E27" s="121">
        <f t="shared" si="2"/>
        <v>634.26575000000003</v>
      </c>
      <c r="F27" s="100">
        <f t="shared" si="0"/>
        <v>21.841095890410958</v>
      </c>
      <c r="G27" s="122">
        <f t="shared" si="1"/>
        <v>300.4469844643117</v>
      </c>
    </row>
    <row r="28" spans="4:7">
      <c r="D28" s="120">
        <f t="shared" si="3"/>
        <v>45473</v>
      </c>
      <c r="E28" s="121">
        <f t="shared" si="2"/>
        <v>634.26575000000003</v>
      </c>
      <c r="F28" s="100">
        <f t="shared" si="0"/>
        <v>22.849315068493151</v>
      </c>
      <c r="G28" s="122">
        <f t="shared" si="1"/>
        <v>290.26071717392767</v>
      </c>
    </row>
    <row r="29" spans="4:7">
      <c r="D29" s="120">
        <f t="shared" si="3"/>
        <v>45565</v>
      </c>
      <c r="E29" s="121">
        <f t="shared" si="2"/>
        <v>634.26575000000003</v>
      </c>
      <c r="F29" s="100">
        <f t="shared" si="0"/>
        <v>23.857534246575341</v>
      </c>
      <c r="G29" s="122">
        <f t="shared" si="1"/>
        <v>280.41980213094985</v>
      </c>
    </row>
    <row r="30" spans="4:7">
      <c r="D30" s="120">
        <f t="shared" si="3"/>
        <v>45656</v>
      </c>
      <c r="E30" s="121">
        <f t="shared" si="2"/>
        <v>634.26575000000003</v>
      </c>
      <c r="F30" s="100">
        <f t="shared" si="0"/>
        <v>24.854794520547944</v>
      </c>
      <c r="G30" s="122">
        <f t="shared" si="1"/>
        <v>271.01411761948964</v>
      </c>
    </row>
    <row r="31" spans="4:7">
      <c r="D31" s="120">
        <f t="shared" si="3"/>
        <v>45746</v>
      </c>
      <c r="E31" s="121">
        <f t="shared" si="2"/>
        <v>634.26575000000003</v>
      </c>
      <c r="F31" s="100">
        <f t="shared" si="0"/>
        <v>25.841095890410958</v>
      </c>
      <c r="G31" s="122">
        <f t="shared" si="1"/>
        <v>262.02212977615471</v>
      </c>
    </row>
    <row r="32" spans="4:7">
      <c r="D32" s="120">
        <f t="shared" si="3"/>
        <v>45838</v>
      </c>
      <c r="E32" s="121">
        <f t="shared" si="2"/>
        <v>634.26575000000003</v>
      </c>
      <c r="F32" s="100">
        <f t="shared" si="0"/>
        <v>26.849315068493151</v>
      </c>
      <c r="G32" s="122">
        <f t="shared" si="1"/>
        <v>253.13860759784302</v>
      </c>
    </row>
    <row r="33" spans="1:11">
      <c r="D33" s="120">
        <f t="shared" si="3"/>
        <v>45930</v>
      </c>
      <c r="E33" s="121">
        <f t="shared" si="2"/>
        <v>634.26575000000003</v>
      </c>
      <c r="F33" s="100">
        <f t="shared" si="0"/>
        <v>27.857534246575341</v>
      </c>
      <c r="G33" s="122">
        <f t="shared" si="1"/>
        <v>244.55626977506637</v>
      </c>
    </row>
    <row r="34" spans="1:11">
      <c r="D34" s="120">
        <f t="shared" si="3"/>
        <v>46021</v>
      </c>
      <c r="E34" s="121">
        <f t="shared" si="2"/>
        <v>634.26575000000003</v>
      </c>
      <c r="F34" s="100">
        <f t="shared" si="0"/>
        <v>28.854794520547944</v>
      </c>
      <c r="G34" s="122">
        <f t="shared" si="1"/>
        <v>236.35349985181506</v>
      </c>
    </row>
    <row r="35" spans="1:11">
      <c r="D35" s="120">
        <f t="shared" si="3"/>
        <v>46111</v>
      </c>
      <c r="E35" s="121">
        <f t="shared" si="2"/>
        <v>634.26575000000003</v>
      </c>
      <c r="F35" s="100">
        <f t="shared" si="0"/>
        <v>29.841095890410958</v>
      </c>
      <c r="G35" s="122">
        <f t="shared" si="1"/>
        <v>228.51151797992921</v>
      </c>
    </row>
    <row r="36" spans="1:11">
      <c r="D36" s="120">
        <f t="shared" si="3"/>
        <v>46203</v>
      </c>
      <c r="E36" s="121">
        <f t="shared" si="2"/>
        <v>634.26575000000003</v>
      </c>
      <c r="F36" s="100">
        <f t="shared" si="0"/>
        <v>30.849315068493151</v>
      </c>
      <c r="G36" s="122">
        <f t="shared" si="1"/>
        <v>220.76412985012277</v>
      </c>
    </row>
    <row r="37" spans="1:11">
      <c r="D37" s="120">
        <v>46226</v>
      </c>
      <c r="E37" s="121">
        <v>253706300</v>
      </c>
      <c r="F37" s="100">
        <f t="shared" si="0"/>
        <v>31.101369863013698</v>
      </c>
      <c r="G37" s="122">
        <f t="shared" si="1"/>
        <v>87547470.950813681</v>
      </c>
    </row>
    <row r="38" spans="1:11">
      <c r="D38" s="124"/>
      <c r="E38" s="125">
        <f>SUM(E6:E37)</f>
        <v>253725962.23824999</v>
      </c>
      <c r="F38" s="124"/>
      <c r="G38" s="126">
        <f>SUM(G6:G37)</f>
        <v>87559450.182129532</v>
      </c>
    </row>
    <row r="41" spans="1:11" ht="28.8">
      <c r="C41" s="78" t="s">
        <v>164</v>
      </c>
      <c r="D41" s="127">
        <v>7.9210000000000003E-2</v>
      </c>
      <c r="E41" t="s">
        <v>165</v>
      </c>
      <c r="J41" s="116" t="s">
        <v>166</v>
      </c>
      <c r="K41" s="116">
        <v>253706300</v>
      </c>
    </row>
    <row r="42" spans="1:11">
      <c r="B42" s="128" t="s">
        <v>167</v>
      </c>
      <c r="C42" s="129" t="s">
        <v>168</v>
      </c>
      <c r="D42" s="127">
        <v>0.06</v>
      </c>
      <c r="J42" s="116" t="s">
        <v>169</v>
      </c>
      <c r="K42" s="130">
        <f>(0.001/4)%</f>
        <v>2.5000000000000002E-6</v>
      </c>
    </row>
    <row r="43" spans="1:11">
      <c r="C43" s="131" t="s">
        <v>170</v>
      </c>
      <c r="D43" s="132">
        <f>SUM(D41:D42)</f>
        <v>0.13921</v>
      </c>
      <c r="J43" s="116"/>
      <c r="K43" s="116">
        <f>K41*K42</f>
        <v>634.26575000000003</v>
      </c>
    </row>
    <row r="45" spans="1:11">
      <c r="B45" s="116" t="s">
        <v>171</v>
      </c>
      <c r="C45" s="116"/>
      <c r="D45" s="133">
        <f>G38</f>
        <v>87559450.182129532</v>
      </c>
    </row>
    <row r="46" spans="1:11" ht="27.75" customHeight="1">
      <c r="A46" s="128" t="s">
        <v>172</v>
      </c>
      <c r="B46" s="87" t="s">
        <v>173</v>
      </c>
      <c r="C46" s="134">
        <v>0.75</v>
      </c>
      <c r="D46" s="133">
        <f>D45*C46</f>
        <v>65669587.636597149</v>
      </c>
    </row>
    <row r="47" spans="1:11">
      <c r="B47" s="135" t="s">
        <v>174</v>
      </c>
      <c r="C47" s="135"/>
      <c r="D47" s="136">
        <f>D45-D46</f>
        <v>21889862.545532383</v>
      </c>
      <c r="F47">
        <f>(SUM(E37:E37)/D47)^(1/15)-1</f>
        <v>0.17744116281252031</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X41"/>
  <sheetViews>
    <sheetView topLeftCell="A28" workbookViewId="0">
      <selection activeCell="I40" sqref="I40"/>
    </sheetView>
  </sheetViews>
  <sheetFormatPr defaultRowHeight="14.4"/>
  <cols>
    <col min="2" max="2" width="22" customWidth="1"/>
    <col min="3" max="3" width="13.6640625" bestFit="1" customWidth="1"/>
    <col min="4" max="5" width="15.33203125" bestFit="1" customWidth="1"/>
    <col min="7" max="7" width="15.33203125" bestFit="1" customWidth="1"/>
    <col min="9" max="9" width="14.88671875" bestFit="1" customWidth="1"/>
    <col min="10" max="10" width="12" customWidth="1"/>
    <col min="11" max="11" width="14.5546875" customWidth="1"/>
    <col min="12" max="12" width="10.44140625" bestFit="1" customWidth="1"/>
    <col min="14" max="14" width="10.33203125" bestFit="1" customWidth="1"/>
    <col min="15" max="15" width="13.88671875" bestFit="1" customWidth="1"/>
    <col min="17" max="17" width="13.88671875" style="137" bestFit="1" customWidth="1"/>
    <col min="20" max="20" width="12" bestFit="1" customWidth="1"/>
    <col min="21" max="21" width="10.33203125" bestFit="1" customWidth="1"/>
    <col min="22" max="22" width="12.33203125" bestFit="1" customWidth="1"/>
    <col min="24" max="24" width="12.33203125" customWidth="1"/>
  </cols>
  <sheetData>
    <row r="2" spans="1:24">
      <c r="B2" s="116" t="s">
        <v>158</v>
      </c>
      <c r="C2" s="117">
        <v>43388</v>
      </c>
    </row>
    <row r="3" spans="1:24">
      <c r="B3" s="116" t="s">
        <v>159</v>
      </c>
      <c r="C3" s="118">
        <f>D34/4</f>
        <v>3.4999999999999996E-2</v>
      </c>
    </row>
    <row r="5" spans="1:24">
      <c r="D5" s="119" t="s">
        <v>160</v>
      </c>
      <c r="E5" s="119" t="s">
        <v>161</v>
      </c>
      <c r="F5" s="119" t="s">
        <v>152</v>
      </c>
      <c r="G5" s="119" t="s">
        <v>162</v>
      </c>
      <c r="N5" s="119" t="s">
        <v>160</v>
      </c>
      <c r="O5" s="119" t="s">
        <v>161</v>
      </c>
      <c r="P5" s="119" t="s">
        <v>152</v>
      </c>
      <c r="Q5" s="138" t="s">
        <v>162</v>
      </c>
      <c r="U5" s="119" t="s">
        <v>160</v>
      </c>
      <c r="V5" s="119" t="s">
        <v>161</v>
      </c>
      <c r="W5" s="119" t="s">
        <v>152</v>
      </c>
      <c r="X5" s="138" t="s">
        <v>162</v>
      </c>
    </row>
    <row r="6" spans="1:24">
      <c r="D6" s="120">
        <v>43465</v>
      </c>
      <c r="E6" s="139">
        <f>K34</f>
        <v>1831500</v>
      </c>
      <c r="F6" s="100">
        <f>(D6-$C$2)/91.25</f>
        <v>0.84383561643835614</v>
      </c>
      <c r="G6" s="122">
        <f>E6/(1+$C$3)^F6</f>
        <v>1779097.3947906287</v>
      </c>
      <c r="N6" s="120">
        <v>43465</v>
      </c>
      <c r="O6" s="121">
        <f>O39</f>
        <v>1831500</v>
      </c>
      <c r="P6" s="100">
        <f>(N6-$C$2)/91.25</f>
        <v>0.84383561643835614</v>
      </c>
      <c r="Q6" s="140">
        <f>O6/(1+$C$3)^P6</f>
        <v>1779097.3947906287</v>
      </c>
      <c r="U6" s="120">
        <v>43465</v>
      </c>
      <c r="V6" s="121">
        <f>V41</f>
        <v>1831500</v>
      </c>
      <c r="W6" s="100">
        <f>(U6-$C$2)/91.25</f>
        <v>0.84383561643835614</v>
      </c>
      <c r="X6" s="140">
        <f>V6/(1+$C$3)^W6</f>
        <v>1779097.3947906287</v>
      </c>
    </row>
    <row r="7" spans="1:24">
      <c r="D7" s="120">
        <f>EDATE(D6,3)</f>
        <v>43555</v>
      </c>
      <c r="E7" s="139">
        <f>E6</f>
        <v>1831500</v>
      </c>
      <c r="F7" s="100">
        <f t="shared" ref="F7:F28" si="0">(D7-$C$2)/91.25</f>
        <v>1.8301369863013699</v>
      </c>
      <c r="G7" s="122">
        <f t="shared" ref="G7:G28" si="1">E7/(1+$C$3)^F7</f>
        <v>1719744.9239862019</v>
      </c>
      <c r="N7" s="120">
        <f>EDATE(N6,3)</f>
        <v>43555</v>
      </c>
      <c r="O7" s="121">
        <f>O6</f>
        <v>1831500</v>
      </c>
      <c r="P7" s="100">
        <f t="shared" ref="P7:P31" si="2">(N7-$C$2)/91.25</f>
        <v>1.8301369863013699</v>
      </c>
      <c r="Q7" s="140">
        <f t="shared" ref="Q7:Q31" si="3">O7/(1+$C$3)^P7</f>
        <v>1719744.9239862019</v>
      </c>
      <c r="U7" s="120">
        <f>EDATE(U6,3)</f>
        <v>43555</v>
      </c>
      <c r="V7" s="121">
        <f>V6</f>
        <v>1831500</v>
      </c>
      <c r="W7" s="100">
        <f t="shared" ref="W7:W36" si="4">(U7-$C$2)/91.25</f>
        <v>1.8301369863013699</v>
      </c>
      <c r="X7" s="140">
        <f t="shared" ref="X7:X36" si="5">V7/(1+$C$3)^W7</f>
        <v>1719744.9239862019</v>
      </c>
    </row>
    <row r="8" spans="1:24">
      <c r="A8" t="s">
        <v>158</v>
      </c>
      <c r="B8" s="123">
        <v>43388</v>
      </c>
      <c r="D8" s="120">
        <f>EDATE(D7,3)</f>
        <v>43646</v>
      </c>
      <c r="E8" s="139">
        <f t="shared" ref="E8:E27" si="6">E7</f>
        <v>1831500</v>
      </c>
      <c r="F8" s="100">
        <f t="shared" si="0"/>
        <v>2.8273972602739725</v>
      </c>
      <c r="G8" s="122">
        <f t="shared" si="1"/>
        <v>1661745.9115135593</v>
      </c>
      <c r="K8" t="s">
        <v>158</v>
      </c>
      <c r="L8" s="123">
        <v>43388</v>
      </c>
      <c r="N8" s="120">
        <f>EDATE(N7,3)</f>
        <v>43646</v>
      </c>
      <c r="O8" s="121">
        <f t="shared" ref="O8:O31" si="7">O7</f>
        <v>1831500</v>
      </c>
      <c r="P8" s="100">
        <f t="shared" si="2"/>
        <v>2.8273972602739725</v>
      </c>
      <c r="Q8" s="140">
        <f t="shared" si="3"/>
        <v>1661745.9115135593</v>
      </c>
      <c r="S8" t="s">
        <v>158</v>
      </c>
      <c r="T8" s="123">
        <v>43388</v>
      </c>
      <c r="U8" s="120">
        <f>EDATE(U7,3)</f>
        <v>43646</v>
      </c>
      <c r="V8" s="121">
        <f t="shared" ref="V8:V35" si="8">V7</f>
        <v>1831500</v>
      </c>
      <c r="W8" s="100">
        <f t="shared" si="4"/>
        <v>2.8273972602739725</v>
      </c>
      <c r="X8" s="140">
        <f t="shared" si="5"/>
        <v>1661745.9115135593</v>
      </c>
    </row>
    <row r="9" spans="1:24">
      <c r="B9" s="123">
        <v>43465</v>
      </c>
      <c r="D9" s="120">
        <f t="shared" ref="D9:D27" si="9">EDATE(D8,3)</f>
        <v>43738</v>
      </c>
      <c r="E9" s="139">
        <f t="shared" si="6"/>
        <v>1831500</v>
      </c>
      <c r="F9" s="100">
        <f t="shared" si="0"/>
        <v>3.8356164383561642</v>
      </c>
      <c r="G9" s="122">
        <f t="shared" si="1"/>
        <v>1605097.697453266</v>
      </c>
      <c r="L9" s="123">
        <v>43465</v>
      </c>
      <c r="N9" s="120">
        <f t="shared" ref="N9:N31" si="10">EDATE(N8,3)</f>
        <v>43738</v>
      </c>
      <c r="O9" s="121">
        <f t="shared" si="7"/>
        <v>1831500</v>
      </c>
      <c r="P9" s="100">
        <f t="shared" si="2"/>
        <v>3.8356164383561642</v>
      </c>
      <c r="Q9" s="140">
        <f t="shared" si="3"/>
        <v>1605097.697453266</v>
      </c>
      <c r="T9" s="123">
        <v>43465</v>
      </c>
      <c r="U9" s="120">
        <f t="shared" ref="U9:U35" si="11">EDATE(U8,3)</f>
        <v>43738</v>
      </c>
      <c r="V9" s="121">
        <f t="shared" si="8"/>
        <v>1831500</v>
      </c>
      <c r="W9" s="100">
        <f t="shared" si="4"/>
        <v>3.8356164383561642</v>
      </c>
      <c r="X9" s="140">
        <f t="shared" si="5"/>
        <v>1605097.697453266</v>
      </c>
    </row>
    <row r="10" spans="1:24">
      <c r="A10" t="s">
        <v>163</v>
      </c>
      <c r="B10" s="123">
        <v>45382</v>
      </c>
      <c r="D10" s="120">
        <f t="shared" si="9"/>
        <v>43829</v>
      </c>
      <c r="E10" s="139">
        <f t="shared" si="6"/>
        <v>1831500</v>
      </c>
      <c r="F10" s="100">
        <f t="shared" si="0"/>
        <v>4.8328767123287673</v>
      </c>
      <c r="G10" s="122">
        <f t="shared" si="1"/>
        <v>1550965.2036886564</v>
      </c>
      <c r="K10" t="s">
        <v>163</v>
      </c>
      <c r="L10" s="123">
        <v>45747</v>
      </c>
      <c r="N10" s="120">
        <f t="shared" si="10"/>
        <v>43829</v>
      </c>
      <c r="O10" s="121">
        <f t="shared" si="7"/>
        <v>1831500</v>
      </c>
      <c r="P10" s="100">
        <f t="shared" si="2"/>
        <v>4.8328767123287673</v>
      </c>
      <c r="Q10" s="140">
        <f t="shared" si="3"/>
        <v>1550965.2036886564</v>
      </c>
      <c r="S10" t="s">
        <v>163</v>
      </c>
      <c r="T10" s="123">
        <v>46112</v>
      </c>
      <c r="U10" s="120">
        <f t="shared" si="11"/>
        <v>43829</v>
      </c>
      <c r="V10" s="121">
        <f t="shared" si="8"/>
        <v>1831500</v>
      </c>
      <c r="W10" s="100">
        <f t="shared" si="4"/>
        <v>4.8328767123287673</v>
      </c>
      <c r="X10" s="140">
        <f t="shared" si="5"/>
        <v>1550965.2036886564</v>
      </c>
    </row>
    <row r="11" spans="1:24">
      <c r="B11">
        <f>(B10-B9)/90</f>
        <v>21.3</v>
      </c>
      <c r="D11" s="120">
        <f t="shared" si="9"/>
        <v>43920</v>
      </c>
      <c r="E11" s="139">
        <f t="shared" si="6"/>
        <v>1831500</v>
      </c>
      <c r="F11" s="100">
        <f t="shared" si="0"/>
        <v>5.8301369863013699</v>
      </c>
      <c r="G11" s="122">
        <f t="shared" si="1"/>
        <v>1498658.347631848</v>
      </c>
      <c r="L11">
        <f>(L10-L9)/90</f>
        <v>25.355555555555554</v>
      </c>
      <c r="N11" s="120">
        <f t="shared" si="10"/>
        <v>43920</v>
      </c>
      <c r="O11" s="121">
        <f t="shared" si="7"/>
        <v>1831500</v>
      </c>
      <c r="P11" s="100">
        <f t="shared" si="2"/>
        <v>5.8301369863013699</v>
      </c>
      <c r="Q11" s="140">
        <f t="shared" si="3"/>
        <v>1498658.347631848</v>
      </c>
      <c r="T11">
        <f>(T10-T9)/90</f>
        <v>29.411111111111111</v>
      </c>
      <c r="U11" s="120">
        <f t="shared" si="11"/>
        <v>43920</v>
      </c>
      <c r="V11" s="121">
        <f t="shared" si="8"/>
        <v>1831500</v>
      </c>
      <c r="W11" s="100">
        <f t="shared" si="4"/>
        <v>5.8301369863013699</v>
      </c>
      <c r="X11" s="140">
        <f t="shared" si="5"/>
        <v>1498658.347631848</v>
      </c>
    </row>
    <row r="12" spans="1:24">
      <c r="D12" s="120">
        <f t="shared" si="9"/>
        <v>44012</v>
      </c>
      <c r="E12" s="139">
        <f t="shared" si="6"/>
        <v>1831500</v>
      </c>
      <c r="F12" s="100">
        <f t="shared" si="0"/>
        <v>6.838356164383562</v>
      </c>
      <c r="G12" s="122">
        <f t="shared" si="1"/>
        <v>1447569.7195259009</v>
      </c>
      <c r="N12" s="120">
        <f t="shared" si="10"/>
        <v>44012</v>
      </c>
      <c r="O12" s="121">
        <f t="shared" si="7"/>
        <v>1831500</v>
      </c>
      <c r="P12" s="100">
        <f t="shared" si="2"/>
        <v>6.838356164383562</v>
      </c>
      <c r="Q12" s="140">
        <f t="shared" si="3"/>
        <v>1447569.7195259009</v>
      </c>
      <c r="U12" s="120">
        <f t="shared" si="11"/>
        <v>44012</v>
      </c>
      <c r="V12" s="121">
        <f t="shared" si="8"/>
        <v>1831500</v>
      </c>
      <c r="W12" s="100">
        <f t="shared" si="4"/>
        <v>6.838356164383562</v>
      </c>
      <c r="X12" s="140">
        <f t="shared" si="5"/>
        <v>1447569.7195259009</v>
      </c>
    </row>
    <row r="13" spans="1:24">
      <c r="D13" s="120">
        <f t="shared" si="9"/>
        <v>44104</v>
      </c>
      <c r="E13" s="139">
        <f t="shared" si="6"/>
        <v>1831500</v>
      </c>
      <c r="F13" s="100">
        <f t="shared" si="0"/>
        <v>7.8465753424657532</v>
      </c>
      <c r="G13" s="122">
        <f t="shared" si="1"/>
        <v>1398222.6811064039</v>
      </c>
      <c r="N13" s="120">
        <f t="shared" si="10"/>
        <v>44104</v>
      </c>
      <c r="O13" s="121">
        <f t="shared" si="7"/>
        <v>1831500</v>
      </c>
      <c r="P13" s="100">
        <f t="shared" si="2"/>
        <v>7.8465753424657532</v>
      </c>
      <c r="Q13" s="140">
        <f t="shared" si="3"/>
        <v>1398222.6811064039</v>
      </c>
      <c r="U13" s="120">
        <f t="shared" si="11"/>
        <v>44104</v>
      </c>
      <c r="V13" s="121">
        <f t="shared" si="8"/>
        <v>1831500</v>
      </c>
      <c r="W13" s="100">
        <f t="shared" si="4"/>
        <v>7.8465753424657532</v>
      </c>
      <c r="X13" s="140">
        <f t="shared" si="5"/>
        <v>1398222.6811064039</v>
      </c>
    </row>
    <row r="14" spans="1:24">
      <c r="D14" s="120">
        <f t="shared" si="9"/>
        <v>44195</v>
      </c>
      <c r="E14" s="139">
        <f t="shared" si="6"/>
        <v>1831500</v>
      </c>
      <c r="F14" s="100">
        <f t="shared" si="0"/>
        <v>8.8438356164383567</v>
      </c>
      <c r="G14" s="122">
        <f t="shared" si="1"/>
        <v>1351067.1212382284</v>
      </c>
      <c r="N14" s="120">
        <f t="shared" si="10"/>
        <v>44195</v>
      </c>
      <c r="O14" s="121">
        <f t="shared" si="7"/>
        <v>1831500</v>
      </c>
      <c r="P14" s="100">
        <f t="shared" si="2"/>
        <v>8.8438356164383567</v>
      </c>
      <c r="Q14" s="140">
        <f t="shared" si="3"/>
        <v>1351067.1212382284</v>
      </c>
      <c r="U14" s="120">
        <f t="shared" si="11"/>
        <v>44195</v>
      </c>
      <c r="V14" s="121">
        <f t="shared" si="8"/>
        <v>1831500</v>
      </c>
      <c r="W14" s="100">
        <f t="shared" si="4"/>
        <v>8.8438356164383567</v>
      </c>
      <c r="X14" s="140">
        <f t="shared" si="5"/>
        <v>1351067.1212382284</v>
      </c>
    </row>
    <row r="15" spans="1:24">
      <c r="D15" s="120">
        <f t="shared" si="9"/>
        <v>44285</v>
      </c>
      <c r="E15" s="139">
        <f t="shared" si="6"/>
        <v>1831500</v>
      </c>
      <c r="F15" s="100">
        <f t="shared" si="0"/>
        <v>9.830136986301369</v>
      </c>
      <c r="G15" s="122">
        <f t="shared" si="1"/>
        <v>1305994.1690193592</v>
      </c>
      <c r="N15" s="120">
        <f t="shared" si="10"/>
        <v>44285</v>
      </c>
      <c r="O15" s="121">
        <f t="shared" si="7"/>
        <v>1831500</v>
      </c>
      <c r="P15" s="100">
        <f t="shared" si="2"/>
        <v>9.830136986301369</v>
      </c>
      <c r="Q15" s="140">
        <f t="shared" si="3"/>
        <v>1305994.1690193592</v>
      </c>
      <c r="U15" s="120">
        <f t="shared" si="11"/>
        <v>44285</v>
      </c>
      <c r="V15" s="121">
        <f t="shared" si="8"/>
        <v>1831500</v>
      </c>
      <c r="W15" s="100">
        <f t="shared" si="4"/>
        <v>9.830136986301369</v>
      </c>
      <c r="X15" s="140">
        <f t="shared" si="5"/>
        <v>1305994.1690193592</v>
      </c>
    </row>
    <row r="16" spans="1:24">
      <c r="D16" s="120">
        <f t="shared" si="9"/>
        <v>44377</v>
      </c>
      <c r="E16" s="139">
        <f t="shared" si="6"/>
        <v>1831500</v>
      </c>
      <c r="F16" s="100">
        <f t="shared" si="0"/>
        <v>10.838356164383562</v>
      </c>
      <c r="G16" s="122">
        <f t="shared" si="1"/>
        <v>1261473.3811326486</v>
      </c>
      <c r="N16" s="120">
        <f t="shared" si="10"/>
        <v>44377</v>
      </c>
      <c r="O16" s="121">
        <f t="shared" si="7"/>
        <v>1831500</v>
      </c>
      <c r="P16" s="100">
        <f t="shared" si="2"/>
        <v>10.838356164383562</v>
      </c>
      <c r="Q16" s="140">
        <f t="shared" si="3"/>
        <v>1261473.3811326486</v>
      </c>
      <c r="U16" s="120">
        <f t="shared" si="11"/>
        <v>44377</v>
      </c>
      <c r="V16" s="121">
        <f t="shared" si="8"/>
        <v>1831500</v>
      </c>
      <c r="W16" s="100">
        <f t="shared" si="4"/>
        <v>10.838356164383562</v>
      </c>
      <c r="X16" s="140">
        <f t="shared" si="5"/>
        <v>1261473.3811326486</v>
      </c>
    </row>
    <row r="17" spans="3:24">
      <c r="D17" s="120">
        <f t="shared" si="9"/>
        <v>44469</v>
      </c>
      <c r="E17" s="139">
        <f t="shared" si="6"/>
        <v>1831500</v>
      </c>
      <c r="F17" s="100">
        <f t="shared" si="0"/>
        <v>11.846575342465753</v>
      </c>
      <c r="G17" s="122">
        <f t="shared" si="1"/>
        <v>1218470.2880420354</v>
      </c>
      <c r="N17" s="120">
        <f t="shared" si="10"/>
        <v>44469</v>
      </c>
      <c r="O17" s="121">
        <f t="shared" si="7"/>
        <v>1831500</v>
      </c>
      <c r="P17" s="100">
        <f t="shared" si="2"/>
        <v>11.846575342465753</v>
      </c>
      <c r="Q17" s="140">
        <f t="shared" si="3"/>
        <v>1218470.2880420354</v>
      </c>
      <c r="U17" s="120">
        <f t="shared" si="11"/>
        <v>44469</v>
      </c>
      <c r="V17" s="121">
        <f t="shared" si="8"/>
        <v>1831500</v>
      </c>
      <c r="W17" s="100">
        <f t="shared" si="4"/>
        <v>11.846575342465753</v>
      </c>
      <c r="X17" s="140">
        <f t="shared" si="5"/>
        <v>1218470.2880420354</v>
      </c>
    </row>
    <row r="18" spans="3:24">
      <c r="D18" s="120">
        <f t="shared" si="9"/>
        <v>44560</v>
      </c>
      <c r="E18" s="139">
        <f t="shared" si="6"/>
        <v>1831500</v>
      </c>
      <c r="F18" s="100">
        <f t="shared" si="0"/>
        <v>12.843835616438357</v>
      </c>
      <c r="G18" s="122">
        <f t="shared" si="1"/>
        <v>1177376.941902139</v>
      </c>
      <c r="N18" s="120">
        <f t="shared" si="10"/>
        <v>44560</v>
      </c>
      <c r="O18" s="121">
        <f t="shared" si="7"/>
        <v>1831500</v>
      </c>
      <c r="P18" s="100">
        <f t="shared" si="2"/>
        <v>12.843835616438357</v>
      </c>
      <c r="Q18" s="140">
        <f t="shared" si="3"/>
        <v>1177376.941902139</v>
      </c>
      <c r="U18" s="120">
        <f t="shared" si="11"/>
        <v>44560</v>
      </c>
      <c r="V18" s="121">
        <f t="shared" si="8"/>
        <v>1831500</v>
      </c>
      <c r="W18" s="100">
        <f t="shared" si="4"/>
        <v>12.843835616438357</v>
      </c>
      <c r="X18" s="140">
        <f t="shared" si="5"/>
        <v>1177376.941902139</v>
      </c>
    </row>
    <row r="19" spans="3:24">
      <c r="D19" s="120">
        <f t="shared" si="9"/>
        <v>44650</v>
      </c>
      <c r="E19" s="139">
        <f t="shared" si="6"/>
        <v>1831500</v>
      </c>
      <c r="F19" s="100">
        <f t="shared" si="0"/>
        <v>13.830136986301369</v>
      </c>
      <c r="G19" s="122">
        <f t="shared" si="1"/>
        <v>1138098.4680115762</v>
      </c>
      <c r="N19" s="120">
        <f t="shared" si="10"/>
        <v>44650</v>
      </c>
      <c r="O19" s="121">
        <f t="shared" si="7"/>
        <v>1831500</v>
      </c>
      <c r="P19" s="100">
        <f t="shared" si="2"/>
        <v>13.830136986301369</v>
      </c>
      <c r="Q19" s="140">
        <f t="shared" si="3"/>
        <v>1138098.4680115762</v>
      </c>
      <c r="U19" s="120">
        <f t="shared" si="11"/>
        <v>44650</v>
      </c>
      <c r="V19" s="121">
        <f t="shared" si="8"/>
        <v>1831500</v>
      </c>
      <c r="W19" s="100">
        <f t="shared" si="4"/>
        <v>13.830136986301369</v>
      </c>
      <c r="X19" s="140">
        <f t="shared" si="5"/>
        <v>1138098.4680115762</v>
      </c>
    </row>
    <row r="20" spans="3:24">
      <c r="D20" s="120">
        <f t="shared" si="9"/>
        <v>44742</v>
      </c>
      <c r="E20" s="139">
        <f t="shared" si="6"/>
        <v>1831500</v>
      </c>
      <c r="F20" s="100">
        <f t="shared" si="0"/>
        <v>14.838356164383562</v>
      </c>
      <c r="G20" s="122">
        <f t="shared" si="1"/>
        <v>1099301.1734366859</v>
      </c>
      <c r="N20" s="120">
        <f t="shared" si="10"/>
        <v>44742</v>
      </c>
      <c r="O20" s="121">
        <f t="shared" si="7"/>
        <v>1831500</v>
      </c>
      <c r="P20" s="100">
        <f t="shared" si="2"/>
        <v>14.838356164383562</v>
      </c>
      <c r="Q20" s="140">
        <f t="shared" si="3"/>
        <v>1099301.1734366859</v>
      </c>
      <c r="U20" s="120">
        <f t="shared" si="11"/>
        <v>44742</v>
      </c>
      <c r="V20" s="121">
        <f t="shared" si="8"/>
        <v>1831500</v>
      </c>
      <c r="W20" s="100">
        <f t="shared" si="4"/>
        <v>14.838356164383562</v>
      </c>
      <c r="X20" s="140">
        <f t="shared" si="5"/>
        <v>1099301.1734366859</v>
      </c>
    </row>
    <row r="21" spans="3:24">
      <c r="D21" s="120">
        <f t="shared" si="9"/>
        <v>44834</v>
      </c>
      <c r="E21" s="139">
        <f t="shared" si="6"/>
        <v>1831500</v>
      </c>
      <c r="F21" s="100">
        <f t="shared" si="0"/>
        <v>15.846575342465753</v>
      </c>
      <c r="G21" s="122">
        <f t="shared" si="1"/>
        <v>1061826.4621958726</v>
      </c>
      <c r="N21" s="120">
        <f t="shared" si="10"/>
        <v>44834</v>
      </c>
      <c r="O21" s="121">
        <f t="shared" si="7"/>
        <v>1831500</v>
      </c>
      <c r="P21" s="100">
        <f t="shared" si="2"/>
        <v>15.846575342465753</v>
      </c>
      <c r="Q21" s="140">
        <f t="shared" si="3"/>
        <v>1061826.4621958726</v>
      </c>
      <c r="U21" s="120">
        <f t="shared" si="11"/>
        <v>44834</v>
      </c>
      <c r="V21" s="121">
        <f t="shared" si="8"/>
        <v>1831500</v>
      </c>
      <c r="W21" s="100">
        <f t="shared" si="4"/>
        <v>15.846575342465753</v>
      </c>
      <c r="X21" s="140">
        <f t="shared" si="5"/>
        <v>1061826.4621958726</v>
      </c>
    </row>
    <row r="22" spans="3:24">
      <c r="D22" s="120">
        <f t="shared" si="9"/>
        <v>44925</v>
      </c>
      <c r="E22" s="139">
        <f t="shared" si="6"/>
        <v>1831500</v>
      </c>
      <c r="F22" s="100">
        <f t="shared" si="0"/>
        <v>16.843835616438355</v>
      </c>
      <c r="G22" s="122">
        <f t="shared" si="1"/>
        <v>1026015.9850921327</v>
      </c>
      <c r="N22" s="120">
        <f t="shared" si="10"/>
        <v>44925</v>
      </c>
      <c r="O22" s="121">
        <f t="shared" si="7"/>
        <v>1831500</v>
      </c>
      <c r="P22" s="100">
        <f t="shared" si="2"/>
        <v>16.843835616438355</v>
      </c>
      <c r="Q22" s="140">
        <f t="shared" si="3"/>
        <v>1026015.9850921327</v>
      </c>
      <c r="U22" s="120">
        <f t="shared" si="11"/>
        <v>44925</v>
      </c>
      <c r="V22" s="121">
        <f t="shared" si="8"/>
        <v>1831500</v>
      </c>
      <c r="W22" s="100">
        <f t="shared" si="4"/>
        <v>16.843835616438355</v>
      </c>
      <c r="X22" s="140">
        <f t="shared" si="5"/>
        <v>1026015.9850921327</v>
      </c>
    </row>
    <row r="23" spans="3:24">
      <c r="D23" s="120">
        <f t="shared" si="9"/>
        <v>45015</v>
      </c>
      <c r="E23" s="139">
        <f t="shared" si="6"/>
        <v>1831500</v>
      </c>
      <c r="F23" s="100">
        <f t="shared" si="0"/>
        <v>17.830136986301369</v>
      </c>
      <c r="G23" s="122">
        <f t="shared" si="1"/>
        <v>991787.0643043404</v>
      </c>
      <c r="N23" s="120">
        <f t="shared" si="10"/>
        <v>45015</v>
      </c>
      <c r="O23" s="121">
        <f t="shared" si="7"/>
        <v>1831500</v>
      </c>
      <c r="P23" s="100">
        <f t="shared" si="2"/>
        <v>17.830136986301369</v>
      </c>
      <c r="Q23" s="140">
        <f t="shared" si="3"/>
        <v>991787.0643043404</v>
      </c>
      <c r="U23" s="120">
        <f t="shared" si="11"/>
        <v>45015</v>
      </c>
      <c r="V23" s="121">
        <f t="shared" si="8"/>
        <v>1831500</v>
      </c>
      <c r="W23" s="100">
        <f t="shared" si="4"/>
        <v>17.830136986301369</v>
      </c>
      <c r="X23" s="140">
        <f t="shared" si="5"/>
        <v>991787.0643043404</v>
      </c>
    </row>
    <row r="24" spans="3:24">
      <c r="D24" s="120">
        <f t="shared" si="9"/>
        <v>45107</v>
      </c>
      <c r="E24" s="139">
        <f t="shared" si="6"/>
        <v>1831500</v>
      </c>
      <c r="F24" s="100">
        <f t="shared" si="0"/>
        <v>18.838356164383562</v>
      </c>
      <c r="G24" s="122">
        <f t="shared" si="1"/>
        <v>957977.46349132014</v>
      </c>
      <c r="N24" s="120">
        <f t="shared" si="10"/>
        <v>45107</v>
      </c>
      <c r="O24" s="121">
        <f t="shared" si="7"/>
        <v>1831500</v>
      </c>
      <c r="P24" s="100">
        <f t="shared" si="2"/>
        <v>18.838356164383562</v>
      </c>
      <c r="Q24" s="140">
        <f t="shared" si="3"/>
        <v>957977.46349132014</v>
      </c>
      <c r="U24" s="120">
        <f t="shared" si="11"/>
        <v>45107</v>
      </c>
      <c r="V24" s="121">
        <f t="shared" si="8"/>
        <v>1831500</v>
      </c>
      <c r="W24" s="100">
        <f t="shared" si="4"/>
        <v>18.838356164383562</v>
      </c>
      <c r="X24" s="140">
        <f t="shared" si="5"/>
        <v>957977.46349132014</v>
      </c>
    </row>
    <row r="25" spans="3:24">
      <c r="D25" s="120">
        <f t="shared" si="9"/>
        <v>45199</v>
      </c>
      <c r="E25" s="139">
        <f t="shared" si="6"/>
        <v>1831500</v>
      </c>
      <c r="F25" s="100">
        <f t="shared" si="0"/>
        <v>19.846575342465755</v>
      </c>
      <c r="G25" s="122">
        <f t="shared" si="1"/>
        <v>925320.417645265</v>
      </c>
      <c r="N25" s="120">
        <f t="shared" si="10"/>
        <v>45199</v>
      </c>
      <c r="O25" s="121">
        <f t="shared" si="7"/>
        <v>1831500</v>
      </c>
      <c r="P25" s="100">
        <f t="shared" si="2"/>
        <v>19.846575342465755</v>
      </c>
      <c r="Q25" s="140">
        <f t="shared" si="3"/>
        <v>925320.417645265</v>
      </c>
      <c r="U25" s="120">
        <f t="shared" si="11"/>
        <v>45199</v>
      </c>
      <c r="V25" s="121">
        <f t="shared" si="8"/>
        <v>1831500</v>
      </c>
      <c r="W25" s="100">
        <f t="shared" si="4"/>
        <v>19.846575342465755</v>
      </c>
      <c r="X25" s="140">
        <f t="shared" si="5"/>
        <v>925320.417645265</v>
      </c>
    </row>
    <row r="26" spans="3:24">
      <c r="D26" s="120">
        <f t="shared" si="9"/>
        <v>45290</v>
      </c>
      <c r="E26" s="139">
        <f t="shared" si="6"/>
        <v>1831500</v>
      </c>
      <c r="F26" s="100">
        <f t="shared" si="0"/>
        <v>20.843835616438355</v>
      </c>
      <c r="G26" s="122">
        <f t="shared" si="1"/>
        <v>894113.65570303344</v>
      </c>
      <c r="N26" s="120">
        <f t="shared" si="10"/>
        <v>45290</v>
      </c>
      <c r="O26" s="121">
        <f t="shared" si="7"/>
        <v>1831500</v>
      </c>
      <c r="P26" s="100">
        <f t="shared" si="2"/>
        <v>20.843835616438355</v>
      </c>
      <c r="Q26" s="140">
        <f t="shared" si="3"/>
        <v>894113.65570303344</v>
      </c>
      <c r="U26" s="120">
        <f t="shared" si="11"/>
        <v>45290</v>
      </c>
      <c r="V26" s="121">
        <f t="shared" si="8"/>
        <v>1831500</v>
      </c>
      <c r="W26" s="100">
        <f t="shared" si="4"/>
        <v>20.843835616438355</v>
      </c>
      <c r="X26" s="140">
        <f t="shared" si="5"/>
        <v>894113.65570303344</v>
      </c>
    </row>
    <row r="27" spans="3:24">
      <c r="D27" s="120">
        <f t="shared" si="9"/>
        <v>45381</v>
      </c>
      <c r="E27" s="139">
        <f t="shared" si="6"/>
        <v>1831500</v>
      </c>
      <c r="F27" s="100">
        <f t="shared" si="0"/>
        <v>21.841095890410958</v>
      </c>
      <c r="G27" s="122">
        <f t="shared" si="1"/>
        <v>863959.3529655789</v>
      </c>
      <c r="N27" s="120">
        <f t="shared" si="10"/>
        <v>45381</v>
      </c>
      <c r="O27" s="121">
        <f t="shared" si="7"/>
        <v>1831500</v>
      </c>
      <c r="P27" s="100">
        <f t="shared" si="2"/>
        <v>21.841095890410958</v>
      </c>
      <c r="Q27" s="140">
        <f t="shared" si="3"/>
        <v>863959.3529655789</v>
      </c>
      <c r="U27" s="120">
        <f t="shared" si="11"/>
        <v>45381</v>
      </c>
      <c r="V27" s="121">
        <f t="shared" si="8"/>
        <v>1831500</v>
      </c>
      <c r="W27" s="100">
        <f t="shared" si="4"/>
        <v>21.841095890410958</v>
      </c>
      <c r="X27" s="140">
        <f t="shared" si="5"/>
        <v>863959.3529655789</v>
      </c>
    </row>
    <row r="28" spans="3:24">
      <c r="D28" s="120">
        <v>45382</v>
      </c>
      <c r="E28" s="141">
        <v>81400000</v>
      </c>
      <c r="F28" s="100">
        <f t="shared" si="0"/>
        <v>21.852054794520548</v>
      </c>
      <c r="G28" s="122">
        <f t="shared" si="1"/>
        <v>38383720.00027103</v>
      </c>
      <c r="N28" s="120">
        <f t="shared" si="10"/>
        <v>45473</v>
      </c>
      <c r="O28" s="121">
        <f t="shared" si="7"/>
        <v>1831500</v>
      </c>
      <c r="P28" s="100">
        <f t="shared" si="2"/>
        <v>22.849315068493151</v>
      </c>
      <c r="Q28" s="140">
        <f t="shared" si="3"/>
        <v>834507.3446729217</v>
      </c>
      <c r="U28" s="120">
        <f t="shared" si="11"/>
        <v>45473</v>
      </c>
      <c r="V28" s="121">
        <f t="shared" si="8"/>
        <v>1831500</v>
      </c>
      <c r="W28" s="100">
        <f t="shared" si="4"/>
        <v>22.849315068493151</v>
      </c>
      <c r="X28" s="140">
        <f t="shared" si="5"/>
        <v>834507.3446729217</v>
      </c>
    </row>
    <row r="29" spans="3:24">
      <c r="D29" s="124"/>
      <c r="E29" s="125">
        <f>SUM(E6:E28)</f>
        <v>121693000</v>
      </c>
      <c r="F29" s="124"/>
      <c r="G29" s="126">
        <f>SUM(G6:G28)</f>
        <v>66317603.824147716</v>
      </c>
      <c r="N29" s="120">
        <f t="shared" si="10"/>
        <v>45565</v>
      </c>
      <c r="O29" s="121">
        <f t="shared" si="7"/>
        <v>1831500</v>
      </c>
      <c r="P29" s="100">
        <f t="shared" si="2"/>
        <v>23.857534246575341</v>
      </c>
      <c r="Q29" s="140">
        <f t="shared" si="3"/>
        <v>806059.34286447417</v>
      </c>
      <c r="U29" s="120">
        <f t="shared" si="11"/>
        <v>45565</v>
      </c>
      <c r="V29" s="121">
        <f t="shared" si="8"/>
        <v>1831500</v>
      </c>
      <c r="W29" s="100">
        <f t="shared" si="4"/>
        <v>23.857534246575341</v>
      </c>
      <c r="X29" s="140">
        <f t="shared" si="5"/>
        <v>806059.34286447417</v>
      </c>
    </row>
    <row r="30" spans="3:24">
      <c r="N30" s="120">
        <f t="shared" si="10"/>
        <v>45656</v>
      </c>
      <c r="O30" s="121">
        <f t="shared" si="7"/>
        <v>1831500</v>
      </c>
      <c r="P30" s="100">
        <f t="shared" si="2"/>
        <v>24.854794520547944</v>
      </c>
      <c r="Q30" s="140">
        <f t="shared" si="3"/>
        <v>778874.70331215987</v>
      </c>
      <c r="U30" s="120">
        <f t="shared" si="11"/>
        <v>45656</v>
      </c>
      <c r="V30" s="121">
        <f t="shared" si="8"/>
        <v>1831500</v>
      </c>
      <c r="W30" s="100">
        <f t="shared" si="4"/>
        <v>24.854794520547944</v>
      </c>
      <c r="X30" s="140">
        <f t="shared" si="5"/>
        <v>778874.70331215987</v>
      </c>
    </row>
    <row r="31" spans="3:24">
      <c r="N31" s="120">
        <f t="shared" si="10"/>
        <v>45746</v>
      </c>
      <c r="O31" s="121">
        <f t="shared" si="7"/>
        <v>1831500</v>
      </c>
      <c r="P31" s="100">
        <f t="shared" si="2"/>
        <v>25.841095890410958</v>
      </c>
      <c r="Q31" s="140">
        <f t="shared" si="3"/>
        <v>752890.66318934131</v>
      </c>
      <c r="U31" s="120">
        <f t="shared" si="11"/>
        <v>45746</v>
      </c>
      <c r="V31" s="121">
        <f t="shared" si="8"/>
        <v>1831500</v>
      </c>
      <c r="W31" s="100">
        <f t="shared" si="4"/>
        <v>25.841095890410958</v>
      </c>
      <c r="X31" s="140">
        <f t="shared" si="5"/>
        <v>752890.66318934131</v>
      </c>
    </row>
    <row r="32" spans="3:24" ht="28.8">
      <c r="C32" s="78" t="s">
        <v>175</v>
      </c>
      <c r="D32" s="127">
        <v>0.12</v>
      </c>
      <c r="E32" t="s">
        <v>165</v>
      </c>
      <c r="J32" s="116" t="s">
        <v>166</v>
      </c>
      <c r="K32" s="141">
        <v>81400000</v>
      </c>
      <c r="N32" s="120">
        <v>45747</v>
      </c>
      <c r="O32" s="141">
        <v>81400000</v>
      </c>
      <c r="P32" s="100">
        <f>(N32-$C$2)/91.25</f>
        <v>25.852054794520548</v>
      </c>
      <c r="Q32" s="140">
        <f>O32/(1+$C$3)^P32</f>
        <v>33449194.464394428</v>
      </c>
      <c r="U32" s="120">
        <f t="shared" si="11"/>
        <v>45838</v>
      </c>
      <c r="V32" s="121">
        <f t="shared" si="8"/>
        <v>1831500</v>
      </c>
      <c r="W32" s="100">
        <f t="shared" si="4"/>
        <v>26.849315068493151</v>
      </c>
      <c r="X32" s="140">
        <f t="shared" si="5"/>
        <v>727224.93947259139</v>
      </c>
    </row>
    <row r="33" spans="1:24">
      <c r="B33" s="128" t="s">
        <v>167</v>
      </c>
      <c r="C33" s="129" t="s">
        <v>168</v>
      </c>
      <c r="D33" s="127">
        <v>0.02</v>
      </c>
      <c r="J33" s="116" t="s">
        <v>169</v>
      </c>
      <c r="K33" s="130">
        <f>(9/4)%</f>
        <v>2.2499999999999999E-2</v>
      </c>
      <c r="N33" s="124"/>
      <c r="O33" s="142">
        <f>SUM(O6:O32)</f>
        <v>129019000</v>
      </c>
      <c r="P33" s="124"/>
      <c r="Q33" s="143">
        <f>SUM(Q6:Q32)</f>
        <v>64555410.342310004</v>
      </c>
      <c r="U33" s="120">
        <f t="shared" si="11"/>
        <v>45930</v>
      </c>
      <c r="V33" s="121">
        <f t="shared" si="8"/>
        <v>1831500</v>
      </c>
      <c r="W33" s="100">
        <f t="shared" si="4"/>
        <v>27.857534246575341</v>
      </c>
      <c r="X33" s="140">
        <f t="shared" si="5"/>
        <v>702434.14940306474</v>
      </c>
    </row>
    <row r="34" spans="1:24">
      <c r="C34" s="131" t="s">
        <v>170</v>
      </c>
      <c r="D34" s="132">
        <f>SUM(D32:D33)</f>
        <v>0.13999999999999999</v>
      </c>
      <c r="J34" s="116"/>
      <c r="K34" s="116">
        <f>K32*K33</f>
        <v>1831500</v>
      </c>
      <c r="U34" s="120">
        <f t="shared" si="11"/>
        <v>46021</v>
      </c>
      <c r="V34" s="121">
        <f t="shared" si="8"/>
        <v>1831500</v>
      </c>
      <c r="W34" s="100">
        <f t="shared" si="4"/>
        <v>28.854794520547944</v>
      </c>
      <c r="X34" s="140">
        <f t="shared" si="5"/>
        <v>678744.30655241327</v>
      </c>
    </row>
    <row r="35" spans="1:24">
      <c r="U35" s="120">
        <f t="shared" si="11"/>
        <v>46111</v>
      </c>
      <c r="V35" s="121">
        <f t="shared" si="8"/>
        <v>1831500</v>
      </c>
      <c r="W35" s="100">
        <f t="shared" si="4"/>
        <v>29.841095890410958</v>
      </c>
      <c r="X35" s="140">
        <f t="shared" si="5"/>
        <v>656100.71674317506</v>
      </c>
    </row>
    <row r="36" spans="1:24">
      <c r="B36" s="116" t="s">
        <v>171</v>
      </c>
      <c r="C36" s="116"/>
      <c r="D36" s="133">
        <f>G29</f>
        <v>66317603.824147716</v>
      </c>
      <c r="U36" s="120">
        <v>46112</v>
      </c>
      <c r="V36" s="141">
        <v>81400000</v>
      </c>
      <c r="W36" s="100">
        <f t="shared" si="4"/>
        <v>29.852054794520548</v>
      </c>
      <c r="X36" s="140">
        <f t="shared" si="5"/>
        <v>29149040.538774639</v>
      </c>
    </row>
    <row r="37" spans="1:24" ht="27.75" customHeight="1">
      <c r="A37" s="128" t="s">
        <v>172</v>
      </c>
      <c r="B37" s="87" t="s">
        <v>173</v>
      </c>
      <c r="C37" s="134">
        <v>0.75</v>
      </c>
      <c r="D37" s="133">
        <f>D36*C37</f>
        <v>49738202.868110791</v>
      </c>
      <c r="N37" s="116" t="s">
        <v>166</v>
      </c>
      <c r="O37" s="141">
        <v>81400000</v>
      </c>
      <c r="U37" s="124"/>
      <c r="V37" s="142">
        <f>SUM(V6:V36)</f>
        <v>136345000</v>
      </c>
      <c r="W37" s="124"/>
      <c r="X37" s="143">
        <f>SUM(X6:X36)</f>
        <v>63019760.528861463</v>
      </c>
    </row>
    <row r="38" spans="1:24">
      <c r="B38" s="135" t="s">
        <v>174</v>
      </c>
      <c r="C38" s="135"/>
      <c r="D38" s="136">
        <f>D36-D37</f>
        <v>16579400.956036925</v>
      </c>
      <c r="F38">
        <f>(SUM(E28:E28)/D38)^(1/15)-1</f>
        <v>0.11191188246175221</v>
      </c>
      <c r="N38" s="116" t="s">
        <v>169</v>
      </c>
      <c r="O38" s="130">
        <f>(9/4)%</f>
        <v>2.2499999999999999E-2</v>
      </c>
    </row>
    <row r="39" spans="1:24">
      <c r="N39" s="116"/>
      <c r="O39" s="116">
        <f>O37*O38</f>
        <v>1831500</v>
      </c>
      <c r="U39" s="116" t="s">
        <v>166</v>
      </c>
      <c r="V39" s="141">
        <v>81400000</v>
      </c>
    </row>
    <row r="40" spans="1:24">
      <c r="H40" t="s">
        <v>176</v>
      </c>
      <c r="I40" s="144">
        <f>G29+Q33+X37</f>
        <v>193892774.69531918</v>
      </c>
      <c r="U40" s="116" t="s">
        <v>169</v>
      </c>
      <c r="V40" s="130">
        <f>(9/4)%</f>
        <v>2.2499999999999999E-2</v>
      </c>
    </row>
    <row r="41" spans="1:24">
      <c r="U41" s="116"/>
      <c r="V41" s="116">
        <f>V39*V40</f>
        <v>1831500</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C6"/>
  <sheetViews>
    <sheetView workbookViewId="0">
      <selection activeCell="B6" sqref="B6"/>
    </sheetView>
  </sheetViews>
  <sheetFormatPr defaultRowHeight="14.4"/>
  <cols>
    <col min="3" max="3" width="12" bestFit="1" customWidth="1"/>
  </cols>
  <sheetData>
    <row r="2" spans="2:3">
      <c r="B2" t="s">
        <v>6</v>
      </c>
      <c r="C2" t="e">
        <f>#REF!/2</f>
        <v>#REF!</v>
      </c>
    </row>
    <row r="3" spans="2:3">
      <c r="B3" t="s">
        <v>34</v>
      </c>
      <c r="C3" t="e">
        <f>SUM(#REF!)</f>
        <v>#REF!</v>
      </c>
    </row>
    <row r="4" spans="2:3">
      <c r="B4" t="s">
        <v>35</v>
      </c>
      <c r="C4" t="e">
        <f>#REF!</f>
        <v>#REF!</v>
      </c>
    </row>
    <row r="6" spans="2:3">
      <c r="B6" t="s">
        <v>21</v>
      </c>
      <c r="C6" t="e">
        <f>SUM(C2:C4)</f>
        <v>#REF!</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D5"/>
  <sheetViews>
    <sheetView topLeftCell="B1" workbookViewId="0">
      <selection activeCell="D5" sqref="D5"/>
    </sheetView>
  </sheetViews>
  <sheetFormatPr defaultRowHeight="14.4"/>
  <cols>
    <col min="2" max="2" width="22.5546875" bestFit="1" customWidth="1"/>
    <col min="4" max="4" width="14.88671875" bestFit="1" customWidth="1"/>
  </cols>
  <sheetData>
    <row r="2" spans="2:4">
      <c r="B2" t="s">
        <v>33</v>
      </c>
      <c r="D2" s="20" t="e">
        <f>#REF!</f>
        <v>#REF!</v>
      </c>
    </row>
    <row r="3" spans="2:4">
      <c r="B3" t="s">
        <v>63</v>
      </c>
      <c r="D3" t="e">
        <f>+#REF!+#REF!</f>
        <v>#REF!</v>
      </c>
    </row>
    <row r="5" spans="2:4">
      <c r="D5" s="21" t="e">
        <f>SUM(D2:D3)</f>
        <v>#REF!</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C11"/>
  <sheetViews>
    <sheetView workbookViewId="0">
      <selection activeCell="C11" sqref="C11"/>
    </sheetView>
  </sheetViews>
  <sheetFormatPr defaultRowHeight="14.4"/>
  <cols>
    <col min="2" max="2" width="4.88671875" bestFit="1" customWidth="1"/>
    <col min="3" max="3" width="14.33203125" bestFit="1" customWidth="1"/>
  </cols>
  <sheetData>
    <row r="2" spans="2:3">
      <c r="B2" t="s">
        <v>36</v>
      </c>
      <c r="C2" s="20">
        <v>50414099.780000001</v>
      </c>
    </row>
    <row r="5" spans="2:3">
      <c r="C5" s="21" t="e">
        <f>C2+'SECL Assets'!D2</f>
        <v>#REF!</v>
      </c>
    </row>
    <row r="8" spans="2:3">
      <c r="C8">
        <v>892500000</v>
      </c>
    </row>
    <row r="11" spans="2:3">
      <c r="C11" s="21" t="e">
        <f>+C5-C8</f>
        <v>#REF!</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E30"/>
  <sheetViews>
    <sheetView topLeftCell="A10" workbookViewId="0">
      <selection activeCell="D25" sqref="D25"/>
    </sheetView>
  </sheetViews>
  <sheetFormatPr defaultRowHeight="14.4"/>
  <cols>
    <col min="2" max="2" width="55.109375" bestFit="1" customWidth="1"/>
    <col min="3" max="3" width="14.6640625" bestFit="1" customWidth="1"/>
    <col min="4" max="4" width="12.6640625" bestFit="1" customWidth="1"/>
  </cols>
  <sheetData>
    <row r="2" spans="2:4">
      <c r="B2" t="s">
        <v>37</v>
      </c>
    </row>
    <row r="3" spans="2:4">
      <c r="C3" t="s">
        <v>38</v>
      </c>
    </row>
    <row r="4" spans="2:4">
      <c r="B4" t="s">
        <v>39</v>
      </c>
      <c r="C4" t="s">
        <v>40</v>
      </c>
      <c r="D4" t="s">
        <v>41</v>
      </c>
    </row>
    <row r="5" spans="2:4">
      <c r="B5" t="s">
        <v>42</v>
      </c>
      <c r="D5">
        <v>955</v>
      </c>
    </row>
    <row r="6" spans="2:4">
      <c r="B6" t="s">
        <v>43</v>
      </c>
      <c r="C6">
        <v>0.14000000000000001</v>
      </c>
      <c r="D6">
        <v>133.70000000000002</v>
      </c>
    </row>
    <row r="7" spans="2:4">
      <c r="B7" t="s">
        <v>44</v>
      </c>
      <c r="C7">
        <v>0</v>
      </c>
      <c r="D7">
        <v>0</v>
      </c>
    </row>
    <row r="8" spans="2:4">
      <c r="B8" t="s">
        <v>45</v>
      </c>
      <c r="C8">
        <v>87</v>
      </c>
      <c r="D8">
        <v>87</v>
      </c>
    </row>
    <row r="9" spans="2:4">
      <c r="B9" t="s">
        <v>46</v>
      </c>
      <c r="C9">
        <v>0.3</v>
      </c>
      <c r="D9">
        <v>40.110000000000007</v>
      </c>
    </row>
    <row r="10" spans="2:4">
      <c r="B10" t="s">
        <v>47</v>
      </c>
      <c r="C10">
        <v>0.02</v>
      </c>
      <c r="D10">
        <v>2.6740000000000004</v>
      </c>
    </row>
    <row r="11" spans="2:4">
      <c r="B11" t="s">
        <v>48</v>
      </c>
      <c r="C11">
        <v>7.5</v>
      </c>
      <c r="D11">
        <v>7.5</v>
      </c>
    </row>
    <row r="12" spans="2:4">
      <c r="B12" t="s">
        <v>49</v>
      </c>
      <c r="C12">
        <v>7.5</v>
      </c>
      <c r="D12">
        <v>7.5</v>
      </c>
    </row>
    <row r="13" spans="2:4">
      <c r="B13" t="s">
        <v>50</v>
      </c>
      <c r="C13">
        <v>0</v>
      </c>
      <c r="D13">
        <v>0</v>
      </c>
    </row>
    <row r="14" spans="2:4">
      <c r="B14" t="s">
        <v>51</v>
      </c>
      <c r="C14">
        <v>400</v>
      </c>
      <c r="D14">
        <v>400</v>
      </c>
    </row>
    <row r="15" spans="2:4">
      <c r="B15" t="s">
        <v>52</v>
      </c>
      <c r="C15">
        <v>1.04</v>
      </c>
      <c r="D15">
        <v>1.04</v>
      </c>
    </row>
    <row r="16" spans="2:4">
      <c r="B16" t="s">
        <v>53</v>
      </c>
      <c r="C16">
        <v>0.05</v>
      </c>
      <c r="D16">
        <v>65.5762</v>
      </c>
    </row>
    <row r="17" spans="2:5">
      <c r="B17" t="s">
        <v>54</v>
      </c>
      <c r="D17">
        <v>77</v>
      </c>
    </row>
    <row r="18" spans="2:5">
      <c r="B18" t="s">
        <v>21</v>
      </c>
      <c r="D18">
        <v>1777.1001999999999</v>
      </c>
    </row>
    <row r="20" spans="2:5">
      <c r="B20" t="s">
        <v>55</v>
      </c>
      <c r="C20">
        <v>1537</v>
      </c>
      <c r="D20">
        <v>1537</v>
      </c>
    </row>
    <row r="21" spans="2:5">
      <c r="B21" t="s">
        <v>56</v>
      </c>
      <c r="D21">
        <v>0</v>
      </c>
    </row>
    <row r="22" spans="2:5">
      <c r="B22" t="s">
        <v>57</v>
      </c>
      <c r="D22">
        <v>0</v>
      </c>
    </row>
    <row r="23" spans="2:5">
      <c r="B23" t="s">
        <v>58</v>
      </c>
      <c r="C23">
        <v>0</v>
      </c>
      <c r="D23">
        <v>0</v>
      </c>
    </row>
    <row r="24" spans="2:5">
      <c r="B24" t="s">
        <v>59</v>
      </c>
      <c r="C24">
        <v>0</v>
      </c>
      <c r="D24">
        <v>0</v>
      </c>
    </row>
    <row r="25" spans="2:5">
      <c r="B25" t="s">
        <v>53</v>
      </c>
      <c r="C25">
        <v>0.05</v>
      </c>
      <c r="D25">
        <v>76.850000000000009</v>
      </c>
    </row>
    <row r="26" spans="2:5">
      <c r="B26" t="s">
        <v>60</v>
      </c>
      <c r="D26">
        <v>1613.85</v>
      </c>
      <c r="E26">
        <f>D26/D30</f>
        <v>0.43191919835968068</v>
      </c>
    </row>
    <row r="28" spans="2:5">
      <c r="B28" t="s">
        <v>61</v>
      </c>
      <c r="C28">
        <v>345.51256000000001</v>
      </c>
      <c r="D28">
        <v>345.51256000000001</v>
      </c>
    </row>
    <row r="30" spans="2:5">
      <c r="B30" t="s">
        <v>62</v>
      </c>
      <c r="D30">
        <v>3736.4627599999999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M13"/>
  <sheetViews>
    <sheetView workbookViewId="0">
      <selection activeCell="C7" sqref="C7"/>
    </sheetView>
  </sheetViews>
  <sheetFormatPr defaultRowHeight="14.4"/>
  <cols>
    <col min="2" max="2" width="6.109375" customWidth="1"/>
    <col min="3" max="3" width="16.44140625" customWidth="1"/>
    <col min="4" max="4" width="9.88671875" hidden="1" customWidth="1"/>
    <col min="5" max="5" width="18.109375" customWidth="1"/>
    <col min="6" max="8" width="9.88671875" hidden="1" customWidth="1"/>
    <col min="9" max="9" width="17.5546875" customWidth="1"/>
    <col min="10" max="10" width="16.6640625" customWidth="1"/>
    <col min="11" max="11" width="42.88671875" customWidth="1"/>
  </cols>
  <sheetData>
    <row r="2" spans="2:13">
      <c r="B2" s="290" t="s">
        <v>140</v>
      </c>
      <c r="C2" s="291"/>
      <c r="D2" s="291"/>
      <c r="E2" s="291"/>
      <c r="F2" s="291"/>
      <c r="G2" s="291"/>
      <c r="H2" s="291"/>
      <c r="I2" s="291"/>
      <c r="J2" s="291"/>
      <c r="K2" s="292"/>
    </row>
    <row r="3" spans="2:13">
      <c r="B3" s="293" t="e">
        <f>SUMMARY!#REF!</f>
        <v>#REF!</v>
      </c>
      <c r="C3" s="294"/>
      <c r="D3" s="294"/>
      <c r="E3" s="294"/>
      <c r="F3" s="294"/>
      <c r="G3" s="294"/>
      <c r="H3" s="294"/>
      <c r="I3" s="294"/>
      <c r="J3" s="294"/>
      <c r="K3" s="295"/>
    </row>
    <row r="4" spans="2:13" ht="48">
      <c r="B4" s="24" t="s">
        <v>0</v>
      </c>
      <c r="C4" s="24" t="s">
        <v>26</v>
      </c>
      <c r="D4" s="24" t="s">
        <v>67</v>
      </c>
      <c r="E4" s="33" t="s">
        <v>65</v>
      </c>
      <c r="F4" s="24" t="s">
        <v>30</v>
      </c>
      <c r="G4" s="24" t="s">
        <v>27</v>
      </c>
      <c r="H4" s="24" t="s">
        <v>68</v>
      </c>
      <c r="I4" s="24" t="s">
        <v>29</v>
      </c>
      <c r="J4" s="24" t="s">
        <v>117</v>
      </c>
      <c r="K4" s="24" t="s">
        <v>22</v>
      </c>
    </row>
    <row r="5" spans="2:13">
      <c r="B5" s="293" t="e">
        <f>SUMMARY!#REF!</f>
        <v>#REF!</v>
      </c>
      <c r="C5" s="294"/>
      <c r="D5" s="294"/>
      <c r="E5" s="294"/>
      <c r="F5" s="294"/>
      <c r="G5" s="294"/>
      <c r="H5" s="294"/>
      <c r="I5" s="294"/>
      <c r="J5" s="294"/>
      <c r="K5" s="295"/>
    </row>
    <row r="6" spans="2:13" ht="22.8">
      <c r="B6" s="37">
        <v>1</v>
      </c>
      <c r="C6" s="41" t="s">
        <v>141</v>
      </c>
      <c r="D6" s="42" t="s">
        <v>80</v>
      </c>
      <c r="E6" s="38">
        <v>0.56999999999999995</v>
      </c>
      <c r="F6" s="25"/>
      <c r="G6" s="25"/>
      <c r="H6" s="25"/>
      <c r="I6" s="38">
        <v>0</v>
      </c>
      <c r="J6" s="38">
        <v>0</v>
      </c>
      <c r="K6" s="72"/>
      <c r="L6">
        <v>0</v>
      </c>
      <c r="M6">
        <v>0</v>
      </c>
    </row>
    <row r="7" spans="2:13" ht="17.25" customHeight="1">
      <c r="B7" s="40">
        <v>2</v>
      </c>
      <c r="C7" s="53" t="s">
        <v>142</v>
      </c>
      <c r="D7" s="54"/>
      <c r="E7" s="55">
        <v>0.08</v>
      </c>
      <c r="F7" s="23"/>
      <c r="G7" s="23"/>
      <c r="H7" s="23"/>
      <c r="I7" s="55">
        <f>$E$7*L7</f>
        <v>0</v>
      </c>
      <c r="J7" s="55">
        <f>$E$7*M7</f>
        <v>0</v>
      </c>
      <c r="K7" s="86"/>
      <c r="L7" s="39">
        <v>0</v>
      </c>
      <c r="M7" s="39">
        <v>0</v>
      </c>
    </row>
    <row r="8" spans="2:13">
      <c r="B8" s="34"/>
      <c r="C8" s="32" t="s">
        <v>23</v>
      </c>
      <c r="D8" s="32"/>
      <c r="E8" s="26">
        <f>SUM(E6:E7)</f>
        <v>0.64999999999999991</v>
      </c>
      <c r="F8" s="26">
        <f t="shared" ref="F8:J8" si="0">SUM(F6:F7)</f>
        <v>0</v>
      </c>
      <c r="G8" s="26">
        <f t="shared" si="0"/>
        <v>0</v>
      </c>
      <c r="H8" s="26">
        <f t="shared" si="0"/>
        <v>0</v>
      </c>
      <c r="I8" s="26">
        <f t="shared" si="0"/>
        <v>0</v>
      </c>
      <c r="J8" s="26">
        <f t="shared" si="0"/>
        <v>0</v>
      </c>
      <c r="K8" s="34"/>
    </row>
    <row r="9" spans="2:13">
      <c r="B9" s="296" t="str">
        <f>[1]SUMMARY!B16</f>
        <v>REMARKS &amp; NOTES:-</v>
      </c>
      <c r="C9" s="297"/>
      <c r="D9" s="297"/>
      <c r="E9" s="297"/>
      <c r="F9" s="297"/>
      <c r="G9" s="297"/>
      <c r="H9" s="297"/>
      <c r="I9" s="297"/>
      <c r="J9" s="297"/>
      <c r="K9" s="298"/>
    </row>
    <row r="10" spans="2:13" ht="98.4" customHeight="1">
      <c r="B10" s="299" t="s">
        <v>81</v>
      </c>
      <c r="C10" s="299"/>
      <c r="D10" s="299"/>
      <c r="E10" s="299"/>
      <c r="F10" s="299"/>
      <c r="G10" s="299"/>
      <c r="H10" s="299"/>
      <c r="I10" s="299"/>
      <c r="J10" s="299"/>
      <c r="K10" s="299"/>
    </row>
    <row r="12" spans="2:13">
      <c r="C12" t="s">
        <v>144</v>
      </c>
    </row>
    <row r="13" spans="2:13">
      <c r="C13" t="s">
        <v>143</v>
      </c>
    </row>
  </sheetData>
  <mergeCells count="5">
    <mergeCell ref="B2:K2"/>
    <mergeCell ref="B3:K3"/>
    <mergeCell ref="B5:K5"/>
    <mergeCell ref="B9:K9"/>
    <mergeCell ref="B10:K10"/>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749992370372631"/>
  </sheetPr>
  <dimension ref="B1:J26"/>
  <sheetViews>
    <sheetView zoomScaleNormal="100" workbookViewId="0">
      <pane ySplit="1" topLeftCell="A9" activePane="bottomLeft" state="frozen"/>
      <selection pane="bottomLeft" activeCell="C9" sqref="C9"/>
    </sheetView>
  </sheetViews>
  <sheetFormatPr defaultColWidth="9.109375" defaultRowHeight="11.4"/>
  <cols>
    <col min="1" max="1" width="9.109375" style="22"/>
    <col min="2" max="2" width="5.44140625" style="22" bestFit="1" customWidth="1"/>
    <col min="3" max="3" width="24.44140625" style="22" customWidth="1"/>
    <col min="4" max="4" width="19.5546875" style="22" customWidth="1"/>
    <col min="5" max="5" width="9.6640625" style="22" hidden="1" customWidth="1"/>
    <col min="6" max="6" width="10.109375" style="22" hidden="1" customWidth="1"/>
    <col min="7" max="7" width="13.44140625" style="22" hidden="1" customWidth="1"/>
    <col min="8" max="8" width="25.109375" style="22" customWidth="1"/>
    <col min="9" max="9" width="19.88671875" style="22" customWidth="1"/>
    <col min="10" max="10" width="83.109375" style="22" customWidth="1"/>
    <col min="11" max="16384" width="9.109375" style="22"/>
  </cols>
  <sheetData>
    <row r="1" spans="2:10" ht="0.75" customHeight="1"/>
    <row r="2" spans="2:10" ht="14.4">
      <c r="B2" s="300" t="s">
        <v>71</v>
      </c>
      <c r="C2" s="300"/>
      <c r="D2" s="300"/>
      <c r="E2" s="300"/>
      <c r="F2" s="300"/>
      <c r="G2" s="300"/>
      <c r="H2" s="300"/>
      <c r="I2" s="300"/>
      <c r="J2" s="300"/>
    </row>
    <row r="3" spans="2:10" ht="15" customHeight="1">
      <c r="B3" s="305" t="s">
        <v>156</v>
      </c>
      <c r="C3" s="306"/>
      <c r="D3" s="306"/>
      <c r="E3" s="306"/>
      <c r="F3" s="306"/>
      <c r="G3" s="306"/>
      <c r="H3" s="306"/>
      <c r="I3" s="306"/>
      <c r="J3" s="307"/>
    </row>
    <row r="4" spans="2:10" ht="43.2">
      <c r="B4" s="97" t="s">
        <v>0</v>
      </c>
      <c r="C4" s="97" t="s">
        <v>72</v>
      </c>
      <c r="D4" s="97" t="s">
        <v>65</v>
      </c>
      <c r="E4" s="97" t="s">
        <v>73</v>
      </c>
      <c r="F4" s="97" t="s">
        <v>79</v>
      </c>
      <c r="G4" s="96" t="s">
        <v>76</v>
      </c>
      <c r="H4" s="24" t="s">
        <v>464</v>
      </c>
      <c r="I4" s="24" t="s">
        <v>654</v>
      </c>
      <c r="J4" s="97" t="s">
        <v>22</v>
      </c>
    </row>
    <row r="5" spans="2:10" ht="14.4">
      <c r="B5" s="308" t="s">
        <v>94</v>
      </c>
      <c r="C5" s="309"/>
      <c r="D5" s="309"/>
      <c r="E5" s="309"/>
      <c r="F5" s="309"/>
      <c r="G5" s="309"/>
      <c r="H5" s="309"/>
      <c r="I5" s="309"/>
      <c r="J5" s="310"/>
    </row>
    <row r="6" spans="2:10" ht="86.4">
      <c r="B6" s="104">
        <v>1</v>
      </c>
      <c r="C6" s="90" t="s">
        <v>95</v>
      </c>
      <c r="D6" s="105">
        <v>37.909999999999997</v>
      </c>
      <c r="E6" s="106">
        <v>100000</v>
      </c>
      <c r="F6" s="107">
        <f t="shared" ref="F6:F9" si="0">(D6*100000)/E6</f>
        <v>37.909999999999997</v>
      </c>
      <c r="G6" s="108" t="s">
        <v>78</v>
      </c>
      <c r="H6" s="105">
        <f>65.2278*50%</f>
        <v>32.613900000000001</v>
      </c>
      <c r="I6" s="105">
        <f>H6</f>
        <v>32.613900000000001</v>
      </c>
      <c r="J6" s="145" t="s">
        <v>669</v>
      </c>
    </row>
    <row r="7" spans="2:10" ht="100.8">
      <c r="B7" s="109">
        <v>2</v>
      </c>
      <c r="C7" s="110" t="s">
        <v>96</v>
      </c>
      <c r="D7" s="105">
        <v>0.35</v>
      </c>
      <c r="E7" s="106">
        <v>10000</v>
      </c>
      <c r="F7" s="107">
        <f t="shared" si="0"/>
        <v>3.5</v>
      </c>
      <c r="G7" s="108" t="s">
        <v>78</v>
      </c>
      <c r="H7" s="105">
        <f>0.6003*39.69%</f>
        <v>0.23825906999999996</v>
      </c>
      <c r="I7" s="105">
        <f>H7</f>
        <v>0.23825906999999996</v>
      </c>
      <c r="J7" s="145" t="s">
        <v>670</v>
      </c>
    </row>
    <row r="8" spans="2:10" ht="200.1" customHeight="1">
      <c r="B8" s="109">
        <v>3</v>
      </c>
      <c r="C8" s="110" t="s">
        <v>132</v>
      </c>
      <c r="D8" s="105">
        <v>9.76</v>
      </c>
      <c r="E8" s="106">
        <v>10000</v>
      </c>
      <c r="F8" s="107">
        <f t="shared" si="0"/>
        <v>97.6</v>
      </c>
      <c r="G8" s="108" t="s">
        <v>78</v>
      </c>
      <c r="H8" s="105">
        <f>'Preferred - 2018'!I40/10^7</f>
        <v>19.389277469531919</v>
      </c>
      <c r="I8" s="105">
        <f>H8</f>
        <v>19.389277469531919</v>
      </c>
      <c r="J8" s="78" t="s">
        <v>178</v>
      </c>
    </row>
    <row r="9" spans="2:10" ht="198" customHeight="1">
      <c r="B9" s="109">
        <v>4</v>
      </c>
      <c r="C9" s="110" t="s">
        <v>131</v>
      </c>
      <c r="D9" s="105">
        <v>8.5299999999999994</v>
      </c>
      <c r="E9" s="106">
        <v>50000</v>
      </c>
      <c r="F9" s="107">
        <f t="shared" si="0"/>
        <v>17.059999999999999</v>
      </c>
      <c r="G9" s="108" t="s">
        <v>78</v>
      </c>
      <c r="H9" s="105">
        <f>'Debenture-2018'!G38/10^7</f>
        <v>8.7559450182129535</v>
      </c>
      <c r="I9" s="105">
        <f>H9</f>
        <v>8.7559450182129535</v>
      </c>
      <c r="J9" s="78" t="s">
        <v>177</v>
      </c>
    </row>
    <row r="10" spans="2:10" ht="17.25" customHeight="1">
      <c r="B10" s="98"/>
      <c r="C10" s="111" t="s">
        <v>23</v>
      </c>
      <c r="D10" s="112">
        <f>SUM(D6:D9)</f>
        <v>56.55</v>
      </c>
      <c r="E10" s="113"/>
      <c r="F10" s="113"/>
      <c r="G10" s="114"/>
      <c r="H10" s="112">
        <f t="shared" ref="H10:I10" si="1">SUM(H6:H9)</f>
        <v>60.997381557744873</v>
      </c>
      <c r="I10" s="112">
        <f t="shared" si="1"/>
        <v>60.997381557744873</v>
      </c>
      <c r="J10" s="115"/>
    </row>
    <row r="11" spans="2:10" ht="14.4">
      <c r="B11" s="301" t="str">
        <f>'Loans-III'!B9:K9</f>
        <v>REMARKS &amp; NOTES:-</v>
      </c>
      <c r="C11" s="302"/>
      <c r="D11" s="302"/>
      <c r="E11" s="302"/>
      <c r="F11" s="303"/>
      <c r="G11" s="302"/>
      <c r="H11" s="302"/>
      <c r="I11" s="302"/>
      <c r="J11" s="302"/>
    </row>
    <row r="12" spans="2:10" ht="136.5" customHeight="1">
      <c r="B12" s="304" t="s">
        <v>671</v>
      </c>
      <c r="C12" s="304"/>
      <c r="D12" s="304"/>
      <c r="E12" s="304"/>
      <c r="F12" s="304"/>
      <c r="G12" s="304"/>
      <c r="H12" s="304"/>
      <c r="I12" s="304"/>
      <c r="J12" s="304"/>
    </row>
    <row r="21" spans="3:9">
      <c r="D21" s="22" t="s">
        <v>150</v>
      </c>
    </row>
    <row r="22" spans="3:9" ht="14.4">
      <c r="C22" s="22" t="s">
        <v>95</v>
      </c>
      <c r="D22" s="92">
        <v>65.227800000000002</v>
      </c>
      <c r="H22" s="95" t="s">
        <v>151</v>
      </c>
      <c r="I22" s="93">
        <v>0.12</v>
      </c>
    </row>
    <row r="23" spans="3:9" ht="14.4">
      <c r="C23" s="22" t="s">
        <v>96</v>
      </c>
      <c r="D23" s="92">
        <v>0.60029999999999994</v>
      </c>
      <c r="H23" s="95" t="s">
        <v>152</v>
      </c>
      <c r="I23" s="94">
        <f>6/12</f>
        <v>0.5</v>
      </c>
    </row>
    <row r="24" spans="3:9" ht="14.4">
      <c r="H24" s="95" t="s">
        <v>153</v>
      </c>
      <c r="I24" s="94">
        <f>1/(1+$I$22)^I23</f>
        <v>0.94491118252306794</v>
      </c>
    </row>
    <row r="25" spans="3:9" ht="14.4">
      <c r="H25" s="95" t="s">
        <v>154</v>
      </c>
      <c r="I25" s="94">
        <f>D22*I24</f>
        <v>61.634477631378175</v>
      </c>
    </row>
    <row r="26" spans="3:9" ht="14.4">
      <c r="H26" s="95" t="s">
        <v>155</v>
      </c>
      <c r="I26" s="94">
        <f>D23*I24</f>
        <v>0.56723018286859761</v>
      </c>
    </row>
  </sheetData>
  <mergeCells count="5">
    <mergeCell ref="B2:J2"/>
    <mergeCell ref="B11:J11"/>
    <mergeCell ref="B12:J12"/>
    <mergeCell ref="B3:J3"/>
    <mergeCell ref="B5:J5"/>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4:J25"/>
  <sheetViews>
    <sheetView zoomScale="115" zoomScaleNormal="115" workbookViewId="0">
      <selection activeCell="I25" sqref="I25"/>
    </sheetView>
  </sheetViews>
  <sheetFormatPr defaultRowHeight="14.4"/>
  <cols>
    <col min="2" max="2" width="35.88671875" customWidth="1"/>
    <col min="5" max="5" width="33.5546875" customWidth="1"/>
  </cols>
  <sheetData>
    <row r="4" spans="2:8">
      <c r="C4" s="311" t="s">
        <v>186</v>
      </c>
      <c r="D4" s="311" t="s">
        <v>187</v>
      </c>
      <c r="E4" s="311" t="s">
        <v>188</v>
      </c>
    </row>
    <row r="5" spans="2:8" ht="22.8">
      <c r="C5" s="312"/>
      <c r="D5" s="312"/>
      <c r="E5" s="313"/>
      <c r="F5" s="161" t="s">
        <v>423</v>
      </c>
      <c r="G5" s="161" t="s">
        <v>424</v>
      </c>
      <c r="H5" s="161" t="s">
        <v>456</v>
      </c>
    </row>
    <row r="6" spans="2:8">
      <c r="B6" t="s">
        <v>455</v>
      </c>
      <c r="C6" t="s">
        <v>193</v>
      </c>
      <c r="D6" t="s">
        <v>209</v>
      </c>
      <c r="E6" t="s">
        <v>210</v>
      </c>
      <c r="F6" s="159">
        <v>24.622286142</v>
      </c>
      <c r="G6" s="159">
        <v>27.237895000000002</v>
      </c>
      <c r="H6" s="159">
        <f>G6*40%</f>
        <v>10.895158000000002</v>
      </c>
    </row>
    <row r="7" spans="2:8">
      <c r="B7" t="s">
        <v>454</v>
      </c>
      <c r="C7" t="s">
        <v>213</v>
      </c>
      <c r="D7" t="s">
        <v>214</v>
      </c>
      <c r="E7" t="s">
        <v>215</v>
      </c>
      <c r="F7" s="159">
        <v>25.404295312000002</v>
      </c>
      <c r="G7" s="159">
        <v>27.318179399999998</v>
      </c>
      <c r="H7" s="159">
        <f>G7</f>
        <v>27.318179399999998</v>
      </c>
    </row>
    <row r="8" spans="2:8">
      <c r="B8" t="s">
        <v>454</v>
      </c>
      <c r="C8" t="s">
        <v>213</v>
      </c>
      <c r="D8" t="s">
        <v>225</v>
      </c>
      <c r="E8" t="s">
        <v>215</v>
      </c>
      <c r="F8" s="159">
        <v>3.9665639100000001</v>
      </c>
      <c r="G8" s="159">
        <v>3.9665639000000001</v>
      </c>
      <c r="H8" s="159">
        <f>G8</f>
        <v>3.9665639000000001</v>
      </c>
    </row>
    <row r="9" spans="2:8">
      <c r="B9" t="s">
        <v>453</v>
      </c>
      <c r="C9" t="s">
        <v>213</v>
      </c>
      <c r="D9" t="s">
        <v>233</v>
      </c>
      <c r="E9" t="s">
        <v>234</v>
      </c>
      <c r="F9" s="159">
        <v>1.42</v>
      </c>
      <c r="G9" s="159">
        <v>1.42</v>
      </c>
      <c r="H9" s="159">
        <f>G9</f>
        <v>1.42</v>
      </c>
    </row>
    <row r="10" spans="2:8">
      <c r="C10" t="s">
        <v>239</v>
      </c>
      <c r="D10" t="s">
        <v>240</v>
      </c>
      <c r="E10" t="s">
        <v>240</v>
      </c>
      <c r="F10" s="159">
        <v>30.238753975999998</v>
      </c>
      <c r="G10" s="159">
        <v>30.238754</v>
      </c>
      <c r="H10" s="159">
        <v>0</v>
      </c>
    </row>
    <row r="11" spans="2:8">
      <c r="B11" t="s">
        <v>452</v>
      </c>
      <c r="C11" t="s">
        <v>239</v>
      </c>
      <c r="D11" t="s">
        <v>241</v>
      </c>
      <c r="E11" t="s">
        <v>451</v>
      </c>
      <c r="F11" s="159">
        <v>4.598553098</v>
      </c>
      <c r="G11" s="159">
        <v>4.5985531039999996</v>
      </c>
      <c r="H11" s="159">
        <f>G11*70%</f>
        <v>3.2189871727999995</v>
      </c>
    </row>
    <row r="12" spans="2:8">
      <c r="B12" t="s">
        <v>179</v>
      </c>
      <c r="C12" t="s">
        <v>239</v>
      </c>
      <c r="D12" t="s">
        <v>243</v>
      </c>
      <c r="E12" t="s">
        <v>244</v>
      </c>
      <c r="F12" s="159">
        <v>4.6379162000000003</v>
      </c>
      <c r="G12" s="159">
        <v>4.6900000000000004</v>
      </c>
      <c r="H12" s="159">
        <f>G12*50%</f>
        <v>2.3450000000000002</v>
      </c>
    </row>
    <row r="13" spans="2:8">
      <c r="B13" t="s">
        <v>450</v>
      </c>
      <c r="C13" t="s">
        <v>271</v>
      </c>
      <c r="D13" t="s">
        <v>272</v>
      </c>
      <c r="E13" t="s">
        <v>273</v>
      </c>
      <c r="F13" s="159">
        <v>1.6074657000000001</v>
      </c>
      <c r="G13" s="159">
        <v>1.6074657000000001</v>
      </c>
      <c r="H13" s="159">
        <v>0</v>
      </c>
    </row>
    <row r="14" spans="2:8">
      <c r="B14" t="s">
        <v>449</v>
      </c>
      <c r="C14" t="s">
        <v>271</v>
      </c>
      <c r="D14" t="s">
        <v>275</v>
      </c>
      <c r="E14" t="s">
        <v>276</v>
      </c>
      <c r="F14" s="159">
        <v>0.71324929800000003</v>
      </c>
      <c r="G14" s="159">
        <v>0.71331160000000005</v>
      </c>
      <c r="H14" s="159">
        <f>G14</f>
        <v>0.71331160000000005</v>
      </c>
    </row>
    <row r="15" spans="2:8" ht="28.8">
      <c r="B15" s="160" t="s">
        <v>448</v>
      </c>
      <c r="C15" t="s">
        <v>342</v>
      </c>
      <c r="D15" t="s">
        <v>342</v>
      </c>
      <c r="E15" t="s">
        <v>343</v>
      </c>
      <c r="F15" s="159">
        <v>11.895599799999999</v>
      </c>
      <c r="G15" s="159">
        <v>11.8353906</v>
      </c>
      <c r="H15" s="159">
        <f>G15*70%</f>
        <v>8.2847734200000005</v>
      </c>
    </row>
    <row r="16" spans="2:8" ht="28.8">
      <c r="B16" s="160" t="s">
        <v>448</v>
      </c>
      <c r="C16" t="s">
        <v>342</v>
      </c>
      <c r="D16" t="s">
        <v>342</v>
      </c>
      <c r="E16" t="s">
        <v>344</v>
      </c>
      <c r="F16" s="159">
        <v>9.0653637000000007</v>
      </c>
      <c r="G16" s="159">
        <v>9.0653637000000007</v>
      </c>
      <c r="H16" s="159">
        <f>G16*70%</f>
        <v>6.3457545900000003</v>
      </c>
    </row>
    <row r="17" spans="2:10">
      <c r="C17" t="s">
        <v>342</v>
      </c>
      <c r="D17" t="s">
        <v>342</v>
      </c>
      <c r="E17" t="s">
        <v>350</v>
      </c>
      <c r="F17" s="159">
        <v>0.65155700000000005</v>
      </c>
      <c r="G17" s="159">
        <v>0.65155700000000005</v>
      </c>
      <c r="H17" s="159">
        <f>G17*50%</f>
        <v>0.32577850000000003</v>
      </c>
    </row>
    <row r="18" spans="2:10">
      <c r="B18" t="s">
        <v>447</v>
      </c>
      <c r="C18" t="s">
        <v>363</v>
      </c>
      <c r="D18" t="s">
        <v>376</v>
      </c>
      <c r="F18" s="159">
        <v>2.8041730460000003</v>
      </c>
      <c r="G18" s="159">
        <v>2.8041730460000003</v>
      </c>
      <c r="H18" s="159">
        <f>G18</f>
        <v>2.8041730460000003</v>
      </c>
    </row>
    <row r="19" spans="2:10">
      <c r="B19" t="s">
        <v>446</v>
      </c>
      <c r="C19" t="s">
        <v>363</v>
      </c>
      <c r="D19" t="s">
        <v>380</v>
      </c>
      <c r="E19" t="s">
        <v>381</v>
      </c>
      <c r="F19" s="159">
        <v>19.770349817</v>
      </c>
      <c r="G19" s="159">
        <v>19.770349817</v>
      </c>
      <c r="H19" s="159">
        <v>0</v>
      </c>
    </row>
    <row r="20" spans="2:10">
      <c r="B20" t="s">
        <v>445</v>
      </c>
      <c r="C20" t="s">
        <v>363</v>
      </c>
      <c r="D20" t="s">
        <v>385</v>
      </c>
      <c r="E20" t="s">
        <v>386</v>
      </c>
      <c r="F20" s="159">
        <v>1.7264861</v>
      </c>
      <c r="G20" s="159">
        <v>1.7264861</v>
      </c>
      <c r="H20" s="159">
        <f>G20*40%</f>
        <v>0.69059444000000003</v>
      </c>
    </row>
    <row r="21" spans="2:10">
      <c r="B21" t="s">
        <v>444</v>
      </c>
      <c r="C21" t="s">
        <v>400</v>
      </c>
      <c r="D21" t="s">
        <v>408</v>
      </c>
      <c r="E21" t="s">
        <v>409</v>
      </c>
      <c r="F21" s="159">
        <v>0.72889458899999993</v>
      </c>
      <c r="G21" s="159">
        <v>0.95719359999999998</v>
      </c>
      <c r="H21" s="159">
        <f>G21</f>
        <v>0.95719359999999998</v>
      </c>
    </row>
    <row r="22" spans="2:10">
      <c r="B22" t="s">
        <v>443</v>
      </c>
      <c r="C22" t="s">
        <v>413</v>
      </c>
      <c r="D22" t="s">
        <v>413</v>
      </c>
      <c r="E22" t="s">
        <v>417</v>
      </c>
      <c r="F22" s="159">
        <v>0.50260000000000005</v>
      </c>
      <c r="G22" s="159">
        <v>0.50260000000000005</v>
      </c>
      <c r="H22" s="159">
        <f>G22*70%</f>
        <v>0.35182000000000002</v>
      </c>
    </row>
    <row r="23" spans="2:10">
      <c r="G23" s="159">
        <f>SUM(G6:G22)</f>
        <v>149.103836567</v>
      </c>
      <c r="H23" s="158">
        <f>SUM(H6:H22)</f>
        <v>69.637287668799999</v>
      </c>
      <c r="I23" s="157">
        <f>H23/G23</f>
        <v>0.46703887218561541</v>
      </c>
    </row>
    <row r="25" spans="2:10">
      <c r="H25" t="s">
        <v>424</v>
      </c>
      <c r="I25">
        <v>151.24997685900007</v>
      </c>
      <c r="J25" s="3">
        <f>I25*I23</f>
        <v>70.639618610327815</v>
      </c>
    </row>
  </sheetData>
  <mergeCells count="3">
    <mergeCell ref="C4:C5"/>
    <mergeCell ref="D4:D5"/>
    <mergeCell ref="E4:E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sheetPr>
  <dimension ref="A2:R351"/>
  <sheetViews>
    <sheetView topLeftCell="D10" workbookViewId="0">
      <selection activeCell="M7" sqref="M7"/>
    </sheetView>
  </sheetViews>
  <sheetFormatPr defaultRowHeight="14.4"/>
  <cols>
    <col min="3" max="3" width="21.33203125" customWidth="1"/>
    <col min="4" max="10" width="14.6640625" customWidth="1"/>
    <col min="11" max="11" width="15.33203125" customWidth="1"/>
    <col min="12" max="12" width="13.33203125" customWidth="1"/>
    <col min="13" max="13" width="67.6640625" customWidth="1"/>
    <col min="14" max="14" width="9" customWidth="1"/>
  </cols>
  <sheetData>
    <row r="2" spans="2:18" ht="15" customHeight="1">
      <c r="B2" s="319" t="s">
        <v>100</v>
      </c>
      <c r="C2" s="319"/>
      <c r="D2" s="319"/>
      <c r="E2" s="319"/>
      <c r="F2" s="319"/>
      <c r="G2" s="319"/>
      <c r="H2" s="319"/>
      <c r="I2" s="319"/>
      <c r="J2" s="319"/>
      <c r="K2" s="319"/>
      <c r="L2" s="319"/>
      <c r="M2" s="319"/>
    </row>
    <row r="3" spans="2:18">
      <c r="B3" s="320" t="s">
        <v>156</v>
      </c>
      <c r="C3" s="320"/>
      <c r="D3" s="320"/>
      <c r="E3" s="320"/>
      <c r="F3" s="320"/>
      <c r="G3" s="320"/>
      <c r="H3" s="320"/>
      <c r="I3" s="320"/>
      <c r="J3" s="320"/>
      <c r="K3" s="320"/>
      <c r="L3" s="320"/>
      <c r="M3" s="320"/>
    </row>
    <row r="4" spans="2:18">
      <c r="B4" s="61"/>
      <c r="C4" s="61"/>
      <c r="D4" s="61"/>
      <c r="E4" s="316" t="s">
        <v>457</v>
      </c>
      <c r="F4" s="317"/>
      <c r="G4" s="317"/>
      <c r="H4" s="317"/>
      <c r="I4" s="318"/>
      <c r="J4" s="146"/>
      <c r="K4" s="61"/>
      <c r="L4" s="61"/>
      <c r="M4" s="61"/>
    </row>
    <row r="5" spans="2:18" ht="28.8">
      <c r="B5" s="66" t="s">
        <v>0</v>
      </c>
      <c r="C5" s="66" t="s">
        <v>1</v>
      </c>
      <c r="D5" s="33" t="s">
        <v>65</v>
      </c>
      <c r="E5" s="66" t="s">
        <v>458</v>
      </c>
      <c r="F5" s="66" t="s">
        <v>459</v>
      </c>
      <c r="G5" s="66" t="s">
        <v>460</v>
      </c>
      <c r="H5" s="66" t="s">
        <v>461</v>
      </c>
      <c r="I5" s="66" t="s">
        <v>462</v>
      </c>
      <c r="J5" s="66" t="s">
        <v>463</v>
      </c>
      <c r="K5" s="66" t="s">
        <v>97</v>
      </c>
      <c r="L5" s="66" t="s">
        <v>101</v>
      </c>
      <c r="M5" s="66" t="s">
        <v>22</v>
      </c>
    </row>
    <row r="6" spans="2:18" ht="14.4" customHeight="1">
      <c r="B6" s="322" t="s">
        <v>94</v>
      </c>
      <c r="C6" s="322"/>
      <c r="D6" s="322"/>
      <c r="E6" s="322"/>
      <c r="F6" s="322"/>
      <c r="G6" s="322"/>
      <c r="H6" s="322"/>
      <c r="I6" s="322"/>
      <c r="J6" s="322"/>
      <c r="K6" s="322"/>
      <c r="L6" s="322"/>
      <c r="M6" s="322"/>
    </row>
    <row r="7" spans="2:18" ht="409.6">
      <c r="B7" s="76">
        <v>1</v>
      </c>
      <c r="C7" s="63" t="s">
        <v>133</v>
      </c>
      <c r="D7" s="51">
        <f>F178</f>
        <v>264.43521027179679</v>
      </c>
      <c r="E7" s="51">
        <f>G178</f>
        <v>69.505726637999999</v>
      </c>
      <c r="F7" s="51">
        <f>H178</f>
        <v>44.051334771000001</v>
      </c>
      <c r="G7" s="51">
        <f t="shared" ref="G7:I7" si="0">I178</f>
        <v>21.434374601314996</v>
      </c>
      <c r="H7" s="51">
        <f t="shared" si="0"/>
        <v>10.210000000000001</v>
      </c>
      <c r="I7" s="51">
        <f t="shared" si="0"/>
        <v>0.38</v>
      </c>
      <c r="J7" s="51">
        <f>L178</f>
        <v>118.85487365148185</v>
      </c>
      <c r="K7" s="81">
        <f>G188</f>
        <v>170.01901940781846</v>
      </c>
      <c r="L7" s="82">
        <f>G189</f>
        <v>84.594992611175982</v>
      </c>
      <c r="M7" s="78" t="s">
        <v>658</v>
      </c>
      <c r="N7" s="39"/>
      <c r="O7" s="39"/>
      <c r="P7" s="39"/>
      <c r="Q7" s="39"/>
      <c r="R7" s="39">
        <v>0.3</v>
      </c>
    </row>
    <row r="8" spans="2:18">
      <c r="B8" s="79"/>
      <c r="C8" s="49" t="s">
        <v>21</v>
      </c>
      <c r="D8" s="52">
        <f t="shared" ref="D8:L8" si="1">D7</f>
        <v>264.43521027179679</v>
      </c>
      <c r="E8" s="52">
        <f t="shared" si="1"/>
        <v>69.505726637999999</v>
      </c>
      <c r="F8" s="52">
        <f t="shared" si="1"/>
        <v>44.051334771000001</v>
      </c>
      <c r="G8" s="52">
        <f t="shared" si="1"/>
        <v>21.434374601314996</v>
      </c>
      <c r="H8" s="52">
        <f t="shared" si="1"/>
        <v>10.210000000000001</v>
      </c>
      <c r="I8" s="52">
        <f t="shared" si="1"/>
        <v>0.38</v>
      </c>
      <c r="J8" s="52">
        <f t="shared" si="1"/>
        <v>118.85487365148185</v>
      </c>
      <c r="K8" s="52">
        <f t="shared" si="1"/>
        <v>170.01901940781846</v>
      </c>
      <c r="L8" s="52">
        <f t="shared" si="1"/>
        <v>84.594992611175982</v>
      </c>
      <c r="M8" s="80"/>
    </row>
    <row r="9" spans="2:18">
      <c r="B9" s="78"/>
      <c r="C9" s="78"/>
      <c r="D9" s="180">
        <f>D8-259.69</f>
        <v>4.7452102717967932</v>
      </c>
      <c r="E9" s="78"/>
      <c r="I9" s="78"/>
      <c r="J9" s="78"/>
      <c r="K9" s="78"/>
      <c r="L9" s="78"/>
      <c r="M9" s="78"/>
    </row>
    <row r="10" spans="2:18">
      <c r="B10" s="321" t="s">
        <v>20</v>
      </c>
      <c r="C10" s="321"/>
      <c r="D10" s="321"/>
      <c r="E10" s="321"/>
      <c r="F10" s="321"/>
      <c r="G10" s="321"/>
      <c r="H10" s="321"/>
      <c r="I10" s="321"/>
      <c r="J10" s="321"/>
      <c r="K10" s="321"/>
      <c r="L10" s="321"/>
      <c r="M10" s="321"/>
    </row>
    <row r="11" spans="2:18" ht="75" customHeight="1">
      <c r="B11" s="323" t="s">
        <v>672</v>
      </c>
      <c r="C11" s="324"/>
      <c r="D11" s="324"/>
      <c r="E11" s="324"/>
      <c r="F11" s="324"/>
      <c r="G11" s="324"/>
      <c r="H11" s="324"/>
      <c r="I11" s="324"/>
      <c r="J11" s="324"/>
      <c r="K11" s="324"/>
      <c r="L11" s="324"/>
      <c r="M11" s="325"/>
    </row>
    <row r="12" spans="2:18" ht="14.4" customHeight="1">
      <c r="B12" s="326"/>
      <c r="C12" s="327"/>
      <c r="D12" s="327"/>
      <c r="E12" s="327"/>
      <c r="F12" s="327"/>
      <c r="G12" s="327"/>
      <c r="H12" s="327"/>
      <c r="I12" s="327"/>
      <c r="J12" s="327"/>
      <c r="K12" s="327"/>
      <c r="L12" s="327"/>
      <c r="M12" s="328"/>
    </row>
    <row r="13" spans="2:18" ht="14.4" customHeight="1">
      <c r="B13" s="326"/>
      <c r="C13" s="327"/>
      <c r="D13" s="327"/>
      <c r="E13" s="327"/>
      <c r="F13" s="327"/>
      <c r="G13" s="327"/>
      <c r="H13" s="327"/>
      <c r="I13" s="327"/>
      <c r="J13" s="327"/>
      <c r="K13" s="327"/>
      <c r="L13" s="327"/>
      <c r="M13" s="328"/>
    </row>
    <row r="14" spans="2:18" ht="14.4" customHeight="1">
      <c r="B14" s="326"/>
      <c r="C14" s="327"/>
      <c r="D14" s="327"/>
      <c r="E14" s="327"/>
      <c r="F14" s="327"/>
      <c r="G14" s="327"/>
      <c r="H14" s="327"/>
      <c r="I14" s="327"/>
      <c r="J14" s="327"/>
      <c r="K14" s="327"/>
      <c r="L14" s="327"/>
      <c r="M14" s="328"/>
    </row>
    <row r="15" spans="2:18" ht="14.4" customHeight="1">
      <c r="B15" s="326"/>
      <c r="C15" s="327"/>
      <c r="D15" s="327"/>
      <c r="E15" s="327"/>
      <c r="F15" s="327"/>
      <c r="G15" s="327"/>
      <c r="H15" s="327"/>
      <c r="I15" s="327"/>
      <c r="J15" s="327"/>
      <c r="K15" s="327"/>
      <c r="L15" s="327"/>
      <c r="M15" s="328"/>
    </row>
    <row r="16" spans="2:18" ht="15" customHeight="1">
      <c r="B16" s="333"/>
      <c r="C16" s="333"/>
      <c r="D16" s="333"/>
      <c r="E16" s="333"/>
      <c r="F16" s="333"/>
      <c r="G16" s="333"/>
      <c r="H16" s="333"/>
      <c r="I16" s="333"/>
      <c r="J16" s="333"/>
      <c r="K16" s="333"/>
      <c r="L16" s="333"/>
      <c r="M16" s="333"/>
    </row>
    <row r="19" spans="1:14">
      <c r="A19" s="151" t="s">
        <v>420</v>
      </c>
      <c r="B19" s="151"/>
      <c r="C19" s="151"/>
      <c r="D19" s="151"/>
      <c r="E19" s="151"/>
      <c r="F19" s="151"/>
      <c r="G19" s="151"/>
      <c r="H19" s="151"/>
      <c r="I19" s="171"/>
      <c r="J19" s="171"/>
      <c r="K19" s="171"/>
      <c r="L19" s="171"/>
      <c r="M19" s="171">
        <f t="shared" ref="M19" si="2">SUBTOTAL(9,M22:M177)</f>
        <v>54.21668713348182</v>
      </c>
      <c r="N19" s="171"/>
    </row>
    <row r="20" spans="1:14" ht="43.2" customHeight="1">
      <c r="A20" s="172" t="s">
        <v>186</v>
      </c>
      <c r="B20" s="172" t="s">
        <v>187</v>
      </c>
      <c r="C20" s="172" t="s">
        <v>188</v>
      </c>
      <c r="D20" s="173" t="s">
        <v>6</v>
      </c>
      <c r="E20" s="173"/>
      <c r="F20" s="173"/>
      <c r="G20" s="329" t="s">
        <v>421</v>
      </c>
      <c r="H20" s="330"/>
      <c r="I20" s="330"/>
      <c r="J20" s="330"/>
      <c r="K20" s="331"/>
      <c r="L20" s="332" t="s">
        <v>422</v>
      </c>
      <c r="M20" s="332" t="s">
        <v>422</v>
      </c>
      <c r="N20" s="332" t="s">
        <v>22</v>
      </c>
    </row>
    <row r="21" spans="1:14" ht="14.4" customHeight="1">
      <c r="A21" s="172"/>
      <c r="B21" s="172"/>
      <c r="C21" s="172"/>
      <c r="D21" s="172" t="s">
        <v>423</v>
      </c>
      <c r="E21" s="172" t="s">
        <v>424</v>
      </c>
      <c r="F21" s="172" t="s">
        <v>425</v>
      </c>
      <c r="G21" s="172" t="s">
        <v>426</v>
      </c>
      <c r="H21" s="172" t="s">
        <v>427</v>
      </c>
      <c r="I21" s="172" t="s">
        <v>428</v>
      </c>
      <c r="J21" s="172" t="s">
        <v>429</v>
      </c>
      <c r="K21" s="172" t="s">
        <v>430</v>
      </c>
      <c r="L21" s="332"/>
      <c r="M21" s="332"/>
      <c r="N21" s="332"/>
    </row>
    <row r="22" spans="1:14" ht="28.95" customHeight="1">
      <c r="A22" s="174" t="s">
        <v>193</v>
      </c>
      <c r="B22" s="174" t="s">
        <v>194</v>
      </c>
      <c r="C22" s="175" t="s">
        <v>195</v>
      </c>
      <c r="D22" s="176">
        <v>0.84432949999999996</v>
      </c>
      <c r="E22" s="176">
        <v>0</v>
      </c>
      <c r="F22" s="176">
        <f>D22-E22</f>
        <v>0.84432949999999996</v>
      </c>
      <c r="G22" s="176">
        <v>0</v>
      </c>
      <c r="H22" s="176">
        <v>0</v>
      </c>
      <c r="I22" s="176">
        <v>0</v>
      </c>
      <c r="J22" s="176">
        <v>0</v>
      </c>
      <c r="K22" s="176">
        <v>0</v>
      </c>
      <c r="L22" s="176">
        <f>F22</f>
        <v>0.84432949999999996</v>
      </c>
      <c r="M22" s="176">
        <v>0</v>
      </c>
      <c r="N22" s="176"/>
    </row>
    <row r="23" spans="1:14">
      <c r="A23" s="174" t="s">
        <v>193</v>
      </c>
      <c r="B23" s="174" t="s">
        <v>196</v>
      </c>
      <c r="C23" s="175" t="s">
        <v>197</v>
      </c>
      <c r="D23" s="176">
        <v>3.1875870159999997</v>
      </c>
      <c r="E23" s="176">
        <v>0</v>
      </c>
      <c r="F23" s="176">
        <f t="shared" ref="F23:F86" si="3">D23-E23</f>
        <v>3.1875870159999997</v>
      </c>
      <c r="G23" s="176">
        <v>0</v>
      </c>
      <c r="H23" s="176">
        <v>0</v>
      </c>
      <c r="I23" s="176">
        <v>0</v>
      </c>
      <c r="J23" s="176">
        <v>0</v>
      </c>
      <c r="K23" s="176">
        <v>0</v>
      </c>
      <c r="L23" s="176">
        <f>F23</f>
        <v>3.1875870159999997</v>
      </c>
      <c r="M23" s="176">
        <v>1.4575870159999997</v>
      </c>
      <c r="N23" s="176" t="s">
        <v>431</v>
      </c>
    </row>
    <row r="24" spans="1:14" ht="28.8">
      <c r="A24" s="174" t="s">
        <v>193</v>
      </c>
      <c r="B24" s="174" t="s">
        <v>198</v>
      </c>
      <c r="C24" s="175" t="s">
        <v>199</v>
      </c>
      <c r="D24" s="176">
        <v>0</v>
      </c>
      <c r="E24" s="176">
        <v>0</v>
      </c>
      <c r="F24" s="176">
        <f t="shared" si="3"/>
        <v>0</v>
      </c>
      <c r="G24" s="176">
        <v>0</v>
      </c>
      <c r="H24" s="176">
        <v>0</v>
      </c>
      <c r="I24" s="176">
        <v>0</v>
      </c>
      <c r="J24" s="176">
        <v>0</v>
      </c>
      <c r="K24" s="176">
        <v>0</v>
      </c>
      <c r="L24" s="176"/>
      <c r="M24" s="176">
        <v>0</v>
      </c>
      <c r="N24" s="176"/>
    </row>
    <row r="25" spans="1:14" ht="57.6" hidden="1" customHeight="1">
      <c r="A25" s="174" t="s">
        <v>193</v>
      </c>
      <c r="B25" s="174" t="s">
        <v>200</v>
      </c>
      <c r="C25" s="175" t="s">
        <v>201</v>
      </c>
      <c r="D25" s="176">
        <v>0</v>
      </c>
      <c r="E25" s="176">
        <v>0</v>
      </c>
      <c r="F25" s="176">
        <f t="shared" si="3"/>
        <v>0</v>
      </c>
      <c r="G25" s="176">
        <v>0</v>
      </c>
      <c r="H25" s="176">
        <v>0</v>
      </c>
      <c r="I25" s="176">
        <v>0</v>
      </c>
      <c r="J25" s="176">
        <v>0</v>
      </c>
      <c r="K25" s="176">
        <v>0</v>
      </c>
      <c r="L25" s="176"/>
      <c r="M25" s="176">
        <v>0</v>
      </c>
      <c r="N25" s="176"/>
    </row>
    <row r="26" spans="1:14" ht="72" hidden="1" customHeight="1">
      <c r="A26" s="174" t="s">
        <v>193</v>
      </c>
      <c r="B26" s="174" t="s">
        <v>202</v>
      </c>
      <c r="C26" s="175" t="s">
        <v>203</v>
      </c>
      <c r="D26" s="176">
        <v>3.7750153069999999</v>
      </c>
      <c r="E26" s="176">
        <v>0</v>
      </c>
      <c r="F26" s="176">
        <f t="shared" si="3"/>
        <v>3.7750153069999999</v>
      </c>
      <c r="G26" s="176">
        <v>0</v>
      </c>
      <c r="H26" s="176">
        <v>0.25</v>
      </c>
      <c r="I26" s="176">
        <v>0.75</v>
      </c>
      <c r="J26" s="176">
        <v>0.25</v>
      </c>
      <c r="K26" s="176">
        <v>0</v>
      </c>
      <c r="L26" s="176">
        <f>F26-H26-I26-J26</f>
        <v>2.5250153069999999</v>
      </c>
      <c r="M26" s="176">
        <v>2.1750153069999998</v>
      </c>
      <c r="N26" s="176" t="s">
        <v>432</v>
      </c>
    </row>
    <row r="27" spans="1:14">
      <c r="A27" s="174" t="s">
        <v>193</v>
      </c>
      <c r="B27" s="174" t="s">
        <v>204</v>
      </c>
      <c r="C27" s="175" t="s">
        <v>205</v>
      </c>
      <c r="D27" s="176">
        <v>5.1208980000000005E-3</v>
      </c>
      <c r="E27" s="176">
        <v>0</v>
      </c>
      <c r="F27" s="176">
        <f t="shared" si="3"/>
        <v>5.1208980000000005E-3</v>
      </c>
      <c r="G27" s="176">
        <v>0</v>
      </c>
      <c r="H27" s="176">
        <v>0</v>
      </c>
      <c r="I27" s="176">
        <v>0</v>
      </c>
      <c r="J27" s="176">
        <v>0</v>
      </c>
      <c r="K27" s="176">
        <v>0</v>
      </c>
      <c r="L27" s="176">
        <f>F27</f>
        <v>5.1208980000000005E-3</v>
      </c>
      <c r="M27" s="176">
        <v>5.1208980000000005E-3</v>
      </c>
      <c r="N27" s="176" t="s">
        <v>433</v>
      </c>
    </row>
    <row r="28" spans="1:14" ht="28.8">
      <c r="A28" s="174" t="s">
        <v>193</v>
      </c>
      <c r="B28" s="174" t="s">
        <v>206</v>
      </c>
      <c r="C28" s="175" t="s">
        <v>201</v>
      </c>
      <c r="D28" s="176">
        <v>0.36443310000000001</v>
      </c>
      <c r="E28" s="176">
        <v>0</v>
      </c>
      <c r="F28" s="176">
        <f t="shared" si="3"/>
        <v>0.36443310000000001</v>
      </c>
      <c r="G28" s="176">
        <v>0</v>
      </c>
      <c r="H28" s="176">
        <v>0</v>
      </c>
      <c r="I28" s="176">
        <v>0</v>
      </c>
      <c r="J28" s="176">
        <v>0.36</v>
      </c>
      <c r="K28" s="176">
        <v>0</v>
      </c>
      <c r="L28" s="176">
        <v>0</v>
      </c>
      <c r="M28" s="176">
        <v>4.4331000000000231E-3</v>
      </c>
      <c r="N28" s="176"/>
    </row>
    <row r="29" spans="1:14" ht="28.8">
      <c r="A29" s="174" t="s">
        <v>193</v>
      </c>
      <c r="B29" s="174" t="s">
        <v>207</v>
      </c>
      <c r="C29" s="175" t="s">
        <v>208</v>
      </c>
      <c r="D29" s="176">
        <v>2.491120215</v>
      </c>
      <c r="E29" s="176">
        <v>0</v>
      </c>
      <c r="F29" s="176">
        <f t="shared" si="3"/>
        <v>2.491120215</v>
      </c>
      <c r="G29" s="176">
        <v>0</v>
      </c>
      <c r="H29" s="176">
        <v>0</v>
      </c>
      <c r="I29" s="176">
        <v>0</v>
      </c>
      <c r="J29" s="176">
        <v>0</v>
      </c>
      <c r="K29" s="176">
        <v>0</v>
      </c>
      <c r="L29" s="176">
        <f>F29</f>
        <v>2.491120215</v>
      </c>
      <c r="M29" s="176">
        <v>2.491120215</v>
      </c>
      <c r="N29" s="176" t="s">
        <v>433</v>
      </c>
    </row>
    <row r="30" spans="1:14">
      <c r="A30" s="174" t="s">
        <v>193</v>
      </c>
      <c r="B30" s="174" t="s">
        <v>209</v>
      </c>
      <c r="C30" s="175" t="s">
        <v>210</v>
      </c>
      <c r="D30" s="176">
        <v>24.622286142</v>
      </c>
      <c r="E30" s="176">
        <v>27.237895000000002</v>
      </c>
      <c r="F30" s="176">
        <f t="shared" si="3"/>
        <v>-2.6156088580000016</v>
      </c>
      <c r="G30" s="176">
        <v>0</v>
      </c>
      <c r="H30" s="176">
        <v>0</v>
      </c>
      <c r="I30" s="176">
        <v>-2.6156088580000016</v>
      </c>
      <c r="J30" s="176">
        <v>0</v>
      </c>
      <c r="K30" s="176">
        <v>0</v>
      </c>
      <c r="L30" s="176">
        <v>0</v>
      </c>
      <c r="M30" s="176">
        <v>0</v>
      </c>
      <c r="N30" s="176"/>
    </row>
    <row r="31" spans="1:14" ht="57.6">
      <c r="A31" s="174" t="s">
        <v>193</v>
      </c>
      <c r="B31" s="174" t="s">
        <v>211</v>
      </c>
      <c r="C31" s="175" t="s">
        <v>212</v>
      </c>
      <c r="D31" s="176">
        <v>0.95194102699999994</v>
      </c>
      <c r="E31" s="176">
        <v>0</v>
      </c>
      <c r="F31" s="176">
        <f t="shared" si="3"/>
        <v>0.95194102699999994</v>
      </c>
      <c r="G31" s="176">
        <v>0</v>
      </c>
      <c r="H31" s="176">
        <v>0</v>
      </c>
      <c r="I31" s="176">
        <v>0</v>
      </c>
      <c r="J31" s="176">
        <v>0</v>
      </c>
      <c r="K31" s="176">
        <v>0</v>
      </c>
      <c r="L31" s="176">
        <f>F31</f>
        <v>0.95194102699999994</v>
      </c>
      <c r="M31" s="176">
        <v>0.95194102699999994</v>
      </c>
      <c r="N31" s="176" t="s">
        <v>432</v>
      </c>
    </row>
    <row r="32" spans="1:14" ht="43.2">
      <c r="A32" s="174" t="s">
        <v>213</v>
      </c>
      <c r="B32" s="174" t="s">
        <v>214</v>
      </c>
      <c r="C32" s="175" t="s">
        <v>215</v>
      </c>
      <c r="D32" s="176">
        <v>25.404295312000002</v>
      </c>
      <c r="E32" s="176">
        <v>27.318179399999998</v>
      </c>
      <c r="F32" s="176">
        <f t="shared" si="3"/>
        <v>-1.9138840879999961</v>
      </c>
      <c r="G32" s="176">
        <f>F32</f>
        <v>-1.9138840879999961</v>
      </c>
      <c r="H32" s="176">
        <v>0</v>
      </c>
      <c r="I32" s="176">
        <v>0</v>
      </c>
      <c r="J32" s="176">
        <v>0</v>
      </c>
      <c r="K32" s="176">
        <v>0</v>
      </c>
      <c r="L32" s="176">
        <v>0</v>
      </c>
      <c r="M32" s="176">
        <v>0</v>
      </c>
      <c r="N32" s="176"/>
    </row>
    <row r="33" spans="1:14" ht="28.8">
      <c r="A33" s="174" t="s">
        <v>213</v>
      </c>
      <c r="B33" s="174" t="s">
        <v>216</v>
      </c>
      <c r="C33" s="175" t="s">
        <v>217</v>
      </c>
      <c r="D33" s="176">
        <v>0</v>
      </c>
      <c r="E33" s="176">
        <v>0</v>
      </c>
      <c r="F33" s="176">
        <f t="shared" si="3"/>
        <v>0</v>
      </c>
      <c r="G33" s="176">
        <v>0</v>
      </c>
      <c r="H33" s="176">
        <v>0</v>
      </c>
      <c r="I33" s="176">
        <v>0</v>
      </c>
      <c r="J33" s="176">
        <v>0</v>
      </c>
      <c r="K33" s="176">
        <v>0</v>
      </c>
      <c r="L33" s="176"/>
      <c r="M33" s="176">
        <v>0</v>
      </c>
      <c r="N33" s="176"/>
    </row>
    <row r="34" spans="1:14" ht="72" hidden="1" customHeight="1">
      <c r="A34" s="174" t="s">
        <v>213</v>
      </c>
      <c r="B34" s="174" t="s">
        <v>218</v>
      </c>
      <c r="C34" s="175" t="s">
        <v>219</v>
      </c>
      <c r="D34" s="176">
        <v>34.755665913000001</v>
      </c>
      <c r="E34" s="176">
        <v>0</v>
      </c>
      <c r="F34" s="176">
        <f t="shared" si="3"/>
        <v>34.755665913000001</v>
      </c>
      <c r="G34" s="176">
        <v>0</v>
      </c>
      <c r="H34" s="176">
        <v>0</v>
      </c>
      <c r="I34" s="176">
        <v>0</v>
      </c>
      <c r="J34" s="176">
        <v>0</v>
      </c>
      <c r="K34" s="176">
        <v>0</v>
      </c>
      <c r="L34" s="176">
        <f>F34</f>
        <v>34.755665913000001</v>
      </c>
      <c r="M34" s="176">
        <v>17.525665913000001</v>
      </c>
      <c r="N34" s="176" t="s">
        <v>431</v>
      </c>
    </row>
    <row r="35" spans="1:14" ht="28.8">
      <c r="A35" s="174" t="s">
        <v>213</v>
      </c>
      <c r="B35" s="174" t="s">
        <v>220</v>
      </c>
      <c r="C35" s="175" t="s">
        <v>221</v>
      </c>
      <c r="D35" s="176">
        <v>1.316238</v>
      </c>
      <c r="E35" s="176">
        <v>0</v>
      </c>
      <c r="F35" s="176">
        <f t="shared" si="3"/>
        <v>1.316238</v>
      </c>
      <c r="G35" s="176">
        <v>0</v>
      </c>
      <c r="H35" s="176">
        <v>0</v>
      </c>
      <c r="I35" s="176">
        <v>0</v>
      </c>
      <c r="J35" s="176">
        <v>0</v>
      </c>
      <c r="K35" s="176">
        <v>0</v>
      </c>
      <c r="L35" s="176">
        <f>F35</f>
        <v>1.316238</v>
      </c>
      <c r="M35" s="176">
        <v>0.921238</v>
      </c>
      <c r="N35" s="176" t="s">
        <v>434</v>
      </c>
    </row>
    <row r="36" spans="1:14" ht="43.2">
      <c r="A36" s="174" t="s">
        <v>213</v>
      </c>
      <c r="B36" s="174" t="s">
        <v>222</v>
      </c>
      <c r="C36" s="175" t="s">
        <v>215</v>
      </c>
      <c r="D36" s="176">
        <v>19.374609897999999</v>
      </c>
      <c r="E36" s="176">
        <v>0</v>
      </c>
      <c r="F36" s="176">
        <f t="shared" si="3"/>
        <v>19.374609897999999</v>
      </c>
      <c r="G36" s="176">
        <v>0</v>
      </c>
      <c r="H36" s="176">
        <v>19.37</v>
      </c>
      <c r="I36" s="176">
        <v>0</v>
      </c>
      <c r="J36" s="176">
        <v>0</v>
      </c>
      <c r="K36" s="176">
        <v>0</v>
      </c>
      <c r="L36" s="176">
        <v>0</v>
      </c>
      <c r="M36" s="176">
        <v>4.6098979999982248E-3</v>
      </c>
      <c r="N36" s="176"/>
    </row>
    <row r="37" spans="1:14" ht="28.8">
      <c r="A37" s="174" t="s">
        <v>213</v>
      </c>
      <c r="B37" s="174" t="s">
        <v>223</v>
      </c>
      <c r="C37" s="175" t="s">
        <v>224</v>
      </c>
      <c r="D37" s="176">
        <v>0</v>
      </c>
      <c r="E37" s="176">
        <v>0</v>
      </c>
      <c r="F37" s="176">
        <f t="shared" si="3"/>
        <v>0</v>
      </c>
      <c r="G37" s="176">
        <v>0</v>
      </c>
      <c r="H37" s="176">
        <v>0</v>
      </c>
      <c r="I37" s="176">
        <v>0</v>
      </c>
      <c r="J37" s="176">
        <v>0</v>
      </c>
      <c r="K37" s="176">
        <v>0</v>
      </c>
      <c r="L37" s="176"/>
      <c r="M37" s="176">
        <v>0</v>
      </c>
      <c r="N37" s="176"/>
    </row>
    <row r="38" spans="1:14" ht="43.2">
      <c r="A38" s="174" t="s">
        <v>213</v>
      </c>
      <c r="B38" s="174" t="s">
        <v>225</v>
      </c>
      <c r="C38" s="175" t="s">
        <v>215</v>
      </c>
      <c r="D38" s="176">
        <v>3.9665639100000001</v>
      </c>
      <c r="E38" s="176">
        <v>3.9665639000000001</v>
      </c>
      <c r="F38" s="176">
        <f t="shared" si="3"/>
        <v>9.9999999392252903E-9</v>
      </c>
      <c r="G38" s="176">
        <v>0</v>
      </c>
      <c r="H38" s="176">
        <v>0</v>
      </c>
      <c r="I38" s="176">
        <v>0</v>
      </c>
      <c r="J38" s="176">
        <v>0</v>
      </c>
      <c r="K38" s="176">
        <v>0</v>
      </c>
      <c r="L38" s="176"/>
      <c r="M38" s="176">
        <v>9.9999999392252903E-9</v>
      </c>
      <c r="N38" s="176"/>
    </row>
    <row r="39" spans="1:14" ht="43.2">
      <c r="A39" s="174" t="s">
        <v>213</v>
      </c>
      <c r="B39" s="174" t="s">
        <v>226</v>
      </c>
      <c r="C39" s="175" t="s">
        <v>215</v>
      </c>
      <c r="D39" s="176">
        <v>0.4653062</v>
      </c>
      <c r="E39" s="176">
        <v>0</v>
      </c>
      <c r="F39" s="176">
        <f t="shared" si="3"/>
        <v>0.4653062</v>
      </c>
      <c r="G39" s="176">
        <v>0</v>
      </c>
      <c r="H39" s="176">
        <v>0</v>
      </c>
      <c r="I39" s="176">
        <v>0</v>
      </c>
      <c r="J39" s="176">
        <v>0</v>
      </c>
      <c r="K39" s="176">
        <v>0</v>
      </c>
      <c r="L39" s="176">
        <f>F39</f>
        <v>0.4653062</v>
      </c>
      <c r="M39" s="176">
        <v>-4.6937999999999702E-3</v>
      </c>
      <c r="N39" s="176"/>
    </row>
    <row r="40" spans="1:14">
      <c r="A40" s="174" t="s">
        <v>213</v>
      </c>
      <c r="B40" s="174" t="s">
        <v>226</v>
      </c>
      <c r="C40" s="175" t="s">
        <v>227</v>
      </c>
      <c r="D40" s="176">
        <v>6.8313200000000004E-2</v>
      </c>
      <c r="E40" s="176">
        <v>0</v>
      </c>
      <c r="F40" s="176">
        <f t="shared" si="3"/>
        <v>6.8313200000000004E-2</v>
      </c>
      <c r="G40" s="176">
        <v>0</v>
      </c>
      <c r="H40" s="176">
        <v>0</v>
      </c>
      <c r="I40" s="176">
        <v>0</v>
      </c>
      <c r="J40" s="176">
        <v>0</v>
      </c>
      <c r="K40" s="176">
        <v>0</v>
      </c>
      <c r="L40" s="176">
        <f>F40</f>
        <v>6.8313200000000004E-2</v>
      </c>
      <c r="M40" s="176">
        <v>0</v>
      </c>
      <c r="N40" s="176"/>
    </row>
    <row r="41" spans="1:14">
      <c r="A41" s="174" t="s">
        <v>213</v>
      </c>
      <c r="B41" s="174" t="s">
        <v>228</v>
      </c>
      <c r="C41" s="175" t="s">
        <v>229</v>
      </c>
      <c r="D41" s="176">
        <v>11.0179098</v>
      </c>
      <c r="E41" s="176">
        <v>0</v>
      </c>
      <c r="F41" s="176">
        <f t="shared" si="3"/>
        <v>11.0179098</v>
      </c>
      <c r="G41" s="176">
        <v>5.5</v>
      </c>
      <c r="H41" s="176">
        <f>F41-G41</f>
        <v>5.5179098</v>
      </c>
      <c r="I41" s="176"/>
      <c r="J41" s="176">
        <v>0</v>
      </c>
      <c r="K41" s="176">
        <v>0</v>
      </c>
      <c r="L41" s="176">
        <v>0</v>
      </c>
      <c r="M41" s="176">
        <v>0</v>
      </c>
      <c r="N41" s="176"/>
    </row>
    <row r="42" spans="1:14" ht="28.8">
      <c r="A42" s="174" t="s">
        <v>213</v>
      </c>
      <c r="B42" s="174" t="s">
        <v>230</v>
      </c>
      <c r="C42" s="175" t="s">
        <v>217</v>
      </c>
      <c r="D42" s="176">
        <v>0</v>
      </c>
      <c r="E42" s="176">
        <v>0</v>
      </c>
      <c r="F42" s="176">
        <f t="shared" si="3"/>
        <v>0</v>
      </c>
      <c r="G42" s="176">
        <v>0</v>
      </c>
      <c r="H42" s="176">
        <v>0</v>
      </c>
      <c r="I42" s="176">
        <v>0</v>
      </c>
      <c r="J42" s="176">
        <v>0</v>
      </c>
      <c r="K42" s="176">
        <v>0</v>
      </c>
      <c r="L42" s="176"/>
      <c r="M42" s="176">
        <v>0</v>
      </c>
      <c r="N42" s="176"/>
    </row>
    <row r="43" spans="1:14" ht="72" hidden="1" customHeight="1">
      <c r="A43" s="174" t="s">
        <v>213</v>
      </c>
      <c r="B43" s="174" t="s">
        <v>231</v>
      </c>
      <c r="C43" s="175" t="s">
        <v>217</v>
      </c>
      <c r="D43" s="176">
        <v>31.139983459315001</v>
      </c>
      <c r="E43" s="176">
        <v>0</v>
      </c>
      <c r="F43" s="176">
        <f t="shared" si="3"/>
        <v>31.139983459315001</v>
      </c>
      <c r="G43" s="176">
        <v>0</v>
      </c>
      <c r="H43" s="176">
        <v>0</v>
      </c>
      <c r="I43" s="176">
        <v>21.129983459315</v>
      </c>
      <c r="J43" s="176">
        <v>0</v>
      </c>
      <c r="K43" s="176">
        <v>0</v>
      </c>
      <c r="L43" s="176">
        <f>F43-I43</f>
        <v>10.010000000000002</v>
      </c>
      <c r="M43" s="176">
        <v>0</v>
      </c>
      <c r="N43" s="176"/>
    </row>
    <row r="44" spans="1:14">
      <c r="A44" s="174" t="s">
        <v>213</v>
      </c>
      <c r="B44" s="174" t="s">
        <v>232</v>
      </c>
      <c r="C44" s="175" t="s">
        <v>229</v>
      </c>
      <c r="D44" s="176">
        <v>3.9999999999999998E-7</v>
      </c>
      <c r="E44" s="176">
        <v>0</v>
      </c>
      <c r="F44" s="176">
        <f t="shared" si="3"/>
        <v>3.9999999999999998E-7</v>
      </c>
      <c r="G44" s="176">
        <v>0</v>
      </c>
      <c r="H44" s="176">
        <v>0</v>
      </c>
      <c r="I44" s="176">
        <v>0</v>
      </c>
      <c r="J44" s="176">
        <v>0</v>
      </c>
      <c r="K44" s="176">
        <v>0</v>
      </c>
      <c r="L44" s="176">
        <f>F44</f>
        <v>3.9999999999999998E-7</v>
      </c>
      <c r="M44" s="176">
        <v>3.9999999999999998E-7</v>
      </c>
      <c r="N44" s="176"/>
    </row>
    <row r="45" spans="1:14" ht="28.8">
      <c r="A45" s="174" t="s">
        <v>213</v>
      </c>
      <c r="B45" s="174" t="s">
        <v>233</v>
      </c>
      <c r="C45" s="175" t="s">
        <v>234</v>
      </c>
      <c r="D45" s="176">
        <v>1.42</v>
      </c>
      <c r="E45" s="176">
        <v>1.42</v>
      </c>
      <c r="F45" s="176">
        <f t="shared" si="3"/>
        <v>0</v>
      </c>
      <c r="G45" s="176">
        <v>0</v>
      </c>
      <c r="H45" s="176">
        <v>0</v>
      </c>
      <c r="I45" s="176">
        <v>0</v>
      </c>
      <c r="J45" s="176">
        <v>0</v>
      </c>
      <c r="K45" s="176">
        <v>0</v>
      </c>
      <c r="L45" s="176"/>
      <c r="M45" s="176">
        <v>0</v>
      </c>
      <c r="N45" s="176"/>
    </row>
    <row r="46" spans="1:14" ht="72" hidden="1" customHeight="1">
      <c r="A46" s="174" t="s">
        <v>213</v>
      </c>
      <c r="B46" s="174" t="s">
        <v>235</v>
      </c>
      <c r="C46" s="175" t="s">
        <v>236</v>
      </c>
      <c r="D46" s="176">
        <v>0.35787010000000002</v>
      </c>
      <c r="E46" s="176">
        <v>0.35787010000000002</v>
      </c>
      <c r="F46" s="176">
        <f t="shared" si="3"/>
        <v>0</v>
      </c>
      <c r="G46" s="176">
        <v>0</v>
      </c>
      <c r="H46" s="176">
        <v>0</v>
      </c>
      <c r="I46" s="176">
        <v>0</v>
      </c>
      <c r="J46" s="176">
        <v>0</v>
      </c>
      <c r="K46" s="176">
        <v>0</v>
      </c>
      <c r="L46" s="176"/>
      <c r="M46" s="176">
        <v>0</v>
      </c>
      <c r="N46" s="176"/>
    </row>
    <row r="47" spans="1:14" ht="43.2" hidden="1" customHeight="1">
      <c r="A47" s="174" t="s">
        <v>213</v>
      </c>
      <c r="B47" s="174" t="s">
        <v>237</v>
      </c>
      <c r="C47" s="175" t="s">
        <v>238</v>
      </c>
      <c r="D47" s="176">
        <v>0</v>
      </c>
      <c r="E47" s="176">
        <v>0</v>
      </c>
      <c r="F47" s="176">
        <f t="shared" si="3"/>
        <v>0</v>
      </c>
      <c r="G47" s="176">
        <v>0</v>
      </c>
      <c r="H47" s="176">
        <v>0</v>
      </c>
      <c r="I47" s="176">
        <v>0</v>
      </c>
      <c r="J47" s="176">
        <v>0</v>
      </c>
      <c r="K47" s="176">
        <v>0</v>
      </c>
      <c r="L47" s="176"/>
      <c r="M47" s="176">
        <v>0</v>
      </c>
      <c r="N47" s="176"/>
    </row>
    <row r="48" spans="1:14" ht="86.4" hidden="1" customHeight="1">
      <c r="A48" s="174" t="s">
        <v>239</v>
      </c>
      <c r="B48" s="174" t="s">
        <v>240</v>
      </c>
      <c r="C48" s="175" t="s">
        <v>240</v>
      </c>
      <c r="D48" s="176">
        <v>30.238753975999998</v>
      </c>
      <c r="E48" s="176">
        <v>30.238754</v>
      </c>
      <c r="F48" s="176">
        <f t="shared" si="3"/>
        <v>-2.4000001985768904E-8</v>
      </c>
      <c r="G48" s="176">
        <v>0</v>
      </c>
      <c r="H48" s="176">
        <v>0</v>
      </c>
      <c r="I48" s="176">
        <v>0</v>
      </c>
      <c r="J48" s="176">
        <v>0</v>
      </c>
      <c r="K48" s="176">
        <v>0</v>
      </c>
      <c r="L48" s="176"/>
      <c r="M48" s="176">
        <v>-2.4000001985768904E-8</v>
      </c>
      <c r="N48" s="176"/>
    </row>
    <row r="49" spans="1:14" ht="28.95" hidden="1" customHeight="1">
      <c r="A49" s="174" t="s">
        <v>239</v>
      </c>
      <c r="B49" s="174" t="s">
        <v>241</v>
      </c>
      <c r="C49" s="175" t="s">
        <v>242</v>
      </c>
      <c r="D49" s="176">
        <v>4.598553098</v>
      </c>
      <c r="E49" s="176">
        <v>4.5985531039999996</v>
      </c>
      <c r="F49" s="176">
        <f t="shared" si="3"/>
        <v>-5.9999996082638063E-9</v>
      </c>
      <c r="G49" s="176">
        <v>0</v>
      </c>
      <c r="H49" s="176">
        <v>0</v>
      </c>
      <c r="I49" s="176">
        <v>0</v>
      </c>
      <c r="J49" s="176">
        <v>0</v>
      </c>
      <c r="K49" s="176">
        <v>0</v>
      </c>
      <c r="L49" s="176"/>
      <c r="M49" s="176">
        <v>-5.9999996082638063E-9</v>
      </c>
      <c r="N49" s="176"/>
    </row>
    <row r="50" spans="1:14" ht="28.95" hidden="1" customHeight="1">
      <c r="A50" s="174" t="s">
        <v>239</v>
      </c>
      <c r="B50" s="174" t="s">
        <v>243</v>
      </c>
      <c r="C50" s="175" t="s">
        <v>244</v>
      </c>
      <c r="D50" s="176">
        <v>4.6379162000000003</v>
      </c>
      <c r="E50" s="176">
        <v>4.6900000000000004</v>
      </c>
      <c r="F50" s="176">
        <f t="shared" si="3"/>
        <v>-5.2083800000000124E-2</v>
      </c>
      <c r="G50" s="176">
        <v>0</v>
      </c>
      <c r="H50" s="176">
        <v>0</v>
      </c>
      <c r="I50" s="176">
        <v>0</v>
      </c>
      <c r="J50" s="176">
        <v>0</v>
      </c>
      <c r="K50" s="176">
        <v>0</v>
      </c>
      <c r="L50" s="176"/>
      <c r="M50" s="176">
        <v>-5.2083800000000124E-2</v>
      </c>
      <c r="N50" s="176" t="s">
        <v>432</v>
      </c>
    </row>
    <row r="51" spans="1:14">
      <c r="A51" s="174" t="s">
        <v>239</v>
      </c>
      <c r="B51" s="174" t="s">
        <v>245</v>
      </c>
      <c r="C51" s="175" t="s">
        <v>246</v>
      </c>
      <c r="D51" s="176">
        <v>12.02605638</v>
      </c>
      <c r="E51" s="176">
        <v>0</v>
      </c>
      <c r="F51" s="176">
        <f t="shared" si="3"/>
        <v>12.02605638</v>
      </c>
      <c r="G51" s="176">
        <v>0</v>
      </c>
      <c r="H51" s="176">
        <v>0</v>
      </c>
      <c r="I51" s="177">
        <v>0.93</v>
      </c>
      <c r="J51" s="176">
        <v>7.53</v>
      </c>
      <c r="K51" s="176">
        <v>0</v>
      </c>
      <c r="L51" s="176">
        <f>F51-I51-J51</f>
        <v>3.56605638</v>
      </c>
      <c r="M51" s="176">
        <v>-3.9436199999998145E-3</v>
      </c>
      <c r="N51" s="176" t="s">
        <v>432</v>
      </c>
    </row>
    <row r="52" spans="1:14">
      <c r="A52" s="174" t="s">
        <v>239</v>
      </c>
      <c r="B52" s="174" t="s">
        <v>247</v>
      </c>
      <c r="C52" s="175" t="s">
        <v>248</v>
      </c>
      <c r="D52" s="176">
        <v>0.44745121400000004</v>
      </c>
      <c r="E52" s="176">
        <v>0</v>
      </c>
      <c r="F52" s="176">
        <f t="shared" si="3"/>
        <v>0.44745121400000004</v>
      </c>
      <c r="G52" s="176">
        <v>0.35959361400000006</v>
      </c>
      <c r="H52" s="176"/>
      <c r="I52" s="176">
        <v>0</v>
      </c>
      <c r="J52" s="176">
        <v>0</v>
      </c>
      <c r="K52" s="176">
        <v>0</v>
      </c>
      <c r="L52" s="176">
        <f>F52-G52</f>
        <v>8.785759999999998E-2</v>
      </c>
      <c r="M52" s="176">
        <v>0</v>
      </c>
      <c r="N52" s="176"/>
    </row>
    <row r="53" spans="1:14">
      <c r="A53" s="174" t="s">
        <v>239</v>
      </c>
      <c r="B53" s="174" t="s">
        <v>249</v>
      </c>
      <c r="C53" s="175" t="s">
        <v>250</v>
      </c>
      <c r="D53" s="176">
        <v>10.7246083</v>
      </c>
      <c r="E53" s="176">
        <v>0</v>
      </c>
      <c r="F53" s="176">
        <f t="shared" si="3"/>
        <v>10.7246083</v>
      </c>
      <c r="G53" s="176">
        <v>6.5407856000000004</v>
      </c>
      <c r="H53" s="176">
        <v>0</v>
      </c>
      <c r="I53" s="176">
        <v>0</v>
      </c>
      <c r="J53" s="176">
        <v>0</v>
      </c>
      <c r="K53" s="176">
        <v>0</v>
      </c>
      <c r="L53" s="176">
        <f>F53-G53</f>
        <v>4.1838226999999995</v>
      </c>
      <c r="M53" s="176">
        <v>4.1838226999999995</v>
      </c>
      <c r="N53" s="176" t="s">
        <v>432</v>
      </c>
    </row>
    <row r="54" spans="1:14">
      <c r="A54" s="174" t="s">
        <v>239</v>
      </c>
      <c r="B54" s="174" t="s">
        <v>251</v>
      </c>
      <c r="C54" s="175" t="s">
        <v>248</v>
      </c>
      <c r="D54" s="176">
        <v>0.83837539999999999</v>
      </c>
      <c r="E54" s="176">
        <v>0</v>
      </c>
      <c r="F54" s="176">
        <f t="shared" si="3"/>
        <v>0.83837539999999999</v>
      </c>
      <c r="G54" s="176">
        <v>0</v>
      </c>
      <c r="H54" s="176">
        <v>0</v>
      </c>
      <c r="I54" s="176">
        <v>0</v>
      </c>
      <c r="J54" s="176">
        <v>0</v>
      </c>
      <c r="K54" s="176">
        <v>0</v>
      </c>
      <c r="L54" s="176">
        <f>F54</f>
        <v>0.83837539999999999</v>
      </c>
      <c r="M54" s="176">
        <v>0</v>
      </c>
      <c r="N54" s="176"/>
    </row>
    <row r="55" spans="1:14">
      <c r="A55" s="174" t="s">
        <v>239</v>
      </c>
      <c r="B55" s="174" t="s">
        <v>252</v>
      </c>
      <c r="C55" s="175" t="s">
        <v>250</v>
      </c>
      <c r="D55" s="176">
        <v>23.464363200000001</v>
      </c>
      <c r="E55" s="176">
        <v>0</v>
      </c>
      <c r="F55" s="176">
        <f t="shared" si="3"/>
        <v>23.464363200000001</v>
      </c>
      <c r="G55" s="176">
        <v>16.37436851</v>
      </c>
      <c r="H55" s="176">
        <f>2.95+0.09</f>
        <v>3.04</v>
      </c>
      <c r="I55" s="176">
        <v>0</v>
      </c>
      <c r="J55" s="176">
        <v>0</v>
      </c>
      <c r="K55" s="176">
        <v>0</v>
      </c>
      <c r="L55" s="176">
        <f>F55-G55-H55</f>
        <v>4.049994690000001</v>
      </c>
      <c r="M55" s="176">
        <v>4.049994690000001</v>
      </c>
      <c r="N55" s="176" t="s">
        <v>432</v>
      </c>
    </row>
    <row r="56" spans="1:14">
      <c r="A56" s="174" t="s">
        <v>239</v>
      </c>
      <c r="B56" s="174" t="s">
        <v>253</v>
      </c>
      <c r="C56" s="175" t="s">
        <v>250</v>
      </c>
      <c r="D56" s="176">
        <v>0</v>
      </c>
      <c r="E56" s="176">
        <v>0</v>
      </c>
      <c r="F56" s="176">
        <f t="shared" si="3"/>
        <v>0</v>
      </c>
      <c r="G56" s="176">
        <v>0</v>
      </c>
      <c r="H56" s="176">
        <v>0</v>
      </c>
      <c r="I56" s="176">
        <v>0</v>
      </c>
      <c r="J56" s="176">
        <v>0</v>
      </c>
      <c r="K56" s="176">
        <v>0</v>
      </c>
      <c r="L56" s="176"/>
      <c r="M56" s="176">
        <v>0</v>
      </c>
      <c r="N56" s="176"/>
    </row>
    <row r="57" spans="1:14" ht="14.4" hidden="1" customHeight="1">
      <c r="A57" s="174" t="s">
        <v>239</v>
      </c>
      <c r="B57" s="174" t="s">
        <v>254</v>
      </c>
      <c r="C57" s="175" t="s">
        <v>246</v>
      </c>
      <c r="D57" s="176">
        <v>0.46474949999999998</v>
      </c>
      <c r="E57" s="176">
        <v>0</v>
      </c>
      <c r="F57" s="176">
        <f t="shared" si="3"/>
        <v>0.46474949999999998</v>
      </c>
      <c r="G57" s="176">
        <v>0.46474949999999998</v>
      </c>
      <c r="H57" s="176">
        <v>0</v>
      </c>
      <c r="I57" s="176">
        <v>0</v>
      </c>
      <c r="J57" s="176">
        <v>0</v>
      </c>
      <c r="K57" s="176">
        <v>0</v>
      </c>
      <c r="L57" s="176">
        <v>0</v>
      </c>
      <c r="M57" s="176">
        <v>0</v>
      </c>
      <c r="N57" s="176"/>
    </row>
    <row r="58" spans="1:14" ht="57.6">
      <c r="A58" s="174" t="s">
        <v>239</v>
      </c>
      <c r="B58" s="174" t="s">
        <v>255</v>
      </c>
      <c r="C58" s="175" t="s">
        <v>256</v>
      </c>
      <c r="D58" s="176">
        <v>5.4716396299999994</v>
      </c>
      <c r="E58" s="176">
        <v>0</v>
      </c>
      <c r="F58" s="176">
        <f t="shared" si="3"/>
        <v>5.4716396299999994</v>
      </c>
      <c r="G58" s="176">
        <v>3.7982474589999997</v>
      </c>
      <c r="H58" s="176">
        <v>1.67</v>
      </c>
      <c r="I58" s="176">
        <v>0</v>
      </c>
      <c r="J58" s="176">
        <v>0</v>
      </c>
      <c r="K58" s="176">
        <v>0</v>
      </c>
      <c r="L58" s="176">
        <f>F58-G58-H58</f>
        <v>3.3921709999997773E-3</v>
      </c>
      <c r="M58" s="176">
        <v>3.3921709999997773E-3</v>
      </c>
      <c r="N58" s="176" t="s">
        <v>432</v>
      </c>
    </row>
    <row r="59" spans="1:14" ht="57.6">
      <c r="A59" s="174" t="s">
        <v>239</v>
      </c>
      <c r="B59" s="174" t="s">
        <v>257</v>
      </c>
      <c r="C59" s="175" t="s">
        <v>258</v>
      </c>
      <c r="D59" s="176">
        <v>-0.46443535700000005</v>
      </c>
      <c r="E59" s="176">
        <v>0</v>
      </c>
      <c r="F59" s="176">
        <f t="shared" si="3"/>
        <v>-0.46443535700000005</v>
      </c>
      <c r="G59" s="176">
        <f>F59</f>
        <v>-0.46443535700000005</v>
      </c>
      <c r="H59" s="176">
        <v>0</v>
      </c>
      <c r="I59" s="176">
        <v>0</v>
      </c>
      <c r="J59" s="176">
        <v>0</v>
      </c>
      <c r="K59" s="176">
        <v>0</v>
      </c>
      <c r="L59" s="176">
        <v>0</v>
      </c>
      <c r="M59" s="176">
        <v>0</v>
      </c>
      <c r="N59" s="176"/>
    </row>
    <row r="60" spans="1:14">
      <c r="A60" s="174" t="s">
        <v>239</v>
      </c>
      <c r="B60" s="174" t="s">
        <v>259</v>
      </c>
      <c r="C60" s="175" t="s">
        <v>246</v>
      </c>
      <c r="D60" s="176">
        <v>2.8367390000000001</v>
      </c>
      <c r="E60" s="176">
        <v>0</v>
      </c>
      <c r="F60" s="176">
        <f t="shared" si="3"/>
        <v>2.8367390000000001</v>
      </c>
      <c r="G60" s="176">
        <v>0</v>
      </c>
      <c r="H60" s="176">
        <v>1.31</v>
      </c>
      <c r="I60" s="176">
        <f>1.53-0.29</f>
        <v>1.24</v>
      </c>
      <c r="J60" s="176">
        <v>0</v>
      </c>
      <c r="K60" s="176">
        <v>0</v>
      </c>
      <c r="L60" s="176">
        <f>F60-H60-I60</f>
        <v>0.28673900000000008</v>
      </c>
      <c r="M60" s="176">
        <v>0.28673900000000008</v>
      </c>
      <c r="N60" s="176" t="s">
        <v>432</v>
      </c>
    </row>
    <row r="61" spans="1:14" ht="43.2">
      <c r="A61" s="174" t="s">
        <v>239</v>
      </c>
      <c r="B61" s="174" t="s">
        <v>260</v>
      </c>
      <c r="C61" s="175" t="s">
        <v>261</v>
      </c>
      <c r="D61" s="176">
        <v>-1.905E-3</v>
      </c>
      <c r="E61" s="176">
        <v>0</v>
      </c>
      <c r="F61" s="176">
        <f t="shared" si="3"/>
        <v>-1.905E-3</v>
      </c>
      <c r="G61" s="176">
        <v>0</v>
      </c>
      <c r="H61" s="176">
        <v>0</v>
      </c>
      <c r="I61" s="176">
        <v>0</v>
      </c>
      <c r="J61" s="176">
        <v>0</v>
      </c>
      <c r="K61" s="176">
        <v>0</v>
      </c>
      <c r="L61" s="176">
        <f>F61</f>
        <v>-1.905E-3</v>
      </c>
      <c r="M61" s="176">
        <v>-1.905E-3</v>
      </c>
      <c r="N61" s="176"/>
    </row>
    <row r="62" spans="1:14" ht="43.2">
      <c r="A62" s="174" t="s">
        <v>239</v>
      </c>
      <c r="B62" s="174" t="s">
        <v>262</v>
      </c>
      <c r="C62" s="175" t="s">
        <v>261</v>
      </c>
      <c r="D62" s="176">
        <v>0.14129237099999933</v>
      </c>
      <c r="E62" s="176">
        <v>0</v>
      </c>
      <c r="F62" s="176">
        <f t="shared" si="3"/>
        <v>0.14129237099999933</v>
      </c>
      <c r="G62" s="176">
        <v>0.14000000000000001</v>
      </c>
      <c r="H62" s="176">
        <v>0</v>
      </c>
      <c r="I62" s="176">
        <v>0</v>
      </c>
      <c r="J62" s="176">
        <v>0</v>
      </c>
      <c r="K62" s="176">
        <v>0</v>
      </c>
      <c r="L62" s="176">
        <v>0</v>
      </c>
      <c r="M62" s="176">
        <v>1.2923709999993205E-3</v>
      </c>
      <c r="N62" s="176"/>
    </row>
    <row r="63" spans="1:14" ht="43.2">
      <c r="A63" s="174" t="s">
        <v>239</v>
      </c>
      <c r="B63" s="174" t="s">
        <v>263</v>
      </c>
      <c r="C63" s="175" t="s">
        <v>261</v>
      </c>
      <c r="D63" s="176">
        <v>0.23096114099999965</v>
      </c>
      <c r="E63" s="176">
        <v>0</v>
      </c>
      <c r="F63" s="176">
        <f t="shared" si="3"/>
        <v>0.23096114099999965</v>
      </c>
      <c r="G63" s="176">
        <v>0.23</v>
      </c>
      <c r="H63" s="176">
        <v>0</v>
      </c>
      <c r="I63" s="176">
        <v>0</v>
      </c>
      <c r="J63" s="176">
        <v>0</v>
      </c>
      <c r="K63" s="176">
        <v>0</v>
      </c>
      <c r="L63" s="176">
        <v>0</v>
      </c>
      <c r="M63" s="176">
        <v>9.6114099999963787E-4</v>
      </c>
      <c r="N63" s="176"/>
    </row>
    <row r="64" spans="1:14" ht="43.2">
      <c r="A64" s="174" t="s">
        <v>239</v>
      </c>
      <c r="B64" s="174" t="s">
        <v>264</v>
      </c>
      <c r="C64" s="175" t="s">
        <v>265</v>
      </c>
      <c r="D64" s="176">
        <v>4.9999999999999998E-7</v>
      </c>
      <c r="E64" s="176">
        <v>0</v>
      </c>
      <c r="F64" s="176">
        <f t="shared" si="3"/>
        <v>4.9999999999999998E-7</v>
      </c>
      <c r="G64" s="176">
        <v>0</v>
      </c>
      <c r="H64" s="176">
        <v>0</v>
      </c>
      <c r="I64" s="176">
        <v>0</v>
      </c>
      <c r="J64" s="176">
        <v>0</v>
      </c>
      <c r="K64" s="176">
        <v>0</v>
      </c>
      <c r="L64" s="176"/>
      <c r="M64" s="176">
        <v>4.9999999999999998E-7</v>
      </c>
      <c r="N64" s="176"/>
    </row>
    <row r="65" spans="1:14" ht="72" hidden="1" customHeight="1">
      <c r="A65" s="174" t="s">
        <v>239</v>
      </c>
      <c r="B65" s="174" t="s">
        <v>266</v>
      </c>
      <c r="C65" s="175" t="s">
        <v>265</v>
      </c>
      <c r="D65" s="176">
        <v>1.9999999999999999E-7</v>
      </c>
      <c r="E65" s="176">
        <v>0</v>
      </c>
      <c r="F65" s="176">
        <f t="shared" si="3"/>
        <v>1.9999999999999999E-7</v>
      </c>
      <c r="G65" s="176">
        <v>0</v>
      </c>
      <c r="H65" s="176">
        <v>0</v>
      </c>
      <c r="I65" s="176">
        <v>0</v>
      </c>
      <c r="J65" s="176">
        <v>0</v>
      </c>
      <c r="K65" s="176">
        <v>0</v>
      </c>
      <c r="L65" s="176"/>
      <c r="M65" s="176">
        <v>1.9999999999999999E-7</v>
      </c>
      <c r="N65" s="176"/>
    </row>
    <row r="66" spans="1:14" ht="72" hidden="1" customHeight="1">
      <c r="A66" s="174" t="s">
        <v>239</v>
      </c>
      <c r="B66" s="174" t="s">
        <v>267</v>
      </c>
      <c r="C66" s="175" t="s">
        <v>265</v>
      </c>
      <c r="D66" s="176">
        <v>-4.9999999999999998E-7</v>
      </c>
      <c r="E66" s="176">
        <v>0</v>
      </c>
      <c r="F66" s="176">
        <f t="shared" si="3"/>
        <v>-4.9999999999999998E-7</v>
      </c>
      <c r="G66" s="176">
        <v>0</v>
      </c>
      <c r="H66" s="176">
        <v>0</v>
      </c>
      <c r="I66" s="176">
        <v>0</v>
      </c>
      <c r="J66" s="176">
        <v>0</v>
      </c>
      <c r="K66" s="176">
        <v>0</v>
      </c>
      <c r="L66" s="176"/>
      <c r="M66" s="176">
        <v>-4.9999999999999998E-7</v>
      </c>
      <c r="N66" s="176"/>
    </row>
    <row r="67" spans="1:14" ht="72" hidden="1" customHeight="1">
      <c r="A67" s="174" t="s">
        <v>239</v>
      </c>
      <c r="B67" s="174" t="s">
        <v>268</v>
      </c>
      <c r="C67" s="175" t="s">
        <v>265</v>
      </c>
      <c r="D67" s="176">
        <v>-2.7705799999999999E-2</v>
      </c>
      <c r="E67" s="176">
        <v>0</v>
      </c>
      <c r="F67" s="176">
        <f t="shared" si="3"/>
        <v>-2.7705799999999999E-2</v>
      </c>
      <c r="G67" s="176">
        <v>0</v>
      </c>
      <c r="H67" s="176">
        <v>-2.7705799999999999E-2</v>
      </c>
      <c r="I67" s="176">
        <v>0</v>
      </c>
      <c r="J67" s="176">
        <v>0</v>
      </c>
      <c r="K67" s="176">
        <v>0</v>
      </c>
      <c r="L67" s="176">
        <v>0</v>
      </c>
      <c r="M67" s="176">
        <v>0</v>
      </c>
      <c r="N67" s="176"/>
    </row>
    <row r="68" spans="1:14" ht="43.2">
      <c r="A68" s="174" t="s">
        <v>239</v>
      </c>
      <c r="B68" s="174" t="s">
        <v>269</v>
      </c>
      <c r="C68" s="175" t="s">
        <v>265</v>
      </c>
      <c r="D68" s="176">
        <v>8.5630399999999995E-2</v>
      </c>
      <c r="E68" s="176">
        <v>0</v>
      </c>
      <c r="F68" s="176">
        <f t="shared" si="3"/>
        <v>8.5630399999999995E-2</v>
      </c>
      <c r="G68" s="176">
        <v>0</v>
      </c>
      <c r="H68" s="176">
        <v>8.5630399999999995E-2</v>
      </c>
      <c r="I68" s="176">
        <v>0</v>
      </c>
      <c r="J68" s="176">
        <v>0</v>
      </c>
      <c r="K68" s="176">
        <v>0</v>
      </c>
      <c r="L68" s="176">
        <v>0</v>
      </c>
      <c r="M68" s="176">
        <v>0</v>
      </c>
      <c r="N68" s="176"/>
    </row>
    <row r="69" spans="1:14" ht="43.2">
      <c r="A69" s="174" t="s">
        <v>239</v>
      </c>
      <c r="B69" s="174" t="s">
        <v>270</v>
      </c>
      <c r="C69" s="175" t="s">
        <v>265</v>
      </c>
      <c r="D69" s="176">
        <v>0</v>
      </c>
      <c r="E69" s="176">
        <v>0</v>
      </c>
      <c r="F69" s="176">
        <f t="shared" si="3"/>
        <v>0</v>
      </c>
      <c r="G69" s="176">
        <v>0</v>
      </c>
      <c r="H69" s="176">
        <v>0</v>
      </c>
      <c r="I69" s="176">
        <v>0</v>
      </c>
      <c r="J69" s="176">
        <v>0</v>
      </c>
      <c r="K69" s="176">
        <v>0</v>
      </c>
      <c r="L69" s="176"/>
      <c r="M69" s="176">
        <v>0</v>
      </c>
      <c r="N69" s="176"/>
    </row>
    <row r="70" spans="1:14" ht="72" hidden="1" customHeight="1">
      <c r="A70" s="174" t="s">
        <v>271</v>
      </c>
      <c r="B70" s="174" t="s">
        <v>272</v>
      </c>
      <c r="C70" s="175" t="s">
        <v>273</v>
      </c>
      <c r="D70" s="176">
        <v>1.6074657000000001</v>
      </c>
      <c r="E70" s="176">
        <v>1.6074657000000001</v>
      </c>
      <c r="F70" s="176">
        <f t="shared" si="3"/>
        <v>0</v>
      </c>
      <c r="G70" s="176">
        <v>0</v>
      </c>
      <c r="H70" s="176">
        <v>0</v>
      </c>
      <c r="I70" s="176">
        <v>0</v>
      </c>
      <c r="J70" s="176">
        <v>0</v>
      </c>
      <c r="K70" s="176">
        <v>0</v>
      </c>
      <c r="L70" s="176"/>
      <c r="M70" s="176">
        <v>0</v>
      </c>
      <c r="N70" s="176"/>
    </row>
    <row r="71" spans="1:14" ht="28.95" hidden="1" customHeight="1">
      <c r="A71" s="174" t="s">
        <v>271</v>
      </c>
      <c r="B71" s="174" t="s">
        <v>274</v>
      </c>
      <c r="C71" s="175" t="s">
        <v>274</v>
      </c>
      <c r="D71" s="176">
        <v>0</v>
      </c>
      <c r="E71" s="176">
        <v>0</v>
      </c>
      <c r="F71" s="176">
        <f t="shared" si="3"/>
        <v>0</v>
      </c>
      <c r="G71" s="176">
        <v>0</v>
      </c>
      <c r="H71" s="176">
        <v>0</v>
      </c>
      <c r="I71" s="176">
        <v>0</v>
      </c>
      <c r="J71" s="176">
        <v>0</v>
      </c>
      <c r="K71" s="176">
        <v>0</v>
      </c>
      <c r="L71" s="176"/>
      <c r="M71" s="176">
        <v>0</v>
      </c>
      <c r="N71" s="176"/>
    </row>
    <row r="72" spans="1:14" ht="14.4" hidden="1" customHeight="1">
      <c r="A72" s="174" t="s">
        <v>271</v>
      </c>
      <c r="B72" s="174" t="s">
        <v>275</v>
      </c>
      <c r="C72" s="175" t="s">
        <v>276</v>
      </c>
      <c r="D72" s="176">
        <v>0.71324929800000003</v>
      </c>
      <c r="E72" s="176">
        <v>0.71331160000000005</v>
      </c>
      <c r="F72" s="176">
        <f t="shared" si="3"/>
        <v>-6.2302000000014068E-5</v>
      </c>
      <c r="G72" s="176">
        <v>0</v>
      </c>
      <c r="H72" s="176">
        <v>0</v>
      </c>
      <c r="I72" s="176">
        <v>0</v>
      </c>
      <c r="J72" s="176">
        <v>0</v>
      </c>
      <c r="K72" s="176">
        <v>0</v>
      </c>
      <c r="L72" s="176">
        <v>0</v>
      </c>
      <c r="M72" s="176">
        <v>-6.2302000000014068E-5</v>
      </c>
      <c r="N72" s="176"/>
    </row>
    <row r="73" spans="1:14">
      <c r="A73" s="174" t="s">
        <v>271</v>
      </c>
      <c r="B73" s="174" t="s">
        <v>277</v>
      </c>
      <c r="C73" s="175" t="s">
        <v>278</v>
      </c>
      <c r="D73" s="176">
        <v>0</v>
      </c>
      <c r="E73" s="176">
        <v>0</v>
      </c>
      <c r="F73" s="176">
        <f t="shared" si="3"/>
        <v>0</v>
      </c>
      <c r="G73" s="176">
        <v>0</v>
      </c>
      <c r="H73" s="176">
        <v>0</v>
      </c>
      <c r="I73" s="176">
        <v>0</v>
      </c>
      <c r="J73" s="176">
        <v>0</v>
      </c>
      <c r="K73" s="176">
        <v>0</v>
      </c>
      <c r="L73" s="176"/>
      <c r="M73" s="176">
        <v>0</v>
      </c>
      <c r="N73" s="176"/>
    </row>
    <row r="74" spans="1:14" ht="28.95" hidden="1" customHeight="1">
      <c r="A74" s="174" t="s">
        <v>271</v>
      </c>
      <c r="B74" s="174" t="s">
        <v>279</v>
      </c>
      <c r="C74" s="175" t="s">
        <v>278</v>
      </c>
      <c r="D74" s="176">
        <v>0</v>
      </c>
      <c r="E74" s="176">
        <v>0</v>
      </c>
      <c r="F74" s="176">
        <f t="shared" si="3"/>
        <v>0</v>
      </c>
      <c r="G74" s="176">
        <v>0</v>
      </c>
      <c r="H74" s="176">
        <v>0</v>
      </c>
      <c r="I74" s="176">
        <v>0</v>
      </c>
      <c r="J74" s="176">
        <v>0</v>
      </c>
      <c r="K74" s="176">
        <v>0</v>
      </c>
      <c r="L74" s="176"/>
      <c r="M74" s="176">
        <v>0</v>
      </c>
      <c r="N74" s="176"/>
    </row>
    <row r="75" spans="1:14" ht="28.95" hidden="1" customHeight="1">
      <c r="A75" s="174" t="s">
        <v>271</v>
      </c>
      <c r="B75" s="174" t="s">
        <v>280</v>
      </c>
      <c r="C75" s="175" t="s">
        <v>276</v>
      </c>
      <c r="D75" s="176">
        <v>0.24401829999999999</v>
      </c>
      <c r="E75" s="176">
        <v>0.3246559</v>
      </c>
      <c r="F75" s="176">
        <f t="shared" si="3"/>
        <v>-8.0637600000000004E-2</v>
      </c>
      <c r="G75" s="176">
        <v>0</v>
      </c>
      <c r="H75" s="176">
        <v>0</v>
      </c>
      <c r="I75" s="176">
        <v>0</v>
      </c>
      <c r="J75" s="176">
        <v>0</v>
      </c>
      <c r="K75" s="176">
        <v>0</v>
      </c>
      <c r="L75" s="176">
        <v>0</v>
      </c>
      <c r="M75" s="176">
        <v>-8.0637600000000004E-2</v>
      </c>
      <c r="N75" s="176"/>
    </row>
    <row r="76" spans="1:14">
      <c r="A76" s="174" t="s">
        <v>271</v>
      </c>
      <c r="B76" s="174" t="s">
        <v>281</v>
      </c>
      <c r="C76" s="175" t="s">
        <v>276</v>
      </c>
      <c r="D76" s="176">
        <v>0.58260820000000002</v>
      </c>
      <c r="E76" s="176">
        <v>0</v>
      </c>
      <c r="F76" s="176">
        <f t="shared" si="3"/>
        <v>0.58260820000000002</v>
      </c>
      <c r="G76" s="176">
        <v>0</v>
      </c>
      <c r="H76" s="176">
        <v>0</v>
      </c>
      <c r="I76" s="176">
        <v>0</v>
      </c>
      <c r="J76" s="176">
        <v>0</v>
      </c>
      <c r="K76" s="176">
        <v>0</v>
      </c>
      <c r="L76" s="176">
        <v>0</v>
      </c>
      <c r="M76" s="176">
        <v>0.58260820000000002</v>
      </c>
      <c r="N76" s="176"/>
    </row>
    <row r="77" spans="1:14">
      <c r="A77" s="174" t="s">
        <v>271</v>
      </c>
      <c r="B77" s="174" t="s">
        <v>282</v>
      </c>
      <c r="C77" s="175" t="s">
        <v>283</v>
      </c>
      <c r="D77" s="176">
        <v>0</v>
      </c>
      <c r="E77" s="176">
        <v>0</v>
      </c>
      <c r="F77" s="176">
        <f t="shared" si="3"/>
        <v>0</v>
      </c>
      <c r="G77" s="176">
        <v>0</v>
      </c>
      <c r="H77" s="176">
        <v>0</v>
      </c>
      <c r="I77" s="176">
        <v>0</v>
      </c>
      <c r="J77" s="176">
        <v>0</v>
      </c>
      <c r="K77" s="176">
        <v>0</v>
      </c>
      <c r="L77" s="176"/>
      <c r="M77" s="176">
        <v>0</v>
      </c>
      <c r="N77" s="176"/>
    </row>
    <row r="78" spans="1:14" ht="28.95" hidden="1" customHeight="1">
      <c r="A78" s="174" t="s">
        <v>271</v>
      </c>
      <c r="B78" s="174" t="s">
        <v>284</v>
      </c>
      <c r="C78" s="175" t="s">
        <v>285</v>
      </c>
      <c r="D78" s="176">
        <v>0</v>
      </c>
      <c r="E78" s="176">
        <v>0</v>
      </c>
      <c r="F78" s="176">
        <f t="shared" si="3"/>
        <v>0</v>
      </c>
      <c r="G78" s="176">
        <v>0</v>
      </c>
      <c r="H78" s="176">
        <v>0</v>
      </c>
      <c r="I78" s="176">
        <v>0</v>
      </c>
      <c r="J78" s="176">
        <v>0</v>
      </c>
      <c r="K78" s="176">
        <v>0</v>
      </c>
      <c r="L78" s="176"/>
      <c r="M78" s="176">
        <v>0</v>
      </c>
      <c r="N78" s="176"/>
    </row>
    <row r="79" spans="1:14" ht="57.6" hidden="1" customHeight="1">
      <c r="A79" s="174" t="s">
        <v>271</v>
      </c>
      <c r="B79" s="174" t="s">
        <v>286</v>
      </c>
      <c r="C79" s="175" t="s">
        <v>287</v>
      </c>
      <c r="D79" s="176">
        <v>0.4341275</v>
      </c>
      <c r="E79" s="176">
        <v>0</v>
      </c>
      <c r="F79" s="176">
        <f t="shared" si="3"/>
        <v>0.4341275</v>
      </c>
      <c r="G79" s="176">
        <v>0</v>
      </c>
      <c r="H79" s="176">
        <v>0</v>
      </c>
      <c r="I79" s="176">
        <v>0</v>
      </c>
      <c r="J79" s="176">
        <v>0</v>
      </c>
      <c r="K79" s="176">
        <v>0</v>
      </c>
      <c r="L79" s="176">
        <v>0</v>
      </c>
      <c r="M79" s="176">
        <v>0.4341275</v>
      </c>
      <c r="N79" s="176" t="s">
        <v>435</v>
      </c>
    </row>
    <row r="80" spans="1:14" ht="28.8">
      <c r="A80" s="174" t="s">
        <v>271</v>
      </c>
      <c r="B80" s="174" t="s">
        <v>288</v>
      </c>
      <c r="C80" s="175" t="s">
        <v>289</v>
      </c>
      <c r="D80" s="176">
        <v>0.12815779999999999</v>
      </c>
      <c r="E80" s="176">
        <v>0</v>
      </c>
      <c r="F80" s="176">
        <f t="shared" si="3"/>
        <v>0.12815779999999999</v>
      </c>
      <c r="G80" s="176">
        <v>0</v>
      </c>
      <c r="H80" s="176">
        <v>0</v>
      </c>
      <c r="I80" s="176">
        <v>0</v>
      </c>
      <c r="J80" s="176">
        <v>0</v>
      </c>
      <c r="K80" s="176">
        <v>0</v>
      </c>
      <c r="L80" s="176">
        <v>0</v>
      </c>
      <c r="M80" s="176">
        <v>0.12815779999999999</v>
      </c>
      <c r="N80" s="176" t="s">
        <v>435</v>
      </c>
    </row>
    <row r="81" spans="1:14">
      <c r="A81" s="174" t="s">
        <v>271</v>
      </c>
      <c r="B81" s="174" t="s">
        <v>290</v>
      </c>
      <c r="C81" s="175" t="s">
        <v>291</v>
      </c>
      <c r="D81" s="176">
        <v>9.7881624E-2</v>
      </c>
      <c r="E81" s="176">
        <v>0</v>
      </c>
      <c r="F81" s="176">
        <f t="shared" si="3"/>
        <v>9.7881624E-2</v>
      </c>
      <c r="G81" s="176">
        <v>0</v>
      </c>
      <c r="H81" s="176">
        <v>0</v>
      </c>
      <c r="I81" s="176">
        <v>0</v>
      </c>
      <c r="J81" s="176">
        <v>0</v>
      </c>
      <c r="K81" s="176">
        <v>0</v>
      </c>
      <c r="L81" s="176">
        <v>0</v>
      </c>
      <c r="M81" s="176">
        <v>9.7881624E-2</v>
      </c>
      <c r="N81" s="176" t="s">
        <v>435</v>
      </c>
    </row>
    <row r="82" spans="1:14">
      <c r="A82" s="174" t="s">
        <v>271</v>
      </c>
      <c r="B82" s="174" t="s">
        <v>292</v>
      </c>
      <c r="C82" s="175" t="s">
        <v>293</v>
      </c>
      <c r="D82" s="176">
        <v>7.3882610000000001E-2</v>
      </c>
      <c r="E82" s="176">
        <v>0</v>
      </c>
      <c r="F82" s="176">
        <f t="shared" si="3"/>
        <v>7.3882610000000001E-2</v>
      </c>
      <c r="G82" s="176">
        <v>0</v>
      </c>
      <c r="H82" s="176">
        <v>0</v>
      </c>
      <c r="I82" s="176">
        <v>0</v>
      </c>
      <c r="J82" s="176">
        <v>0</v>
      </c>
      <c r="K82" s="176">
        <v>0</v>
      </c>
      <c r="L82" s="176">
        <v>0</v>
      </c>
      <c r="M82" s="176">
        <v>7.3882610000000001E-2</v>
      </c>
      <c r="N82" s="176" t="s">
        <v>435</v>
      </c>
    </row>
    <row r="83" spans="1:14">
      <c r="A83" s="174" t="s">
        <v>271</v>
      </c>
      <c r="B83" s="174" t="s">
        <v>294</v>
      </c>
      <c r="C83" s="175" t="s">
        <v>278</v>
      </c>
      <c r="D83" s="176">
        <v>0</v>
      </c>
      <c r="E83" s="176">
        <v>0</v>
      </c>
      <c r="F83" s="176">
        <f t="shared" si="3"/>
        <v>0</v>
      </c>
      <c r="G83" s="176">
        <v>0</v>
      </c>
      <c r="H83" s="176">
        <v>0</v>
      </c>
      <c r="I83" s="176">
        <v>0</v>
      </c>
      <c r="J83" s="176">
        <v>0</v>
      </c>
      <c r="K83" s="176">
        <v>0</v>
      </c>
      <c r="L83" s="176"/>
      <c r="M83" s="176">
        <v>0</v>
      </c>
      <c r="N83" s="176"/>
    </row>
    <row r="84" spans="1:14" ht="28.95" hidden="1" customHeight="1">
      <c r="A84" s="174" t="s">
        <v>271</v>
      </c>
      <c r="B84" s="174" t="s">
        <v>295</v>
      </c>
      <c r="C84" s="175" t="s">
        <v>296</v>
      </c>
      <c r="D84" s="176">
        <v>0.67890470000000003</v>
      </c>
      <c r="E84" s="176">
        <v>0</v>
      </c>
      <c r="F84" s="176">
        <f t="shared" si="3"/>
        <v>0.67890470000000003</v>
      </c>
      <c r="G84" s="176">
        <v>0</v>
      </c>
      <c r="H84" s="176">
        <v>0</v>
      </c>
      <c r="I84" s="176">
        <v>0</v>
      </c>
      <c r="J84" s="176">
        <v>0</v>
      </c>
      <c r="K84" s="176">
        <v>0.38</v>
      </c>
      <c r="L84" s="176">
        <f>F84-K84</f>
        <v>0.29890470000000002</v>
      </c>
      <c r="M84" s="176">
        <v>0.29890470000000002</v>
      </c>
      <c r="N84" s="176" t="s">
        <v>435</v>
      </c>
    </row>
    <row r="85" spans="1:14">
      <c r="A85" s="174" t="s">
        <v>271</v>
      </c>
      <c r="B85" s="174" t="s">
        <v>297</v>
      </c>
      <c r="C85" s="175" t="s">
        <v>278</v>
      </c>
      <c r="D85" s="176">
        <v>0</v>
      </c>
      <c r="E85" s="176">
        <v>0</v>
      </c>
      <c r="F85" s="176">
        <f t="shared" si="3"/>
        <v>0</v>
      </c>
      <c r="G85" s="176">
        <v>0</v>
      </c>
      <c r="H85" s="176">
        <v>0</v>
      </c>
      <c r="I85" s="176">
        <v>0</v>
      </c>
      <c r="J85" s="176">
        <v>0</v>
      </c>
      <c r="K85" s="176">
        <v>0</v>
      </c>
      <c r="L85" s="176"/>
      <c r="M85" s="176">
        <v>0</v>
      </c>
      <c r="N85" s="176"/>
    </row>
    <row r="86" spans="1:14" ht="28.95" hidden="1" customHeight="1">
      <c r="A86" s="174" t="s">
        <v>271</v>
      </c>
      <c r="B86" s="174" t="s">
        <v>298</v>
      </c>
      <c r="C86" s="175" t="s">
        <v>299</v>
      </c>
      <c r="D86" s="176">
        <v>0</v>
      </c>
      <c r="E86" s="176">
        <v>0</v>
      </c>
      <c r="F86" s="176">
        <f t="shared" si="3"/>
        <v>0</v>
      </c>
      <c r="G86" s="176">
        <v>0</v>
      </c>
      <c r="H86" s="176">
        <v>0</v>
      </c>
      <c r="I86" s="176">
        <v>0</v>
      </c>
      <c r="J86" s="176">
        <v>0</v>
      </c>
      <c r="K86" s="176">
        <v>0</v>
      </c>
      <c r="L86" s="176"/>
      <c r="M86" s="176">
        <v>0</v>
      </c>
      <c r="N86" s="176"/>
    </row>
    <row r="87" spans="1:14" ht="28.95" hidden="1" customHeight="1">
      <c r="A87" s="174" t="s">
        <v>271</v>
      </c>
      <c r="B87" s="174" t="s">
        <v>300</v>
      </c>
      <c r="C87" s="175" t="s">
        <v>301</v>
      </c>
      <c r="D87" s="176">
        <v>0</v>
      </c>
      <c r="E87" s="176">
        <v>0</v>
      </c>
      <c r="F87" s="176">
        <f t="shared" ref="F87:F150" si="4">D87-E87</f>
        <v>0</v>
      </c>
      <c r="G87" s="176">
        <v>0</v>
      </c>
      <c r="H87" s="176">
        <v>0</v>
      </c>
      <c r="I87" s="176">
        <v>0</v>
      </c>
      <c r="J87" s="176">
        <v>0</v>
      </c>
      <c r="K87" s="176">
        <v>0</v>
      </c>
      <c r="L87" s="176"/>
      <c r="M87" s="176">
        <v>0</v>
      </c>
      <c r="N87" s="176"/>
    </row>
    <row r="88" spans="1:14" ht="43.2" hidden="1" customHeight="1">
      <c r="A88" s="174" t="s">
        <v>271</v>
      </c>
      <c r="B88" s="174" t="s">
        <v>302</v>
      </c>
      <c r="C88" s="175" t="s">
        <v>303</v>
      </c>
      <c r="D88" s="176">
        <v>0</v>
      </c>
      <c r="E88" s="176">
        <v>0</v>
      </c>
      <c r="F88" s="176">
        <f t="shared" si="4"/>
        <v>0</v>
      </c>
      <c r="G88" s="176">
        <v>0</v>
      </c>
      <c r="H88" s="176">
        <v>0</v>
      </c>
      <c r="I88" s="176">
        <v>0</v>
      </c>
      <c r="J88" s="176">
        <v>0</v>
      </c>
      <c r="K88" s="176">
        <v>0</v>
      </c>
      <c r="L88" s="176"/>
      <c r="M88" s="176">
        <v>0</v>
      </c>
      <c r="N88" s="176"/>
    </row>
    <row r="89" spans="1:14" ht="57.6" hidden="1" customHeight="1">
      <c r="A89" s="174" t="s">
        <v>271</v>
      </c>
      <c r="B89" s="174" t="s">
        <v>304</v>
      </c>
      <c r="C89" s="175" t="s">
        <v>285</v>
      </c>
      <c r="D89" s="176">
        <v>0</v>
      </c>
      <c r="E89" s="176">
        <v>0</v>
      </c>
      <c r="F89" s="176">
        <f t="shared" si="4"/>
        <v>0</v>
      </c>
      <c r="G89" s="176">
        <v>0</v>
      </c>
      <c r="H89" s="176">
        <v>0</v>
      </c>
      <c r="I89" s="176">
        <v>0</v>
      </c>
      <c r="J89" s="176">
        <v>0</v>
      </c>
      <c r="K89" s="176">
        <v>0</v>
      </c>
      <c r="L89" s="176"/>
      <c r="M89" s="176">
        <v>0</v>
      </c>
      <c r="N89" s="176"/>
    </row>
    <row r="90" spans="1:14" ht="57.6" hidden="1" customHeight="1">
      <c r="A90" s="174" t="s">
        <v>271</v>
      </c>
      <c r="B90" s="174" t="s">
        <v>305</v>
      </c>
      <c r="C90" s="175" t="s">
        <v>306</v>
      </c>
      <c r="D90" s="176">
        <v>1.9307999999999999E-2</v>
      </c>
      <c r="E90" s="176">
        <v>0</v>
      </c>
      <c r="F90" s="176">
        <f t="shared" si="4"/>
        <v>1.9307999999999999E-2</v>
      </c>
      <c r="G90" s="176">
        <v>0</v>
      </c>
      <c r="H90" s="176">
        <v>0</v>
      </c>
      <c r="I90" s="176">
        <v>0</v>
      </c>
      <c r="J90" s="176">
        <v>0</v>
      </c>
      <c r="K90" s="176">
        <v>0</v>
      </c>
      <c r="L90" s="176">
        <v>0</v>
      </c>
      <c r="M90" s="176">
        <v>1.9307999999999999E-2</v>
      </c>
      <c r="N90" s="176" t="s">
        <v>435</v>
      </c>
    </row>
    <row r="91" spans="1:14" ht="28.8">
      <c r="A91" s="174" t="s">
        <v>271</v>
      </c>
      <c r="B91" s="174" t="s">
        <v>307</v>
      </c>
      <c r="C91" s="175" t="s">
        <v>308</v>
      </c>
      <c r="D91" s="176">
        <v>8.3635978E-2</v>
      </c>
      <c r="E91" s="176">
        <v>0</v>
      </c>
      <c r="F91" s="176">
        <f t="shared" si="4"/>
        <v>8.3635978E-2</v>
      </c>
      <c r="G91" s="176">
        <v>0</v>
      </c>
      <c r="H91" s="176">
        <v>0</v>
      </c>
      <c r="I91" s="176">
        <v>0</v>
      </c>
      <c r="J91" s="176">
        <v>0</v>
      </c>
      <c r="K91" s="176">
        <v>0</v>
      </c>
      <c r="L91" s="176">
        <v>0</v>
      </c>
      <c r="M91" s="176">
        <v>8.3635978E-2</v>
      </c>
      <c r="N91" s="176" t="s">
        <v>435</v>
      </c>
    </row>
    <row r="92" spans="1:14" ht="28.8">
      <c r="A92" s="174" t="s">
        <v>271</v>
      </c>
      <c r="B92" s="174" t="s">
        <v>309</v>
      </c>
      <c r="C92" s="175" t="s">
        <v>289</v>
      </c>
      <c r="D92" s="176">
        <v>0</v>
      </c>
      <c r="E92" s="176">
        <v>0</v>
      </c>
      <c r="F92" s="176">
        <f t="shared" si="4"/>
        <v>0</v>
      </c>
      <c r="G92" s="176">
        <v>0</v>
      </c>
      <c r="H92" s="176">
        <v>0</v>
      </c>
      <c r="I92" s="176">
        <v>0</v>
      </c>
      <c r="J92" s="176">
        <v>0</v>
      </c>
      <c r="K92" s="176">
        <v>0</v>
      </c>
      <c r="L92" s="176"/>
      <c r="M92" s="176">
        <v>0</v>
      </c>
      <c r="N92" s="176"/>
    </row>
    <row r="93" spans="1:14" ht="57.6" hidden="1" customHeight="1">
      <c r="A93" s="174" t="s">
        <v>271</v>
      </c>
      <c r="B93" s="174" t="s">
        <v>310</v>
      </c>
      <c r="C93" s="175" t="s">
        <v>311</v>
      </c>
      <c r="D93" s="176">
        <v>0</v>
      </c>
      <c r="E93" s="176">
        <v>0</v>
      </c>
      <c r="F93" s="176">
        <f t="shared" si="4"/>
        <v>0</v>
      </c>
      <c r="G93" s="176">
        <v>0</v>
      </c>
      <c r="H93" s="176">
        <v>0</v>
      </c>
      <c r="I93" s="176">
        <v>0</v>
      </c>
      <c r="J93" s="176">
        <v>0</v>
      </c>
      <c r="K93" s="176">
        <v>0</v>
      </c>
      <c r="L93" s="176"/>
      <c r="M93" s="176">
        <v>0</v>
      </c>
      <c r="N93" s="176"/>
    </row>
    <row r="94" spans="1:14" ht="72" hidden="1" customHeight="1">
      <c r="A94" s="174" t="s">
        <v>271</v>
      </c>
      <c r="B94" s="174" t="s">
        <v>312</v>
      </c>
      <c r="C94" s="175" t="s">
        <v>313</v>
      </c>
      <c r="D94" s="176">
        <v>0</v>
      </c>
      <c r="E94" s="176">
        <v>0</v>
      </c>
      <c r="F94" s="176">
        <f t="shared" si="4"/>
        <v>0</v>
      </c>
      <c r="G94" s="176">
        <v>0</v>
      </c>
      <c r="H94" s="176">
        <v>0</v>
      </c>
      <c r="I94" s="176">
        <v>0</v>
      </c>
      <c r="J94" s="176">
        <v>0</v>
      </c>
      <c r="K94" s="176">
        <v>0</v>
      </c>
      <c r="L94" s="176"/>
      <c r="M94" s="176">
        <v>0</v>
      </c>
      <c r="N94" s="176"/>
    </row>
    <row r="95" spans="1:14" ht="14.4" hidden="1" customHeight="1">
      <c r="A95" s="174" t="s">
        <v>271</v>
      </c>
      <c r="B95" s="174" t="s">
        <v>314</v>
      </c>
      <c r="C95" s="175" t="s">
        <v>313</v>
      </c>
      <c r="D95" s="176">
        <v>0</v>
      </c>
      <c r="E95" s="176">
        <v>0</v>
      </c>
      <c r="F95" s="176">
        <f t="shared" si="4"/>
        <v>0</v>
      </c>
      <c r="G95" s="176">
        <v>0</v>
      </c>
      <c r="H95" s="176">
        <v>0</v>
      </c>
      <c r="I95" s="176">
        <v>0</v>
      </c>
      <c r="J95" s="176">
        <v>0</v>
      </c>
      <c r="K95" s="176">
        <v>0</v>
      </c>
      <c r="L95" s="176"/>
      <c r="M95" s="176">
        <v>0</v>
      </c>
      <c r="N95" s="176"/>
    </row>
    <row r="96" spans="1:14" ht="14.4" hidden="1" customHeight="1">
      <c r="A96" s="174" t="s">
        <v>271</v>
      </c>
      <c r="B96" s="174" t="s">
        <v>315</v>
      </c>
      <c r="C96" s="175" t="s">
        <v>313</v>
      </c>
      <c r="D96" s="176">
        <v>0</v>
      </c>
      <c r="E96" s="176">
        <v>0</v>
      </c>
      <c r="F96" s="176">
        <f t="shared" si="4"/>
        <v>0</v>
      </c>
      <c r="G96" s="176">
        <v>0</v>
      </c>
      <c r="H96" s="176">
        <v>0</v>
      </c>
      <c r="I96" s="176">
        <v>0</v>
      </c>
      <c r="J96" s="176">
        <v>0</v>
      </c>
      <c r="K96" s="176">
        <v>0</v>
      </c>
      <c r="L96" s="176"/>
      <c r="M96" s="176">
        <v>0</v>
      </c>
      <c r="N96" s="176"/>
    </row>
    <row r="97" spans="1:14" ht="14.4" hidden="1" customHeight="1">
      <c r="A97" s="174" t="s">
        <v>271</v>
      </c>
      <c r="B97" s="174" t="s">
        <v>316</v>
      </c>
      <c r="C97" s="175" t="s">
        <v>313</v>
      </c>
      <c r="D97" s="176">
        <v>0</v>
      </c>
      <c r="E97" s="176">
        <v>0</v>
      </c>
      <c r="F97" s="176">
        <f t="shared" si="4"/>
        <v>0</v>
      </c>
      <c r="G97" s="176">
        <v>0</v>
      </c>
      <c r="H97" s="176">
        <v>0</v>
      </c>
      <c r="I97" s="176">
        <v>0</v>
      </c>
      <c r="J97" s="176">
        <v>0</v>
      </c>
      <c r="K97" s="176">
        <v>0</v>
      </c>
      <c r="L97" s="176"/>
      <c r="M97" s="176">
        <v>0</v>
      </c>
      <c r="N97" s="176"/>
    </row>
    <row r="98" spans="1:14" ht="14.4" hidden="1" customHeight="1">
      <c r="A98" s="174" t="s">
        <v>271</v>
      </c>
      <c r="B98" s="174" t="s">
        <v>317</v>
      </c>
      <c r="C98" s="175" t="s">
        <v>313</v>
      </c>
      <c r="D98" s="176">
        <v>0</v>
      </c>
      <c r="E98" s="176">
        <v>0</v>
      </c>
      <c r="F98" s="176">
        <f t="shared" si="4"/>
        <v>0</v>
      </c>
      <c r="G98" s="176">
        <v>0</v>
      </c>
      <c r="H98" s="176">
        <v>0</v>
      </c>
      <c r="I98" s="176">
        <v>0</v>
      </c>
      <c r="J98" s="176">
        <v>0</v>
      </c>
      <c r="K98" s="176">
        <v>0</v>
      </c>
      <c r="L98" s="176"/>
      <c r="M98" s="176">
        <v>0</v>
      </c>
      <c r="N98" s="176"/>
    </row>
    <row r="99" spans="1:14" ht="14.4" hidden="1" customHeight="1">
      <c r="A99" s="174" t="s">
        <v>271</v>
      </c>
      <c r="B99" s="174" t="s">
        <v>318</v>
      </c>
      <c r="C99" s="175" t="s">
        <v>313</v>
      </c>
      <c r="D99" s="176">
        <v>0</v>
      </c>
      <c r="E99" s="176">
        <v>0</v>
      </c>
      <c r="F99" s="176">
        <f t="shared" si="4"/>
        <v>0</v>
      </c>
      <c r="G99" s="176">
        <v>0</v>
      </c>
      <c r="H99" s="176">
        <v>0</v>
      </c>
      <c r="I99" s="176">
        <v>0</v>
      </c>
      <c r="J99" s="176">
        <v>0</v>
      </c>
      <c r="K99" s="176">
        <v>0</v>
      </c>
      <c r="L99" s="176"/>
      <c r="M99" s="176">
        <v>0</v>
      </c>
      <c r="N99" s="176"/>
    </row>
    <row r="100" spans="1:14" ht="14.4" hidden="1" customHeight="1">
      <c r="A100" s="174" t="s">
        <v>271</v>
      </c>
      <c r="B100" s="174" t="s">
        <v>319</v>
      </c>
      <c r="C100" s="175" t="s">
        <v>313</v>
      </c>
      <c r="D100" s="176">
        <v>0</v>
      </c>
      <c r="E100" s="176">
        <v>0</v>
      </c>
      <c r="F100" s="176">
        <f t="shared" si="4"/>
        <v>0</v>
      </c>
      <c r="G100" s="176">
        <v>0</v>
      </c>
      <c r="H100" s="176">
        <v>0</v>
      </c>
      <c r="I100" s="176">
        <v>0</v>
      </c>
      <c r="J100" s="176">
        <v>0</v>
      </c>
      <c r="K100" s="176">
        <v>0</v>
      </c>
      <c r="L100" s="176"/>
      <c r="M100" s="176">
        <v>0</v>
      </c>
      <c r="N100" s="176"/>
    </row>
    <row r="101" spans="1:14" ht="14.4" hidden="1" customHeight="1">
      <c r="A101" s="174" t="s">
        <v>271</v>
      </c>
      <c r="B101" s="174" t="s">
        <v>320</v>
      </c>
      <c r="C101" s="175" t="s">
        <v>313</v>
      </c>
      <c r="D101" s="176">
        <v>0</v>
      </c>
      <c r="E101" s="176">
        <v>0</v>
      </c>
      <c r="F101" s="176">
        <f t="shared" si="4"/>
        <v>0</v>
      </c>
      <c r="G101" s="176">
        <v>0</v>
      </c>
      <c r="H101" s="176">
        <v>0</v>
      </c>
      <c r="I101" s="176">
        <v>0</v>
      </c>
      <c r="J101" s="176">
        <v>0</v>
      </c>
      <c r="K101" s="176">
        <v>0</v>
      </c>
      <c r="L101" s="176"/>
      <c r="M101" s="176">
        <v>0</v>
      </c>
      <c r="N101" s="176"/>
    </row>
    <row r="102" spans="1:14" ht="14.4" hidden="1" customHeight="1">
      <c r="A102" s="174" t="s">
        <v>271</v>
      </c>
      <c r="B102" s="174" t="s">
        <v>321</v>
      </c>
      <c r="C102" s="175" t="s">
        <v>313</v>
      </c>
      <c r="D102" s="176">
        <v>0</v>
      </c>
      <c r="E102" s="176">
        <v>0</v>
      </c>
      <c r="F102" s="176">
        <f t="shared" si="4"/>
        <v>0</v>
      </c>
      <c r="G102" s="176">
        <v>0</v>
      </c>
      <c r="H102" s="176">
        <v>0</v>
      </c>
      <c r="I102" s="176">
        <v>0</v>
      </c>
      <c r="J102" s="176">
        <v>0</v>
      </c>
      <c r="K102" s="176">
        <v>0</v>
      </c>
      <c r="L102" s="176"/>
      <c r="M102" s="176">
        <v>0</v>
      </c>
      <c r="N102" s="176"/>
    </row>
    <row r="103" spans="1:14" ht="14.4" hidden="1" customHeight="1">
      <c r="A103" s="174" t="s">
        <v>271</v>
      </c>
      <c r="B103" s="174" t="s">
        <v>322</v>
      </c>
      <c r="C103" s="175" t="s">
        <v>313</v>
      </c>
      <c r="D103" s="176">
        <v>0</v>
      </c>
      <c r="E103" s="176">
        <v>0</v>
      </c>
      <c r="F103" s="176">
        <f t="shared" si="4"/>
        <v>0</v>
      </c>
      <c r="G103" s="176">
        <v>0</v>
      </c>
      <c r="H103" s="176">
        <v>0</v>
      </c>
      <c r="I103" s="176">
        <v>0</v>
      </c>
      <c r="J103" s="176">
        <v>0</v>
      </c>
      <c r="K103" s="176">
        <v>0</v>
      </c>
      <c r="L103" s="176"/>
      <c r="M103" s="176">
        <v>0</v>
      </c>
      <c r="N103" s="176"/>
    </row>
    <row r="104" spans="1:14" ht="14.4" hidden="1" customHeight="1">
      <c r="A104" s="174" t="s">
        <v>271</v>
      </c>
      <c r="B104" s="174" t="s">
        <v>323</v>
      </c>
      <c r="C104" s="175" t="s">
        <v>313</v>
      </c>
      <c r="D104" s="176">
        <v>0</v>
      </c>
      <c r="E104" s="176">
        <v>0</v>
      </c>
      <c r="F104" s="176">
        <f t="shared" si="4"/>
        <v>0</v>
      </c>
      <c r="G104" s="176">
        <v>0</v>
      </c>
      <c r="H104" s="176">
        <v>0</v>
      </c>
      <c r="I104" s="176">
        <v>0</v>
      </c>
      <c r="J104" s="176">
        <v>0</v>
      </c>
      <c r="K104" s="176">
        <v>0</v>
      </c>
      <c r="L104" s="176"/>
      <c r="M104" s="176">
        <v>0</v>
      </c>
      <c r="N104" s="176"/>
    </row>
    <row r="105" spans="1:14" ht="14.4" hidden="1" customHeight="1">
      <c r="A105" s="174" t="s">
        <v>271</v>
      </c>
      <c r="B105" s="174" t="s">
        <v>324</v>
      </c>
      <c r="C105" s="175" t="s">
        <v>313</v>
      </c>
      <c r="D105" s="176">
        <v>0</v>
      </c>
      <c r="E105" s="176">
        <v>0</v>
      </c>
      <c r="F105" s="176">
        <f t="shared" si="4"/>
        <v>0</v>
      </c>
      <c r="G105" s="176">
        <v>0</v>
      </c>
      <c r="H105" s="176">
        <v>0</v>
      </c>
      <c r="I105" s="176">
        <v>0</v>
      </c>
      <c r="J105" s="176">
        <v>0</v>
      </c>
      <c r="K105" s="176">
        <v>0</v>
      </c>
      <c r="L105" s="176"/>
      <c r="M105" s="176">
        <v>0</v>
      </c>
      <c r="N105" s="176"/>
    </row>
    <row r="106" spans="1:14" ht="14.4" hidden="1" customHeight="1">
      <c r="A106" s="174" t="s">
        <v>271</v>
      </c>
      <c r="B106" s="174" t="s">
        <v>325</v>
      </c>
      <c r="C106" s="175" t="s">
        <v>313</v>
      </c>
      <c r="D106" s="176">
        <v>0</v>
      </c>
      <c r="E106" s="176">
        <v>0</v>
      </c>
      <c r="F106" s="176">
        <f t="shared" si="4"/>
        <v>0</v>
      </c>
      <c r="G106" s="176">
        <v>0</v>
      </c>
      <c r="H106" s="176">
        <v>0</v>
      </c>
      <c r="I106" s="176">
        <v>0</v>
      </c>
      <c r="J106" s="176">
        <v>0</v>
      </c>
      <c r="K106" s="176">
        <v>0</v>
      </c>
      <c r="L106" s="176"/>
      <c r="M106" s="176">
        <v>0</v>
      </c>
      <c r="N106" s="176"/>
    </row>
    <row r="107" spans="1:14" ht="14.4" hidden="1" customHeight="1">
      <c r="A107" s="174" t="s">
        <v>271</v>
      </c>
      <c r="B107" s="174" t="s">
        <v>326</v>
      </c>
      <c r="C107" s="175" t="s">
        <v>313</v>
      </c>
      <c r="D107" s="176">
        <v>0</v>
      </c>
      <c r="E107" s="176">
        <v>0</v>
      </c>
      <c r="F107" s="176">
        <f t="shared" si="4"/>
        <v>0</v>
      </c>
      <c r="G107" s="176">
        <v>0</v>
      </c>
      <c r="H107" s="176">
        <v>0</v>
      </c>
      <c r="I107" s="176">
        <v>0</v>
      </c>
      <c r="J107" s="176">
        <v>0</v>
      </c>
      <c r="K107" s="176">
        <v>0</v>
      </c>
      <c r="L107" s="176"/>
      <c r="M107" s="176">
        <v>0</v>
      </c>
      <c r="N107" s="176"/>
    </row>
    <row r="108" spans="1:14" ht="14.4" hidden="1" customHeight="1">
      <c r="A108" s="174" t="s">
        <v>271</v>
      </c>
      <c r="B108" s="174" t="s">
        <v>327</v>
      </c>
      <c r="C108" s="175" t="s">
        <v>313</v>
      </c>
      <c r="D108" s="176">
        <v>0</v>
      </c>
      <c r="E108" s="176">
        <v>0</v>
      </c>
      <c r="F108" s="176">
        <f t="shared" si="4"/>
        <v>0</v>
      </c>
      <c r="G108" s="176">
        <v>0</v>
      </c>
      <c r="H108" s="176">
        <v>0</v>
      </c>
      <c r="I108" s="176">
        <v>0</v>
      </c>
      <c r="J108" s="176">
        <v>0</v>
      </c>
      <c r="K108" s="176">
        <v>0</v>
      </c>
      <c r="L108" s="176"/>
      <c r="M108" s="176">
        <v>0</v>
      </c>
      <c r="N108" s="176"/>
    </row>
    <row r="109" spans="1:14" ht="14.4" hidden="1" customHeight="1">
      <c r="A109" s="174" t="s">
        <v>271</v>
      </c>
      <c r="B109" s="174" t="s">
        <v>328</v>
      </c>
      <c r="C109" s="175" t="s">
        <v>313</v>
      </c>
      <c r="D109" s="176">
        <v>0</v>
      </c>
      <c r="E109" s="176">
        <v>0</v>
      </c>
      <c r="F109" s="176">
        <f t="shared" si="4"/>
        <v>0</v>
      </c>
      <c r="G109" s="176">
        <v>0</v>
      </c>
      <c r="H109" s="176">
        <v>0</v>
      </c>
      <c r="I109" s="176">
        <v>0</v>
      </c>
      <c r="J109" s="176">
        <v>0</v>
      </c>
      <c r="K109" s="176">
        <v>0</v>
      </c>
      <c r="L109" s="176"/>
      <c r="M109" s="176">
        <v>0</v>
      </c>
      <c r="N109" s="176"/>
    </row>
    <row r="110" spans="1:14" ht="14.4" hidden="1" customHeight="1">
      <c r="A110" s="174" t="s">
        <v>271</v>
      </c>
      <c r="B110" s="174" t="s">
        <v>329</v>
      </c>
      <c r="C110" s="175" t="s">
        <v>313</v>
      </c>
      <c r="D110" s="176">
        <v>0</v>
      </c>
      <c r="E110" s="176">
        <v>0</v>
      </c>
      <c r="F110" s="176">
        <f t="shared" si="4"/>
        <v>0</v>
      </c>
      <c r="G110" s="176">
        <v>0</v>
      </c>
      <c r="H110" s="176">
        <v>0</v>
      </c>
      <c r="I110" s="176">
        <v>0</v>
      </c>
      <c r="J110" s="176">
        <v>0</v>
      </c>
      <c r="K110" s="176">
        <v>0</v>
      </c>
      <c r="L110" s="176"/>
      <c r="M110" s="176">
        <v>0</v>
      </c>
      <c r="N110" s="176"/>
    </row>
    <row r="111" spans="1:14" ht="14.4" hidden="1" customHeight="1">
      <c r="A111" s="174" t="s">
        <v>271</v>
      </c>
      <c r="B111" s="174" t="s">
        <v>330</v>
      </c>
      <c r="C111" s="175" t="s">
        <v>313</v>
      </c>
      <c r="D111" s="176">
        <v>0</v>
      </c>
      <c r="E111" s="176">
        <v>0</v>
      </c>
      <c r="F111" s="176">
        <f t="shared" si="4"/>
        <v>0</v>
      </c>
      <c r="G111" s="176">
        <v>0</v>
      </c>
      <c r="H111" s="176">
        <v>0</v>
      </c>
      <c r="I111" s="176">
        <v>0</v>
      </c>
      <c r="J111" s="176">
        <v>0</v>
      </c>
      <c r="K111" s="176">
        <v>0</v>
      </c>
      <c r="L111" s="176"/>
      <c r="M111" s="176">
        <v>0</v>
      </c>
      <c r="N111" s="176"/>
    </row>
    <row r="112" spans="1:14" ht="14.4" hidden="1" customHeight="1">
      <c r="A112" s="174" t="s">
        <v>271</v>
      </c>
      <c r="B112" s="174" t="s">
        <v>331</v>
      </c>
      <c r="C112" s="175" t="s">
        <v>313</v>
      </c>
      <c r="D112" s="176">
        <v>0</v>
      </c>
      <c r="E112" s="176">
        <v>0</v>
      </c>
      <c r="F112" s="176">
        <f t="shared" si="4"/>
        <v>0</v>
      </c>
      <c r="G112" s="176">
        <v>0</v>
      </c>
      <c r="H112" s="176">
        <v>0</v>
      </c>
      <c r="I112" s="176">
        <v>0</v>
      </c>
      <c r="J112" s="176">
        <v>0</v>
      </c>
      <c r="K112" s="176">
        <v>0</v>
      </c>
      <c r="L112" s="176"/>
      <c r="M112" s="176">
        <v>0</v>
      </c>
      <c r="N112" s="176"/>
    </row>
    <row r="113" spans="1:14" ht="14.4" hidden="1" customHeight="1">
      <c r="A113" s="174" t="s">
        <v>271</v>
      </c>
      <c r="B113" s="174" t="s">
        <v>332</v>
      </c>
      <c r="C113" s="175" t="s">
        <v>313</v>
      </c>
      <c r="D113" s="176">
        <v>0</v>
      </c>
      <c r="E113" s="176">
        <v>0</v>
      </c>
      <c r="F113" s="176">
        <f t="shared" si="4"/>
        <v>0</v>
      </c>
      <c r="G113" s="176">
        <v>0</v>
      </c>
      <c r="H113" s="176">
        <v>0</v>
      </c>
      <c r="I113" s="176">
        <v>0</v>
      </c>
      <c r="J113" s="176">
        <v>0</v>
      </c>
      <c r="K113" s="176">
        <v>0</v>
      </c>
      <c r="L113" s="176"/>
      <c r="M113" s="176">
        <v>0</v>
      </c>
      <c r="N113" s="176"/>
    </row>
    <row r="114" spans="1:14" ht="14.4" hidden="1" customHeight="1">
      <c r="A114" s="174" t="s">
        <v>271</v>
      </c>
      <c r="B114" s="174" t="s">
        <v>333</v>
      </c>
      <c r="C114" s="175" t="s">
        <v>313</v>
      </c>
      <c r="D114" s="176">
        <v>0</v>
      </c>
      <c r="E114" s="176">
        <v>0</v>
      </c>
      <c r="F114" s="176">
        <f t="shared" si="4"/>
        <v>0</v>
      </c>
      <c r="G114" s="176">
        <v>0</v>
      </c>
      <c r="H114" s="176">
        <v>0</v>
      </c>
      <c r="I114" s="176">
        <v>0</v>
      </c>
      <c r="J114" s="176">
        <v>0</v>
      </c>
      <c r="K114" s="176">
        <v>0</v>
      </c>
      <c r="L114" s="176"/>
      <c r="M114" s="176">
        <v>0</v>
      </c>
      <c r="N114" s="176"/>
    </row>
    <row r="115" spans="1:14" ht="14.4" hidden="1" customHeight="1">
      <c r="A115" s="174" t="s">
        <v>271</v>
      </c>
      <c r="B115" s="174" t="s">
        <v>334</v>
      </c>
      <c r="C115" s="175" t="s">
        <v>313</v>
      </c>
      <c r="D115" s="176">
        <v>0</v>
      </c>
      <c r="E115" s="176">
        <v>0</v>
      </c>
      <c r="F115" s="176">
        <f t="shared" si="4"/>
        <v>0</v>
      </c>
      <c r="G115" s="176">
        <v>0</v>
      </c>
      <c r="H115" s="176">
        <v>0</v>
      </c>
      <c r="I115" s="176">
        <v>0</v>
      </c>
      <c r="J115" s="176">
        <v>0</v>
      </c>
      <c r="K115" s="176">
        <v>0</v>
      </c>
      <c r="L115" s="176"/>
      <c r="M115" s="176">
        <v>0</v>
      </c>
      <c r="N115" s="176"/>
    </row>
    <row r="116" spans="1:14" ht="14.4" hidden="1" customHeight="1">
      <c r="A116" s="174" t="s">
        <v>271</v>
      </c>
      <c r="B116" s="174" t="s">
        <v>335</v>
      </c>
      <c r="C116" s="175" t="s">
        <v>313</v>
      </c>
      <c r="D116" s="176">
        <v>0</v>
      </c>
      <c r="E116" s="176">
        <v>0</v>
      </c>
      <c r="F116" s="176">
        <f t="shared" si="4"/>
        <v>0</v>
      </c>
      <c r="G116" s="176">
        <v>0</v>
      </c>
      <c r="H116" s="176">
        <v>0</v>
      </c>
      <c r="I116" s="176">
        <v>0</v>
      </c>
      <c r="J116" s="176">
        <v>0</v>
      </c>
      <c r="K116" s="176">
        <v>0</v>
      </c>
      <c r="L116" s="176"/>
      <c r="M116" s="176">
        <v>0</v>
      </c>
      <c r="N116" s="176"/>
    </row>
    <row r="117" spans="1:14" ht="14.4" hidden="1" customHeight="1">
      <c r="A117" s="174" t="s">
        <v>271</v>
      </c>
      <c r="B117" s="174" t="s">
        <v>336</v>
      </c>
      <c r="C117" s="175" t="s">
        <v>313</v>
      </c>
      <c r="D117" s="176">
        <v>0</v>
      </c>
      <c r="E117" s="176">
        <v>0</v>
      </c>
      <c r="F117" s="176">
        <f t="shared" si="4"/>
        <v>0</v>
      </c>
      <c r="G117" s="176">
        <v>0</v>
      </c>
      <c r="H117" s="176">
        <v>0</v>
      </c>
      <c r="I117" s="176">
        <v>0</v>
      </c>
      <c r="J117" s="176">
        <v>0</v>
      </c>
      <c r="K117" s="176">
        <v>0</v>
      </c>
      <c r="L117" s="176"/>
      <c r="M117" s="176">
        <v>0</v>
      </c>
      <c r="N117" s="176"/>
    </row>
    <row r="118" spans="1:14" ht="14.4" hidden="1" customHeight="1">
      <c r="A118" s="174" t="s">
        <v>271</v>
      </c>
      <c r="B118" s="174" t="s">
        <v>337</v>
      </c>
      <c r="C118" s="175" t="s">
        <v>313</v>
      </c>
      <c r="D118" s="176">
        <v>0</v>
      </c>
      <c r="E118" s="176">
        <v>0</v>
      </c>
      <c r="F118" s="176">
        <f t="shared" si="4"/>
        <v>0</v>
      </c>
      <c r="G118" s="176">
        <v>0</v>
      </c>
      <c r="H118" s="176">
        <v>0</v>
      </c>
      <c r="I118" s="176">
        <v>0</v>
      </c>
      <c r="J118" s="176">
        <v>0</v>
      </c>
      <c r="K118" s="176">
        <v>0</v>
      </c>
      <c r="L118" s="176"/>
      <c r="M118" s="176">
        <v>0</v>
      </c>
      <c r="N118" s="176"/>
    </row>
    <row r="119" spans="1:14" ht="14.4" hidden="1" customHeight="1">
      <c r="A119" s="174" t="s">
        <v>271</v>
      </c>
      <c r="B119" s="174" t="s">
        <v>338</v>
      </c>
      <c r="C119" s="175" t="s">
        <v>313</v>
      </c>
      <c r="D119" s="176">
        <v>0</v>
      </c>
      <c r="E119" s="176">
        <v>0</v>
      </c>
      <c r="F119" s="176">
        <f t="shared" si="4"/>
        <v>0</v>
      </c>
      <c r="G119" s="176">
        <v>0</v>
      </c>
      <c r="H119" s="176">
        <v>0</v>
      </c>
      <c r="I119" s="176">
        <v>0</v>
      </c>
      <c r="J119" s="176">
        <v>0</v>
      </c>
      <c r="K119" s="176">
        <v>0</v>
      </c>
      <c r="L119" s="176"/>
      <c r="M119" s="176">
        <v>0</v>
      </c>
      <c r="N119" s="176"/>
    </row>
    <row r="120" spans="1:14" ht="14.4" hidden="1" customHeight="1">
      <c r="A120" s="174" t="s">
        <v>271</v>
      </c>
      <c r="B120" s="174" t="s">
        <v>339</v>
      </c>
      <c r="C120" s="175" t="s">
        <v>313</v>
      </c>
      <c r="D120" s="176">
        <v>0</v>
      </c>
      <c r="E120" s="176">
        <v>0</v>
      </c>
      <c r="F120" s="176">
        <f t="shared" si="4"/>
        <v>0</v>
      </c>
      <c r="G120" s="176">
        <v>0</v>
      </c>
      <c r="H120" s="176">
        <v>0</v>
      </c>
      <c r="I120" s="176">
        <v>0</v>
      </c>
      <c r="J120" s="176">
        <v>0</v>
      </c>
      <c r="K120" s="176">
        <v>0</v>
      </c>
      <c r="L120" s="176"/>
      <c r="M120" s="176">
        <v>0</v>
      </c>
      <c r="N120" s="176"/>
    </row>
    <row r="121" spans="1:14" ht="14.4" hidden="1" customHeight="1">
      <c r="A121" s="174" t="s">
        <v>271</v>
      </c>
      <c r="B121" s="174" t="s">
        <v>340</v>
      </c>
      <c r="C121" s="175" t="s">
        <v>341</v>
      </c>
      <c r="D121" s="176">
        <v>2E-3</v>
      </c>
      <c r="E121" s="176">
        <v>0</v>
      </c>
      <c r="F121" s="176">
        <f t="shared" si="4"/>
        <v>2E-3</v>
      </c>
      <c r="G121" s="176">
        <v>0</v>
      </c>
      <c r="H121" s="176">
        <v>0</v>
      </c>
      <c r="I121" s="176">
        <v>0</v>
      </c>
      <c r="J121" s="176">
        <v>0</v>
      </c>
      <c r="K121" s="176">
        <v>0</v>
      </c>
      <c r="L121" s="176">
        <f>F121</f>
        <v>2E-3</v>
      </c>
      <c r="M121" s="176">
        <v>2E-3</v>
      </c>
      <c r="N121" s="176" t="s">
        <v>435</v>
      </c>
    </row>
    <row r="122" spans="1:14">
      <c r="A122" s="174" t="s">
        <v>342</v>
      </c>
      <c r="B122" s="174" t="s">
        <v>342</v>
      </c>
      <c r="C122" s="174" t="s">
        <v>343</v>
      </c>
      <c r="D122" s="176">
        <v>11.895599799999999</v>
      </c>
      <c r="E122" s="176">
        <v>11.8353906</v>
      </c>
      <c r="F122" s="176">
        <f t="shared" si="4"/>
        <v>6.0209199999999186E-2</v>
      </c>
      <c r="G122" s="176">
        <v>0</v>
      </c>
      <c r="H122" s="176">
        <v>0</v>
      </c>
      <c r="I122" s="176">
        <v>0</v>
      </c>
      <c r="J122" s="176">
        <v>0</v>
      </c>
      <c r="K122" s="176">
        <v>0</v>
      </c>
      <c r="L122" s="176">
        <f>F122</f>
        <v>6.0209199999999186E-2</v>
      </c>
      <c r="M122" s="176">
        <v>0</v>
      </c>
      <c r="N122" s="176"/>
    </row>
    <row r="123" spans="1:14">
      <c r="A123" s="174" t="s">
        <v>342</v>
      </c>
      <c r="B123" s="174" t="s">
        <v>342</v>
      </c>
      <c r="C123" s="174" t="s">
        <v>344</v>
      </c>
      <c r="D123" s="176">
        <v>9.0653637000000007</v>
      </c>
      <c r="E123" s="176">
        <v>9.0653637000000007</v>
      </c>
      <c r="F123" s="176">
        <f t="shared" si="4"/>
        <v>0</v>
      </c>
      <c r="G123" s="176">
        <v>0</v>
      </c>
      <c r="H123" s="176">
        <v>0</v>
      </c>
      <c r="I123" s="176">
        <v>0</v>
      </c>
      <c r="J123" s="176">
        <v>0</v>
      </c>
      <c r="K123" s="176">
        <v>0</v>
      </c>
      <c r="L123" s="176"/>
      <c r="M123" s="176">
        <v>0</v>
      </c>
      <c r="N123" s="176"/>
    </row>
    <row r="124" spans="1:14" ht="14.4" hidden="1" customHeight="1">
      <c r="A124" s="174" t="s">
        <v>342</v>
      </c>
      <c r="B124" s="174" t="s">
        <v>342</v>
      </c>
      <c r="C124" s="174" t="s">
        <v>345</v>
      </c>
      <c r="D124" s="176">
        <v>3.4458510000000002</v>
      </c>
      <c r="E124" s="176">
        <v>0</v>
      </c>
      <c r="F124" s="176">
        <f t="shared" si="4"/>
        <v>3.4458510000000002</v>
      </c>
      <c r="G124" s="176">
        <v>0</v>
      </c>
      <c r="H124" s="176">
        <v>0</v>
      </c>
      <c r="I124" s="176">
        <v>0</v>
      </c>
      <c r="J124" s="176">
        <v>0</v>
      </c>
      <c r="K124" s="176">
        <v>0</v>
      </c>
      <c r="L124" s="176">
        <v>0</v>
      </c>
      <c r="M124" s="176">
        <v>3.4458510000000002</v>
      </c>
      <c r="N124" s="176" t="s">
        <v>433</v>
      </c>
    </row>
    <row r="125" spans="1:14">
      <c r="A125" s="174" t="s">
        <v>342</v>
      </c>
      <c r="B125" s="174" t="s">
        <v>342</v>
      </c>
      <c r="C125" s="174" t="s">
        <v>346</v>
      </c>
      <c r="D125" s="176">
        <v>1.27145</v>
      </c>
      <c r="E125" s="176">
        <v>0</v>
      </c>
      <c r="F125" s="176">
        <f t="shared" si="4"/>
        <v>1.27145</v>
      </c>
      <c r="G125" s="176">
        <v>0</v>
      </c>
      <c r="H125" s="176">
        <v>1.27145</v>
      </c>
      <c r="I125" s="176">
        <v>0</v>
      </c>
      <c r="J125" s="176">
        <v>0</v>
      </c>
      <c r="K125" s="176">
        <v>0</v>
      </c>
      <c r="L125" s="176">
        <v>0</v>
      </c>
      <c r="M125" s="176">
        <v>0</v>
      </c>
      <c r="N125" s="176"/>
    </row>
    <row r="126" spans="1:14">
      <c r="A126" s="174" t="s">
        <v>342</v>
      </c>
      <c r="B126" s="174" t="s">
        <v>342</v>
      </c>
      <c r="C126" s="174" t="s">
        <v>199</v>
      </c>
      <c r="D126" s="176">
        <v>9.8860699999999996E-2</v>
      </c>
      <c r="E126" s="176">
        <v>0</v>
      </c>
      <c r="F126" s="176">
        <f t="shared" si="4"/>
        <v>9.8860699999999996E-2</v>
      </c>
      <c r="G126" s="176">
        <v>0</v>
      </c>
      <c r="H126" s="176">
        <v>0</v>
      </c>
      <c r="I126" s="176">
        <v>0</v>
      </c>
      <c r="J126" s="176">
        <v>0</v>
      </c>
      <c r="K126" s="176">
        <v>0</v>
      </c>
      <c r="L126" s="176">
        <f>F126</f>
        <v>9.8860699999999996E-2</v>
      </c>
      <c r="M126" s="176">
        <v>0</v>
      </c>
      <c r="N126" s="176"/>
    </row>
    <row r="127" spans="1:14">
      <c r="A127" s="174" t="s">
        <v>342</v>
      </c>
      <c r="B127" s="174" t="s">
        <v>342</v>
      </c>
      <c r="C127" s="174" t="s">
        <v>347</v>
      </c>
      <c r="D127" s="176">
        <v>0.31169970000000002</v>
      </c>
      <c r="E127" s="176">
        <v>0</v>
      </c>
      <c r="F127" s="176">
        <f t="shared" si="4"/>
        <v>0.31169970000000002</v>
      </c>
      <c r="G127" s="176">
        <v>0</v>
      </c>
      <c r="H127" s="176">
        <v>0</v>
      </c>
      <c r="I127" s="176">
        <v>0</v>
      </c>
      <c r="J127" s="176">
        <v>0</v>
      </c>
      <c r="K127" s="176">
        <v>0</v>
      </c>
      <c r="L127" s="176">
        <f>F127</f>
        <v>0.31169970000000002</v>
      </c>
      <c r="M127" s="176">
        <v>0</v>
      </c>
      <c r="N127" s="176"/>
    </row>
    <row r="128" spans="1:14">
      <c r="A128" s="174" t="s">
        <v>342</v>
      </c>
      <c r="B128" s="174" t="s">
        <v>342</v>
      </c>
      <c r="C128" s="174" t="s">
        <v>348</v>
      </c>
      <c r="D128" s="176">
        <v>6.7202799999999993E-2</v>
      </c>
      <c r="E128" s="176">
        <v>6.7202799999999993E-2</v>
      </c>
      <c r="F128" s="176">
        <f t="shared" si="4"/>
        <v>0</v>
      </c>
      <c r="G128" s="176">
        <v>0</v>
      </c>
      <c r="H128" s="176">
        <v>0</v>
      </c>
      <c r="I128" s="176">
        <v>0</v>
      </c>
      <c r="J128" s="176">
        <v>0</v>
      </c>
      <c r="K128" s="176">
        <v>0</v>
      </c>
      <c r="L128" s="176"/>
      <c r="M128" s="176">
        <v>0</v>
      </c>
      <c r="N128" s="176"/>
    </row>
    <row r="129" spans="1:14" ht="14.4" hidden="1" customHeight="1">
      <c r="A129" s="174" t="s">
        <v>349</v>
      </c>
      <c r="B129" s="174" t="s">
        <v>342</v>
      </c>
      <c r="C129" s="174" t="s">
        <v>350</v>
      </c>
      <c r="D129" s="176">
        <v>0.398729</v>
      </c>
      <c r="E129" s="176">
        <v>0.36372900000000002</v>
      </c>
      <c r="F129" s="176">
        <f t="shared" si="4"/>
        <v>3.4999999999999976E-2</v>
      </c>
      <c r="G129" s="176">
        <v>0</v>
      </c>
      <c r="H129" s="176">
        <v>0</v>
      </c>
      <c r="I129" s="176">
        <v>0</v>
      </c>
      <c r="J129" s="176">
        <v>0</v>
      </c>
      <c r="K129" s="176">
        <v>0</v>
      </c>
      <c r="L129" s="176">
        <f>F129</f>
        <v>3.4999999999999976E-2</v>
      </c>
      <c r="M129" s="176">
        <v>0</v>
      </c>
      <c r="N129" s="176"/>
    </row>
    <row r="130" spans="1:14">
      <c r="A130" s="174" t="s">
        <v>342</v>
      </c>
      <c r="B130" s="174" t="s">
        <v>342</v>
      </c>
      <c r="C130" s="174" t="s">
        <v>351</v>
      </c>
      <c r="D130" s="176">
        <v>3.5723499999999998E-2</v>
      </c>
      <c r="E130" s="176">
        <v>0</v>
      </c>
      <c r="F130" s="176">
        <f t="shared" si="4"/>
        <v>3.5723499999999998E-2</v>
      </c>
      <c r="G130" s="176">
        <v>0</v>
      </c>
      <c r="H130" s="176">
        <v>0</v>
      </c>
      <c r="I130" s="176">
        <v>0</v>
      </c>
      <c r="J130" s="176">
        <v>0</v>
      </c>
      <c r="K130" s="176">
        <v>0</v>
      </c>
      <c r="L130" s="176">
        <f>F130</f>
        <v>3.5723499999999998E-2</v>
      </c>
      <c r="M130" s="176">
        <v>0</v>
      </c>
      <c r="N130" s="176"/>
    </row>
    <row r="131" spans="1:14">
      <c r="A131" s="174" t="s">
        <v>342</v>
      </c>
      <c r="B131" s="174" t="s">
        <v>342</v>
      </c>
      <c r="C131" s="174" t="s">
        <v>352</v>
      </c>
      <c r="D131" s="176">
        <v>1.4745899999999999E-2</v>
      </c>
      <c r="E131" s="176">
        <v>1.4745899999999999E-2</v>
      </c>
      <c r="F131" s="176">
        <f t="shared" si="4"/>
        <v>0</v>
      </c>
      <c r="G131" s="176">
        <v>0</v>
      </c>
      <c r="H131" s="176">
        <v>0</v>
      </c>
      <c r="I131" s="176">
        <v>0</v>
      </c>
      <c r="J131" s="176">
        <v>0</v>
      </c>
      <c r="K131" s="176">
        <v>0</v>
      </c>
      <c r="L131" s="176"/>
      <c r="M131" s="176">
        <v>0</v>
      </c>
      <c r="N131" s="176"/>
    </row>
    <row r="132" spans="1:14" ht="14.4" hidden="1" customHeight="1">
      <c r="A132" s="174" t="s">
        <v>342</v>
      </c>
      <c r="B132" s="174" t="s">
        <v>342</v>
      </c>
      <c r="C132" s="174" t="s">
        <v>353</v>
      </c>
      <c r="D132" s="176">
        <v>1.2774499999999999E-2</v>
      </c>
      <c r="E132" s="176">
        <v>1.2774499999999999E-2</v>
      </c>
      <c r="F132" s="176">
        <f t="shared" si="4"/>
        <v>0</v>
      </c>
      <c r="G132" s="176">
        <v>0</v>
      </c>
      <c r="H132" s="176">
        <v>0</v>
      </c>
      <c r="I132" s="176">
        <v>0</v>
      </c>
      <c r="J132" s="176">
        <v>0</v>
      </c>
      <c r="K132" s="176">
        <v>0</v>
      </c>
      <c r="L132" s="176"/>
      <c r="M132" s="176">
        <v>0</v>
      </c>
      <c r="N132" s="176"/>
    </row>
    <row r="133" spans="1:14" ht="14.4" hidden="1" customHeight="1">
      <c r="A133" s="174" t="s">
        <v>342</v>
      </c>
      <c r="B133" s="174" t="s">
        <v>342</v>
      </c>
      <c r="C133" s="174" t="s">
        <v>354</v>
      </c>
      <c r="D133" s="176">
        <v>1.65281E-2</v>
      </c>
      <c r="E133" s="176">
        <v>1.65281E-2</v>
      </c>
      <c r="F133" s="176">
        <f t="shared" si="4"/>
        <v>0</v>
      </c>
      <c r="G133" s="176">
        <v>0</v>
      </c>
      <c r="H133" s="176">
        <v>0</v>
      </c>
      <c r="I133" s="176">
        <v>0</v>
      </c>
      <c r="J133" s="176">
        <v>0</v>
      </c>
      <c r="K133" s="176">
        <v>0</v>
      </c>
      <c r="L133" s="176"/>
      <c r="M133" s="176">
        <v>0</v>
      </c>
      <c r="N133" s="176"/>
    </row>
    <row r="134" spans="1:14" ht="14.4" hidden="1" customHeight="1">
      <c r="A134" s="174" t="s">
        <v>342</v>
      </c>
      <c r="B134" s="174" t="s">
        <v>342</v>
      </c>
      <c r="C134" s="174" t="s">
        <v>355</v>
      </c>
      <c r="D134" s="176">
        <v>6.3699999999999998E-3</v>
      </c>
      <c r="E134" s="176">
        <v>6.3699999999999998E-3</v>
      </c>
      <c r="F134" s="176">
        <f t="shared" si="4"/>
        <v>0</v>
      </c>
      <c r="G134" s="176">
        <v>0</v>
      </c>
      <c r="H134" s="176">
        <v>0</v>
      </c>
      <c r="I134" s="176">
        <v>0</v>
      </c>
      <c r="J134" s="176">
        <v>0</v>
      </c>
      <c r="K134" s="176">
        <v>0</v>
      </c>
      <c r="L134" s="176"/>
      <c r="M134" s="176">
        <v>0</v>
      </c>
      <c r="N134" s="176"/>
    </row>
    <row r="135" spans="1:14" ht="14.4" hidden="1" customHeight="1">
      <c r="A135" s="174" t="s">
        <v>342</v>
      </c>
      <c r="B135" s="174" t="s">
        <v>342</v>
      </c>
      <c r="C135" s="174" t="s">
        <v>350</v>
      </c>
      <c r="D135" s="176">
        <v>0.65155700000000005</v>
      </c>
      <c r="E135" s="176">
        <v>0.65155700000000005</v>
      </c>
      <c r="F135" s="176">
        <f t="shared" si="4"/>
        <v>0</v>
      </c>
      <c r="G135" s="176">
        <v>0</v>
      </c>
      <c r="H135" s="176">
        <v>0</v>
      </c>
      <c r="I135" s="176">
        <v>0</v>
      </c>
      <c r="J135" s="176">
        <v>0</v>
      </c>
      <c r="K135" s="176">
        <v>0</v>
      </c>
      <c r="L135" s="176"/>
      <c r="M135" s="176">
        <v>0</v>
      </c>
      <c r="N135" s="176"/>
    </row>
    <row r="136" spans="1:14" ht="14.4" hidden="1" customHeight="1">
      <c r="A136" s="174" t="s">
        <v>342</v>
      </c>
      <c r="B136" s="174" t="s">
        <v>342</v>
      </c>
      <c r="C136" s="174" t="s">
        <v>356</v>
      </c>
      <c r="D136" s="176">
        <v>0.25609470000000001</v>
      </c>
      <c r="E136" s="176">
        <v>0.25609470000000001</v>
      </c>
      <c r="F136" s="176">
        <f t="shared" si="4"/>
        <v>0</v>
      </c>
      <c r="G136" s="176">
        <v>0</v>
      </c>
      <c r="H136" s="176">
        <v>0</v>
      </c>
      <c r="I136" s="176">
        <v>0</v>
      </c>
      <c r="J136" s="176">
        <v>0</v>
      </c>
      <c r="K136" s="176">
        <v>0</v>
      </c>
      <c r="L136" s="176"/>
      <c r="M136" s="176">
        <v>0</v>
      </c>
      <c r="N136" s="176"/>
    </row>
    <row r="137" spans="1:14" ht="14.4" hidden="1" customHeight="1">
      <c r="A137" s="174" t="s">
        <v>342</v>
      </c>
      <c r="B137" s="174" t="s">
        <v>342</v>
      </c>
      <c r="C137" s="174" t="s">
        <v>357</v>
      </c>
      <c r="D137" s="176">
        <v>8.9845800000000003E-2</v>
      </c>
      <c r="E137" s="176">
        <v>8.9845800000000003E-2</v>
      </c>
      <c r="F137" s="176">
        <f t="shared" si="4"/>
        <v>0</v>
      </c>
      <c r="G137" s="176">
        <v>0</v>
      </c>
      <c r="H137" s="176">
        <v>0</v>
      </c>
      <c r="I137" s="176">
        <v>0</v>
      </c>
      <c r="J137" s="176">
        <v>0</v>
      </c>
      <c r="K137" s="176">
        <v>0</v>
      </c>
      <c r="L137" s="176"/>
      <c r="M137" s="176">
        <v>0</v>
      </c>
      <c r="N137" s="176"/>
    </row>
    <row r="138" spans="1:14" ht="14.4" hidden="1" customHeight="1">
      <c r="A138" s="174" t="s">
        <v>342</v>
      </c>
      <c r="B138" s="174" t="s">
        <v>342</v>
      </c>
      <c r="C138" s="175" t="s">
        <v>358</v>
      </c>
      <c r="D138" s="176">
        <v>8.9403200000000002E-2</v>
      </c>
      <c r="E138" s="176">
        <v>8.9403200000000002E-2</v>
      </c>
      <c r="F138" s="176">
        <f t="shared" si="4"/>
        <v>0</v>
      </c>
      <c r="G138" s="176">
        <v>0</v>
      </c>
      <c r="H138" s="176">
        <v>0</v>
      </c>
      <c r="I138" s="176">
        <v>0</v>
      </c>
      <c r="J138" s="176">
        <v>0</v>
      </c>
      <c r="K138" s="176">
        <v>0</v>
      </c>
      <c r="L138" s="176"/>
      <c r="M138" s="176">
        <v>0</v>
      </c>
      <c r="N138" s="176"/>
    </row>
    <row r="139" spans="1:14" ht="86.4" hidden="1" customHeight="1">
      <c r="A139" s="174" t="s">
        <v>342</v>
      </c>
      <c r="B139" s="174" t="s">
        <v>342</v>
      </c>
      <c r="C139" s="174" t="s">
        <v>359</v>
      </c>
      <c r="D139" s="176">
        <v>6.8242300000000006E-2</v>
      </c>
      <c r="E139" s="176">
        <v>6.8242300000000006E-2</v>
      </c>
      <c r="F139" s="176">
        <f t="shared" si="4"/>
        <v>0</v>
      </c>
      <c r="G139" s="176">
        <v>0</v>
      </c>
      <c r="H139" s="176">
        <v>0</v>
      </c>
      <c r="I139" s="176">
        <v>0</v>
      </c>
      <c r="J139" s="176">
        <v>0</v>
      </c>
      <c r="K139" s="176">
        <v>0</v>
      </c>
      <c r="L139" s="176"/>
      <c r="M139" s="176">
        <v>0</v>
      </c>
      <c r="N139" s="176"/>
    </row>
    <row r="140" spans="1:14" ht="14.4" hidden="1" customHeight="1">
      <c r="A140" s="174" t="s">
        <v>342</v>
      </c>
      <c r="B140" s="174" t="s">
        <v>342</v>
      </c>
      <c r="C140" s="174" t="s">
        <v>360</v>
      </c>
      <c r="D140" s="176">
        <v>4.2346700000000001E-2</v>
      </c>
      <c r="E140" s="176">
        <v>4.2346700000000001E-2</v>
      </c>
      <c r="F140" s="176">
        <f t="shared" si="4"/>
        <v>0</v>
      </c>
      <c r="G140" s="176">
        <v>0</v>
      </c>
      <c r="H140" s="176">
        <v>0</v>
      </c>
      <c r="I140" s="176">
        <v>0</v>
      </c>
      <c r="J140" s="176">
        <v>0</v>
      </c>
      <c r="K140" s="176">
        <v>0</v>
      </c>
      <c r="L140" s="176"/>
      <c r="M140" s="176">
        <v>0</v>
      </c>
      <c r="N140" s="176"/>
    </row>
    <row r="141" spans="1:14" ht="14.4" hidden="1" customHeight="1">
      <c r="A141" s="174" t="s">
        <v>342</v>
      </c>
      <c r="B141" s="174" t="s">
        <v>342</v>
      </c>
      <c r="C141" s="174" t="s">
        <v>361</v>
      </c>
      <c r="D141" s="176">
        <v>3.07137E-2</v>
      </c>
      <c r="E141" s="176">
        <v>3.07137E-2</v>
      </c>
      <c r="F141" s="176">
        <f t="shared" si="4"/>
        <v>0</v>
      </c>
      <c r="G141" s="176">
        <v>0</v>
      </c>
      <c r="H141" s="176">
        <v>0</v>
      </c>
      <c r="I141" s="176">
        <v>0</v>
      </c>
      <c r="J141" s="176">
        <v>0</v>
      </c>
      <c r="K141" s="176">
        <v>0</v>
      </c>
      <c r="L141" s="176"/>
      <c r="M141" s="176">
        <v>0</v>
      </c>
      <c r="N141" s="176"/>
    </row>
    <row r="142" spans="1:14" ht="14.4" hidden="1" customHeight="1">
      <c r="A142" s="174" t="s">
        <v>342</v>
      </c>
      <c r="B142" s="174" t="s">
        <v>342</v>
      </c>
      <c r="C142" s="174" t="s">
        <v>362</v>
      </c>
      <c r="D142" s="176">
        <v>4.9608199999999998E-2</v>
      </c>
      <c r="E142" s="176">
        <v>0</v>
      </c>
      <c r="F142" s="176">
        <f t="shared" si="4"/>
        <v>4.9608199999999998E-2</v>
      </c>
      <c r="G142" s="176">
        <v>0</v>
      </c>
      <c r="H142" s="176">
        <v>4.9608199999999998E-2</v>
      </c>
      <c r="I142" s="176">
        <v>0</v>
      </c>
      <c r="J142" s="176">
        <v>0</v>
      </c>
      <c r="K142" s="176">
        <v>0</v>
      </c>
      <c r="L142" s="176">
        <v>0</v>
      </c>
      <c r="M142" s="176">
        <v>0</v>
      </c>
      <c r="N142" s="176"/>
    </row>
    <row r="143" spans="1:14" ht="28.8">
      <c r="A143" s="174" t="s">
        <v>363</v>
      </c>
      <c r="B143" s="174" t="s">
        <v>364</v>
      </c>
      <c r="C143" s="175" t="s">
        <v>365</v>
      </c>
      <c r="D143" s="176">
        <v>4.9000022999999997E-2</v>
      </c>
      <c r="E143" s="176">
        <v>0</v>
      </c>
      <c r="F143" s="176">
        <f t="shared" si="4"/>
        <v>4.9000022999999997E-2</v>
      </c>
      <c r="G143" s="176">
        <v>0</v>
      </c>
      <c r="H143" s="176">
        <v>0</v>
      </c>
      <c r="I143" s="176">
        <v>0</v>
      </c>
      <c r="J143" s="176">
        <v>0</v>
      </c>
      <c r="K143" s="176">
        <v>0</v>
      </c>
      <c r="L143" s="176">
        <f>F143</f>
        <v>4.9000022999999997E-2</v>
      </c>
      <c r="M143" s="176">
        <v>0</v>
      </c>
      <c r="N143" s="176"/>
    </row>
    <row r="144" spans="1:14">
      <c r="A144" s="174" t="s">
        <v>363</v>
      </c>
      <c r="B144" s="174" t="s">
        <v>366</v>
      </c>
      <c r="C144" s="175" t="s">
        <v>367</v>
      </c>
      <c r="D144" s="176">
        <v>18.244984424508296</v>
      </c>
      <c r="E144" s="176">
        <v>0</v>
      </c>
      <c r="F144" s="176">
        <f t="shared" si="4"/>
        <v>18.244984424508296</v>
      </c>
      <c r="G144" s="176">
        <v>8.5</v>
      </c>
      <c r="H144" s="176">
        <v>2.85</v>
      </c>
      <c r="I144" s="176">
        <v>0</v>
      </c>
      <c r="J144" s="176">
        <v>0</v>
      </c>
      <c r="K144" s="176">
        <v>0</v>
      </c>
      <c r="L144" s="176">
        <f>F144-G144-H144</f>
        <v>6.8949844245082961</v>
      </c>
      <c r="M144" s="176">
        <v>4.9844245082963923E-3</v>
      </c>
      <c r="N144" s="176"/>
    </row>
    <row r="145" spans="1:14" ht="28.8">
      <c r="A145" s="174" t="s">
        <v>363</v>
      </c>
      <c r="B145" s="174" t="s">
        <v>368</v>
      </c>
      <c r="C145" s="175" t="s">
        <v>369</v>
      </c>
      <c r="D145" s="176">
        <v>1.8299034940000001</v>
      </c>
      <c r="E145" s="176">
        <v>0</v>
      </c>
      <c r="F145" s="176">
        <f t="shared" si="4"/>
        <v>1.8299034940000001</v>
      </c>
      <c r="G145" s="176">
        <v>0</v>
      </c>
      <c r="H145" s="176">
        <v>0</v>
      </c>
      <c r="I145" s="176">
        <v>0</v>
      </c>
      <c r="J145" s="176">
        <v>0</v>
      </c>
      <c r="K145" s="176">
        <v>0</v>
      </c>
      <c r="L145" s="176">
        <f>F145</f>
        <v>1.8299034940000001</v>
      </c>
      <c r="M145" s="176">
        <v>0</v>
      </c>
      <c r="N145" s="176"/>
    </row>
    <row r="146" spans="1:14">
      <c r="A146" s="174" t="s">
        <v>363</v>
      </c>
      <c r="B146" s="174" t="s">
        <v>370</v>
      </c>
      <c r="C146" s="175" t="s">
        <v>371</v>
      </c>
      <c r="D146" s="176">
        <v>12.989502068777702</v>
      </c>
      <c r="E146" s="176">
        <v>0</v>
      </c>
      <c r="F146" s="176">
        <f t="shared" si="4"/>
        <v>12.989502068777702</v>
      </c>
      <c r="G146" s="176">
        <v>6.2</v>
      </c>
      <c r="H146" s="176">
        <v>3.39</v>
      </c>
      <c r="I146" s="176">
        <v>0</v>
      </c>
      <c r="J146" s="176">
        <v>0</v>
      </c>
      <c r="K146" s="176">
        <v>0</v>
      </c>
      <c r="L146" s="176">
        <f>F146-G146-H146</f>
        <v>3.3995020687777013</v>
      </c>
      <c r="M146" s="176">
        <v>3.1545020687777012</v>
      </c>
      <c r="N146" s="176" t="s">
        <v>432</v>
      </c>
    </row>
    <row r="147" spans="1:14">
      <c r="A147" s="174" t="s">
        <v>363</v>
      </c>
      <c r="B147" s="174" t="s">
        <v>372</v>
      </c>
      <c r="C147" s="175" t="s">
        <v>373</v>
      </c>
      <c r="D147" s="176">
        <v>7.6058776421595935</v>
      </c>
      <c r="E147" s="176">
        <v>0</v>
      </c>
      <c r="F147" s="176">
        <f t="shared" si="4"/>
        <v>7.6058776421595935</v>
      </c>
      <c r="G147" s="176">
        <v>3.05</v>
      </c>
      <c r="H147" s="176">
        <v>0</v>
      </c>
      <c r="I147" s="176">
        <v>0</v>
      </c>
      <c r="J147" s="176">
        <v>0</v>
      </c>
      <c r="K147" s="176">
        <v>0</v>
      </c>
      <c r="L147" s="176">
        <f>F147-G147</f>
        <v>4.5558776421595937</v>
      </c>
      <c r="M147" s="176">
        <v>4.4258776421595938</v>
      </c>
      <c r="N147" s="176" t="s">
        <v>432</v>
      </c>
    </row>
    <row r="148" spans="1:14">
      <c r="A148" s="174" t="s">
        <v>363</v>
      </c>
      <c r="B148" s="174" t="s">
        <v>374</v>
      </c>
      <c r="C148" s="175" t="s">
        <v>375</v>
      </c>
      <c r="D148" s="176">
        <v>2.0728347999999999</v>
      </c>
      <c r="E148" s="176">
        <v>0</v>
      </c>
      <c r="F148" s="176">
        <f t="shared" si="4"/>
        <v>2.0728347999999999</v>
      </c>
      <c r="G148" s="176">
        <v>0</v>
      </c>
      <c r="H148" s="176">
        <v>0</v>
      </c>
      <c r="I148" s="176">
        <v>0</v>
      </c>
      <c r="J148" s="176">
        <v>2.0699999999999998</v>
      </c>
      <c r="K148" s="176">
        <v>0</v>
      </c>
      <c r="L148" s="176">
        <v>0</v>
      </c>
      <c r="M148" s="176">
        <v>2.8348000000000262E-3</v>
      </c>
      <c r="N148" s="176"/>
    </row>
    <row r="149" spans="1:14">
      <c r="A149" s="174" t="s">
        <v>363</v>
      </c>
      <c r="B149" s="174" t="s">
        <v>376</v>
      </c>
      <c r="C149" s="175"/>
      <c r="D149" s="176">
        <v>2.8041730460000003</v>
      </c>
      <c r="E149" s="176">
        <v>2.8041730460000003</v>
      </c>
      <c r="F149" s="176">
        <f t="shared" si="4"/>
        <v>0</v>
      </c>
      <c r="G149" s="176">
        <v>0</v>
      </c>
      <c r="H149" s="176">
        <v>0</v>
      </c>
      <c r="I149" s="176">
        <v>0</v>
      </c>
      <c r="J149" s="176">
        <v>0</v>
      </c>
      <c r="K149" s="176">
        <v>0</v>
      </c>
      <c r="L149" s="176"/>
      <c r="M149" s="176">
        <v>0</v>
      </c>
      <c r="N149" s="176"/>
    </row>
    <row r="150" spans="1:14" ht="14.4" hidden="1" customHeight="1">
      <c r="A150" s="174" t="s">
        <v>363</v>
      </c>
      <c r="B150" s="174" t="s">
        <v>377</v>
      </c>
      <c r="C150" s="175" t="s">
        <v>378</v>
      </c>
      <c r="D150" s="176">
        <v>0</v>
      </c>
      <c r="E150" s="176">
        <v>0</v>
      </c>
      <c r="F150" s="176">
        <f t="shared" si="4"/>
        <v>0</v>
      </c>
      <c r="G150" s="176">
        <v>0</v>
      </c>
      <c r="H150" s="176">
        <v>0</v>
      </c>
      <c r="I150" s="176">
        <v>0</v>
      </c>
      <c r="J150" s="176">
        <v>0</v>
      </c>
      <c r="K150" s="176">
        <v>0</v>
      </c>
      <c r="L150" s="176"/>
      <c r="M150" s="176">
        <v>0</v>
      </c>
      <c r="N150" s="176"/>
    </row>
    <row r="151" spans="1:14" ht="129.6" hidden="1" customHeight="1">
      <c r="A151" s="174" t="s">
        <v>363</v>
      </c>
      <c r="B151" s="174" t="s">
        <v>379</v>
      </c>
      <c r="C151" s="175" t="s">
        <v>365</v>
      </c>
      <c r="D151" s="176">
        <v>0</v>
      </c>
      <c r="E151" s="176">
        <v>0</v>
      </c>
      <c r="F151" s="176">
        <f t="shared" ref="F151:F177" si="5">D151-E151</f>
        <v>0</v>
      </c>
      <c r="G151" s="176">
        <v>0</v>
      </c>
      <c r="H151" s="176">
        <v>0</v>
      </c>
      <c r="I151" s="176">
        <v>0</v>
      </c>
      <c r="J151" s="176">
        <v>0</v>
      </c>
      <c r="K151" s="176">
        <v>0</v>
      </c>
      <c r="L151" s="176"/>
      <c r="M151" s="176">
        <v>0</v>
      </c>
      <c r="N151" s="176"/>
    </row>
    <row r="152" spans="1:14" ht="43.2" hidden="1" customHeight="1">
      <c r="A152" s="174" t="s">
        <v>363</v>
      </c>
      <c r="B152" s="174" t="s">
        <v>380</v>
      </c>
      <c r="C152" s="175" t="s">
        <v>381</v>
      </c>
      <c r="D152" s="176">
        <v>19.770349817</v>
      </c>
      <c r="E152" s="176">
        <v>19.770349817</v>
      </c>
      <c r="F152" s="176">
        <f t="shared" si="5"/>
        <v>0</v>
      </c>
      <c r="G152" s="176">
        <v>0</v>
      </c>
      <c r="H152" s="176">
        <v>0</v>
      </c>
      <c r="I152" s="176">
        <v>0</v>
      </c>
      <c r="J152" s="176">
        <v>0</v>
      </c>
      <c r="K152" s="176">
        <v>0</v>
      </c>
      <c r="L152" s="176"/>
      <c r="M152" s="176">
        <v>0</v>
      </c>
      <c r="N152" s="176"/>
    </row>
    <row r="153" spans="1:14" ht="57.6" hidden="1" customHeight="1">
      <c r="A153" s="174" t="s">
        <v>363</v>
      </c>
      <c r="B153" s="174" t="s">
        <v>382</v>
      </c>
      <c r="C153" s="175" t="s">
        <v>373</v>
      </c>
      <c r="D153" s="176">
        <v>1.2882954930362462</v>
      </c>
      <c r="E153" s="176">
        <v>0</v>
      </c>
      <c r="F153" s="176">
        <f t="shared" si="5"/>
        <v>1.2882954930362462</v>
      </c>
      <c r="G153" s="176">
        <v>0</v>
      </c>
      <c r="H153" s="176">
        <v>0</v>
      </c>
      <c r="I153" s="176">
        <v>0</v>
      </c>
      <c r="J153" s="176">
        <v>0</v>
      </c>
      <c r="K153" s="176">
        <v>0</v>
      </c>
      <c r="L153" s="176">
        <f>F153</f>
        <v>1.2882954930362462</v>
      </c>
      <c r="M153" s="176">
        <v>1.1082954930362463</v>
      </c>
      <c r="N153" s="176" t="s">
        <v>432</v>
      </c>
    </row>
    <row r="154" spans="1:14" ht="28.8">
      <c r="A154" s="174" t="s">
        <v>363</v>
      </c>
      <c r="B154" s="174" t="s">
        <v>383</v>
      </c>
      <c r="C154" s="175" t="s">
        <v>384</v>
      </c>
      <c r="D154" s="176">
        <v>2.2054753410000001</v>
      </c>
      <c r="E154" s="176">
        <v>0</v>
      </c>
      <c r="F154" s="176">
        <f t="shared" si="5"/>
        <v>2.2054753410000001</v>
      </c>
      <c r="G154" s="176">
        <v>0</v>
      </c>
      <c r="H154" s="176">
        <v>0</v>
      </c>
      <c r="I154" s="176">
        <v>0</v>
      </c>
      <c r="J154" s="176">
        <v>0</v>
      </c>
      <c r="K154" s="176">
        <v>0</v>
      </c>
      <c r="L154" s="176">
        <f>F154</f>
        <v>2.2054753410000001</v>
      </c>
      <c r="M154" s="176">
        <v>1.625475341</v>
      </c>
      <c r="N154" s="176" t="s">
        <v>433</v>
      </c>
    </row>
    <row r="155" spans="1:14" ht="28.8">
      <c r="A155" s="174" t="s">
        <v>363</v>
      </c>
      <c r="B155" s="174" t="s">
        <v>385</v>
      </c>
      <c r="C155" s="175" t="s">
        <v>386</v>
      </c>
      <c r="D155" s="176">
        <v>1.7264861</v>
      </c>
      <c r="E155" s="176">
        <v>1.7264861</v>
      </c>
      <c r="F155" s="176">
        <f t="shared" si="5"/>
        <v>0</v>
      </c>
      <c r="G155" s="176">
        <v>0</v>
      </c>
      <c r="H155" s="176">
        <v>0</v>
      </c>
      <c r="I155" s="176">
        <v>0</v>
      </c>
      <c r="J155" s="176">
        <v>0</v>
      </c>
      <c r="K155" s="176">
        <v>0</v>
      </c>
      <c r="L155" s="176"/>
      <c r="M155" s="176">
        <v>0</v>
      </c>
      <c r="N155" s="176"/>
    </row>
    <row r="156" spans="1:14" ht="100.95" hidden="1" customHeight="1">
      <c r="A156" s="174" t="s">
        <v>363</v>
      </c>
      <c r="B156" s="174" t="s">
        <v>387</v>
      </c>
      <c r="C156" s="175" t="s">
        <v>388</v>
      </c>
      <c r="D156" s="176">
        <v>5.8063499999999997E-2</v>
      </c>
      <c r="E156" s="176">
        <v>5.8063499999999997E-2</v>
      </c>
      <c r="F156" s="176">
        <f t="shared" si="5"/>
        <v>0</v>
      </c>
      <c r="G156" s="176">
        <v>0</v>
      </c>
      <c r="H156" s="176">
        <v>0</v>
      </c>
      <c r="I156" s="176">
        <v>0</v>
      </c>
      <c r="J156" s="176">
        <v>0</v>
      </c>
      <c r="K156" s="176">
        <v>0</v>
      </c>
      <c r="L156" s="176"/>
      <c r="M156" s="176">
        <v>0</v>
      </c>
      <c r="N156" s="176"/>
    </row>
    <row r="157" spans="1:14" ht="28.95" hidden="1" customHeight="1">
      <c r="A157" s="174" t="s">
        <v>363</v>
      </c>
      <c r="B157" s="174" t="s">
        <v>389</v>
      </c>
      <c r="C157" s="175" t="s">
        <v>390</v>
      </c>
      <c r="D157" s="176">
        <v>0.10636449199999999</v>
      </c>
      <c r="E157" s="176">
        <v>0.10636449199999999</v>
      </c>
      <c r="F157" s="176">
        <f t="shared" si="5"/>
        <v>0</v>
      </c>
      <c r="G157" s="176">
        <v>0</v>
      </c>
      <c r="H157" s="176">
        <v>0</v>
      </c>
      <c r="I157" s="176">
        <v>0</v>
      </c>
      <c r="J157" s="176">
        <v>0</v>
      </c>
      <c r="K157" s="176">
        <v>0</v>
      </c>
      <c r="L157" s="176"/>
      <c r="M157" s="176">
        <v>0</v>
      </c>
      <c r="N157" s="176"/>
    </row>
    <row r="158" spans="1:14" ht="86.4" hidden="1" customHeight="1">
      <c r="A158" s="174" t="s">
        <v>363</v>
      </c>
      <c r="B158" s="174" t="s">
        <v>391</v>
      </c>
      <c r="C158" s="175" t="s">
        <v>392</v>
      </c>
      <c r="D158" s="176">
        <v>1.2234500000000001E-2</v>
      </c>
      <c r="E158" s="176">
        <v>0</v>
      </c>
      <c r="F158" s="176">
        <f t="shared" si="5"/>
        <v>1.2234500000000001E-2</v>
      </c>
      <c r="G158" s="176">
        <v>0</v>
      </c>
      <c r="H158" s="176">
        <v>0</v>
      </c>
      <c r="I158" s="176">
        <v>0</v>
      </c>
      <c r="J158" s="176">
        <v>0</v>
      </c>
      <c r="K158" s="176">
        <v>0</v>
      </c>
      <c r="L158" s="176">
        <f>F158</f>
        <v>1.2234500000000001E-2</v>
      </c>
      <c r="M158" s="176">
        <v>0</v>
      </c>
      <c r="N158" s="176"/>
    </row>
    <row r="159" spans="1:14">
      <c r="A159" s="174" t="s">
        <v>363</v>
      </c>
      <c r="B159" s="174" t="s">
        <v>393</v>
      </c>
      <c r="C159" s="175" t="s">
        <v>388</v>
      </c>
      <c r="D159" s="176">
        <v>0</v>
      </c>
      <c r="E159" s="176">
        <v>0</v>
      </c>
      <c r="F159" s="176">
        <f t="shared" si="5"/>
        <v>0</v>
      </c>
      <c r="G159" s="176">
        <v>0</v>
      </c>
      <c r="H159" s="176">
        <v>0</v>
      </c>
      <c r="I159" s="176">
        <v>0</v>
      </c>
      <c r="J159" s="176">
        <v>0</v>
      </c>
      <c r="K159" s="176">
        <v>0</v>
      </c>
      <c r="L159" s="176"/>
      <c r="M159" s="176">
        <v>0</v>
      </c>
      <c r="N159" s="176"/>
    </row>
    <row r="160" spans="1:14" ht="28.95" hidden="1" customHeight="1">
      <c r="A160" s="174" t="s">
        <v>363</v>
      </c>
      <c r="B160" s="174" t="s">
        <v>394</v>
      </c>
      <c r="C160" s="175" t="s">
        <v>395</v>
      </c>
      <c r="D160" s="176">
        <v>0.1681049</v>
      </c>
      <c r="E160" s="176">
        <v>0.1681049</v>
      </c>
      <c r="F160" s="176">
        <f t="shared" si="5"/>
        <v>0</v>
      </c>
      <c r="G160" s="176">
        <v>0</v>
      </c>
      <c r="H160" s="176">
        <v>0</v>
      </c>
      <c r="I160" s="176">
        <v>0</v>
      </c>
      <c r="J160" s="176">
        <v>0</v>
      </c>
      <c r="K160" s="176">
        <v>0</v>
      </c>
      <c r="L160" s="176"/>
      <c r="M160" s="176">
        <v>0</v>
      </c>
      <c r="N160" s="176"/>
    </row>
    <row r="161" spans="1:14" ht="14.4" hidden="1" customHeight="1">
      <c r="A161" s="174" t="s">
        <v>363</v>
      </c>
      <c r="B161" s="174" t="s">
        <v>396</v>
      </c>
      <c r="C161" s="175" t="s">
        <v>397</v>
      </c>
      <c r="D161" s="176">
        <v>6.08502E-2</v>
      </c>
      <c r="E161" s="176">
        <v>6.08502E-2</v>
      </c>
      <c r="F161" s="176">
        <f t="shared" si="5"/>
        <v>0</v>
      </c>
      <c r="G161" s="176">
        <v>0</v>
      </c>
      <c r="H161" s="176">
        <v>0</v>
      </c>
      <c r="I161" s="176">
        <v>0</v>
      </c>
      <c r="J161" s="176">
        <v>0</v>
      </c>
      <c r="K161" s="176">
        <v>0</v>
      </c>
      <c r="L161" s="176"/>
      <c r="M161" s="176">
        <v>0</v>
      </c>
      <c r="N161" s="176"/>
    </row>
    <row r="162" spans="1:14" ht="86.4" hidden="1" customHeight="1">
      <c r="A162" s="174" t="s">
        <v>363</v>
      </c>
      <c r="B162" s="174" t="s">
        <v>398</v>
      </c>
      <c r="C162" s="175"/>
      <c r="D162" s="176">
        <v>-7.9999999999999996E-7</v>
      </c>
      <c r="E162" s="176">
        <v>0</v>
      </c>
      <c r="F162" s="176">
        <f t="shared" si="5"/>
        <v>-7.9999999999999996E-7</v>
      </c>
      <c r="G162" s="176">
        <v>0</v>
      </c>
      <c r="H162" s="176">
        <v>0</v>
      </c>
      <c r="I162" s="176">
        <v>0</v>
      </c>
      <c r="J162" s="176">
        <v>0</v>
      </c>
      <c r="K162" s="176">
        <v>0</v>
      </c>
      <c r="L162" s="176">
        <f>F162</f>
        <v>-7.9999999999999996E-7</v>
      </c>
      <c r="M162" s="176">
        <v>-7.9999999999999996E-7</v>
      </c>
      <c r="N162" s="176"/>
    </row>
    <row r="163" spans="1:14">
      <c r="A163" s="174" t="s">
        <v>363</v>
      </c>
      <c r="B163" s="174" t="s">
        <v>399</v>
      </c>
      <c r="C163" s="175"/>
      <c r="D163" s="176">
        <v>0</v>
      </c>
      <c r="E163" s="176">
        <v>1.2234500000000001E-2</v>
      </c>
      <c r="F163" s="176">
        <f t="shared" si="5"/>
        <v>-1.2234500000000001E-2</v>
      </c>
      <c r="G163" s="176">
        <v>0</v>
      </c>
      <c r="H163" s="176">
        <v>0</v>
      </c>
      <c r="I163" s="176">
        <v>0</v>
      </c>
      <c r="J163" s="176">
        <v>0</v>
      </c>
      <c r="K163" s="176">
        <v>0</v>
      </c>
      <c r="L163" s="176">
        <f>F163</f>
        <v>-1.2234500000000001E-2</v>
      </c>
      <c r="M163" s="176">
        <v>0</v>
      </c>
      <c r="N163" s="176"/>
    </row>
    <row r="164" spans="1:14">
      <c r="A164" s="174" t="s">
        <v>400</v>
      </c>
      <c r="B164" s="174" t="s">
        <v>401</v>
      </c>
      <c r="C164" s="178" t="s">
        <v>402</v>
      </c>
      <c r="D164" s="176">
        <v>2.8200052000000002</v>
      </c>
      <c r="E164" s="176">
        <v>0</v>
      </c>
      <c r="F164" s="176">
        <f t="shared" si="5"/>
        <v>2.8200052000000002</v>
      </c>
      <c r="G164" s="176">
        <v>1</v>
      </c>
      <c r="H164" s="176">
        <v>0</v>
      </c>
      <c r="I164" s="176">
        <v>0</v>
      </c>
      <c r="J164" s="176">
        <v>0</v>
      </c>
      <c r="K164" s="176">
        <v>0</v>
      </c>
      <c r="L164" s="176">
        <f>F164-G164</f>
        <v>1.8200052000000002</v>
      </c>
      <c r="M164" s="176">
        <v>1.5966606470000002</v>
      </c>
      <c r="N164" s="176" t="s">
        <v>433</v>
      </c>
    </row>
    <row r="165" spans="1:14">
      <c r="A165" s="174" t="s">
        <v>400</v>
      </c>
      <c r="B165" s="174" t="s">
        <v>403</v>
      </c>
      <c r="C165" s="178" t="s">
        <v>402</v>
      </c>
      <c r="D165" s="176">
        <v>6.0492787000000003</v>
      </c>
      <c r="E165" s="176">
        <v>0</v>
      </c>
      <c r="F165" s="176">
        <f t="shared" si="5"/>
        <v>6.0492787000000003</v>
      </c>
      <c r="G165" s="176">
        <v>2.13</v>
      </c>
      <c r="H165" s="176">
        <v>0</v>
      </c>
      <c r="I165" s="176">
        <v>0</v>
      </c>
      <c r="J165" s="176">
        <v>0</v>
      </c>
      <c r="K165" s="176">
        <v>0</v>
      </c>
      <c r="L165" s="176">
        <f>F165-G165</f>
        <v>3.9192787000000004</v>
      </c>
      <c r="M165" s="176">
        <v>2.4892787000000007</v>
      </c>
      <c r="N165" s="176" t="s">
        <v>433</v>
      </c>
    </row>
    <row r="166" spans="1:14">
      <c r="A166" s="174" t="s">
        <v>400</v>
      </c>
      <c r="B166" s="174" t="s">
        <v>404</v>
      </c>
      <c r="C166" s="178" t="s">
        <v>402</v>
      </c>
      <c r="D166" s="176">
        <v>4.0470158319999996</v>
      </c>
      <c r="E166" s="176">
        <v>0</v>
      </c>
      <c r="F166" s="176">
        <f t="shared" si="5"/>
        <v>4.0470158319999996</v>
      </c>
      <c r="G166" s="176">
        <v>0</v>
      </c>
      <c r="H166" s="176">
        <v>1.75</v>
      </c>
      <c r="I166" s="176">
        <v>0</v>
      </c>
      <c r="J166" s="176">
        <v>0</v>
      </c>
      <c r="K166" s="176">
        <v>0</v>
      </c>
      <c r="L166" s="176">
        <f>F166-H166</f>
        <v>2.2970158319999996</v>
      </c>
      <c r="M166" s="176">
        <v>0</v>
      </c>
      <c r="N166" s="176"/>
    </row>
    <row r="167" spans="1:14">
      <c r="A167" s="174" t="s">
        <v>400</v>
      </c>
      <c r="B167" s="174" t="s">
        <v>405</v>
      </c>
      <c r="C167" s="178" t="s">
        <v>402</v>
      </c>
      <c r="D167" s="176">
        <v>4.8177411819999998</v>
      </c>
      <c r="E167" s="176">
        <v>0</v>
      </c>
      <c r="F167" s="176">
        <f t="shared" si="5"/>
        <v>4.8177411819999998</v>
      </c>
      <c r="G167" s="176">
        <v>0</v>
      </c>
      <c r="H167" s="176">
        <v>3.5927411819999997</v>
      </c>
      <c r="I167" s="176">
        <v>0</v>
      </c>
      <c r="J167" s="176">
        <v>0</v>
      </c>
      <c r="K167" s="176">
        <v>0</v>
      </c>
      <c r="L167" s="176">
        <f>F167-H167</f>
        <v>1.2250000000000001</v>
      </c>
      <c r="M167" s="176">
        <v>0</v>
      </c>
      <c r="N167" s="176"/>
    </row>
    <row r="168" spans="1:14">
      <c r="A168" s="174" t="s">
        <v>400</v>
      </c>
      <c r="B168" s="174" t="s">
        <v>406</v>
      </c>
      <c r="C168" s="178" t="s">
        <v>402</v>
      </c>
      <c r="D168" s="176">
        <v>1.4009192260000001</v>
      </c>
      <c r="E168" s="176">
        <v>0</v>
      </c>
      <c r="F168" s="176">
        <f t="shared" si="5"/>
        <v>1.4009192260000001</v>
      </c>
      <c r="G168" s="176">
        <v>0</v>
      </c>
      <c r="H168" s="176">
        <v>0</v>
      </c>
      <c r="I168" s="176">
        <v>0</v>
      </c>
      <c r="J168" s="176">
        <v>0</v>
      </c>
      <c r="K168" s="176">
        <v>0</v>
      </c>
      <c r="L168" s="176">
        <f>F168</f>
        <v>1.4009192260000001</v>
      </c>
      <c r="M168" s="176">
        <v>0</v>
      </c>
      <c r="N168" s="176"/>
    </row>
    <row r="169" spans="1:14">
      <c r="A169" s="174" t="s">
        <v>400</v>
      </c>
      <c r="B169" s="174" t="s">
        <v>407</v>
      </c>
      <c r="C169" s="178" t="s">
        <v>407</v>
      </c>
      <c r="D169" s="176">
        <v>22.0739634</v>
      </c>
      <c r="E169" s="176">
        <v>0</v>
      </c>
      <c r="F169" s="176">
        <f t="shared" si="5"/>
        <v>22.0739634</v>
      </c>
      <c r="G169" s="176">
        <v>17.5739634</v>
      </c>
      <c r="H169" s="176">
        <v>0</v>
      </c>
      <c r="I169" s="176">
        <v>0</v>
      </c>
      <c r="J169" s="176">
        <v>0</v>
      </c>
      <c r="K169" s="176">
        <v>0</v>
      </c>
      <c r="L169" s="176">
        <f>F169-G169</f>
        <v>4.5</v>
      </c>
      <c r="M169" s="176">
        <v>0</v>
      </c>
      <c r="N169" s="176"/>
    </row>
    <row r="170" spans="1:14">
      <c r="A170" s="174" t="s">
        <v>400</v>
      </c>
      <c r="B170" s="174" t="s">
        <v>408</v>
      </c>
      <c r="C170" s="178" t="s">
        <v>409</v>
      </c>
      <c r="D170" s="176">
        <v>0.72889458899999993</v>
      </c>
      <c r="E170" s="176">
        <v>0.95719359999999998</v>
      </c>
      <c r="F170" s="176">
        <f t="shared" si="5"/>
        <v>-0.22829901100000005</v>
      </c>
      <c r="G170" s="176">
        <v>0</v>
      </c>
      <c r="H170" s="176">
        <v>-0.22829901100000005</v>
      </c>
      <c r="I170" s="176">
        <v>0</v>
      </c>
      <c r="J170" s="176">
        <v>0</v>
      </c>
      <c r="K170" s="176">
        <v>0</v>
      </c>
      <c r="L170" s="176">
        <v>0</v>
      </c>
      <c r="M170" s="176">
        <v>0</v>
      </c>
      <c r="N170" s="176"/>
    </row>
    <row r="171" spans="1:14">
      <c r="A171" s="178" t="s">
        <v>410</v>
      </c>
      <c r="B171" s="178" t="s">
        <v>411</v>
      </c>
      <c r="C171" s="178" t="s">
        <v>412</v>
      </c>
      <c r="D171" s="176">
        <v>0.72045250000000005</v>
      </c>
      <c r="E171" s="176">
        <v>0</v>
      </c>
      <c r="F171" s="176">
        <f t="shared" si="5"/>
        <v>0.72045250000000005</v>
      </c>
      <c r="G171" s="176">
        <v>0</v>
      </c>
      <c r="H171" s="176">
        <v>0</v>
      </c>
      <c r="I171" s="176">
        <v>0</v>
      </c>
      <c r="J171" s="176">
        <v>0</v>
      </c>
      <c r="K171" s="176">
        <v>0</v>
      </c>
      <c r="L171" s="176">
        <f>F171</f>
        <v>0.72045250000000005</v>
      </c>
      <c r="M171" s="176">
        <v>0.72045250000000005</v>
      </c>
      <c r="N171" s="176" t="s">
        <v>433</v>
      </c>
    </row>
    <row r="172" spans="1:14">
      <c r="A172" s="178" t="s">
        <v>413</v>
      </c>
      <c r="B172" s="178" t="s">
        <v>413</v>
      </c>
      <c r="C172" s="178" t="s">
        <v>414</v>
      </c>
      <c r="D172" s="176">
        <v>1.7952608899999998</v>
      </c>
      <c r="E172" s="176">
        <v>0</v>
      </c>
      <c r="F172" s="176">
        <f t="shared" si="5"/>
        <v>1.7952608899999998</v>
      </c>
      <c r="G172" s="176">
        <v>0</v>
      </c>
      <c r="H172" s="176">
        <v>0.16</v>
      </c>
      <c r="I172" s="176">
        <v>0</v>
      </c>
      <c r="J172" s="176">
        <v>0</v>
      </c>
      <c r="K172" s="176">
        <v>0</v>
      </c>
      <c r="L172" s="176">
        <f>F172-H172</f>
        <v>1.6352608899999999</v>
      </c>
      <c r="M172" s="176">
        <v>2.6088999999984708E-4</v>
      </c>
      <c r="N172" s="176"/>
    </row>
    <row r="173" spans="1:14">
      <c r="A173" s="178" t="s">
        <v>413</v>
      </c>
      <c r="B173" s="178" t="s">
        <v>413</v>
      </c>
      <c r="C173" s="178" t="s">
        <v>415</v>
      </c>
      <c r="D173" s="176">
        <v>2.2100109999999999E-2</v>
      </c>
      <c r="E173" s="176">
        <v>0</v>
      </c>
      <c r="F173" s="176">
        <f t="shared" si="5"/>
        <v>2.2100109999999999E-2</v>
      </c>
      <c r="G173" s="176">
        <v>0.02</v>
      </c>
      <c r="H173" s="176">
        <v>0</v>
      </c>
      <c r="I173" s="176">
        <v>0</v>
      </c>
      <c r="J173" s="176">
        <v>0</v>
      </c>
      <c r="K173" s="176">
        <v>0</v>
      </c>
      <c r="L173" s="176">
        <v>0</v>
      </c>
      <c r="M173" s="176">
        <v>2.1001099999999988E-3</v>
      </c>
      <c r="N173" s="176"/>
    </row>
    <row r="174" spans="1:14">
      <c r="A174" s="178" t="s">
        <v>413</v>
      </c>
      <c r="B174" s="178" t="s">
        <v>413</v>
      </c>
      <c r="C174" s="178" t="s">
        <v>416</v>
      </c>
      <c r="D174" s="176">
        <v>2.3379999999999998E-3</v>
      </c>
      <c r="E174" s="176">
        <v>0</v>
      </c>
      <c r="F174" s="176">
        <f t="shared" si="5"/>
        <v>2.3379999999999998E-3</v>
      </c>
      <c r="G174" s="176">
        <v>2.3379999999999998E-3</v>
      </c>
      <c r="H174" s="176">
        <v>0</v>
      </c>
      <c r="I174" s="176">
        <v>0</v>
      </c>
      <c r="J174" s="176">
        <v>0</v>
      </c>
      <c r="K174" s="176">
        <v>0</v>
      </c>
      <c r="L174" s="176">
        <v>0</v>
      </c>
      <c r="M174" s="176">
        <v>0</v>
      </c>
      <c r="N174" s="176"/>
    </row>
    <row r="175" spans="1:14">
      <c r="A175" s="178" t="s">
        <v>413</v>
      </c>
      <c r="B175" s="178" t="s">
        <v>413</v>
      </c>
      <c r="C175" s="178" t="s">
        <v>417</v>
      </c>
      <c r="D175" s="176">
        <v>0.50260000000000005</v>
      </c>
      <c r="E175" s="176">
        <v>0.50260000000000005</v>
      </c>
      <c r="F175" s="176">
        <f t="shared" si="5"/>
        <v>0</v>
      </c>
      <c r="G175" s="176">
        <v>0</v>
      </c>
      <c r="H175" s="176">
        <v>0</v>
      </c>
      <c r="I175" s="176">
        <v>0</v>
      </c>
      <c r="J175" s="176">
        <v>0</v>
      </c>
      <c r="K175" s="176">
        <v>0</v>
      </c>
      <c r="L175" s="176"/>
      <c r="M175" s="176">
        <v>0</v>
      </c>
      <c r="N175" s="176"/>
    </row>
    <row r="176" spans="1:14" ht="14.4" hidden="1" customHeight="1">
      <c r="A176" s="178" t="s">
        <v>413</v>
      </c>
      <c r="B176" s="178" t="s">
        <v>413</v>
      </c>
      <c r="C176" s="178" t="s">
        <v>418</v>
      </c>
      <c r="D176" s="176">
        <v>5.9</v>
      </c>
      <c r="E176" s="176">
        <v>0</v>
      </c>
      <c r="F176" s="176">
        <f t="shared" si="5"/>
        <v>5.9</v>
      </c>
      <c r="G176" s="176">
        <v>0</v>
      </c>
      <c r="H176" s="176">
        <v>0</v>
      </c>
      <c r="I176" s="176">
        <v>0</v>
      </c>
      <c r="J176" s="176">
        <v>0</v>
      </c>
      <c r="K176" s="176">
        <v>0</v>
      </c>
      <c r="L176" s="176">
        <f>F176</f>
        <v>5.9</v>
      </c>
      <c r="M176" s="176">
        <v>0</v>
      </c>
      <c r="N176" s="176"/>
    </row>
    <row r="177" spans="1:14">
      <c r="A177" s="178" t="s">
        <v>419</v>
      </c>
      <c r="B177" s="178" t="s">
        <v>419</v>
      </c>
      <c r="C177" s="178"/>
      <c r="D177" s="176">
        <v>-1.3464800000000001E-2</v>
      </c>
      <c r="E177" s="176">
        <v>0</v>
      </c>
      <c r="F177" s="176">
        <f t="shared" si="5"/>
        <v>-1.3464800000000001E-2</v>
      </c>
      <c r="G177" s="176">
        <v>0</v>
      </c>
      <c r="H177" s="176">
        <v>0</v>
      </c>
      <c r="I177" s="176">
        <v>0</v>
      </c>
      <c r="J177" s="176">
        <v>0</v>
      </c>
      <c r="K177" s="176">
        <v>0</v>
      </c>
      <c r="L177" s="176">
        <f>F177</f>
        <v>-1.3464800000000001E-2</v>
      </c>
      <c r="M177" s="176">
        <v>0</v>
      </c>
      <c r="N177" s="176"/>
    </row>
    <row r="178" spans="1:14">
      <c r="A178" s="116"/>
      <c r="B178" s="116"/>
      <c r="C178" s="116"/>
      <c r="D178" s="116"/>
      <c r="E178" s="116"/>
      <c r="F178" s="179">
        <f t="shared" ref="F178:K178" si="6">SUM(F22:F177)</f>
        <v>264.43521027179679</v>
      </c>
      <c r="G178" s="179">
        <f t="shared" si="6"/>
        <v>69.505726637999999</v>
      </c>
      <c r="H178" s="179">
        <f t="shared" si="6"/>
        <v>44.051334771000001</v>
      </c>
      <c r="I178" s="179">
        <f t="shared" si="6"/>
        <v>21.434374601314996</v>
      </c>
      <c r="J178" s="179">
        <f t="shared" si="6"/>
        <v>10.210000000000001</v>
      </c>
      <c r="K178" s="179">
        <f t="shared" si="6"/>
        <v>0.38</v>
      </c>
      <c r="L178" s="179">
        <f>SUM(L22:L177)+4.75</f>
        <v>118.85487365148185</v>
      </c>
      <c r="M178" s="163"/>
      <c r="N178" s="116"/>
    </row>
    <row r="181" spans="1:14">
      <c r="F181" s="162" t="s">
        <v>436</v>
      </c>
      <c r="G181" s="119">
        <v>1</v>
      </c>
      <c r="H181" s="119">
        <f>G181+1</f>
        <v>2</v>
      </c>
      <c r="I181" s="119">
        <f t="shared" ref="I181:L181" si="7">H181+1</f>
        <v>3</v>
      </c>
      <c r="J181" s="119">
        <f t="shared" si="7"/>
        <v>4</v>
      </c>
      <c r="K181" s="119">
        <f t="shared" si="7"/>
        <v>5</v>
      </c>
      <c r="L181" s="119">
        <f t="shared" si="7"/>
        <v>6</v>
      </c>
    </row>
    <row r="182" spans="1:14">
      <c r="F182" s="163" t="s">
        <v>437</v>
      </c>
      <c r="G182" s="164">
        <f>F178</f>
        <v>264.43521027179679</v>
      </c>
      <c r="H182" s="165"/>
      <c r="I182" s="165"/>
      <c r="J182" s="165"/>
      <c r="K182" s="165"/>
      <c r="L182" s="116"/>
    </row>
    <row r="183" spans="1:14">
      <c r="F183" s="163" t="s">
        <v>438</v>
      </c>
      <c r="G183" s="164">
        <f t="shared" ref="G183:L183" si="8">G178</f>
        <v>69.505726637999999</v>
      </c>
      <c r="H183" s="164">
        <f t="shared" si="8"/>
        <v>44.051334771000001</v>
      </c>
      <c r="I183" s="164">
        <f t="shared" si="8"/>
        <v>21.434374601314996</v>
      </c>
      <c r="J183" s="164">
        <f t="shared" si="8"/>
        <v>10.210000000000001</v>
      </c>
      <c r="K183" s="164">
        <f t="shared" si="8"/>
        <v>0.38</v>
      </c>
      <c r="L183" s="164">
        <f t="shared" si="8"/>
        <v>118.85487365148185</v>
      </c>
    </row>
    <row r="184" spans="1:14">
      <c r="F184" s="163" t="s">
        <v>439</v>
      </c>
      <c r="G184" s="165">
        <v>1</v>
      </c>
      <c r="H184" s="165">
        <f>G184+1</f>
        <v>2</v>
      </c>
      <c r="I184" s="165">
        <f t="shared" ref="I184:L184" si="9">H184+1</f>
        <v>3</v>
      </c>
      <c r="J184" s="165">
        <f t="shared" si="9"/>
        <v>4</v>
      </c>
      <c r="K184" s="165">
        <f t="shared" si="9"/>
        <v>5</v>
      </c>
      <c r="L184" s="165">
        <f t="shared" si="9"/>
        <v>6</v>
      </c>
    </row>
    <row r="185" spans="1:14">
      <c r="F185" s="163" t="s">
        <v>153</v>
      </c>
      <c r="G185" s="166">
        <f t="shared" ref="G185:K185" si="10">1/(1+$G$186)^G184</f>
        <v>0.85470085470085477</v>
      </c>
      <c r="H185" s="166">
        <f t="shared" si="10"/>
        <v>0.73051355102637161</v>
      </c>
      <c r="I185" s="166">
        <f t="shared" si="10"/>
        <v>0.62437055643279626</v>
      </c>
      <c r="J185" s="166">
        <f t="shared" si="10"/>
        <v>0.53365004823315931</v>
      </c>
      <c r="K185" s="166">
        <f t="shared" si="10"/>
        <v>0.45611115233603361</v>
      </c>
      <c r="L185" s="275">
        <v>0.5</v>
      </c>
    </row>
    <row r="186" spans="1:14">
      <c r="F186" s="163" t="s">
        <v>440</v>
      </c>
      <c r="G186" s="167">
        <v>0.17</v>
      </c>
      <c r="H186" s="165"/>
      <c r="I186" s="165"/>
      <c r="J186" s="165"/>
      <c r="K186" s="165"/>
      <c r="L186" s="116"/>
    </row>
    <row r="187" spans="1:14">
      <c r="F187" s="163" t="s">
        <v>441</v>
      </c>
      <c r="G187" s="164">
        <f>G183*G185</f>
        <v>59.406603964102565</v>
      </c>
      <c r="H187" s="164">
        <f t="shared" ref="H187:K187" si="11">H183*H185</f>
        <v>32.180096991014686</v>
      </c>
      <c r="I187" s="164">
        <f t="shared" si="11"/>
        <v>13.382992396612039</v>
      </c>
      <c r="J187" s="164">
        <f t="shared" si="11"/>
        <v>5.4485669924605569</v>
      </c>
      <c r="K187" s="164">
        <f t="shared" si="11"/>
        <v>0.17332223788769277</v>
      </c>
      <c r="L187" s="164">
        <f>L183*L185</f>
        <v>59.427436825740926</v>
      </c>
    </row>
    <row r="188" spans="1:14" ht="28.8">
      <c r="F188" s="168" t="s">
        <v>442</v>
      </c>
      <c r="G188" s="169">
        <f>SUM(G187:M187)</f>
        <v>170.01901940781846</v>
      </c>
      <c r="H188" s="162"/>
      <c r="I188" s="162"/>
      <c r="J188" s="162"/>
      <c r="K188" s="170"/>
      <c r="L188" s="170"/>
    </row>
    <row r="189" spans="1:14">
      <c r="F189" s="276" t="s">
        <v>465</v>
      </c>
      <c r="G189" s="159">
        <f>(G183*70%)+(H183*55%)+(I183*40%)+(J183*30%)+(K183*20%)</f>
        <v>84.594992611175982</v>
      </c>
    </row>
    <row r="192" spans="1:14">
      <c r="B192" s="314" t="s">
        <v>420</v>
      </c>
      <c r="C192" s="314"/>
      <c r="D192" s="314"/>
      <c r="E192" s="314"/>
      <c r="F192" s="314"/>
      <c r="G192" s="314"/>
      <c r="H192" s="314"/>
      <c r="I192" s="314"/>
    </row>
    <row r="193" spans="2:9">
      <c r="B193" s="315" t="s">
        <v>186</v>
      </c>
      <c r="C193" s="315" t="s">
        <v>187</v>
      </c>
      <c r="D193" s="315" t="s">
        <v>188</v>
      </c>
      <c r="E193" s="315" t="s">
        <v>189</v>
      </c>
      <c r="F193" s="315"/>
      <c r="G193" s="315"/>
      <c r="H193" s="315"/>
      <c r="I193" s="315"/>
    </row>
    <row r="194" spans="2:9" ht="28.8">
      <c r="B194" s="315"/>
      <c r="C194" s="315"/>
      <c r="D194" s="315"/>
      <c r="E194" s="148" t="s">
        <v>190</v>
      </c>
      <c r="F194" s="148" t="s">
        <v>191</v>
      </c>
      <c r="G194" s="148" t="s">
        <v>192</v>
      </c>
      <c r="H194" s="148" t="s">
        <v>99</v>
      </c>
      <c r="I194" s="148" t="s">
        <v>98</v>
      </c>
    </row>
    <row r="195" spans="2:9">
      <c r="B195" s="152" t="s">
        <v>193</v>
      </c>
      <c r="C195" s="152" t="s">
        <v>194</v>
      </c>
      <c r="D195" s="153" t="s">
        <v>195</v>
      </c>
      <c r="E195" s="149">
        <v>0</v>
      </c>
      <c r="F195" s="150">
        <v>0.84432949999999996</v>
      </c>
      <c r="G195" s="150">
        <v>0</v>
      </c>
      <c r="H195" s="150">
        <v>0</v>
      </c>
      <c r="I195" s="150">
        <v>0</v>
      </c>
    </row>
    <row r="196" spans="2:9">
      <c r="B196" s="152" t="s">
        <v>193</v>
      </c>
      <c r="C196" s="152" t="s">
        <v>196</v>
      </c>
      <c r="D196" s="153" t="s">
        <v>197</v>
      </c>
      <c r="E196" s="150">
        <v>2.8125281000000002</v>
      </c>
      <c r="F196" s="150">
        <v>0.37505893704647403</v>
      </c>
      <c r="G196" s="150">
        <v>0</v>
      </c>
      <c r="H196" s="150">
        <v>0</v>
      </c>
      <c r="I196" s="150">
        <v>0</v>
      </c>
    </row>
    <row r="197" spans="2:9" ht="28.8">
      <c r="B197" s="152" t="s">
        <v>193</v>
      </c>
      <c r="C197" s="152" t="s">
        <v>198</v>
      </c>
      <c r="D197" s="153" t="s">
        <v>199</v>
      </c>
      <c r="E197" s="150">
        <v>0</v>
      </c>
      <c r="F197" s="150">
        <v>0</v>
      </c>
      <c r="G197" s="150">
        <v>0</v>
      </c>
      <c r="H197" s="150">
        <v>0</v>
      </c>
      <c r="I197" s="150">
        <v>0</v>
      </c>
    </row>
    <row r="198" spans="2:9" ht="43.2">
      <c r="B198" s="152" t="s">
        <v>193</v>
      </c>
      <c r="C198" s="152" t="s">
        <v>200</v>
      </c>
      <c r="D198" s="153" t="s">
        <v>201</v>
      </c>
      <c r="E198" s="150">
        <v>0</v>
      </c>
      <c r="F198" s="150">
        <v>0</v>
      </c>
      <c r="G198" s="150">
        <v>0</v>
      </c>
      <c r="H198" s="150">
        <v>0</v>
      </c>
      <c r="I198" s="150">
        <v>0</v>
      </c>
    </row>
    <row r="199" spans="2:9" ht="28.8">
      <c r="B199" s="152" t="s">
        <v>193</v>
      </c>
      <c r="C199" s="152" t="s">
        <v>202</v>
      </c>
      <c r="D199" s="153" t="s">
        <v>203</v>
      </c>
      <c r="E199" s="150">
        <v>1.2863794</v>
      </c>
      <c r="F199" s="150">
        <v>2.4886358999999998</v>
      </c>
      <c r="G199" s="150">
        <v>0</v>
      </c>
      <c r="H199" s="150">
        <v>0</v>
      </c>
      <c r="I199" s="150">
        <v>0</v>
      </c>
    </row>
    <row r="200" spans="2:9" ht="28.8">
      <c r="B200" s="152" t="s">
        <v>193</v>
      </c>
      <c r="C200" s="152" t="s">
        <v>204</v>
      </c>
      <c r="D200" s="153" t="s">
        <v>205</v>
      </c>
      <c r="E200" s="150">
        <v>5.1208980000000008E-10</v>
      </c>
      <c r="F200" s="150">
        <v>0</v>
      </c>
      <c r="G200" s="150">
        <v>0</v>
      </c>
      <c r="H200" s="150">
        <v>0</v>
      </c>
      <c r="I200" s="150">
        <v>0</v>
      </c>
    </row>
    <row r="201" spans="2:9" ht="43.2">
      <c r="B201" s="152" t="s">
        <v>193</v>
      </c>
      <c r="C201" s="152" t="s">
        <v>206</v>
      </c>
      <c r="D201" s="153" t="s">
        <v>201</v>
      </c>
      <c r="E201" s="150">
        <v>0.36443310000000001</v>
      </c>
      <c r="F201" s="150">
        <v>0</v>
      </c>
      <c r="G201" s="150">
        <v>0</v>
      </c>
      <c r="H201" s="150">
        <v>0</v>
      </c>
      <c r="I201" s="150">
        <v>0</v>
      </c>
    </row>
    <row r="202" spans="2:9" ht="28.8">
      <c r="B202" s="152" t="s">
        <v>193</v>
      </c>
      <c r="C202" s="152" t="s">
        <v>207</v>
      </c>
      <c r="D202" s="153" t="s">
        <v>208</v>
      </c>
      <c r="E202" s="150">
        <v>2.2971225999999998</v>
      </c>
      <c r="F202" s="150">
        <v>0.19399761499999985</v>
      </c>
      <c r="G202" s="150">
        <v>0</v>
      </c>
      <c r="H202" s="150">
        <v>0</v>
      </c>
      <c r="I202" s="150">
        <v>0</v>
      </c>
    </row>
    <row r="203" spans="2:9">
      <c r="B203" s="152" t="s">
        <v>193</v>
      </c>
      <c r="C203" s="152" t="s">
        <v>209</v>
      </c>
      <c r="D203" s="153" t="s">
        <v>210</v>
      </c>
      <c r="E203" s="150">
        <v>0</v>
      </c>
      <c r="F203" s="150">
        <v>0</v>
      </c>
      <c r="G203" s="150">
        <v>0</v>
      </c>
      <c r="H203" s="150">
        <v>-2.6156088580000012</v>
      </c>
      <c r="I203" s="150">
        <v>0</v>
      </c>
    </row>
    <row r="204" spans="2:9" ht="100.8">
      <c r="B204" s="152" t="s">
        <v>193</v>
      </c>
      <c r="C204" s="152" t="s">
        <v>211</v>
      </c>
      <c r="D204" s="153" t="s">
        <v>212</v>
      </c>
      <c r="E204" s="150">
        <v>0</v>
      </c>
      <c r="F204" s="150">
        <v>0.95194102699999994</v>
      </c>
      <c r="G204" s="150">
        <v>0</v>
      </c>
      <c r="H204" s="150">
        <v>0</v>
      </c>
      <c r="I204" s="150">
        <v>0</v>
      </c>
    </row>
    <row r="205" spans="2:9" ht="57.6">
      <c r="B205" s="152" t="s">
        <v>213</v>
      </c>
      <c r="C205" s="152" t="s">
        <v>214</v>
      </c>
      <c r="D205" s="153" t="s">
        <v>215</v>
      </c>
      <c r="E205" s="150">
        <v>0</v>
      </c>
      <c r="F205" s="150">
        <v>0</v>
      </c>
      <c r="G205" s="150">
        <v>-1.9138840879999994</v>
      </c>
      <c r="H205" s="150">
        <v>0</v>
      </c>
      <c r="I205" s="150">
        <v>0</v>
      </c>
    </row>
    <row r="206" spans="2:9" ht="57.6">
      <c r="B206" s="152" t="s">
        <v>213</v>
      </c>
      <c r="C206" s="152" t="s">
        <v>216</v>
      </c>
      <c r="D206" s="153" t="s">
        <v>217</v>
      </c>
      <c r="E206" s="150">
        <v>0</v>
      </c>
      <c r="F206" s="150">
        <v>0</v>
      </c>
      <c r="G206" s="150">
        <v>0</v>
      </c>
      <c r="H206" s="150">
        <v>0</v>
      </c>
      <c r="I206" s="150">
        <v>0</v>
      </c>
    </row>
    <row r="207" spans="2:9">
      <c r="B207" s="152" t="s">
        <v>213</v>
      </c>
      <c r="C207" s="152" t="s">
        <v>218</v>
      </c>
      <c r="D207" s="153" t="s">
        <v>219</v>
      </c>
      <c r="E207" s="150">
        <v>0</v>
      </c>
      <c r="F207" s="150">
        <v>34.755665913000001</v>
      </c>
      <c r="G207" s="150">
        <v>0</v>
      </c>
      <c r="H207" s="150">
        <v>0</v>
      </c>
      <c r="I207" s="150">
        <v>0</v>
      </c>
    </row>
    <row r="208" spans="2:9" ht="43.2">
      <c r="B208" s="152" t="s">
        <v>213</v>
      </c>
      <c r="C208" s="152" t="s">
        <v>220</v>
      </c>
      <c r="D208" s="153" t="s">
        <v>221</v>
      </c>
      <c r="E208" s="150">
        <v>0</v>
      </c>
      <c r="F208" s="150">
        <v>0</v>
      </c>
      <c r="G208" s="150">
        <v>0</v>
      </c>
      <c r="H208" s="150">
        <v>0</v>
      </c>
      <c r="I208" s="150">
        <v>1.316238</v>
      </c>
    </row>
    <row r="209" spans="2:9" ht="57.6">
      <c r="B209" s="152" t="s">
        <v>213</v>
      </c>
      <c r="C209" s="152" t="s">
        <v>222</v>
      </c>
      <c r="D209" s="153" t="s">
        <v>215</v>
      </c>
      <c r="E209" s="150">
        <v>2.3514749999999998</v>
      </c>
      <c r="F209" s="150">
        <v>7.2818325979999976</v>
      </c>
      <c r="G209" s="150">
        <v>0.6763593</v>
      </c>
      <c r="H209" s="150">
        <v>9.0649429999999995</v>
      </c>
      <c r="I209" s="150">
        <v>0</v>
      </c>
    </row>
    <row r="210" spans="2:9" ht="43.2">
      <c r="B210" s="152" t="s">
        <v>213</v>
      </c>
      <c r="C210" s="152" t="s">
        <v>223</v>
      </c>
      <c r="D210" s="153" t="s">
        <v>224</v>
      </c>
      <c r="E210" s="150">
        <v>0</v>
      </c>
      <c r="F210" s="150">
        <v>0</v>
      </c>
      <c r="G210" s="150">
        <v>0</v>
      </c>
      <c r="H210" s="150">
        <v>0</v>
      </c>
      <c r="I210" s="150">
        <v>0</v>
      </c>
    </row>
    <row r="211" spans="2:9" ht="57.6">
      <c r="B211" s="152" t="s">
        <v>213</v>
      </c>
      <c r="C211" s="152" t="s">
        <v>225</v>
      </c>
      <c r="D211" s="153" t="s">
        <v>215</v>
      </c>
      <c r="E211" s="150">
        <v>0</v>
      </c>
      <c r="F211" s="150">
        <v>0</v>
      </c>
      <c r="G211" s="150">
        <v>0</v>
      </c>
      <c r="H211" s="150">
        <v>0</v>
      </c>
      <c r="I211" s="150">
        <v>0</v>
      </c>
    </row>
    <row r="212" spans="2:9" ht="57.6">
      <c r="B212" s="152" t="s">
        <v>213</v>
      </c>
      <c r="C212" s="152" t="s">
        <v>226</v>
      </c>
      <c r="D212" s="153" t="s">
        <v>215</v>
      </c>
      <c r="E212" s="150">
        <v>0.4420808</v>
      </c>
      <c r="F212" s="150">
        <v>0</v>
      </c>
      <c r="G212" s="150">
        <v>2.32254E-2</v>
      </c>
      <c r="H212" s="150">
        <v>0</v>
      </c>
      <c r="I212" s="150">
        <v>0</v>
      </c>
    </row>
    <row r="213" spans="2:9">
      <c r="B213" s="152" t="s">
        <v>213</v>
      </c>
      <c r="C213" s="152" t="s">
        <v>226</v>
      </c>
      <c r="D213" s="153" t="s">
        <v>227</v>
      </c>
      <c r="E213" s="150">
        <v>0</v>
      </c>
      <c r="F213" s="150">
        <v>1.4999999999999999E-2</v>
      </c>
      <c r="G213" s="150">
        <v>5.3313199999999998E-2</v>
      </c>
      <c r="H213" s="150">
        <v>0</v>
      </c>
      <c r="I213" s="150">
        <v>0</v>
      </c>
    </row>
    <row r="214" spans="2:9">
      <c r="B214" s="152" t="s">
        <v>213</v>
      </c>
      <c r="C214" s="152" t="s">
        <v>228</v>
      </c>
      <c r="D214" s="153" t="s">
        <v>229</v>
      </c>
      <c r="E214" s="150">
        <v>4.5302755000000001</v>
      </c>
      <c r="F214" s="150">
        <v>6.4876342860000005</v>
      </c>
      <c r="G214" s="150">
        <v>0</v>
      </c>
      <c r="H214" s="150">
        <v>0</v>
      </c>
      <c r="I214" s="150">
        <v>0</v>
      </c>
    </row>
    <row r="215" spans="2:9" ht="57.6">
      <c r="B215" s="152" t="s">
        <v>213</v>
      </c>
      <c r="C215" s="152" t="s">
        <v>230</v>
      </c>
      <c r="D215" s="153" t="s">
        <v>217</v>
      </c>
      <c r="E215" s="150">
        <v>0</v>
      </c>
      <c r="F215" s="150">
        <v>0</v>
      </c>
      <c r="G215" s="150">
        <v>0</v>
      </c>
      <c r="H215" s="150">
        <v>0</v>
      </c>
      <c r="I215" s="150">
        <v>0</v>
      </c>
    </row>
    <row r="216" spans="2:9" ht="57.6">
      <c r="B216" s="152" t="s">
        <v>213</v>
      </c>
      <c r="C216" s="152" t="s">
        <v>231</v>
      </c>
      <c r="D216" s="153" t="s">
        <v>217</v>
      </c>
      <c r="E216" s="150">
        <v>24.684281599999998</v>
      </c>
      <c r="F216" s="150">
        <v>6.4557019000000002</v>
      </c>
      <c r="G216" s="150">
        <v>0</v>
      </c>
      <c r="H216" s="150">
        <v>0</v>
      </c>
      <c r="I216" s="150">
        <v>0</v>
      </c>
    </row>
    <row r="217" spans="2:9">
      <c r="B217" s="152" t="s">
        <v>213</v>
      </c>
      <c r="C217" s="152" t="s">
        <v>232</v>
      </c>
      <c r="D217" s="153" t="s">
        <v>229</v>
      </c>
      <c r="E217" s="150">
        <v>4.9999999999999998E-7</v>
      </c>
      <c r="F217" s="150">
        <v>0</v>
      </c>
      <c r="G217" s="150">
        <v>0</v>
      </c>
      <c r="H217" s="150">
        <v>0</v>
      </c>
      <c r="I217" s="150">
        <v>0</v>
      </c>
    </row>
    <row r="218" spans="2:9" ht="43.2">
      <c r="B218" s="152" t="s">
        <v>213</v>
      </c>
      <c r="C218" s="152" t="s">
        <v>233</v>
      </c>
      <c r="D218" s="153" t="s">
        <v>234</v>
      </c>
      <c r="E218" s="150">
        <v>0</v>
      </c>
      <c r="F218" s="150">
        <v>0</v>
      </c>
      <c r="G218" s="150">
        <v>0</v>
      </c>
      <c r="H218" s="150">
        <v>0</v>
      </c>
      <c r="I218" s="150">
        <v>0</v>
      </c>
    </row>
    <row r="219" spans="2:9" ht="28.8">
      <c r="B219" s="152" t="s">
        <v>213</v>
      </c>
      <c r="C219" s="152" t="s">
        <v>235</v>
      </c>
      <c r="D219" s="153" t="s">
        <v>236</v>
      </c>
      <c r="E219" s="150">
        <v>0</v>
      </c>
      <c r="F219" s="150">
        <v>0</v>
      </c>
      <c r="G219" s="150">
        <v>0</v>
      </c>
      <c r="H219" s="150">
        <v>0</v>
      </c>
      <c r="I219" s="150">
        <v>0</v>
      </c>
    </row>
    <row r="220" spans="2:9" ht="43.2">
      <c r="B220" s="152" t="s">
        <v>213</v>
      </c>
      <c r="C220" s="152" t="s">
        <v>237</v>
      </c>
      <c r="D220" s="153" t="s">
        <v>238</v>
      </c>
      <c r="E220" s="150">
        <v>0</v>
      </c>
      <c r="F220" s="150">
        <v>0</v>
      </c>
      <c r="G220" s="150">
        <v>0</v>
      </c>
      <c r="H220" s="150">
        <v>0</v>
      </c>
      <c r="I220" s="150">
        <v>0</v>
      </c>
    </row>
    <row r="221" spans="2:9">
      <c r="B221" s="152" t="s">
        <v>239</v>
      </c>
      <c r="C221" s="152" t="s">
        <v>240</v>
      </c>
      <c r="D221" s="153" t="s">
        <v>240</v>
      </c>
      <c r="E221" s="150">
        <v>0</v>
      </c>
      <c r="F221" s="150">
        <v>0</v>
      </c>
      <c r="G221" s="150">
        <v>0</v>
      </c>
      <c r="H221" s="150">
        <v>0</v>
      </c>
      <c r="I221" s="150">
        <v>0</v>
      </c>
    </row>
    <row r="222" spans="2:9">
      <c r="B222" s="152" t="s">
        <v>239</v>
      </c>
      <c r="C222" s="152" t="s">
        <v>241</v>
      </c>
      <c r="D222" s="153" t="s">
        <v>242</v>
      </c>
      <c r="E222" s="150">
        <v>0</v>
      </c>
      <c r="F222" s="150">
        <v>0</v>
      </c>
      <c r="G222" s="150">
        <v>0</v>
      </c>
      <c r="H222" s="150">
        <v>0</v>
      </c>
      <c r="I222" s="150">
        <v>0</v>
      </c>
    </row>
    <row r="223" spans="2:9" ht="57.6">
      <c r="B223" s="152" t="s">
        <v>239</v>
      </c>
      <c r="C223" s="152" t="s">
        <v>243</v>
      </c>
      <c r="D223" s="153" t="s">
        <v>244</v>
      </c>
      <c r="E223" s="150">
        <v>0</v>
      </c>
      <c r="F223" s="150">
        <v>-5.20838E-2</v>
      </c>
      <c r="G223" s="150">
        <v>0</v>
      </c>
      <c r="H223" s="150">
        <v>0</v>
      </c>
      <c r="I223" s="150">
        <v>0</v>
      </c>
    </row>
    <row r="224" spans="2:9">
      <c r="B224" s="152" t="s">
        <v>239</v>
      </c>
      <c r="C224" s="152" t="s">
        <v>245</v>
      </c>
      <c r="D224" s="153" t="s">
        <v>246</v>
      </c>
      <c r="E224" s="150">
        <v>0</v>
      </c>
      <c r="F224" s="150">
        <v>0</v>
      </c>
      <c r="G224" s="150">
        <v>12.02605638</v>
      </c>
      <c r="H224" s="150">
        <v>0</v>
      </c>
      <c r="I224" s="150">
        <v>0</v>
      </c>
    </row>
    <row r="225" spans="2:9">
      <c r="B225" s="152" t="s">
        <v>239</v>
      </c>
      <c r="C225" s="152" t="s">
        <v>247</v>
      </c>
      <c r="D225" s="153" t="s">
        <v>248</v>
      </c>
      <c r="E225" s="150">
        <v>0.44745121400000004</v>
      </c>
      <c r="F225" s="150">
        <v>0</v>
      </c>
      <c r="G225" s="150">
        <v>0</v>
      </c>
      <c r="H225" s="150">
        <v>0</v>
      </c>
      <c r="I225" s="150">
        <v>0</v>
      </c>
    </row>
    <row r="226" spans="2:9">
      <c r="B226" s="152" t="s">
        <v>239</v>
      </c>
      <c r="C226" s="152" t="s">
        <v>249</v>
      </c>
      <c r="D226" s="153" t="s">
        <v>250</v>
      </c>
      <c r="E226" s="150">
        <v>8.9371735833333297</v>
      </c>
      <c r="F226" s="150">
        <v>1.7874346833333299</v>
      </c>
      <c r="G226" s="150">
        <v>0</v>
      </c>
      <c r="H226" s="150">
        <v>0</v>
      </c>
      <c r="I226" s="150">
        <v>0</v>
      </c>
    </row>
    <row r="227" spans="2:9">
      <c r="B227" s="152" t="s">
        <v>239</v>
      </c>
      <c r="C227" s="152" t="s">
        <v>251</v>
      </c>
      <c r="D227" s="153" t="s">
        <v>248</v>
      </c>
      <c r="E227" s="150">
        <v>0.83837539999999999</v>
      </c>
      <c r="F227" s="150">
        <v>0</v>
      </c>
      <c r="G227" s="150">
        <v>0</v>
      </c>
      <c r="H227" s="150">
        <v>0</v>
      </c>
      <c r="I227" s="150">
        <v>0</v>
      </c>
    </row>
    <row r="228" spans="2:9">
      <c r="B228" s="152" t="s">
        <v>239</v>
      </c>
      <c r="C228" s="152" t="s">
        <v>252</v>
      </c>
      <c r="D228" s="153" t="s">
        <v>250</v>
      </c>
      <c r="E228" s="150">
        <v>0</v>
      </c>
      <c r="F228" s="150">
        <v>0</v>
      </c>
      <c r="G228" s="150">
        <v>0</v>
      </c>
      <c r="H228" s="150">
        <v>23.464363200000001</v>
      </c>
      <c r="I228" s="150">
        <v>0</v>
      </c>
    </row>
    <row r="229" spans="2:9">
      <c r="B229" s="152" t="s">
        <v>239</v>
      </c>
      <c r="C229" s="152" t="s">
        <v>253</v>
      </c>
      <c r="D229" s="153" t="s">
        <v>250</v>
      </c>
      <c r="E229" s="150">
        <v>0</v>
      </c>
      <c r="F229" s="150">
        <v>0</v>
      </c>
      <c r="G229" s="150">
        <v>0</v>
      </c>
      <c r="H229" s="150">
        <v>0</v>
      </c>
      <c r="I229" s="150">
        <v>0</v>
      </c>
    </row>
    <row r="230" spans="2:9">
      <c r="B230" s="152" t="s">
        <v>239</v>
      </c>
      <c r="C230" s="152" t="s">
        <v>254</v>
      </c>
      <c r="D230" s="153" t="s">
        <v>246</v>
      </c>
      <c r="E230" s="150">
        <v>0</v>
      </c>
      <c r="F230" s="150">
        <v>0</v>
      </c>
      <c r="G230" s="150">
        <v>0.46474947500000002</v>
      </c>
      <c r="H230" s="150">
        <v>0</v>
      </c>
      <c r="I230" s="150">
        <v>0</v>
      </c>
    </row>
    <row r="231" spans="2:9" ht="57.6">
      <c r="B231" s="152" t="s">
        <v>239</v>
      </c>
      <c r="C231" s="152" t="s">
        <v>255</v>
      </c>
      <c r="D231" s="153" t="s">
        <v>256</v>
      </c>
      <c r="E231" s="150">
        <v>5.4716396299999994</v>
      </c>
      <c r="F231" s="150">
        <v>0</v>
      </c>
      <c r="G231" s="150">
        <v>0</v>
      </c>
      <c r="H231" s="150">
        <v>0</v>
      </c>
      <c r="I231" s="150">
        <v>0</v>
      </c>
    </row>
    <row r="232" spans="2:9" ht="57.6">
      <c r="B232" s="152" t="s">
        <v>239</v>
      </c>
      <c r="C232" s="152" t="s">
        <v>257</v>
      </c>
      <c r="D232" s="153" t="s">
        <v>258</v>
      </c>
      <c r="E232" s="150">
        <v>0</v>
      </c>
      <c r="F232" s="150">
        <v>0</v>
      </c>
      <c r="G232" s="150">
        <v>-0.46443535700000005</v>
      </c>
      <c r="H232" s="150">
        <v>0</v>
      </c>
      <c r="I232" s="150">
        <v>0</v>
      </c>
    </row>
    <row r="233" spans="2:9">
      <c r="B233" s="152" t="s">
        <v>239</v>
      </c>
      <c r="C233" s="152" t="s">
        <v>259</v>
      </c>
      <c r="D233" s="153" t="s">
        <v>246</v>
      </c>
      <c r="E233" s="150">
        <v>0</v>
      </c>
      <c r="F233" s="150">
        <v>2.8367390000000001</v>
      </c>
      <c r="G233" s="150">
        <v>0</v>
      </c>
      <c r="H233" s="150">
        <v>0</v>
      </c>
      <c r="I233" s="150">
        <v>0</v>
      </c>
    </row>
    <row r="234" spans="2:9" ht="57.6">
      <c r="B234" s="152" t="s">
        <v>239</v>
      </c>
      <c r="C234" s="152" t="s">
        <v>260</v>
      </c>
      <c r="D234" s="153" t="s">
        <v>261</v>
      </c>
      <c r="E234" s="150">
        <v>0</v>
      </c>
      <c r="F234" s="150">
        <v>-1.905E-3</v>
      </c>
      <c r="G234" s="150">
        <v>0</v>
      </c>
      <c r="H234" s="150">
        <v>0</v>
      </c>
      <c r="I234" s="150">
        <v>0</v>
      </c>
    </row>
    <row r="235" spans="2:9" ht="57.6">
      <c r="B235" s="152" t="s">
        <v>239</v>
      </c>
      <c r="C235" s="152" t="s">
        <v>262</v>
      </c>
      <c r="D235" s="153" t="s">
        <v>261</v>
      </c>
      <c r="E235" s="150">
        <v>0</v>
      </c>
      <c r="F235" s="150">
        <v>0</v>
      </c>
      <c r="G235" s="150">
        <v>0.141292375</v>
      </c>
      <c r="H235" s="150">
        <v>0</v>
      </c>
      <c r="I235" s="150">
        <v>0</v>
      </c>
    </row>
    <row r="236" spans="2:9" ht="57.6">
      <c r="B236" s="152" t="s">
        <v>239</v>
      </c>
      <c r="C236" s="152" t="s">
        <v>263</v>
      </c>
      <c r="D236" s="153" t="s">
        <v>261</v>
      </c>
      <c r="E236" s="150">
        <v>0</v>
      </c>
      <c r="F236" s="150">
        <v>0.23096114100000001</v>
      </c>
      <c r="G236" s="150">
        <v>0</v>
      </c>
      <c r="H236" s="150">
        <v>0</v>
      </c>
      <c r="I236" s="150">
        <v>0</v>
      </c>
    </row>
    <row r="237" spans="2:9" ht="43.2">
      <c r="B237" s="152" t="s">
        <v>239</v>
      </c>
      <c r="C237" s="152" t="s">
        <v>264</v>
      </c>
      <c r="D237" s="153" t="s">
        <v>265</v>
      </c>
      <c r="E237" s="150">
        <v>0</v>
      </c>
      <c r="F237" s="150">
        <v>0</v>
      </c>
      <c r="G237" s="150">
        <v>0</v>
      </c>
      <c r="H237" s="150">
        <v>0</v>
      </c>
      <c r="I237" s="150">
        <v>0</v>
      </c>
    </row>
    <row r="238" spans="2:9" ht="43.2">
      <c r="B238" s="152" t="s">
        <v>239</v>
      </c>
      <c r="C238" s="152" t="s">
        <v>266</v>
      </c>
      <c r="D238" s="153" t="s">
        <v>265</v>
      </c>
      <c r="E238" s="150">
        <v>0</v>
      </c>
      <c r="F238" s="150">
        <v>0</v>
      </c>
      <c r="G238" s="150">
        <v>0</v>
      </c>
      <c r="H238" s="150">
        <v>0</v>
      </c>
      <c r="I238" s="150">
        <v>0</v>
      </c>
    </row>
    <row r="239" spans="2:9" ht="43.2">
      <c r="B239" s="152" t="s">
        <v>239</v>
      </c>
      <c r="C239" s="152" t="s">
        <v>267</v>
      </c>
      <c r="D239" s="153" t="s">
        <v>265</v>
      </c>
      <c r="E239" s="150">
        <v>0</v>
      </c>
      <c r="F239" s="150">
        <v>0</v>
      </c>
      <c r="G239" s="150">
        <v>0</v>
      </c>
      <c r="H239" s="150">
        <v>0</v>
      </c>
      <c r="I239" s="150">
        <v>0</v>
      </c>
    </row>
    <row r="240" spans="2:9" ht="43.2">
      <c r="B240" s="152" t="s">
        <v>239</v>
      </c>
      <c r="C240" s="152" t="s">
        <v>268</v>
      </c>
      <c r="D240" s="153" t="s">
        <v>265</v>
      </c>
      <c r="E240" s="150">
        <v>0</v>
      </c>
      <c r="F240" s="150">
        <v>0</v>
      </c>
      <c r="G240" s="150">
        <v>-2.7705799999999999E-2</v>
      </c>
      <c r="H240" s="150">
        <v>0</v>
      </c>
      <c r="I240" s="150">
        <v>0</v>
      </c>
    </row>
    <row r="241" spans="2:9" ht="43.2">
      <c r="B241" s="152" t="s">
        <v>239</v>
      </c>
      <c r="C241" s="152" t="s">
        <v>269</v>
      </c>
      <c r="D241" s="153" t="s">
        <v>265</v>
      </c>
      <c r="E241" s="150">
        <v>0</v>
      </c>
      <c r="F241" s="150">
        <v>0</v>
      </c>
      <c r="G241" s="150">
        <v>8.5630399999999995E-2</v>
      </c>
      <c r="H241" s="150">
        <v>0</v>
      </c>
      <c r="I241" s="150">
        <v>0</v>
      </c>
    </row>
    <row r="242" spans="2:9" ht="43.2">
      <c r="B242" s="152" t="s">
        <v>239</v>
      </c>
      <c r="C242" s="152" t="s">
        <v>270</v>
      </c>
      <c r="D242" s="153" t="s">
        <v>265</v>
      </c>
      <c r="E242" s="150">
        <v>0</v>
      </c>
      <c r="F242" s="150">
        <v>0</v>
      </c>
      <c r="G242" s="150">
        <v>0</v>
      </c>
      <c r="H242" s="150">
        <v>0</v>
      </c>
      <c r="I242" s="150">
        <v>0</v>
      </c>
    </row>
    <row r="243" spans="2:9">
      <c r="B243" s="152" t="s">
        <v>271</v>
      </c>
      <c r="C243" s="152" t="s">
        <v>272</v>
      </c>
      <c r="D243" s="153" t="s">
        <v>273</v>
      </c>
      <c r="E243" s="150">
        <v>0</v>
      </c>
      <c r="F243" s="150">
        <v>0</v>
      </c>
      <c r="G243" s="150">
        <v>0</v>
      </c>
      <c r="H243" s="150">
        <v>0</v>
      </c>
      <c r="I243" s="150">
        <v>0</v>
      </c>
    </row>
    <row r="244" spans="2:9">
      <c r="B244" s="152" t="s">
        <v>271</v>
      </c>
      <c r="C244" s="152" t="s">
        <v>274</v>
      </c>
      <c r="D244" s="153" t="s">
        <v>274</v>
      </c>
      <c r="E244" s="150">
        <v>0</v>
      </c>
      <c r="F244" s="150">
        <v>0</v>
      </c>
      <c r="G244" s="150">
        <v>0</v>
      </c>
      <c r="H244" s="150">
        <v>0</v>
      </c>
      <c r="I244" s="150">
        <v>0</v>
      </c>
    </row>
    <row r="245" spans="2:9" ht="28.8">
      <c r="B245" s="152" t="s">
        <v>271</v>
      </c>
      <c r="C245" s="152" t="s">
        <v>275</v>
      </c>
      <c r="D245" s="153" t="s">
        <v>276</v>
      </c>
      <c r="E245" s="150">
        <v>0</v>
      </c>
      <c r="F245" s="150">
        <v>0</v>
      </c>
      <c r="G245" s="150">
        <v>-6.2299999999999996E-5</v>
      </c>
      <c r="H245" s="150">
        <v>0</v>
      </c>
      <c r="I245" s="150">
        <v>0</v>
      </c>
    </row>
    <row r="246" spans="2:9">
      <c r="B246" s="152" t="s">
        <v>271</v>
      </c>
      <c r="C246" s="152" t="s">
        <v>277</v>
      </c>
      <c r="D246" s="153" t="s">
        <v>278</v>
      </c>
      <c r="E246" s="150">
        <v>0</v>
      </c>
      <c r="F246" s="150">
        <v>0</v>
      </c>
      <c r="G246" s="150">
        <v>0</v>
      </c>
      <c r="H246" s="150">
        <v>0</v>
      </c>
      <c r="I246" s="150">
        <v>0</v>
      </c>
    </row>
    <row r="247" spans="2:9">
      <c r="B247" s="152" t="s">
        <v>271</v>
      </c>
      <c r="C247" s="152" t="s">
        <v>279</v>
      </c>
      <c r="D247" s="153" t="s">
        <v>278</v>
      </c>
      <c r="E247" s="150">
        <v>0</v>
      </c>
      <c r="F247" s="150">
        <v>0</v>
      </c>
      <c r="G247" s="150">
        <v>0</v>
      </c>
      <c r="H247" s="150">
        <v>0</v>
      </c>
      <c r="I247" s="150">
        <v>0</v>
      </c>
    </row>
    <row r="248" spans="2:9" ht="28.8">
      <c r="B248" s="152" t="s">
        <v>271</v>
      </c>
      <c r="C248" s="152" t="s">
        <v>280</v>
      </c>
      <c r="D248" s="153" t="s">
        <v>276</v>
      </c>
      <c r="E248" s="150">
        <v>-8.0637600000000004E-2</v>
      </c>
      <c r="F248" s="150">
        <v>0</v>
      </c>
      <c r="G248" s="150">
        <v>0</v>
      </c>
      <c r="H248" s="150">
        <v>0</v>
      </c>
      <c r="I248" s="150">
        <v>0</v>
      </c>
    </row>
    <row r="249" spans="2:9" ht="28.8">
      <c r="B249" s="152" t="s">
        <v>271</v>
      </c>
      <c r="C249" s="152" t="s">
        <v>281</v>
      </c>
      <c r="D249" s="153" t="s">
        <v>276</v>
      </c>
      <c r="E249" s="150">
        <v>0.58260820000000002</v>
      </c>
      <c r="F249" s="150">
        <v>0</v>
      </c>
      <c r="G249" s="150">
        <v>0</v>
      </c>
      <c r="H249" s="150">
        <v>0</v>
      </c>
      <c r="I249" s="150">
        <v>0</v>
      </c>
    </row>
    <row r="250" spans="2:9">
      <c r="B250" s="152" t="s">
        <v>271</v>
      </c>
      <c r="C250" s="152" t="s">
        <v>282</v>
      </c>
      <c r="D250" s="153" t="s">
        <v>283</v>
      </c>
      <c r="E250" s="150">
        <v>0</v>
      </c>
      <c r="F250" s="150">
        <v>0</v>
      </c>
      <c r="G250" s="150">
        <v>0</v>
      </c>
      <c r="H250" s="150">
        <v>0</v>
      </c>
      <c r="I250" s="150">
        <v>0</v>
      </c>
    </row>
    <row r="251" spans="2:9" ht="28.8">
      <c r="B251" s="152" t="s">
        <v>271</v>
      </c>
      <c r="C251" s="152" t="s">
        <v>284</v>
      </c>
      <c r="D251" s="153" t="s">
        <v>285</v>
      </c>
      <c r="E251" s="150">
        <v>0</v>
      </c>
      <c r="F251" s="150">
        <v>0</v>
      </c>
      <c r="G251" s="150">
        <v>0</v>
      </c>
      <c r="H251" s="150">
        <v>0</v>
      </c>
      <c r="I251" s="150">
        <v>0</v>
      </c>
    </row>
    <row r="252" spans="2:9" ht="43.2">
      <c r="B252" s="152" t="s">
        <v>271</v>
      </c>
      <c r="C252" s="152" t="s">
        <v>286</v>
      </c>
      <c r="D252" s="153" t="s">
        <v>287</v>
      </c>
      <c r="E252" s="150">
        <v>0.23412749999999999</v>
      </c>
      <c r="F252" s="150">
        <v>0</v>
      </c>
      <c r="G252" s="150">
        <v>0.2</v>
      </c>
      <c r="H252" s="150">
        <v>0</v>
      </c>
      <c r="I252" s="150">
        <v>0</v>
      </c>
    </row>
    <row r="253" spans="2:9" ht="28.8">
      <c r="B253" s="152" t="s">
        <v>271</v>
      </c>
      <c r="C253" s="152" t="s">
        <v>288</v>
      </c>
      <c r="D253" s="153" t="s">
        <v>289</v>
      </c>
      <c r="E253" s="150">
        <v>0</v>
      </c>
      <c r="F253" s="150">
        <v>0</v>
      </c>
      <c r="G253" s="150">
        <v>0.12815779999999999</v>
      </c>
      <c r="H253" s="150">
        <v>0</v>
      </c>
      <c r="I253" s="150">
        <v>0</v>
      </c>
    </row>
    <row r="254" spans="2:9" ht="28.8">
      <c r="B254" s="152" t="s">
        <v>271</v>
      </c>
      <c r="C254" s="152" t="s">
        <v>290</v>
      </c>
      <c r="D254" s="153" t="s">
        <v>291</v>
      </c>
      <c r="E254" s="150">
        <v>0</v>
      </c>
      <c r="F254" s="150">
        <v>9.7881624E-2</v>
      </c>
      <c r="G254" s="150">
        <v>0</v>
      </c>
      <c r="H254" s="150">
        <v>0</v>
      </c>
      <c r="I254" s="150">
        <v>0</v>
      </c>
    </row>
    <row r="255" spans="2:9" ht="28.8">
      <c r="B255" s="152" t="s">
        <v>271</v>
      </c>
      <c r="C255" s="152" t="s">
        <v>292</v>
      </c>
      <c r="D255" s="153" t="s">
        <v>293</v>
      </c>
      <c r="E255" s="150">
        <v>0</v>
      </c>
      <c r="F255" s="150">
        <v>7.3882610000000001E-2</v>
      </c>
      <c r="G255" s="150">
        <v>0</v>
      </c>
      <c r="H255" s="150">
        <v>0</v>
      </c>
      <c r="I255" s="150">
        <v>0</v>
      </c>
    </row>
    <row r="256" spans="2:9">
      <c r="B256" s="152" t="s">
        <v>271</v>
      </c>
      <c r="C256" s="152" t="s">
        <v>294</v>
      </c>
      <c r="D256" s="153" t="s">
        <v>278</v>
      </c>
      <c r="E256" s="150">
        <v>0</v>
      </c>
      <c r="F256" s="150">
        <v>0</v>
      </c>
      <c r="G256" s="150">
        <v>0</v>
      </c>
      <c r="H256" s="150">
        <v>0</v>
      </c>
      <c r="I256" s="150">
        <v>0</v>
      </c>
    </row>
    <row r="257" spans="2:9" ht="28.8">
      <c r="B257" s="152" t="s">
        <v>271</v>
      </c>
      <c r="C257" s="152" t="s">
        <v>295</v>
      </c>
      <c r="D257" s="153" t="s">
        <v>296</v>
      </c>
      <c r="E257" s="150">
        <v>0</v>
      </c>
      <c r="F257" s="150">
        <v>0</v>
      </c>
      <c r="G257" s="150">
        <v>0.67890470000000003</v>
      </c>
      <c r="H257" s="150">
        <v>0</v>
      </c>
      <c r="I257" s="150">
        <v>0</v>
      </c>
    </row>
    <row r="258" spans="2:9">
      <c r="B258" s="152" t="s">
        <v>271</v>
      </c>
      <c r="C258" s="152" t="s">
        <v>297</v>
      </c>
      <c r="D258" s="153" t="s">
        <v>278</v>
      </c>
      <c r="E258" s="150">
        <v>0</v>
      </c>
      <c r="F258" s="150">
        <v>0</v>
      </c>
      <c r="G258" s="150">
        <v>0</v>
      </c>
      <c r="H258" s="150">
        <v>0</v>
      </c>
      <c r="I258" s="150">
        <v>0</v>
      </c>
    </row>
    <row r="259" spans="2:9">
      <c r="B259" s="152" t="s">
        <v>271</v>
      </c>
      <c r="C259" s="152" t="s">
        <v>298</v>
      </c>
      <c r="D259" s="153" t="s">
        <v>299</v>
      </c>
      <c r="E259" s="150">
        <v>0</v>
      </c>
      <c r="F259" s="150">
        <v>0</v>
      </c>
      <c r="G259" s="150">
        <v>0</v>
      </c>
      <c r="H259" s="150">
        <v>0</v>
      </c>
      <c r="I259" s="150">
        <v>0</v>
      </c>
    </row>
    <row r="260" spans="2:9" ht="28.8">
      <c r="B260" s="152" t="s">
        <v>271</v>
      </c>
      <c r="C260" s="152" t="s">
        <v>300</v>
      </c>
      <c r="D260" s="153" t="s">
        <v>301</v>
      </c>
      <c r="E260" s="150">
        <v>0</v>
      </c>
      <c r="F260" s="150">
        <v>0</v>
      </c>
      <c r="G260" s="150">
        <v>0</v>
      </c>
      <c r="H260" s="150">
        <v>0</v>
      </c>
      <c r="I260" s="150">
        <v>0</v>
      </c>
    </row>
    <row r="261" spans="2:9" ht="28.8">
      <c r="B261" s="152" t="s">
        <v>271</v>
      </c>
      <c r="C261" s="152" t="s">
        <v>302</v>
      </c>
      <c r="D261" s="153" t="s">
        <v>303</v>
      </c>
      <c r="E261" s="150">
        <v>0</v>
      </c>
      <c r="F261" s="150">
        <v>0</v>
      </c>
      <c r="G261" s="150">
        <v>0</v>
      </c>
      <c r="H261" s="150">
        <v>0</v>
      </c>
      <c r="I261" s="150">
        <v>0</v>
      </c>
    </row>
    <row r="262" spans="2:9" ht="28.8">
      <c r="B262" s="152" t="s">
        <v>271</v>
      </c>
      <c r="C262" s="152" t="s">
        <v>304</v>
      </c>
      <c r="D262" s="153" t="s">
        <v>285</v>
      </c>
      <c r="E262" s="150">
        <v>0</v>
      </c>
      <c r="F262" s="150">
        <v>0</v>
      </c>
      <c r="G262" s="150">
        <v>0</v>
      </c>
      <c r="H262" s="150">
        <v>0</v>
      </c>
      <c r="I262" s="150">
        <v>0</v>
      </c>
    </row>
    <row r="263" spans="2:9" ht="28.8">
      <c r="B263" s="152" t="s">
        <v>271</v>
      </c>
      <c r="C263" s="152" t="s">
        <v>305</v>
      </c>
      <c r="D263" s="153" t="s">
        <v>306</v>
      </c>
      <c r="E263" s="150">
        <v>0</v>
      </c>
      <c r="F263" s="150">
        <v>1.9307999999999999E-2</v>
      </c>
      <c r="G263" s="150">
        <v>0</v>
      </c>
      <c r="H263" s="150">
        <v>0</v>
      </c>
      <c r="I263" s="150">
        <v>0</v>
      </c>
    </row>
    <row r="264" spans="2:9" ht="28.8">
      <c r="B264" s="152" t="s">
        <v>271</v>
      </c>
      <c r="C264" s="152" t="s">
        <v>307</v>
      </c>
      <c r="D264" s="153" t="s">
        <v>308</v>
      </c>
      <c r="E264" s="150">
        <v>0</v>
      </c>
      <c r="F264" s="150">
        <v>0</v>
      </c>
      <c r="G264" s="150">
        <v>8.3636013999999995E-2</v>
      </c>
      <c r="H264" s="150">
        <v>0</v>
      </c>
      <c r="I264" s="150">
        <v>0</v>
      </c>
    </row>
    <row r="265" spans="2:9" ht="28.8">
      <c r="B265" s="152" t="s">
        <v>271</v>
      </c>
      <c r="C265" s="152" t="s">
        <v>309</v>
      </c>
      <c r="D265" s="153" t="s">
        <v>289</v>
      </c>
      <c r="E265" s="150">
        <v>0</v>
      </c>
      <c r="F265" s="150">
        <v>0</v>
      </c>
      <c r="G265" s="150">
        <v>0</v>
      </c>
      <c r="H265" s="150">
        <v>0</v>
      </c>
      <c r="I265" s="150">
        <v>0</v>
      </c>
    </row>
    <row r="266" spans="2:9" ht="57.6">
      <c r="B266" s="152" t="s">
        <v>271</v>
      </c>
      <c r="C266" s="152" t="s">
        <v>310</v>
      </c>
      <c r="D266" s="153" t="s">
        <v>311</v>
      </c>
      <c r="E266" s="150">
        <v>0</v>
      </c>
      <c r="F266" s="150">
        <v>0</v>
      </c>
      <c r="G266" s="150">
        <v>0</v>
      </c>
      <c r="H266" s="150">
        <v>0</v>
      </c>
      <c r="I266" s="150">
        <v>0</v>
      </c>
    </row>
    <row r="267" spans="2:9">
      <c r="B267" s="152" t="s">
        <v>271</v>
      </c>
      <c r="C267" s="152" t="s">
        <v>312</v>
      </c>
      <c r="D267" s="153" t="s">
        <v>313</v>
      </c>
      <c r="E267" s="150">
        <v>0</v>
      </c>
      <c r="F267" s="150">
        <v>0</v>
      </c>
      <c r="G267" s="150">
        <v>0</v>
      </c>
      <c r="H267" s="150">
        <v>0</v>
      </c>
      <c r="I267" s="150">
        <v>0</v>
      </c>
    </row>
    <row r="268" spans="2:9">
      <c r="B268" s="152" t="s">
        <v>271</v>
      </c>
      <c r="C268" s="152" t="s">
        <v>314</v>
      </c>
      <c r="D268" s="153" t="s">
        <v>313</v>
      </c>
      <c r="E268" s="150">
        <v>0</v>
      </c>
      <c r="F268" s="150">
        <v>0</v>
      </c>
      <c r="G268" s="150">
        <v>0</v>
      </c>
      <c r="H268" s="150">
        <v>0</v>
      </c>
      <c r="I268" s="150">
        <v>0</v>
      </c>
    </row>
    <row r="269" spans="2:9">
      <c r="B269" s="152" t="s">
        <v>271</v>
      </c>
      <c r="C269" s="152" t="s">
        <v>315</v>
      </c>
      <c r="D269" s="153" t="s">
        <v>313</v>
      </c>
      <c r="E269" s="150">
        <v>0</v>
      </c>
      <c r="F269" s="150">
        <v>0</v>
      </c>
      <c r="G269" s="150">
        <v>0</v>
      </c>
      <c r="H269" s="150">
        <v>0</v>
      </c>
      <c r="I269" s="150">
        <v>0</v>
      </c>
    </row>
    <row r="270" spans="2:9">
      <c r="B270" s="152" t="s">
        <v>271</v>
      </c>
      <c r="C270" s="152" t="s">
        <v>316</v>
      </c>
      <c r="D270" s="153" t="s">
        <v>313</v>
      </c>
      <c r="E270" s="150">
        <v>0</v>
      </c>
      <c r="F270" s="150">
        <v>0</v>
      </c>
      <c r="G270" s="150">
        <v>0</v>
      </c>
      <c r="H270" s="150">
        <v>0</v>
      </c>
      <c r="I270" s="150">
        <v>0</v>
      </c>
    </row>
    <row r="271" spans="2:9">
      <c r="B271" s="152" t="s">
        <v>271</v>
      </c>
      <c r="C271" s="152" t="s">
        <v>317</v>
      </c>
      <c r="D271" s="153" t="s">
        <v>313</v>
      </c>
      <c r="E271" s="150">
        <v>0</v>
      </c>
      <c r="F271" s="150">
        <v>0</v>
      </c>
      <c r="G271" s="150">
        <v>0</v>
      </c>
      <c r="H271" s="150">
        <v>0</v>
      </c>
      <c r="I271" s="150">
        <v>0</v>
      </c>
    </row>
    <row r="272" spans="2:9">
      <c r="B272" s="152" t="s">
        <v>271</v>
      </c>
      <c r="C272" s="152" t="s">
        <v>318</v>
      </c>
      <c r="D272" s="153" t="s">
        <v>313</v>
      </c>
      <c r="E272" s="150">
        <v>0</v>
      </c>
      <c r="F272" s="150">
        <v>0</v>
      </c>
      <c r="G272" s="150">
        <v>0</v>
      </c>
      <c r="H272" s="150">
        <v>0</v>
      </c>
      <c r="I272" s="150">
        <v>0</v>
      </c>
    </row>
    <row r="273" spans="2:9">
      <c r="B273" s="152" t="s">
        <v>271</v>
      </c>
      <c r="C273" s="152" t="s">
        <v>319</v>
      </c>
      <c r="D273" s="153" t="s">
        <v>313</v>
      </c>
      <c r="E273" s="150">
        <v>0</v>
      </c>
      <c r="F273" s="150">
        <v>0</v>
      </c>
      <c r="G273" s="150">
        <v>0</v>
      </c>
      <c r="H273" s="150">
        <v>0</v>
      </c>
      <c r="I273" s="150">
        <v>0</v>
      </c>
    </row>
    <row r="274" spans="2:9">
      <c r="B274" s="152" t="s">
        <v>271</v>
      </c>
      <c r="C274" s="152" t="s">
        <v>320</v>
      </c>
      <c r="D274" s="153" t="s">
        <v>313</v>
      </c>
      <c r="E274" s="150">
        <v>0</v>
      </c>
      <c r="F274" s="150">
        <v>0</v>
      </c>
      <c r="G274" s="150">
        <v>0</v>
      </c>
      <c r="H274" s="150">
        <v>0</v>
      </c>
      <c r="I274" s="150">
        <v>0</v>
      </c>
    </row>
    <row r="275" spans="2:9">
      <c r="B275" s="152" t="s">
        <v>271</v>
      </c>
      <c r="C275" s="152" t="s">
        <v>321</v>
      </c>
      <c r="D275" s="153" t="s">
        <v>313</v>
      </c>
      <c r="E275" s="150">
        <v>0</v>
      </c>
      <c r="F275" s="150">
        <v>0</v>
      </c>
      <c r="G275" s="150">
        <v>0</v>
      </c>
      <c r="H275" s="150">
        <v>0</v>
      </c>
      <c r="I275" s="150">
        <v>0</v>
      </c>
    </row>
    <row r="276" spans="2:9">
      <c r="B276" s="152" t="s">
        <v>271</v>
      </c>
      <c r="C276" s="152" t="s">
        <v>322</v>
      </c>
      <c r="D276" s="153" t="s">
        <v>313</v>
      </c>
      <c r="E276" s="150">
        <v>0</v>
      </c>
      <c r="F276" s="150">
        <v>0</v>
      </c>
      <c r="G276" s="150">
        <v>0</v>
      </c>
      <c r="H276" s="150">
        <v>0</v>
      </c>
      <c r="I276" s="150">
        <v>0</v>
      </c>
    </row>
    <row r="277" spans="2:9">
      <c r="B277" s="152" t="s">
        <v>271</v>
      </c>
      <c r="C277" s="152" t="s">
        <v>323</v>
      </c>
      <c r="D277" s="153" t="s">
        <v>313</v>
      </c>
      <c r="E277" s="150">
        <v>0</v>
      </c>
      <c r="F277" s="150">
        <v>0</v>
      </c>
      <c r="G277" s="150">
        <v>0</v>
      </c>
      <c r="H277" s="150">
        <v>0</v>
      </c>
      <c r="I277" s="150">
        <v>0</v>
      </c>
    </row>
    <row r="278" spans="2:9">
      <c r="B278" s="152" t="s">
        <v>271</v>
      </c>
      <c r="C278" s="152" t="s">
        <v>324</v>
      </c>
      <c r="D278" s="153" t="s">
        <v>313</v>
      </c>
      <c r="E278" s="150">
        <v>0</v>
      </c>
      <c r="F278" s="150">
        <v>0</v>
      </c>
      <c r="G278" s="150">
        <v>0</v>
      </c>
      <c r="H278" s="150">
        <v>0</v>
      </c>
      <c r="I278" s="150">
        <v>0</v>
      </c>
    </row>
    <row r="279" spans="2:9">
      <c r="B279" s="152" t="s">
        <v>271</v>
      </c>
      <c r="C279" s="152" t="s">
        <v>325</v>
      </c>
      <c r="D279" s="153" t="s">
        <v>313</v>
      </c>
      <c r="E279" s="150">
        <v>0</v>
      </c>
      <c r="F279" s="150">
        <v>0</v>
      </c>
      <c r="G279" s="150">
        <v>0</v>
      </c>
      <c r="H279" s="150">
        <v>0</v>
      </c>
      <c r="I279" s="150">
        <v>0</v>
      </c>
    </row>
    <row r="280" spans="2:9">
      <c r="B280" s="152" t="s">
        <v>271</v>
      </c>
      <c r="C280" s="152" t="s">
        <v>326</v>
      </c>
      <c r="D280" s="153" t="s">
        <v>313</v>
      </c>
      <c r="E280" s="150">
        <v>0</v>
      </c>
      <c r="F280" s="150">
        <v>0</v>
      </c>
      <c r="G280" s="150">
        <v>0</v>
      </c>
      <c r="H280" s="150">
        <v>0</v>
      </c>
      <c r="I280" s="150">
        <v>0</v>
      </c>
    </row>
    <row r="281" spans="2:9">
      <c r="B281" s="152" t="s">
        <v>271</v>
      </c>
      <c r="C281" s="152" t="s">
        <v>327</v>
      </c>
      <c r="D281" s="153" t="s">
        <v>313</v>
      </c>
      <c r="E281" s="150">
        <v>0</v>
      </c>
      <c r="F281" s="150">
        <v>0</v>
      </c>
      <c r="G281" s="150">
        <v>0</v>
      </c>
      <c r="H281" s="150">
        <v>0</v>
      </c>
      <c r="I281" s="150">
        <v>0</v>
      </c>
    </row>
    <row r="282" spans="2:9">
      <c r="B282" s="152" t="s">
        <v>271</v>
      </c>
      <c r="C282" s="152" t="s">
        <v>328</v>
      </c>
      <c r="D282" s="153" t="s">
        <v>313</v>
      </c>
      <c r="E282" s="150">
        <v>0</v>
      </c>
      <c r="F282" s="150">
        <v>0</v>
      </c>
      <c r="G282" s="150">
        <v>0</v>
      </c>
      <c r="H282" s="150">
        <v>0</v>
      </c>
      <c r="I282" s="150">
        <v>0</v>
      </c>
    </row>
    <row r="283" spans="2:9">
      <c r="B283" s="152" t="s">
        <v>271</v>
      </c>
      <c r="C283" s="152" t="s">
        <v>329</v>
      </c>
      <c r="D283" s="153" t="s">
        <v>313</v>
      </c>
      <c r="E283" s="150">
        <v>0</v>
      </c>
      <c r="F283" s="150">
        <v>0</v>
      </c>
      <c r="G283" s="150">
        <v>0</v>
      </c>
      <c r="H283" s="150">
        <v>0</v>
      </c>
      <c r="I283" s="150">
        <v>0</v>
      </c>
    </row>
    <row r="284" spans="2:9">
      <c r="B284" s="152" t="s">
        <v>271</v>
      </c>
      <c r="C284" s="152" t="s">
        <v>330</v>
      </c>
      <c r="D284" s="153" t="s">
        <v>313</v>
      </c>
      <c r="E284" s="150">
        <v>0</v>
      </c>
      <c r="F284" s="150">
        <v>0</v>
      </c>
      <c r="G284" s="150">
        <v>0</v>
      </c>
      <c r="H284" s="150">
        <v>0</v>
      </c>
      <c r="I284" s="150">
        <v>0</v>
      </c>
    </row>
    <row r="285" spans="2:9">
      <c r="B285" s="152" t="s">
        <v>271</v>
      </c>
      <c r="C285" s="152" t="s">
        <v>331</v>
      </c>
      <c r="D285" s="153" t="s">
        <v>313</v>
      </c>
      <c r="E285" s="150">
        <v>0</v>
      </c>
      <c r="F285" s="150">
        <v>0</v>
      </c>
      <c r="G285" s="150">
        <v>0</v>
      </c>
      <c r="H285" s="150">
        <v>0</v>
      </c>
      <c r="I285" s="150">
        <v>0</v>
      </c>
    </row>
    <row r="286" spans="2:9">
      <c r="B286" s="152" t="s">
        <v>271</v>
      </c>
      <c r="C286" s="152" t="s">
        <v>332</v>
      </c>
      <c r="D286" s="153" t="s">
        <v>313</v>
      </c>
      <c r="E286" s="150">
        <v>0</v>
      </c>
      <c r="F286" s="150">
        <v>0</v>
      </c>
      <c r="G286" s="150">
        <v>0</v>
      </c>
      <c r="H286" s="150">
        <v>0</v>
      </c>
      <c r="I286" s="150">
        <v>0</v>
      </c>
    </row>
    <row r="287" spans="2:9">
      <c r="B287" s="152" t="s">
        <v>271</v>
      </c>
      <c r="C287" s="152" t="s">
        <v>333</v>
      </c>
      <c r="D287" s="153" t="s">
        <v>313</v>
      </c>
      <c r="E287" s="150">
        <v>0</v>
      </c>
      <c r="F287" s="150">
        <v>0</v>
      </c>
      <c r="G287" s="150">
        <v>0</v>
      </c>
      <c r="H287" s="150">
        <v>0</v>
      </c>
      <c r="I287" s="150">
        <v>0</v>
      </c>
    </row>
    <row r="288" spans="2:9">
      <c r="B288" s="152" t="s">
        <v>271</v>
      </c>
      <c r="C288" s="152" t="s">
        <v>334</v>
      </c>
      <c r="D288" s="153" t="s">
        <v>313</v>
      </c>
      <c r="E288" s="150">
        <v>0</v>
      </c>
      <c r="F288" s="150">
        <v>0</v>
      </c>
      <c r="G288" s="150">
        <v>0</v>
      </c>
      <c r="H288" s="150">
        <v>0</v>
      </c>
      <c r="I288" s="150">
        <v>0</v>
      </c>
    </row>
    <row r="289" spans="2:9">
      <c r="B289" s="152" t="s">
        <v>271</v>
      </c>
      <c r="C289" s="152" t="s">
        <v>335</v>
      </c>
      <c r="D289" s="153" t="s">
        <v>313</v>
      </c>
      <c r="E289" s="150">
        <v>0</v>
      </c>
      <c r="F289" s="150">
        <v>0</v>
      </c>
      <c r="G289" s="150">
        <v>0</v>
      </c>
      <c r="H289" s="150">
        <v>0</v>
      </c>
      <c r="I289" s="150">
        <v>0</v>
      </c>
    </row>
    <row r="290" spans="2:9">
      <c r="B290" s="152" t="s">
        <v>271</v>
      </c>
      <c r="C290" s="152" t="s">
        <v>336</v>
      </c>
      <c r="D290" s="153" t="s">
        <v>313</v>
      </c>
      <c r="E290" s="150">
        <v>0</v>
      </c>
      <c r="F290" s="150">
        <v>0</v>
      </c>
      <c r="G290" s="150">
        <v>0</v>
      </c>
      <c r="H290" s="150">
        <v>0</v>
      </c>
      <c r="I290" s="150">
        <v>0</v>
      </c>
    </row>
    <row r="291" spans="2:9">
      <c r="B291" s="152" t="s">
        <v>271</v>
      </c>
      <c r="C291" s="152" t="s">
        <v>337</v>
      </c>
      <c r="D291" s="153" t="s">
        <v>313</v>
      </c>
      <c r="E291" s="150">
        <v>0</v>
      </c>
      <c r="F291" s="150">
        <v>0</v>
      </c>
      <c r="G291" s="150">
        <v>0</v>
      </c>
      <c r="H291" s="150">
        <v>0</v>
      </c>
      <c r="I291" s="150">
        <v>0</v>
      </c>
    </row>
    <row r="292" spans="2:9">
      <c r="B292" s="152" t="s">
        <v>271</v>
      </c>
      <c r="C292" s="152" t="s">
        <v>338</v>
      </c>
      <c r="D292" s="153" t="s">
        <v>313</v>
      </c>
      <c r="E292" s="150">
        <v>0</v>
      </c>
      <c r="F292" s="150">
        <v>0</v>
      </c>
      <c r="G292" s="150">
        <v>0</v>
      </c>
      <c r="H292" s="150">
        <v>0</v>
      </c>
      <c r="I292" s="150">
        <v>0</v>
      </c>
    </row>
    <row r="293" spans="2:9">
      <c r="B293" s="152" t="s">
        <v>271</v>
      </c>
      <c r="C293" s="152" t="s">
        <v>339</v>
      </c>
      <c r="D293" s="153" t="s">
        <v>313</v>
      </c>
      <c r="E293" s="150">
        <v>0</v>
      </c>
      <c r="F293" s="150">
        <v>0</v>
      </c>
      <c r="G293" s="150">
        <v>0</v>
      </c>
      <c r="H293" s="150">
        <v>0</v>
      </c>
      <c r="I293" s="150">
        <v>0</v>
      </c>
    </row>
    <row r="294" spans="2:9">
      <c r="B294" s="152" t="s">
        <v>271</v>
      </c>
      <c r="C294" s="152" t="s">
        <v>340</v>
      </c>
      <c r="D294" s="153" t="s">
        <v>341</v>
      </c>
      <c r="E294" s="150">
        <v>0</v>
      </c>
      <c r="F294" s="150">
        <v>0</v>
      </c>
      <c r="G294" s="150">
        <v>2E-3</v>
      </c>
      <c r="H294" s="150">
        <v>0</v>
      </c>
      <c r="I294" s="150">
        <v>0</v>
      </c>
    </row>
    <row r="295" spans="2:9">
      <c r="B295" s="152" t="s">
        <v>342</v>
      </c>
      <c r="C295" s="152" t="s">
        <v>342</v>
      </c>
      <c r="D295" s="152" t="s">
        <v>343</v>
      </c>
      <c r="E295" s="150">
        <v>0</v>
      </c>
      <c r="F295" s="150">
        <v>0</v>
      </c>
      <c r="G295" s="150">
        <v>0</v>
      </c>
      <c r="H295" s="150">
        <v>0</v>
      </c>
      <c r="I295" s="150">
        <v>6.0209199999999997E-2</v>
      </c>
    </row>
    <row r="296" spans="2:9">
      <c r="B296" s="152" t="s">
        <v>342</v>
      </c>
      <c r="C296" s="152" t="s">
        <v>342</v>
      </c>
      <c r="D296" s="152" t="s">
        <v>344</v>
      </c>
      <c r="E296" s="150">
        <v>0</v>
      </c>
      <c r="F296" s="150">
        <v>0</v>
      </c>
      <c r="G296" s="150">
        <v>0</v>
      </c>
      <c r="H296" s="150">
        <v>0</v>
      </c>
      <c r="I296" s="150">
        <v>0</v>
      </c>
    </row>
    <row r="297" spans="2:9">
      <c r="B297" s="152" t="s">
        <v>342</v>
      </c>
      <c r="C297" s="152" t="s">
        <v>342</v>
      </c>
      <c r="D297" s="152" t="s">
        <v>345</v>
      </c>
      <c r="E297" s="150">
        <v>0</v>
      </c>
      <c r="F297" s="150">
        <v>0</v>
      </c>
      <c r="G297" s="150">
        <v>0</v>
      </c>
      <c r="H297" s="150">
        <v>0</v>
      </c>
      <c r="I297" s="150">
        <v>3.4458510000000002</v>
      </c>
    </row>
    <row r="298" spans="2:9">
      <c r="B298" s="152" t="s">
        <v>342</v>
      </c>
      <c r="C298" s="152" t="s">
        <v>342</v>
      </c>
      <c r="D298" s="152" t="s">
        <v>346</v>
      </c>
      <c r="E298" s="150">
        <v>0</v>
      </c>
      <c r="F298" s="150">
        <v>0.53099999999999992</v>
      </c>
      <c r="G298" s="150">
        <v>0.53100000000000003</v>
      </c>
      <c r="H298" s="150">
        <v>0.20945</v>
      </c>
      <c r="I298" s="150">
        <v>0</v>
      </c>
    </row>
    <row r="299" spans="2:9">
      <c r="B299" s="152" t="s">
        <v>342</v>
      </c>
      <c r="C299" s="152" t="s">
        <v>342</v>
      </c>
      <c r="D299" s="152" t="s">
        <v>199</v>
      </c>
      <c r="E299" s="150">
        <v>0</v>
      </c>
      <c r="F299" s="150">
        <v>0</v>
      </c>
      <c r="G299" s="150">
        <v>9.8860699999999996E-2</v>
      </c>
      <c r="H299" s="150">
        <v>0</v>
      </c>
      <c r="I299" s="150">
        <v>0</v>
      </c>
    </row>
    <row r="300" spans="2:9">
      <c r="B300" s="152" t="s">
        <v>342</v>
      </c>
      <c r="C300" s="152" t="s">
        <v>342</v>
      </c>
      <c r="D300" s="152" t="s">
        <v>347</v>
      </c>
      <c r="E300" s="150">
        <v>0</v>
      </c>
      <c r="F300" s="150">
        <v>0.31169970000000002</v>
      </c>
      <c r="G300" s="150">
        <v>0</v>
      </c>
      <c r="H300" s="150">
        <v>0</v>
      </c>
      <c r="I300" s="150">
        <v>0</v>
      </c>
    </row>
    <row r="301" spans="2:9">
      <c r="B301" s="152" t="s">
        <v>342</v>
      </c>
      <c r="C301" s="152" t="s">
        <v>342</v>
      </c>
      <c r="D301" s="152" t="s">
        <v>348</v>
      </c>
      <c r="E301" s="150">
        <v>0</v>
      </c>
      <c r="F301" s="150">
        <v>0</v>
      </c>
      <c r="G301" s="150">
        <v>0</v>
      </c>
      <c r="H301" s="150">
        <v>0</v>
      </c>
      <c r="I301" s="150">
        <v>0</v>
      </c>
    </row>
    <row r="302" spans="2:9">
      <c r="B302" s="152" t="s">
        <v>349</v>
      </c>
      <c r="C302" s="152" t="s">
        <v>342</v>
      </c>
      <c r="D302" s="152" t="s">
        <v>350</v>
      </c>
      <c r="E302" s="150">
        <v>0</v>
      </c>
      <c r="F302" s="150">
        <v>0</v>
      </c>
      <c r="G302" s="150">
        <v>0</v>
      </c>
      <c r="H302" s="150">
        <v>0</v>
      </c>
      <c r="I302" s="150">
        <v>3.5000000000000003E-2</v>
      </c>
    </row>
    <row r="303" spans="2:9">
      <c r="B303" s="152" t="s">
        <v>342</v>
      </c>
      <c r="C303" s="152" t="s">
        <v>342</v>
      </c>
      <c r="D303" s="152" t="s">
        <v>351</v>
      </c>
      <c r="E303" s="150">
        <v>0</v>
      </c>
      <c r="F303" s="150">
        <v>0</v>
      </c>
      <c r="G303" s="150">
        <v>0</v>
      </c>
      <c r="H303" s="150">
        <v>0</v>
      </c>
      <c r="I303" s="150">
        <v>3.5723499999999998E-2</v>
      </c>
    </row>
    <row r="304" spans="2:9">
      <c r="B304" s="152" t="s">
        <v>342</v>
      </c>
      <c r="C304" s="152" t="s">
        <v>342</v>
      </c>
      <c r="D304" s="152" t="s">
        <v>352</v>
      </c>
      <c r="E304" s="150">
        <v>0</v>
      </c>
      <c r="F304" s="150">
        <v>0</v>
      </c>
      <c r="G304" s="150">
        <v>0</v>
      </c>
      <c r="H304" s="150">
        <v>0</v>
      </c>
      <c r="I304" s="150">
        <v>0</v>
      </c>
    </row>
    <row r="305" spans="2:9">
      <c r="B305" s="152" t="s">
        <v>342</v>
      </c>
      <c r="C305" s="152" t="s">
        <v>342</v>
      </c>
      <c r="D305" s="152" t="s">
        <v>353</v>
      </c>
      <c r="E305" s="150">
        <v>0</v>
      </c>
      <c r="F305" s="150">
        <v>0</v>
      </c>
      <c r="G305" s="150">
        <v>0</v>
      </c>
      <c r="H305" s="150">
        <v>0</v>
      </c>
      <c r="I305" s="150">
        <v>0</v>
      </c>
    </row>
    <row r="306" spans="2:9">
      <c r="B306" s="152" t="s">
        <v>342</v>
      </c>
      <c r="C306" s="152" t="s">
        <v>342</v>
      </c>
      <c r="D306" s="152" t="s">
        <v>354</v>
      </c>
      <c r="E306" s="150">
        <v>0</v>
      </c>
      <c r="F306" s="150">
        <v>0</v>
      </c>
      <c r="G306" s="150">
        <v>0</v>
      </c>
      <c r="H306" s="150">
        <v>0</v>
      </c>
      <c r="I306" s="150">
        <v>0</v>
      </c>
    </row>
    <row r="307" spans="2:9">
      <c r="B307" s="152" t="s">
        <v>342</v>
      </c>
      <c r="C307" s="152" t="s">
        <v>342</v>
      </c>
      <c r="D307" s="152" t="s">
        <v>355</v>
      </c>
      <c r="E307" s="150">
        <v>0</v>
      </c>
      <c r="F307" s="150">
        <v>0</v>
      </c>
      <c r="G307" s="150">
        <v>0</v>
      </c>
      <c r="H307" s="150">
        <v>0</v>
      </c>
      <c r="I307" s="150">
        <v>0</v>
      </c>
    </row>
    <row r="308" spans="2:9">
      <c r="B308" s="152" t="s">
        <v>342</v>
      </c>
      <c r="C308" s="152" t="s">
        <v>342</v>
      </c>
      <c r="D308" s="152" t="s">
        <v>350</v>
      </c>
      <c r="E308" s="150">
        <v>0</v>
      </c>
      <c r="F308" s="150">
        <v>0</v>
      </c>
      <c r="G308" s="150">
        <v>0</v>
      </c>
      <c r="H308" s="150">
        <v>0</v>
      </c>
      <c r="I308" s="150">
        <v>0</v>
      </c>
    </row>
    <row r="309" spans="2:9">
      <c r="B309" s="152" t="s">
        <v>342</v>
      </c>
      <c r="C309" s="152" t="s">
        <v>342</v>
      </c>
      <c r="D309" s="152" t="s">
        <v>356</v>
      </c>
      <c r="E309" s="150">
        <v>0</v>
      </c>
      <c r="F309" s="150">
        <v>0</v>
      </c>
      <c r="G309" s="150">
        <v>0</v>
      </c>
      <c r="H309" s="150">
        <v>0</v>
      </c>
      <c r="I309" s="150">
        <v>0</v>
      </c>
    </row>
    <row r="310" spans="2:9">
      <c r="B310" s="152" t="s">
        <v>342</v>
      </c>
      <c r="C310" s="152" t="s">
        <v>342</v>
      </c>
      <c r="D310" s="152" t="s">
        <v>357</v>
      </c>
      <c r="E310" s="150">
        <v>0</v>
      </c>
      <c r="F310" s="150">
        <v>0</v>
      </c>
      <c r="G310" s="150">
        <v>0</v>
      </c>
      <c r="H310" s="150">
        <v>0</v>
      </c>
      <c r="I310" s="150">
        <v>0</v>
      </c>
    </row>
    <row r="311" spans="2:9" ht="57.6">
      <c r="B311" s="152" t="s">
        <v>342</v>
      </c>
      <c r="C311" s="152" t="s">
        <v>342</v>
      </c>
      <c r="D311" s="153" t="s">
        <v>358</v>
      </c>
      <c r="E311" s="150">
        <v>0</v>
      </c>
      <c r="F311" s="150">
        <v>0</v>
      </c>
      <c r="G311" s="150">
        <v>0</v>
      </c>
      <c r="H311" s="150">
        <v>0</v>
      </c>
      <c r="I311" s="150">
        <v>0</v>
      </c>
    </row>
    <row r="312" spans="2:9">
      <c r="B312" s="152" t="s">
        <v>342</v>
      </c>
      <c r="C312" s="152" t="s">
        <v>342</v>
      </c>
      <c r="D312" s="152" t="s">
        <v>359</v>
      </c>
      <c r="E312" s="150">
        <v>0</v>
      </c>
      <c r="F312" s="150">
        <v>0</v>
      </c>
      <c r="G312" s="150">
        <v>0</v>
      </c>
      <c r="H312" s="150">
        <v>0</v>
      </c>
      <c r="I312" s="150">
        <v>0</v>
      </c>
    </row>
    <row r="313" spans="2:9">
      <c r="B313" s="152" t="s">
        <v>342</v>
      </c>
      <c r="C313" s="152" t="s">
        <v>342</v>
      </c>
      <c r="D313" s="152" t="s">
        <v>360</v>
      </c>
      <c r="E313" s="150">
        <v>0</v>
      </c>
      <c r="F313" s="150">
        <v>0</v>
      </c>
      <c r="G313" s="150">
        <v>0</v>
      </c>
      <c r="H313" s="150">
        <v>0</v>
      </c>
      <c r="I313" s="150">
        <v>0</v>
      </c>
    </row>
    <row r="314" spans="2:9">
      <c r="B314" s="152" t="s">
        <v>342</v>
      </c>
      <c r="C314" s="152" t="s">
        <v>342</v>
      </c>
      <c r="D314" s="152" t="s">
        <v>361</v>
      </c>
      <c r="E314" s="150">
        <v>0</v>
      </c>
      <c r="F314" s="150">
        <v>0</v>
      </c>
      <c r="G314" s="150">
        <v>0</v>
      </c>
      <c r="H314" s="150">
        <v>0</v>
      </c>
      <c r="I314" s="150">
        <v>0</v>
      </c>
    </row>
    <row r="315" spans="2:9">
      <c r="B315" s="152" t="s">
        <v>342</v>
      </c>
      <c r="C315" s="152" t="s">
        <v>342</v>
      </c>
      <c r="D315" s="152" t="s">
        <v>362</v>
      </c>
      <c r="E315" s="150">
        <v>0</v>
      </c>
      <c r="F315" s="150">
        <v>0</v>
      </c>
      <c r="G315" s="150">
        <v>0</v>
      </c>
      <c r="H315" s="150">
        <v>0</v>
      </c>
      <c r="I315" s="150">
        <v>4.9608199999999998E-2</v>
      </c>
    </row>
    <row r="316" spans="2:9" ht="43.2">
      <c r="B316" s="152" t="s">
        <v>363</v>
      </c>
      <c r="C316" s="152" t="s">
        <v>364</v>
      </c>
      <c r="D316" s="153" t="s">
        <v>365</v>
      </c>
      <c r="E316" s="150">
        <v>0</v>
      </c>
      <c r="F316" s="150">
        <v>0</v>
      </c>
      <c r="G316" s="150">
        <v>4.9000000000000002E-2</v>
      </c>
      <c r="H316" s="150">
        <v>0</v>
      </c>
      <c r="I316" s="150">
        <v>0</v>
      </c>
    </row>
    <row r="317" spans="2:9">
      <c r="B317" s="152" t="s">
        <v>363</v>
      </c>
      <c r="C317" s="152" t="s">
        <v>366</v>
      </c>
      <c r="D317" s="153" t="s">
        <v>367</v>
      </c>
      <c r="E317" s="150">
        <v>9.4524239995238002</v>
      </c>
      <c r="F317" s="150">
        <v>5.7549866000000005</v>
      </c>
      <c r="G317" s="150">
        <v>0</v>
      </c>
      <c r="H317" s="150">
        <v>1.6397377</v>
      </c>
      <c r="I317" s="150">
        <v>1.3978360999999999</v>
      </c>
    </row>
    <row r="318" spans="2:9" ht="57.6">
      <c r="B318" s="152" t="s">
        <v>363</v>
      </c>
      <c r="C318" s="152" t="s">
        <v>368</v>
      </c>
      <c r="D318" s="153" t="s">
        <v>369</v>
      </c>
      <c r="E318" s="150">
        <v>1.1660891999999998</v>
      </c>
      <c r="F318" s="150">
        <v>0.66381429400000014</v>
      </c>
      <c r="G318" s="150">
        <v>0</v>
      </c>
      <c r="H318" s="150">
        <v>0</v>
      </c>
      <c r="I318" s="150">
        <v>0</v>
      </c>
    </row>
    <row r="319" spans="2:9">
      <c r="B319" s="152" t="s">
        <v>363</v>
      </c>
      <c r="C319" s="152" t="s">
        <v>370</v>
      </c>
      <c r="D319" s="153" t="s">
        <v>371</v>
      </c>
      <c r="E319" s="150">
        <v>9.1854514902728326</v>
      </c>
      <c r="F319" s="150">
        <v>2.5405255202868768</v>
      </c>
      <c r="G319" s="150">
        <v>1.2635250376398981</v>
      </c>
      <c r="H319" s="150">
        <v>0</v>
      </c>
      <c r="I319" s="150">
        <v>0</v>
      </c>
    </row>
    <row r="320" spans="2:9">
      <c r="B320" s="152" t="s">
        <v>363</v>
      </c>
      <c r="C320" s="152" t="s">
        <v>372</v>
      </c>
      <c r="D320" s="153" t="s">
        <v>373</v>
      </c>
      <c r="E320" s="150">
        <v>4.3654875000000004</v>
      </c>
      <c r="F320" s="150">
        <v>3.240390169159594</v>
      </c>
      <c r="G320" s="150">
        <v>0</v>
      </c>
      <c r="H320" s="150">
        <v>0</v>
      </c>
      <c r="I320" s="150">
        <v>0</v>
      </c>
    </row>
    <row r="321" spans="2:9" ht="28.8">
      <c r="B321" s="152" t="s">
        <v>363</v>
      </c>
      <c r="C321" s="152" t="s">
        <v>374</v>
      </c>
      <c r="D321" s="153" t="s">
        <v>375</v>
      </c>
      <c r="E321" s="150">
        <v>2.0728347999999999</v>
      </c>
      <c r="F321" s="150">
        <v>0</v>
      </c>
      <c r="G321" s="150">
        <v>0</v>
      </c>
      <c r="H321" s="150">
        <v>0</v>
      </c>
      <c r="I321" s="150">
        <v>0</v>
      </c>
    </row>
    <row r="322" spans="2:9">
      <c r="B322" s="152" t="s">
        <v>363</v>
      </c>
      <c r="C322" s="152" t="s">
        <v>376</v>
      </c>
      <c r="D322" s="153"/>
      <c r="E322" s="150">
        <v>0</v>
      </c>
      <c r="F322" s="150">
        <v>0</v>
      </c>
      <c r="G322" s="150">
        <v>0</v>
      </c>
      <c r="H322" s="150">
        <v>0</v>
      </c>
      <c r="I322" s="150">
        <v>0</v>
      </c>
    </row>
    <row r="323" spans="2:9" ht="86.4">
      <c r="B323" s="152" t="s">
        <v>363</v>
      </c>
      <c r="C323" s="152" t="s">
        <v>377</v>
      </c>
      <c r="D323" s="153" t="s">
        <v>378</v>
      </c>
      <c r="E323" s="150">
        <v>0</v>
      </c>
      <c r="F323" s="150">
        <v>0</v>
      </c>
      <c r="G323" s="150">
        <v>0</v>
      </c>
      <c r="H323" s="150">
        <v>0</v>
      </c>
      <c r="I323" s="150">
        <v>0</v>
      </c>
    </row>
    <row r="324" spans="2:9" ht="43.2">
      <c r="B324" s="152" t="s">
        <v>363</v>
      </c>
      <c r="C324" s="152" t="s">
        <v>379</v>
      </c>
      <c r="D324" s="153" t="s">
        <v>365</v>
      </c>
      <c r="E324" s="150">
        <v>0</v>
      </c>
      <c r="F324" s="150">
        <v>0</v>
      </c>
      <c r="G324" s="150">
        <v>0</v>
      </c>
      <c r="H324" s="150">
        <v>0</v>
      </c>
      <c r="I324" s="150">
        <v>0</v>
      </c>
    </row>
    <row r="325" spans="2:9" ht="28.8">
      <c r="B325" s="152" t="s">
        <v>363</v>
      </c>
      <c r="C325" s="152" t="s">
        <v>380</v>
      </c>
      <c r="D325" s="153" t="s">
        <v>381</v>
      </c>
      <c r="E325" s="150">
        <v>0</v>
      </c>
      <c r="F325" s="150">
        <v>0</v>
      </c>
      <c r="G325" s="150">
        <v>0</v>
      </c>
      <c r="H325" s="150">
        <v>0</v>
      </c>
      <c r="I325" s="150">
        <v>0</v>
      </c>
    </row>
    <row r="326" spans="2:9">
      <c r="B326" s="152" t="s">
        <v>363</v>
      </c>
      <c r="C326" s="152" t="s">
        <v>382</v>
      </c>
      <c r="D326" s="153" t="s">
        <v>373</v>
      </c>
      <c r="E326" s="150">
        <v>1.28829552003625</v>
      </c>
      <c r="F326" s="150">
        <v>0</v>
      </c>
      <c r="G326" s="150">
        <v>0</v>
      </c>
      <c r="H326" s="150">
        <v>0</v>
      </c>
      <c r="I326" s="150">
        <v>0</v>
      </c>
    </row>
    <row r="327" spans="2:9" ht="43.2">
      <c r="B327" s="152" t="s">
        <v>363</v>
      </c>
      <c r="C327" s="152" t="s">
        <v>383</v>
      </c>
      <c r="D327" s="153" t="s">
        <v>384</v>
      </c>
      <c r="E327" s="150">
        <v>0</v>
      </c>
      <c r="F327" s="150">
        <v>0</v>
      </c>
      <c r="G327" s="150">
        <v>0</v>
      </c>
      <c r="H327" s="150">
        <v>0.24424789999999999</v>
      </c>
      <c r="I327" s="150">
        <v>1.9612274000000001</v>
      </c>
    </row>
    <row r="328" spans="2:9" ht="57.6">
      <c r="B328" s="152" t="s">
        <v>363</v>
      </c>
      <c r="C328" s="152" t="s">
        <v>385</v>
      </c>
      <c r="D328" s="153" t="s">
        <v>386</v>
      </c>
      <c r="E328" s="150">
        <v>0</v>
      </c>
      <c r="F328" s="150">
        <v>0</v>
      </c>
      <c r="G328" s="150">
        <v>0</v>
      </c>
      <c r="H328" s="150">
        <v>0</v>
      </c>
      <c r="I328" s="150">
        <v>0</v>
      </c>
    </row>
    <row r="329" spans="2:9">
      <c r="B329" s="152" t="s">
        <v>363</v>
      </c>
      <c r="C329" s="152" t="s">
        <v>387</v>
      </c>
      <c r="D329" s="153" t="s">
        <v>388</v>
      </c>
      <c r="E329" s="150">
        <v>0</v>
      </c>
      <c r="F329" s="150">
        <v>0</v>
      </c>
      <c r="G329" s="150">
        <v>0</v>
      </c>
      <c r="H329" s="150">
        <v>0</v>
      </c>
      <c r="I329" s="150">
        <v>0</v>
      </c>
    </row>
    <row r="330" spans="2:9" ht="57.6">
      <c r="B330" s="152" t="s">
        <v>363</v>
      </c>
      <c r="C330" s="152" t="s">
        <v>389</v>
      </c>
      <c r="D330" s="153" t="s">
        <v>390</v>
      </c>
      <c r="E330" s="150">
        <v>0</v>
      </c>
      <c r="F330" s="150">
        <v>0</v>
      </c>
      <c r="G330" s="150">
        <v>0</v>
      </c>
      <c r="H330" s="150">
        <v>0</v>
      </c>
      <c r="I330" s="150">
        <v>0</v>
      </c>
    </row>
    <row r="331" spans="2:9" ht="28.8">
      <c r="B331" s="152" t="s">
        <v>363</v>
      </c>
      <c r="C331" s="152" t="s">
        <v>391</v>
      </c>
      <c r="D331" s="153" t="s">
        <v>392</v>
      </c>
      <c r="E331" s="150">
        <v>0</v>
      </c>
      <c r="F331" s="150">
        <v>0</v>
      </c>
      <c r="G331" s="150">
        <v>0</v>
      </c>
      <c r="H331" s="150">
        <v>0</v>
      </c>
      <c r="I331" s="150">
        <v>1.2234500000000001E-2</v>
      </c>
    </row>
    <row r="332" spans="2:9">
      <c r="B332" s="152" t="s">
        <v>363</v>
      </c>
      <c r="C332" s="152" t="s">
        <v>393</v>
      </c>
      <c r="D332" s="153" t="s">
        <v>388</v>
      </c>
      <c r="E332" s="150">
        <v>0</v>
      </c>
      <c r="F332" s="150">
        <v>0</v>
      </c>
      <c r="G332" s="150">
        <v>0</v>
      </c>
      <c r="H332" s="150">
        <v>0</v>
      </c>
      <c r="I332" s="150">
        <v>0</v>
      </c>
    </row>
    <row r="333" spans="2:9">
      <c r="B333" s="152" t="s">
        <v>363</v>
      </c>
      <c r="C333" s="152" t="s">
        <v>394</v>
      </c>
      <c r="D333" s="153" t="s">
        <v>395</v>
      </c>
      <c r="E333" s="150">
        <v>0</v>
      </c>
      <c r="F333" s="150">
        <v>0</v>
      </c>
      <c r="G333" s="150">
        <v>0</v>
      </c>
      <c r="H333" s="150">
        <v>0</v>
      </c>
      <c r="I333" s="150">
        <v>0</v>
      </c>
    </row>
    <row r="334" spans="2:9" ht="57.6">
      <c r="B334" s="152" t="s">
        <v>363</v>
      </c>
      <c r="C334" s="152" t="s">
        <v>396</v>
      </c>
      <c r="D334" s="153" t="s">
        <v>397</v>
      </c>
      <c r="E334" s="150">
        <v>0</v>
      </c>
      <c r="F334" s="150">
        <v>0</v>
      </c>
      <c r="G334" s="150">
        <v>0</v>
      </c>
      <c r="H334" s="150">
        <v>0</v>
      </c>
      <c r="I334" s="150">
        <v>0</v>
      </c>
    </row>
    <row r="335" spans="2:9">
      <c r="B335" s="152" t="s">
        <v>363</v>
      </c>
      <c r="C335" s="152" t="s">
        <v>398</v>
      </c>
      <c r="D335" s="153"/>
      <c r="E335" s="150">
        <v>0</v>
      </c>
      <c r="F335" s="150">
        <v>0</v>
      </c>
      <c r="G335" s="150">
        <v>0</v>
      </c>
      <c r="H335" s="150">
        <v>-7.9999999999999996E-7</v>
      </c>
      <c r="I335" s="150">
        <v>0</v>
      </c>
    </row>
    <row r="336" spans="2:9">
      <c r="B336" s="152" t="s">
        <v>363</v>
      </c>
      <c r="C336" s="152" t="s">
        <v>399</v>
      </c>
      <c r="D336" s="153"/>
      <c r="E336" s="150">
        <v>0</v>
      </c>
      <c r="F336" s="150">
        <v>0</v>
      </c>
      <c r="G336" s="150">
        <v>0</v>
      </c>
      <c r="H336" s="150">
        <v>0</v>
      </c>
      <c r="I336" s="150">
        <v>-1.2234500000000001E-2</v>
      </c>
    </row>
    <row r="337" spans="2:9">
      <c r="B337" s="152" t="s">
        <v>400</v>
      </c>
      <c r="C337" s="152" t="s">
        <v>401</v>
      </c>
      <c r="D337" s="154" t="s">
        <v>402</v>
      </c>
      <c r="E337" s="150">
        <v>2.8200052000000002</v>
      </c>
      <c r="F337" s="150">
        <v>0</v>
      </c>
      <c r="G337" s="150">
        <v>0</v>
      </c>
      <c r="H337" s="150">
        <v>0</v>
      </c>
      <c r="I337" s="150">
        <v>0</v>
      </c>
    </row>
    <row r="338" spans="2:9">
      <c r="B338" s="152" t="s">
        <v>400</v>
      </c>
      <c r="C338" s="152" t="s">
        <v>403</v>
      </c>
      <c r="D338" s="154" t="s">
        <v>402</v>
      </c>
      <c r="E338" s="150">
        <v>6.0492787000000003</v>
      </c>
      <c r="F338" s="150">
        <v>0</v>
      </c>
      <c r="G338" s="150">
        <v>0</v>
      </c>
      <c r="H338" s="150">
        <v>0</v>
      </c>
      <c r="I338" s="150">
        <v>0</v>
      </c>
    </row>
    <row r="339" spans="2:9">
      <c r="B339" s="152" t="s">
        <v>400</v>
      </c>
      <c r="C339" s="152" t="s">
        <v>404</v>
      </c>
      <c r="D339" s="154" t="s">
        <v>402</v>
      </c>
      <c r="E339" s="150">
        <v>4.0470158319999996</v>
      </c>
      <c r="F339" s="150">
        <v>0</v>
      </c>
      <c r="G339" s="150">
        <v>0</v>
      </c>
      <c r="H339" s="150">
        <v>0</v>
      </c>
      <c r="I339" s="150">
        <v>0</v>
      </c>
    </row>
    <row r="340" spans="2:9">
      <c r="B340" s="152" t="s">
        <v>400</v>
      </c>
      <c r="C340" s="152" t="s">
        <v>405</v>
      </c>
      <c r="D340" s="154" t="s">
        <v>402</v>
      </c>
      <c r="E340" s="150">
        <v>4.8177411819999998</v>
      </c>
      <c r="F340" s="150">
        <v>0</v>
      </c>
      <c r="G340" s="150">
        <v>0</v>
      </c>
      <c r="H340" s="150">
        <v>0</v>
      </c>
      <c r="I340" s="150">
        <v>0</v>
      </c>
    </row>
    <row r="341" spans="2:9">
      <c r="B341" s="152" t="s">
        <v>400</v>
      </c>
      <c r="C341" s="152" t="s">
        <v>406</v>
      </c>
      <c r="D341" s="154" t="s">
        <v>402</v>
      </c>
      <c r="E341" s="150">
        <v>1.4009192260000001</v>
      </c>
      <c r="F341" s="150">
        <v>0</v>
      </c>
      <c r="G341" s="150">
        <v>0</v>
      </c>
      <c r="H341" s="150">
        <v>0</v>
      </c>
      <c r="I341" s="150">
        <v>0</v>
      </c>
    </row>
    <row r="342" spans="2:9">
      <c r="B342" s="152" t="s">
        <v>400</v>
      </c>
      <c r="C342" s="152" t="s">
        <v>407</v>
      </c>
      <c r="D342" s="154" t="s">
        <v>407</v>
      </c>
      <c r="E342" s="150">
        <v>22.0739634</v>
      </c>
      <c r="F342" s="150">
        <v>0</v>
      </c>
      <c r="G342" s="150">
        <v>0</v>
      </c>
      <c r="H342" s="150">
        <v>0</v>
      </c>
      <c r="I342" s="150">
        <v>0</v>
      </c>
    </row>
    <row r="343" spans="2:9">
      <c r="B343" s="152" t="s">
        <v>400</v>
      </c>
      <c r="C343" s="152" t="s">
        <v>408</v>
      </c>
      <c r="D343" s="154" t="s">
        <v>409</v>
      </c>
      <c r="E343" s="150">
        <v>0</v>
      </c>
      <c r="F343" s="150">
        <v>0</v>
      </c>
      <c r="G343" s="150">
        <v>0</v>
      </c>
      <c r="H343" s="150">
        <v>0</v>
      </c>
      <c r="I343" s="150">
        <v>-0.228299</v>
      </c>
    </row>
    <row r="344" spans="2:9">
      <c r="B344" s="154" t="s">
        <v>410</v>
      </c>
      <c r="C344" s="154" t="s">
        <v>411</v>
      </c>
      <c r="D344" s="154" t="s">
        <v>412</v>
      </c>
      <c r="E344" s="150">
        <v>0</v>
      </c>
      <c r="F344" s="150">
        <v>0</v>
      </c>
      <c r="G344" s="150">
        <v>0</v>
      </c>
      <c r="H344" s="150">
        <v>0</v>
      </c>
      <c r="I344" s="150">
        <v>0.72045250000000005</v>
      </c>
    </row>
    <row r="345" spans="2:9">
      <c r="B345" s="154" t="s">
        <v>413</v>
      </c>
      <c r="C345" s="154" t="s">
        <v>413</v>
      </c>
      <c r="D345" s="154" t="s">
        <v>414</v>
      </c>
      <c r="E345" s="150">
        <v>0</v>
      </c>
      <c r="F345" s="150">
        <v>0</v>
      </c>
      <c r="G345" s="150">
        <v>1.7952608899999998</v>
      </c>
      <c r="H345" s="150">
        <v>0</v>
      </c>
      <c r="I345" s="150">
        <v>0</v>
      </c>
    </row>
    <row r="346" spans="2:9">
      <c r="B346" s="154" t="s">
        <v>413</v>
      </c>
      <c r="C346" s="154" t="s">
        <v>413</v>
      </c>
      <c r="D346" s="154" t="s">
        <v>415</v>
      </c>
      <c r="E346" s="150">
        <v>0</v>
      </c>
      <c r="F346" s="150">
        <v>0</v>
      </c>
      <c r="G346" s="150">
        <v>2.2100100000000001E-2</v>
      </c>
      <c r="H346" s="150">
        <v>0</v>
      </c>
      <c r="I346" s="150">
        <v>0</v>
      </c>
    </row>
    <row r="347" spans="2:9">
      <c r="B347" s="154" t="s">
        <v>413</v>
      </c>
      <c r="C347" s="154" t="s">
        <v>413</v>
      </c>
      <c r="D347" s="154" t="s">
        <v>416</v>
      </c>
      <c r="E347" s="150">
        <v>0</v>
      </c>
      <c r="F347" s="150">
        <v>0</v>
      </c>
      <c r="G347" s="150">
        <v>2.3379999999999996E-10</v>
      </c>
      <c r="H347" s="150">
        <v>0</v>
      </c>
      <c r="I347" s="150">
        <v>0</v>
      </c>
    </row>
    <row r="348" spans="2:9">
      <c r="B348" s="154" t="s">
        <v>413</v>
      </c>
      <c r="C348" s="154" t="s">
        <v>413</v>
      </c>
      <c r="D348" s="154" t="s">
        <v>417</v>
      </c>
      <c r="E348" s="150">
        <v>0</v>
      </c>
      <c r="F348" s="150">
        <v>0</v>
      </c>
      <c r="G348" s="150">
        <v>0</v>
      </c>
      <c r="H348" s="150">
        <v>0</v>
      </c>
      <c r="I348" s="150">
        <v>0</v>
      </c>
    </row>
    <row r="349" spans="2:9">
      <c r="B349" s="154" t="s">
        <v>413</v>
      </c>
      <c r="C349" s="154" t="s">
        <v>413</v>
      </c>
      <c r="D349" s="154" t="s">
        <v>418</v>
      </c>
      <c r="E349" s="150">
        <v>0</v>
      </c>
      <c r="F349" s="150">
        <v>0</v>
      </c>
      <c r="G349" s="150">
        <v>0</v>
      </c>
      <c r="H349" s="150">
        <v>0</v>
      </c>
      <c r="I349" s="150">
        <v>5.9</v>
      </c>
    </row>
    <row r="350" spans="2:9">
      <c r="B350" s="154" t="s">
        <v>419</v>
      </c>
      <c r="C350" s="154" t="s">
        <v>419</v>
      </c>
      <c r="D350" s="154"/>
      <c r="E350" s="150">
        <v>0</v>
      </c>
      <c r="F350" s="150">
        <v>0</v>
      </c>
      <c r="G350" s="150">
        <v>0</v>
      </c>
      <c r="H350" s="150">
        <v>0</v>
      </c>
      <c r="I350" s="150">
        <v>-1.3464800000000001E-2</v>
      </c>
    </row>
    <row r="351" spans="2:9">
      <c r="B351" s="155" t="s">
        <v>21</v>
      </c>
      <c r="C351" s="155"/>
      <c r="D351" s="155"/>
      <c r="E351" s="156">
        <f>SUM(E195:E350)</f>
        <v>123.93882057767829</v>
      </c>
      <c r="F351" s="156">
        <f t="shared" ref="F351:I351" si="12">SUM(F195:F350)</f>
        <v>77.884432217826273</v>
      </c>
      <c r="G351" s="156">
        <f t="shared" si="12"/>
        <v>15.9169842268737</v>
      </c>
      <c r="H351" s="156">
        <f t="shared" si="12"/>
        <v>32.007132141999996</v>
      </c>
      <c r="I351" s="156">
        <f t="shared" si="12"/>
        <v>14.680382100000001</v>
      </c>
    </row>
  </sheetData>
  <mergeCells count="20">
    <mergeCell ref="G20:K20"/>
    <mergeCell ref="M20:M21"/>
    <mergeCell ref="N20:N21"/>
    <mergeCell ref="L20:L21"/>
    <mergeCell ref="B16:M16"/>
    <mergeCell ref="B11:M11"/>
    <mergeCell ref="B12:M12"/>
    <mergeCell ref="B13:M13"/>
    <mergeCell ref="B14:M14"/>
    <mergeCell ref="B15:M15"/>
    <mergeCell ref="E4:I4"/>
    <mergeCell ref="B2:M2"/>
    <mergeCell ref="B3:M3"/>
    <mergeCell ref="B10:M10"/>
    <mergeCell ref="B6:M6"/>
    <mergeCell ref="B192:I192"/>
    <mergeCell ref="B193:B194"/>
    <mergeCell ref="C193:C194"/>
    <mergeCell ref="D193:D194"/>
    <mergeCell ref="E193:I193"/>
  </mergeCells>
  <phoneticPr fontId="73"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G12"/>
  <sheetViews>
    <sheetView topLeftCell="A4" workbookViewId="0">
      <selection activeCell="B11" sqref="B11:G11"/>
    </sheetView>
  </sheetViews>
  <sheetFormatPr defaultRowHeight="14.4"/>
  <cols>
    <col min="3" max="3" width="12.33203125" customWidth="1"/>
    <col min="5" max="5" width="13.44140625" customWidth="1"/>
    <col min="6" max="6" width="13.33203125" customWidth="1"/>
    <col min="7" max="7" width="35.6640625" customWidth="1"/>
  </cols>
  <sheetData>
    <row r="2" spans="2:7">
      <c r="B2" s="334" t="s">
        <v>470</v>
      </c>
      <c r="C2" s="334"/>
      <c r="D2" s="334"/>
      <c r="E2" s="334"/>
      <c r="F2" s="334"/>
      <c r="G2" s="334"/>
    </row>
    <row r="3" spans="2:7">
      <c r="B3" s="335" t="s">
        <v>156</v>
      </c>
      <c r="C3" s="336"/>
      <c r="D3" s="336"/>
      <c r="E3" s="336"/>
      <c r="F3" s="336"/>
      <c r="G3" s="337"/>
    </row>
    <row r="4" spans="2:7" ht="48">
      <c r="B4" s="33" t="s">
        <v>0</v>
      </c>
      <c r="C4" s="33" t="s">
        <v>72</v>
      </c>
      <c r="D4" s="33" t="s">
        <v>65</v>
      </c>
      <c r="E4" s="33" t="s">
        <v>464</v>
      </c>
      <c r="F4" s="33" t="s">
        <v>465</v>
      </c>
      <c r="G4" s="33" t="s">
        <v>22</v>
      </c>
    </row>
    <row r="5" spans="2:7">
      <c r="B5" s="338" t="str">
        <f>[2]SUMMARY!B5</f>
        <v>Figures in INR Crores</v>
      </c>
      <c r="C5" s="339"/>
      <c r="D5" s="339"/>
      <c r="E5" s="339"/>
      <c r="F5" s="339"/>
      <c r="G5" s="340"/>
    </row>
    <row r="6" spans="2:7" ht="51" customHeight="1">
      <c r="B6" s="181">
        <v>1</v>
      </c>
      <c r="C6" s="147" t="s">
        <v>466</v>
      </c>
      <c r="D6" s="182">
        <f>'[3]Provisions TR 2018'!$I$25</f>
        <v>151.24997685900007</v>
      </c>
      <c r="E6" s="183">
        <f>'[3]Provisions TR 2018'!$J$25</f>
        <v>70.639618610327815</v>
      </c>
      <c r="F6" s="183">
        <f>'[3]Provisions TR 2018'!$J$27</f>
        <v>52.161769555999996</v>
      </c>
      <c r="G6" s="184" t="s">
        <v>467</v>
      </c>
    </row>
    <row r="7" spans="2:7" ht="52.2" customHeight="1">
      <c r="B7" s="181">
        <v>2</v>
      </c>
      <c r="C7" s="147" t="s">
        <v>472</v>
      </c>
      <c r="D7" s="182">
        <f>0.23+192.95+323.78</f>
        <v>516.95999999999992</v>
      </c>
      <c r="E7" s="183">
        <f>0.3388*39.69%</f>
        <v>0.13446971999999999</v>
      </c>
      <c r="F7" s="183">
        <f>0.3388*39.69%</f>
        <v>0.13446971999999999</v>
      </c>
      <c r="G7" s="189" t="s">
        <v>473</v>
      </c>
    </row>
    <row r="8" spans="2:7" ht="43.95" customHeight="1">
      <c r="B8" s="181">
        <v>3</v>
      </c>
      <c r="C8" s="147" t="s">
        <v>468</v>
      </c>
      <c r="D8" s="182">
        <v>18.86</v>
      </c>
      <c r="E8" s="183">
        <v>0</v>
      </c>
      <c r="F8" s="183">
        <v>0</v>
      </c>
      <c r="G8" s="188"/>
    </row>
    <row r="9" spans="2:7" ht="46.2" customHeight="1">
      <c r="B9" s="181">
        <v>4</v>
      </c>
      <c r="C9" s="147" t="s">
        <v>469</v>
      </c>
      <c r="D9" s="182">
        <v>16.53</v>
      </c>
      <c r="E9" s="183">
        <v>0</v>
      </c>
      <c r="F9" s="183">
        <v>0</v>
      </c>
      <c r="G9" s="184"/>
    </row>
    <row r="10" spans="2:7">
      <c r="B10" s="34"/>
      <c r="C10" s="185" t="s">
        <v>23</v>
      </c>
      <c r="D10" s="186">
        <f>SUM(D6:D9)</f>
        <v>703.59997685899998</v>
      </c>
      <c r="E10" s="186">
        <f t="shared" ref="E10:F10" si="0">SUM(E6:E9)</f>
        <v>70.774088330327814</v>
      </c>
      <c r="F10" s="186">
        <f t="shared" si="0"/>
        <v>52.296239275999994</v>
      </c>
      <c r="G10" s="187"/>
    </row>
    <row r="11" spans="2:7">
      <c r="B11" s="341" t="s">
        <v>20</v>
      </c>
      <c r="C11" s="342"/>
      <c r="D11" s="342"/>
      <c r="E11" s="342"/>
      <c r="F11" s="342"/>
      <c r="G11" s="342"/>
    </row>
    <row r="12" spans="2:7" ht="154.94999999999999" customHeight="1">
      <c r="B12" s="299" t="s">
        <v>81</v>
      </c>
      <c r="C12" s="299"/>
      <c r="D12" s="299"/>
      <c r="E12" s="299"/>
      <c r="F12" s="299"/>
      <c r="G12" s="299"/>
    </row>
  </sheetData>
  <mergeCells count="5">
    <mergeCell ref="B2:G2"/>
    <mergeCell ref="B3:G3"/>
    <mergeCell ref="B5:G5"/>
    <mergeCell ref="B11:G11"/>
    <mergeCell ref="B12:G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M10"/>
  <sheetViews>
    <sheetView topLeftCell="A4" workbookViewId="0">
      <selection activeCell="K7" sqref="K7"/>
    </sheetView>
  </sheetViews>
  <sheetFormatPr defaultRowHeight="14.4"/>
  <cols>
    <col min="2" max="2" width="4.6640625" bestFit="1" customWidth="1"/>
    <col min="3" max="3" width="16.44140625" customWidth="1"/>
    <col min="4" max="4" width="9.88671875" hidden="1" customWidth="1"/>
    <col min="5" max="5" width="9.88671875" customWidth="1"/>
    <col min="6" max="8" width="9.88671875" hidden="1" customWidth="1"/>
    <col min="9" max="10" width="12.109375" customWidth="1"/>
    <col min="11" max="11" width="38.6640625" customWidth="1"/>
  </cols>
  <sheetData>
    <row r="2" spans="2:13">
      <c r="B2" s="290" t="s">
        <v>116</v>
      </c>
      <c r="C2" s="291"/>
      <c r="D2" s="291"/>
      <c r="E2" s="291"/>
      <c r="F2" s="291"/>
      <c r="G2" s="291"/>
      <c r="H2" s="291"/>
      <c r="I2" s="291"/>
      <c r="J2" s="291"/>
      <c r="K2" s="292"/>
    </row>
    <row r="3" spans="2:13">
      <c r="B3" s="293" t="e">
        <f>SUMMARY!#REF!</f>
        <v>#REF!</v>
      </c>
      <c r="C3" s="294"/>
      <c r="D3" s="294"/>
      <c r="E3" s="294"/>
      <c r="F3" s="294"/>
      <c r="G3" s="294"/>
      <c r="H3" s="294"/>
      <c r="I3" s="294"/>
      <c r="J3" s="294"/>
      <c r="K3" s="295"/>
    </row>
    <row r="4" spans="2:13" ht="86.4">
      <c r="B4" s="96" t="s">
        <v>0</v>
      </c>
      <c r="C4" s="96" t="s">
        <v>26</v>
      </c>
      <c r="D4" s="96" t="s">
        <v>67</v>
      </c>
      <c r="E4" s="97" t="s">
        <v>65</v>
      </c>
      <c r="F4" s="96" t="s">
        <v>30</v>
      </c>
      <c r="G4" s="96" t="s">
        <v>27</v>
      </c>
      <c r="H4" s="96" t="s">
        <v>68</v>
      </c>
      <c r="I4" s="96" t="s">
        <v>29</v>
      </c>
      <c r="J4" s="96" t="s">
        <v>117</v>
      </c>
      <c r="K4" s="96" t="s">
        <v>22</v>
      </c>
    </row>
    <row r="5" spans="2:13">
      <c r="B5" s="343" t="e">
        <f>SUMMARY!#REF!</f>
        <v>#REF!</v>
      </c>
      <c r="C5" s="343"/>
      <c r="D5" s="343"/>
      <c r="E5" s="343"/>
      <c r="F5" s="343"/>
      <c r="G5" s="343"/>
      <c r="H5" s="343"/>
      <c r="I5" s="343"/>
      <c r="J5" s="343"/>
      <c r="K5" s="343"/>
    </row>
    <row r="6" spans="2:13" ht="100.2" customHeight="1">
      <c r="B6" s="100">
        <v>1</v>
      </c>
      <c r="C6" s="101" t="s">
        <v>134</v>
      </c>
      <c r="D6" s="100" t="s">
        <v>80</v>
      </c>
      <c r="E6" s="102">
        <v>486.2</v>
      </c>
      <c r="F6" s="100"/>
      <c r="G6" s="100"/>
      <c r="H6" s="100"/>
      <c r="I6" s="102">
        <f>3.33+10.69+23.65*70%+323.78+60.17</f>
        <v>414.52499999999998</v>
      </c>
      <c r="J6" s="102">
        <f>3.33*90%+10.69*80%+(23.65*70%)*40%+323.78+60.17*90%</f>
        <v>396.10399999999998</v>
      </c>
      <c r="K6" s="145" t="s">
        <v>474</v>
      </c>
      <c r="L6" s="39"/>
      <c r="M6" s="39"/>
    </row>
    <row r="7" spans="2:13" ht="100.2" customHeight="1">
      <c r="B7" s="100">
        <v>2</v>
      </c>
      <c r="C7" s="101" t="s">
        <v>135</v>
      </c>
      <c r="D7" s="100"/>
      <c r="E7" s="102">
        <v>57.96</v>
      </c>
      <c r="F7" s="100"/>
      <c r="G7" s="100"/>
      <c r="H7" s="100"/>
      <c r="I7" s="102">
        <f>20.73+0+37.23*80%</f>
        <v>50.513999999999996</v>
      </c>
      <c r="J7" s="102">
        <f>20.73*75%+0+(37.23*80%)*50%</f>
        <v>30.439499999999999</v>
      </c>
      <c r="K7" s="145" t="s">
        <v>471</v>
      </c>
      <c r="L7" s="39"/>
      <c r="M7" s="39"/>
    </row>
    <row r="8" spans="2:13">
      <c r="B8" s="98"/>
      <c r="C8" s="103" t="s">
        <v>23</v>
      </c>
      <c r="D8" s="103"/>
      <c r="E8" s="99">
        <f>SUM(E6:E7)</f>
        <v>544.16</v>
      </c>
      <c r="F8" s="99">
        <f t="shared" ref="F8:J8" si="0">SUM(F6:F7)</f>
        <v>0</v>
      </c>
      <c r="G8" s="99">
        <f t="shared" si="0"/>
        <v>0</v>
      </c>
      <c r="H8" s="99">
        <f t="shared" si="0"/>
        <v>0</v>
      </c>
      <c r="I8" s="99">
        <f t="shared" si="0"/>
        <v>465.03899999999999</v>
      </c>
      <c r="J8" s="99">
        <f t="shared" si="0"/>
        <v>426.54349999999999</v>
      </c>
      <c r="K8" s="98"/>
    </row>
    <row r="9" spans="2:13">
      <c r="B9" s="301" t="s">
        <v>20</v>
      </c>
      <c r="C9" s="302"/>
      <c r="D9" s="302"/>
      <c r="E9" s="302"/>
      <c r="F9" s="302"/>
      <c r="G9" s="302"/>
      <c r="H9" s="302"/>
      <c r="I9" s="302"/>
      <c r="J9" s="302"/>
      <c r="K9" s="344"/>
    </row>
    <row r="10" spans="2:13" ht="98.4" customHeight="1">
      <c r="B10" s="304" t="s">
        <v>81</v>
      </c>
      <c r="C10" s="304"/>
      <c r="D10" s="304"/>
      <c r="E10" s="304"/>
      <c r="F10" s="304"/>
      <c r="G10" s="304"/>
      <c r="H10" s="304"/>
      <c r="I10" s="304"/>
      <c r="J10" s="304"/>
      <c r="K10" s="304"/>
    </row>
  </sheetData>
  <mergeCells count="5">
    <mergeCell ref="B2:K2"/>
    <mergeCell ref="B3:K3"/>
    <mergeCell ref="B5:K5"/>
    <mergeCell ref="B9:K9"/>
    <mergeCell ref="B10:K10"/>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T90"/>
  <sheetViews>
    <sheetView topLeftCell="D10" workbookViewId="0">
      <selection activeCell="E15" sqref="E15"/>
    </sheetView>
  </sheetViews>
  <sheetFormatPr defaultRowHeight="14.4"/>
  <cols>
    <col min="3" max="3" width="15.33203125" customWidth="1"/>
    <col min="11" max="11" width="12" customWidth="1"/>
    <col min="13" max="13" width="24.88671875" customWidth="1"/>
    <col min="14" max="14" width="12.5546875" customWidth="1"/>
  </cols>
  <sheetData>
    <row r="2" spans="2:20">
      <c r="B2" s="348" t="s">
        <v>69</v>
      </c>
      <c r="C2" s="349"/>
      <c r="D2" s="349"/>
      <c r="E2" s="349"/>
      <c r="F2" s="349"/>
      <c r="G2" s="349"/>
      <c r="H2" s="349"/>
      <c r="I2" s="349"/>
      <c r="J2" s="349"/>
      <c r="K2" s="349"/>
      <c r="L2" s="349"/>
      <c r="M2" s="350"/>
    </row>
    <row r="3" spans="2:20">
      <c r="B3" s="351" t="str">
        <f>[2]SUMMARY!B3</f>
        <v>Details as on 31st March 2023</v>
      </c>
      <c r="C3" s="352"/>
      <c r="D3" s="352"/>
      <c r="E3" s="352"/>
      <c r="F3" s="352"/>
      <c r="G3" s="352"/>
      <c r="H3" s="352"/>
      <c r="I3" s="352"/>
      <c r="J3" s="352"/>
      <c r="K3" s="352"/>
      <c r="L3" s="352"/>
      <c r="M3" s="353"/>
    </row>
    <row r="4" spans="2:20" ht="72">
      <c r="B4" s="24" t="s">
        <v>0</v>
      </c>
      <c r="C4" s="24" t="s">
        <v>70</v>
      </c>
      <c r="D4" s="33" t="s">
        <v>65</v>
      </c>
      <c r="E4" s="33" t="s">
        <v>458</v>
      </c>
      <c r="F4" s="33" t="s">
        <v>459</v>
      </c>
      <c r="G4" s="33" t="s">
        <v>460</v>
      </c>
      <c r="H4" s="33" t="s">
        <v>461</v>
      </c>
      <c r="I4" s="33" t="s">
        <v>462</v>
      </c>
      <c r="J4" s="33" t="s">
        <v>501</v>
      </c>
      <c r="K4" s="24" t="s">
        <v>464</v>
      </c>
      <c r="L4" s="24" t="s">
        <v>465</v>
      </c>
      <c r="M4" s="24" t="s">
        <v>22</v>
      </c>
    </row>
    <row r="5" spans="2:20">
      <c r="B5" s="351" t="str">
        <f>[2]SUMMARY!B5</f>
        <v>Figures in INR Crores</v>
      </c>
      <c r="C5" s="352"/>
      <c r="D5" s="352"/>
      <c r="E5" s="352"/>
      <c r="F5" s="352"/>
      <c r="G5" s="352"/>
      <c r="H5" s="352"/>
      <c r="I5" s="352"/>
      <c r="J5" s="352"/>
      <c r="K5" s="352"/>
      <c r="L5" s="352"/>
      <c r="M5" s="353"/>
    </row>
    <row r="6" spans="2:20" ht="99" customHeight="1">
      <c r="B6" s="194">
        <v>1</v>
      </c>
      <c r="C6" s="60" t="s">
        <v>521</v>
      </c>
      <c r="D6" s="56">
        <f>D15</f>
        <v>24.054358534000006</v>
      </c>
      <c r="E6" s="56">
        <f>E15</f>
        <v>0.33119220199999994</v>
      </c>
      <c r="F6" s="56">
        <f t="shared" ref="F6:I6" si="0">F15</f>
        <v>0.38083716199999995</v>
      </c>
      <c r="G6" s="56">
        <f t="shared" si="0"/>
        <v>0.16616657900000001</v>
      </c>
      <c r="H6" s="56">
        <f t="shared" si="0"/>
        <v>9.2791200000000004E-2</v>
      </c>
      <c r="I6" s="56">
        <f t="shared" si="0"/>
        <v>0.161132</v>
      </c>
      <c r="J6" s="56">
        <f>K15</f>
        <v>22.922239391000005</v>
      </c>
      <c r="K6" s="56">
        <f>O20</f>
        <v>13.843103173854141</v>
      </c>
      <c r="L6" s="56">
        <f t="shared" ref="L6" si="1">K6*O6</f>
        <v>12.458792856468728</v>
      </c>
      <c r="M6" s="208" t="s">
        <v>522</v>
      </c>
      <c r="O6" s="39">
        <v>0.9</v>
      </c>
    </row>
    <row r="7" spans="2:20">
      <c r="B7" s="34"/>
      <c r="C7" s="195" t="s">
        <v>23</v>
      </c>
      <c r="D7" s="45">
        <f>SUM(D3:D6)</f>
        <v>24.054358534000006</v>
      </c>
      <c r="E7" s="45">
        <f t="shared" ref="E7:L7" si="2">SUM(E3:E6)</f>
        <v>0.33119220199999994</v>
      </c>
      <c r="F7" s="45">
        <f t="shared" si="2"/>
        <v>0.38083716199999995</v>
      </c>
      <c r="G7" s="45">
        <f t="shared" si="2"/>
        <v>0.16616657900000001</v>
      </c>
      <c r="H7" s="45">
        <f t="shared" si="2"/>
        <v>9.2791200000000004E-2</v>
      </c>
      <c r="I7" s="45">
        <f t="shared" si="2"/>
        <v>0.161132</v>
      </c>
      <c r="J7" s="45">
        <f t="shared" si="2"/>
        <v>22.922239391000005</v>
      </c>
      <c r="K7" s="45">
        <f t="shared" si="2"/>
        <v>13.843103173854141</v>
      </c>
      <c r="L7" s="45">
        <f t="shared" si="2"/>
        <v>12.458792856468728</v>
      </c>
      <c r="M7" s="34"/>
    </row>
    <row r="8" spans="2:20">
      <c r="B8" s="354" t="s">
        <v>20</v>
      </c>
      <c r="C8" s="355"/>
      <c r="D8" s="355"/>
      <c r="E8" s="355"/>
      <c r="F8" s="355"/>
      <c r="G8" s="355"/>
      <c r="H8" s="355"/>
      <c r="I8" s="355"/>
      <c r="J8" s="355"/>
      <c r="K8" s="355"/>
      <c r="L8" s="355"/>
      <c r="M8" s="356"/>
    </row>
    <row r="9" spans="2:20" ht="82.2" customHeight="1">
      <c r="B9" s="299" t="s">
        <v>82</v>
      </c>
      <c r="C9" s="299"/>
      <c r="D9" s="299"/>
      <c r="E9" s="299"/>
      <c r="F9" s="299"/>
      <c r="G9" s="299"/>
      <c r="H9" s="299"/>
      <c r="I9" s="299"/>
      <c r="J9" s="299"/>
      <c r="K9" s="299"/>
      <c r="L9" s="299"/>
      <c r="M9" s="299"/>
    </row>
    <row r="11" spans="2:20">
      <c r="D11" s="228">
        <v>3.33</v>
      </c>
      <c r="E11" s="228">
        <v>20.72</v>
      </c>
      <c r="F11" s="144">
        <f>E11+D11</f>
        <v>24.049999999999997</v>
      </c>
    </row>
    <row r="13" spans="2:20">
      <c r="N13" s="162" t="s">
        <v>436</v>
      </c>
      <c r="O13" s="119">
        <v>1</v>
      </c>
      <c r="P13" s="119">
        <f>O13+1</f>
        <v>2</v>
      </c>
      <c r="Q13" s="119">
        <f t="shared" ref="Q13:T13" si="3">P13+1</f>
        <v>3</v>
      </c>
      <c r="R13" s="119">
        <f t="shared" si="3"/>
        <v>4</v>
      </c>
      <c r="S13" s="119">
        <f t="shared" si="3"/>
        <v>5</v>
      </c>
      <c r="T13" s="119">
        <f t="shared" si="3"/>
        <v>6</v>
      </c>
    </row>
    <row r="14" spans="2:20">
      <c r="E14" s="345" t="s">
        <v>421</v>
      </c>
      <c r="F14" s="346"/>
      <c r="G14" s="346"/>
      <c r="H14" s="346"/>
      <c r="I14" s="347"/>
      <c r="J14" s="213"/>
      <c r="K14" s="213"/>
      <c r="N14" s="163" t="s">
        <v>437</v>
      </c>
      <c r="O14" s="164">
        <f>D7</f>
        <v>24.054358534000006</v>
      </c>
      <c r="P14" s="165"/>
      <c r="Q14" s="165"/>
      <c r="R14" s="165"/>
      <c r="S14" s="165"/>
      <c r="T14" s="116"/>
    </row>
    <row r="15" spans="2:20" ht="14.4" customHeight="1">
      <c r="B15" s="213"/>
      <c r="C15" s="213" t="s">
        <v>547</v>
      </c>
      <c r="D15" s="214">
        <f t="shared" ref="D15:J15" si="4">SUBTOTAL(9,D17:D195)</f>
        <v>24.054358534000006</v>
      </c>
      <c r="E15" s="214">
        <f t="shared" si="4"/>
        <v>0.33119220199999994</v>
      </c>
      <c r="F15" s="214">
        <f t="shared" si="4"/>
        <v>0.38083716199999995</v>
      </c>
      <c r="G15" s="214">
        <f t="shared" si="4"/>
        <v>0.16616657900000001</v>
      </c>
      <c r="H15" s="214">
        <f t="shared" si="4"/>
        <v>9.2791200000000004E-2</v>
      </c>
      <c r="I15" s="214">
        <f t="shared" si="4"/>
        <v>0.161132</v>
      </c>
      <c r="J15" s="214">
        <f t="shared" si="4"/>
        <v>3.5592268210000011</v>
      </c>
      <c r="K15" s="224">
        <f>SUM(K17:K90)</f>
        <v>22.922239391000005</v>
      </c>
      <c r="N15" s="163" t="s">
        <v>438</v>
      </c>
      <c r="O15" s="164">
        <f>E15</f>
        <v>0.33119220199999994</v>
      </c>
      <c r="P15" s="164">
        <f t="shared" ref="P15:S15" si="5">F15</f>
        <v>0.38083716199999995</v>
      </c>
      <c r="Q15" s="164">
        <f t="shared" si="5"/>
        <v>0.16616657900000001</v>
      </c>
      <c r="R15" s="164">
        <f t="shared" si="5"/>
        <v>9.2791200000000004E-2</v>
      </c>
      <c r="S15" s="164">
        <f t="shared" si="5"/>
        <v>0.161132</v>
      </c>
      <c r="T15" s="164">
        <f>K15</f>
        <v>22.922239391000005</v>
      </c>
    </row>
    <row r="16" spans="2:20" ht="55.2" customHeight="1">
      <c r="B16" s="215" t="s">
        <v>186</v>
      </c>
      <c r="C16" s="215" t="s">
        <v>187</v>
      </c>
      <c r="D16" s="216" t="s">
        <v>548</v>
      </c>
      <c r="E16" s="221" t="s">
        <v>426</v>
      </c>
      <c r="F16" s="221" t="s">
        <v>427</v>
      </c>
      <c r="G16" s="221" t="s">
        <v>428</v>
      </c>
      <c r="H16" s="221" t="s">
        <v>429</v>
      </c>
      <c r="I16" s="221" t="s">
        <v>430</v>
      </c>
      <c r="J16" s="222" t="s">
        <v>422</v>
      </c>
      <c r="K16" s="222" t="s">
        <v>501</v>
      </c>
      <c r="N16" s="163" t="s">
        <v>439</v>
      </c>
      <c r="O16" s="165">
        <v>1</v>
      </c>
      <c r="P16" s="165">
        <f>O16+1</f>
        <v>2</v>
      </c>
      <c r="Q16" s="165">
        <f t="shared" ref="Q16:T16" si="6">P16+1</f>
        <v>3</v>
      </c>
      <c r="R16" s="165">
        <f t="shared" si="6"/>
        <v>4</v>
      </c>
      <c r="S16" s="165">
        <f t="shared" si="6"/>
        <v>5</v>
      </c>
      <c r="T16" s="165">
        <f t="shared" si="6"/>
        <v>6</v>
      </c>
    </row>
    <row r="17" spans="2:20">
      <c r="B17" s="217" t="s">
        <v>400</v>
      </c>
      <c r="C17" s="217" t="s">
        <v>549</v>
      </c>
      <c r="D17" s="218">
        <v>4.6906000000000003E-2</v>
      </c>
      <c r="E17" s="218">
        <v>4.6906000000000003E-2</v>
      </c>
      <c r="F17" s="218">
        <v>0</v>
      </c>
      <c r="G17" s="218">
        <v>0</v>
      </c>
      <c r="H17" s="218">
        <v>0</v>
      </c>
      <c r="I17" s="218">
        <v>0</v>
      </c>
      <c r="J17" s="218">
        <v>0</v>
      </c>
      <c r="K17" s="223">
        <f>D17-E17-F17-G17-H17-I17</f>
        <v>0</v>
      </c>
      <c r="N17" s="163" t="s">
        <v>153</v>
      </c>
      <c r="O17" s="166">
        <f>1/(1+$O$18)^O16</f>
        <v>0.90909090909090906</v>
      </c>
      <c r="P17" s="166">
        <f t="shared" ref="P17:T17" si="7">1/(1+$O$18)^P16</f>
        <v>0.82644628099173545</v>
      </c>
      <c r="Q17" s="166">
        <f t="shared" si="7"/>
        <v>0.75131480090157754</v>
      </c>
      <c r="R17" s="166">
        <f t="shared" si="7"/>
        <v>0.68301345536507052</v>
      </c>
      <c r="S17" s="166">
        <f t="shared" si="7"/>
        <v>0.62092132305915493</v>
      </c>
      <c r="T17" s="166">
        <f t="shared" si="7"/>
        <v>0.56447393005377722</v>
      </c>
    </row>
    <row r="18" spans="2:20" ht="22.2" customHeight="1">
      <c r="B18" s="217" t="s">
        <v>400</v>
      </c>
      <c r="C18" s="217" t="s">
        <v>539</v>
      </c>
      <c r="D18" s="218">
        <v>0.19560606999999999</v>
      </c>
      <c r="E18" s="218">
        <v>0</v>
      </c>
      <c r="F18" s="218">
        <v>0</v>
      </c>
      <c r="G18" s="218">
        <v>8.1562499999999996E-2</v>
      </c>
      <c r="H18" s="218">
        <v>0</v>
      </c>
      <c r="I18" s="218">
        <v>0</v>
      </c>
      <c r="J18" s="218">
        <v>0</v>
      </c>
      <c r="K18" s="223">
        <f t="shared" ref="K18:K81" si="8">D18-E18-F18-G18-H18-I18</f>
        <v>0.11404357</v>
      </c>
      <c r="N18" s="163" t="s">
        <v>440</v>
      </c>
      <c r="O18" s="167">
        <v>0.1</v>
      </c>
      <c r="P18" s="165"/>
      <c r="Q18" s="165"/>
      <c r="R18" s="165"/>
      <c r="S18" s="165"/>
      <c r="T18" s="116"/>
    </row>
    <row r="19" spans="2:20">
      <c r="B19" s="217" t="s">
        <v>400</v>
      </c>
      <c r="C19" s="217" t="s">
        <v>550</v>
      </c>
      <c r="D19" s="218">
        <v>6.7000000000000002E-3</v>
      </c>
      <c r="E19" s="218">
        <v>1.6000000000000001E-3</v>
      </c>
      <c r="F19" s="218">
        <v>0</v>
      </c>
      <c r="G19" s="218">
        <v>5.1000000000000004E-3</v>
      </c>
      <c r="H19" s="218">
        <v>0</v>
      </c>
      <c r="I19" s="218">
        <v>0</v>
      </c>
      <c r="J19" s="218">
        <v>0</v>
      </c>
      <c r="K19" s="223">
        <f t="shared" si="8"/>
        <v>0</v>
      </c>
      <c r="N19" s="163" t="s">
        <v>441</v>
      </c>
      <c r="O19" s="164">
        <f>O15*O17</f>
        <v>0.30108381999999995</v>
      </c>
      <c r="P19" s="164">
        <f t="shared" ref="P19:S19" si="9">P15*P17</f>
        <v>0.31474145619834704</v>
      </c>
      <c r="Q19" s="164">
        <f t="shared" si="9"/>
        <v>0.12484341021788126</v>
      </c>
      <c r="R19" s="164">
        <f t="shared" si="9"/>
        <v>6.3377638139471337E-2</v>
      </c>
      <c r="S19" s="164">
        <f t="shared" si="9"/>
        <v>0.10005029462716775</v>
      </c>
      <c r="T19" s="164">
        <f>T15*T17</f>
        <v>12.939006554671273</v>
      </c>
    </row>
    <row r="20" spans="2:20" ht="28.8">
      <c r="B20" s="219" t="s">
        <v>400</v>
      </c>
      <c r="C20" s="219" t="s">
        <v>538</v>
      </c>
      <c r="D20" s="220">
        <v>0.14722115800000002</v>
      </c>
      <c r="E20" s="220">
        <v>1.4380199999999999E-2</v>
      </c>
      <c r="F20" s="220">
        <v>3.0435679000000004E-2</v>
      </c>
      <c r="G20" s="220">
        <v>7.2005279000000005E-2</v>
      </c>
      <c r="H20" s="220">
        <v>9.2999999999999992E-3</v>
      </c>
      <c r="I20" s="220">
        <v>0</v>
      </c>
      <c r="J20" s="220">
        <v>0.01</v>
      </c>
      <c r="K20" s="223">
        <f t="shared" si="8"/>
        <v>2.1099999999999997E-2</v>
      </c>
      <c r="N20" s="168" t="s">
        <v>442</v>
      </c>
      <c r="O20" s="169">
        <f>SUM(O19:T19)</f>
        <v>13.843103173854141</v>
      </c>
      <c r="P20" s="162"/>
      <c r="Q20" s="162"/>
      <c r="R20" s="162"/>
      <c r="S20" s="170"/>
      <c r="T20" s="170"/>
    </row>
    <row r="21" spans="2:20">
      <c r="B21" s="217" t="s">
        <v>400</v>
      </c>
      <c r="C21" s="217" t="s">
        <v>542</v>
      </c>
      <c r="D21" s="218">
        <v>3.7200000000000002E-3</v>
      </c>
      <c r="E21" s="218">
        <v>0</v>
      </c>
      <c r="F21" s="218">
        <v>1.0200000000000001E-3</v>
      </c>
      <c r="G21" s="218">
        <v>0</v>
      </c>
      <c r="H21" s="218">
        <v>0</v>
      </c>
      <c r="I21" s="218">
        <v>0</v>
      </c>
      <c r="J21" s="218">
        <v>0</v>
      </c>
      <c r="K21" s="223">
        <f t="shared" si="8"/>
        <v>2.7000000000000001E-3</v>
      </c>
    </row>
    <row r="22" spans="2:20">
      <c r="B22" s="217" t="s">
        <v>400</v>
      </c>
      <c r="C22" s="217" t="s">
        <v>536</v>
      </c>
      <c r="D22" s="218">
        <v>6.0000000000000001E-3</v>
      </c>
      <c r="E22" s="218">
        <v>0</v>
      </c>
      <c r="F22" s="218">
        <v>0</v>
      </c>
      <c r="G22" s="218">
        <v>0</v>
      </c>
      <c r="H22" s="218">
        <v>0</v>
      </c>
      <c r="I22" s="218">
        <v>0</v>
      </c>
      <c r="J22" s="218">
        <v>0</v>
      </c>
      <c r="K22" s="223">
        <f t="shared" si="8"/>
        <v>6.0000000000000001E-3</v>
      </c>
    </row>
    <row r="23" spans="2:20">
      <c r="B23" s="217" t="s">
        <v>400</v>
      </c>
      <c r="C23" s="217" t="s">
        <v>537</v>
      </c>
      <c r="D23" s="218">
        <v>2.7000000000000001E-3</v>
      </c>
      <c r="E23" s="218">
        <v>0</v>
      </c>
      <c r="F23" s="218">
        <v>0</v>
      </c>
      <c r="G23" s="218">
        <v>0</v>
      </c>
      <c r="H23" s="218">
        <v>0</v>
      </c>
      <c r="I23" s="218">
        <v>0</v>
      </c>
      <c r="J23" s="218">
        <v>0</v>
      </c>
      <c r="K23" s="223">
        <f t="shared" si="8"/>
        <v>2.7000000000000001E-3</v>
      </c>
    </row>
    <row r="24" spans="2:20">
      <c r="B24" s="217" t="s">
        <v>400</v>
      </c>
      <c r="C24" s="217" t="s">
        <v>551</v>
      </c>
      <c r="D24" s="218">
        <v>2.1778499999999999E-2</v>
      </c>
      <c r="E24" s="218">
        <v>8.8214999999999995E-3</v>
      </c>
      <c r="F24" s="218">
        <v>2.9475E-3</v>
      </c>
      <c r="G24" s="218">
        <v>8.095E-4</v>
      </c>
      <c r="H24" s="218">
        <v>0</v>
      </c>
      <c r="I24" s="218">
        <v>0</v>
      </c>
      <c r="J24" s="218">
        <v>0</v>
      </c>
      <c r="K24" s="223">
        <f t="shared" si="8"/>
        <v>9.1999999999999998E-3</v>
      </c>
    </row>
    <row r="25" spans="2:20">
      <c r="B25" s="217" t="s">
        <v>400</v>
      </c>
      <c r="C25" s="217" t="s">
        <v>552</v>
      </c>
      <c r="D25" s="218">
        <v>2.3939499999999996E-2</v>
      </c>
      <c r="E25" s="218">
        <v>5.8365019999999986E-3</v>
      </c>
      <c r="F25" s="218">
        <v>1.5002998000000002E-2</v>
      </c>
      <c r="G25" s="218">
        <v>1.2999999999999999E-3</v>
      </c>
      <c r="H25" s="218">
        <v>0</v>
      </c>
      <c r="I25" s="218">
        <v>0</v>
      </c>
      <c r="J25" s="218">
        <v>0</v>
      </c>
      <c r="K25" s="223">
        <f t="shared" si="8"/>
        <v>1.7999999999999934E-3</v>
      </c>
    </row>
    <row r="26" spans="2:20">
      <c r="B26" s="217" t="s">
        <v>213</v>
      </c>
      <c r="C26" s="217" t="s">
        <v>553</v>
      </c>
      <c r="D26" s="218">
        <v>3.2209100000000004E-2</v>
      </c>
      <c r="E26" s="218">
        <v>0</v>
      </c>
      <c r="F26" s="218">
        <v>0</v>
      </c>
      <c r="G26" s="218">
        <v>0</v>
      </c>
      <c r="H26" s="218">
        <v>0</v>
      </c>
      <c r="I26" s="218">
        <v>0</v>
      </c>
      <c r="J26" s="218">
        <v>0</v>
      </c>
      <c r="K26" s="223">
        <f t="shared" si="8"/>
        <v>3.2209100000000004E-2</v>
      </c>
    </row>
    <row r="27" spans="2:20">
      <c r="B27" s="217" t="s">
        <v>213</v>
      </c>
      <c r="C27" s="217" t="s">
        <v>554</v>
      </c>
      <c r="D27" s="218">
        <v>8.3250000000000008E-3</v>
      </c>
      <c r="E27" s="218">
        <v>2.8E-3</v>
      </c>
      <c r="F27" s="218">
        <v>0</v>
      </c>
      <c r="G27" s="218"/>
      <c r="H27" s="218">
        <v>0</v>
      </c>
      <c r="I27" s="218">
        <v>0</v>
      </c>
      <c r="J27" s="218">
        <v>0</v>
      </c>
      <c r="K27" s="223">
        <f t="shared" si="8"/>
        <v>5.5250000000000004E-3</v>
      </c>
    </row>
    <row r="28" spans="2:20">
      <c r="B28" s="219" t="s">
        <v>213</v>
      </c>
      <c r="C28" s="219" t="s">
        <v>228</v>
      </c>
      <c r="D28" s="220">
        <v>4.9433300000000006E-2</v>
      </c>
      <c r="E28" s="220">
        <v>0</v>
      </c>
      <c r="F28" s="220">
        <v>0</v>
      </c>
      <c r="G28" s="220">
        <v>0</v>
      </c>
      <c r="H28" s="220">
        <v>0</v>
      </c>
      <c r="I28" s="220">
        <v>0</v>
      </c>
      <c r="J28" s="220">
        <v>4.9433300000000006E-2</v>
      </c>
      <c r="K28" s="223">
        <f t="shared" si="8"/>
        <v>4.9433300000000006E-2</v>
      </c>
    </row>
    <row r="29" spans="2:20">
      <c r="B29" s="217" t="s">
        <v>213</v>
      </c>
      <c r="C29" s="217" t="s">
        <v>218</v>
      </c>
      <c r="D29" s="218">
        <v>0.13551190000000002</v>
      </c>
      <c r="E29" s="218">
        <v>6.5100000000000002E-3</v>
      </c>
      <c r="F29" s="218">
        <v>0</v>
      </c>
      <c r="G29" s="218">
        <v>0</v>
      </c>
      <c r="H29" s="218">
        <v>0</v>
      </c>
      <c r="I29" s="218">
        <v>0</v>
      </c>
      <c r="J29" s="218">
        <v>0</v>
      </c>
      <c r="K29" s="223">
        <f t="shared" si="8"/>
        <v>0.12900190000000003</v>
      </c>
    </row>
    <row r="30" spans="2:20">
      <c r="B30" s="217" t="s">
        <v>213</v>
      </c>
      <c r="C30" s="217" t="s">
        <v>555</v>
      </c>
      <c r="D30" s="218">
        <v>0.30045179999999999</v>
      </c>
      <c r="E30" s="218">
        <v>0</v>
      </c>
      <c r="F30" s="218">
        <v>0</v>
      </c>
      <c r="G30" s="218">
        <v>0</v>
      </c>
      <c r="H30" s="218">
        <v>0</v>
      </c>
      <c r="I30" s="218">
        <v>0</v>
      </c>
      <c r="J30" s="218">
        <v>0</v>
      </c>
      <c r="K30" s="223">
        <f t="shared" si="8"/>
        <v>0.30045179999999999</v>
      </c>
    </row>
    <row r="31" spans="2:20">
      <c r="B31" s="217" t="s">
        <v>213</v>
      </c>
      <c r="C31" s="217" t="s">
        <v>556</v>
      </c>
      <c r="D31" s="218">
        <v>3.8922270999999999</v>
      </c>
      <c r="E31" s="218">
        <v>0</v>
      </c>
      <c r="F31" s="218">
        <v>0</v>
      </c>
      <c r="G31" s="218">
        <v>0</v>
      </c>
      <c r="H31" s="218">
        <v>0</v>
      </c>
      <c r="I31" s="218">
        <v>0</v>
      </c>
      <c r="J31" s="218">
        <v>0</v>
      </c>
      <c r="K31" s="223">
        <f t="shared" si="8"/>
        <v>3.8922270999999999</v>
      </c>
    </row>
    <row r="32" spans="2:20">
      <c r="B32" s="217" t="s">
        <v>363</v>
      </c>
      <c r="C32" s="217" t="s">
        <v>475</v>
      </c>
      <c r="D32" s="218">
        <v>2.5416000000000001E-2</v>
      </c>
      <c r="E32" s="218">
        <v>0</v>
      </c>
      <c r="F32" s="218">
        <v>0</v>
      </c>
      <c r="G32" s="218">
        <v>0</v>
      </c>
      <c r="H32" s="218">
        <v>0</v>
      </c>
      <c r="I32" s="218">
        <v>8.6999999999999994E-3</v>
      </c>
      <c r="J32" s="218">
        <v>0</v>
      </c>
      <c r="K32" s="223">
        <f t="shared" si="8"/>
        <v>1.6716000000000002E-2</v>
      </c>
    </row>
    <row r="33" spans="2:11">
      <c r="B33" s="217" t="s">
        <v>363</v>
      </c>
      <c r="C33" s="217" t="s">
        <v>557</v>
      </c>
      <c r="D33" s="218">
        <v>1.5724999999999999E-2</v>
      </c>
      <c r="E33" s="218">
        <v>0</v>
      </c>
      <c r="F33" s="218">
        <v>0</v>
      </c>
      <c r="G33" s="218">
        <v>0</v>
      </c>
      <c r="H33" s="218">
        <v>0</v>
      </c>
      <c r="I33" s="218">
        <v>0</v>
      </c>
      <c r="J33" s="218">
        <v>0</v>
      </c>
      <c r="K33" s="223">
        <f t="shared" si="8"/>
        <v>1.5724999999999999E-2</v>
      </c>
    </row>
    <row r="34" spans="2:11">
      <c r="B34" s="219" t="s">
        <v>363</v>
      </c>
      <c r="C34" s="219" t="s">
        <v>476</v>
      </c>
      <c r="D34" s="220">
        <v>1.3357546999999999</v>
      </c>
      <c r="E34" s="220">
        <v>0.16999999999999993</v>
      </c>
      <c r="F34" s="220">
        <v>0</v>
      </c>
      <c r="G34" s="220">
        <v>0</v>
      </c>
      <c r="H34" s="220">
        <v>0</v>
      </c>
      <c r="I34" s="220">
        <v>0</v>
      </c>
      <c r="J34" s="220">
        <v>0</v>
      </c>
      <c r="K34" s="223">
        <f t="shared" si="8"/>
        <v>1.1657546999999999</v>
      </c>
    </row>
    <row r="35" spans="2:11">
      <c r="B35" s="217" t="s">
        <v>363</v>
      </c>
      <c r="C35" s="217" t="s">
        <v>558</v>
      </c>
      <c r="D35" s="218">
        <v>1.3599999999999999E-2</v>
      </c>
      <c r="E35" s="218">
        <v>0</v>
      </c>
      <c r="F35" s="218">
        <v>0</v>
      </c>
      <c r="G35" s="218">
        <v>0</v>
      </c>
      <c r="H35" s="218">
        <v>0</v>
      </c>
      <c r="I35" s="218">
        <v>0</v>
      </c>
      <c r="J35" s="218">
        <v>0</v>
      </c>
      <c r="K35" s="223">
        <f t="shared" si="8"/>
        <v>1.3599999999999999E-2</v>
      </c>
    </row>
    <row r="36" spans="2:11">
      <c r="B36" s="219" t="s">
        <v>363</v>
      </c>
      <c r="C36" s="219" t="s">
        <v>372</v>
      </c>
      <c r="D36" s="220">
        <v>0.1492513</v>
      </c>
      <c r="E36" s="220">
        <v>0</v>
      </c>
      <c r="F36" s="220">
        <v>0</v>
      </c>
      <c r="G36" s="220">
        <v>0</v>
      </c>
      <c r="H36" s="220">
        <v>5.1000000000000004E-2</v>
      </c>
      <c r="I36" s="220">
        <v>1.7000000000000071E-3</v>
      </c>
      <c r="J36" s="220">
        <v>0</v>
      </c>
      <c r="K36" s="223">
        <f t="shared" si="8"/>
        <v>9.6551299999999993E-2</v>
      </c>
    </row>
    <row r="37" spans="2:11">
      <c r="B37" s="217" t="s">
        <v>363</v>
      </c>
      <c r="C37" s="217" t="s">
        <v>559</v>
      </c>
      <c r="D37" s="218">
        <v>2.0287400000000001E-2</v>
      </c>
      <c r="E37" s="218">
        <v>0</v>
      </c>
      <c r="F37" s="218">
        <v>0</v>
      </c>
      <c r="G37" s="218">
        <v>0</v>
      </c>
      <c r="H37" s="218">
        <v>0</v>
      </c>
      <c r="I37" s="218">
        <v>0</v>
      </c>
      <c r="J37" s="218">
        <v>0</v>
      </c>
      <c r="K37" s="223">
        <f t="shared" si="8"/>
        <v>2.0287400000000001E-2</v>
      </c>
    </row>
    <row r="38" spans="2:11">
      <c r="B38" s="217" t="s">
        <v>363</v>
      </c>
      <c r="C38" s="217" t="s">
        <v>477</v>
      </c>
      <c r="D38" s="218">
        <v>0.2014003</v>
      </c>
      <c r="E38" s="218">
        <v>0</v>
      </c>
      <c r="F38" s="218">
        <v>0</v>
      </c>
      <c r="G38" s="218">
        <v>0</v>
      </c>
      <c r="H38" s="218">
        <v>0</v>
      </c>
      <c r="I38" s="218">
        <v>4.4319999999999915E-3</v>
      </c>
      <c r="J38" s="218">
        <v>0</v>
      </c>
      <c r="K38" s="223">
        <f t="shared" si="8"/>
        <v>0.19696830000000001</v>
      </c>
    </row>
    <row r="39" spans="2:11">
      <c r="B39" s="217" t="s">
        <v>363</v>
      </c>
      <c r="C39" s="217" t="s">
        <v>560</v>
      </c>
      <c r="D39" s="218">
        <v>4.3999999999999997E-2</v>
      </c>
      <c r="E39" s="218">
        <v>0</v>
      </c>
      <c r="F39" s="218">
        <v>0</v>
      </c>
      <c r="G39" s="218">
        <v>0</v>
      </c>
      <c r="H39" s="218">
        <v>0</v>
      </c>
      <c r="I39" s="218">
        <v>0</v>
      </c>
      <c r="J39" s="218">
        <v>0</v>
      </c>
      <c r="K39" s="223">
        <f t="shared" si="8"/>
        <v>4.3999999999999997E-2</v>
      </c>
    </row>
    <row r="40" spans="2:11">
      <c r="B40" s="219" t="s">
        <v>363</v>
      </c>
      <c r="C40" s="219" t="s">
        <v>561</v>
      </c>
      <c r="D40" s="220">
        <v>4.2788000000000001E-3</v>
      </c>
      <c r="E40" s="220">
        <v>0</v>
      </c>
      <c r="F40" s="220">
        <v>0</v>
      </c>
      <c r="G40" s="220">
        <v>0</v>
      </c>
      <c r="H40" s="220">
        <v>0</v>
      </c>
      <c r="I40" s="220">
        <v>0</v>
      </c>
      <c r="J40" s="220">
        <v>0</v>
      </c>
      <c r="K40" s="223">
        <f t="shared" si="8"/>
        <v>4.2788000000000001E-3</v>
      </c>
    </row>
    <row r="41" spans="2:11">
      <c r="B41" s="217" t="s">
        <v>363</v>
      </c>
      <c r="C41" s="217" t="s">
        <v>562</v>
      </c>
      <c r="D41" s="218">
        <v>3.6949999999999999E-3</v>
      </c>
      <c r="E41" s="218">
        <v>0</v>
      </c>
      <c r="F41" s="218">
        <v>0</v>
      </c>
      <c r="G41" s="218">
        <v>0</v>
      </c>
      <c r="H41" s="218">
        <v>0</v>
      </c>
      <c r="I41" s="218">
        <v>0</v>
      </c>
      <c r="J41" s="218">
        <v>0</v>
      </c>
      <c r="K41" s="223">
        <f t="shared" si="8"/>
        <v>3.6949999999999999E-3</v>
      </c>
    </row>
    <row r="42" spans="2:11">
      <c r="B42" s="217" t="s">
        <v>363</v>
      </c>
      <c r="C42" s="217" t="s">
        <v>563</v>
      </c>
      <c r="D42" s="218">
        <v>4.1017699999999997E-2</v>
      </c>
      <c r="E42" s="218">
        <v>0</v>
      </c>
      <c r="F42" s="218">
        <v>0</v>
      </c>
      <c r="G42" s="218">
        <v>0</v>
      </c>
      <c r="H42" s="218">
        <v>0</v>
      </c>
      <c r="I42" s="218">
        <v>0</v>
      </c>
      <c r="J42" s="218">
        <v>0</v>
      </c>
      <c r="K42" s="223">
        <f t="shared" si="8"/>
        <v>4.1017699999999997E-2</v>
      </c>
    </row>
    <row r="43" spans="2:11">
      <c r="B43" s="217" t="s">
        <v>363</v>
      </c>
      <c r="C43" s="217" t="s">
        <v>564</v>
      </c>
      <c r="D43" s="218">
        <v>0.173569</v>
      </c>
      <c r="E43" s="218">
        <v>0</v>
      </c>
      <c r="F43" s="218">
        <v>0</v>
      </c>
      <c r="G43" s="218">
        <v>0</v>
      </c>
      <c r="H43" s="218">
        <v>0</v>
      </c>
      <c r="I43" s="218">
        <v>0</v>
      </c>
      <c r="J43" s="218">
        <v>0</v>
      </c>
      <c r="K43" s="223">
        <f t="shared" si="8"/>
        <v>0.173569</v>
      </c>
    </row>
    <row r="44" spans="2:11">
      <c r="B44" s="217" t="s">
        <v>363</v>
      </c>
      <c r="C44" s="217" t="s">
        <v>565</v>
      </c>
      <c r="D44" s="218">
        <v>9.1350000000000003E-4</v>
      </c>
      <c r="E44" s="218">
        <v>0</v>
      </c>
      <c r="F44" s="218">
        <v>0</v>
      </c>
      <c r="G44" s="218">
        <v>0</v>
      </c>
      <c r="H44" s="218">
        <v>0</v>
      </c>
      <c r="I44" s="218">
        <v>0</v>
      </c>
      <c r="J44" s="218">
        <v>0</v>
      </c>
      <c r="K44" s="223">
        <f t="shared" si="8"/>
        <v>9.1350000000000003E-4</v>
      </c>
    </row>
    <row r="45" spans="2:11">
      <c r="B45" s="217" t="s">
        <v>363</v>
      </c>
      <c r="C45" s="217" t="s">
        <v>566</v>
      </c>
      <c r="D45" s="218">
        <v>6.3943299999999995E-2</v>
      </c>
      <c r="E45" s="218">
        <v>0</v>
      </c>
      <c r="F45" s="218">
        <v>0</v>
      </c>
      <c r="G45" s="218">
        <v>0</v>
      </c>
      <c r="H45" s="218">
        <v>0</v>
      </c>
      <c r="I45" s="218">
        <v>0</v>
      </c>
      <c r="J45" s="218">
        <v>0</v>
      </c>
      <c r="K45" s="223">
        <f t="shared" si="8"/>
        <v>6.3943299999999995E-2</v>
      </c>
    </row>
    <row r="46" spans="2:11">
      <c r="B46" s="219" t="s">
        <v>363</v>
      </c>
      <c r="C46" s="219" t="s">
        <v>567</v>
      </c>
      <c r="D46" s="220">
        <v>5.1709999999999999E-2</v>
      </c>
      <c r="E46" s="220">
        <v>0</v>
      </c>
      <c r="F46" s="220">
        <v>0</v>
      </c>
      <c r="G46" s="220">
        <v>0</v>
      </c>
      <c r="H46" s="220">
        <v>0</v>
      </c>
      <c r="I46" s="220">
        <v>0</v>
      </c>
      <c r="J46" s="220">
        <v>0</v>
      </c>
      <c r="K46" s="223">
        <f t="shared" si="8"/>
        <v>5.1709999999999999E-2</v>
      </c>
    </row>
    <row r="47" spans="2:11">
      <c r="B47" s="217" t="s">
        <v>363</v>
      </c>
      <c r="C47" s="217" t="s">
        <v>382</v>
      </c>
      <c r="D47" s="218">
        <v>8.0831799999999995E-2</v>
      </c>
      <c r="E47" s="218">
        <v>0</v>
      </c>
      <c r="F47" s="218">
        <v>6.2124599999999995E-2</v>
      </c>
      <c r="G47" s="218">
        <v>0</v>
      </c>
      <c r="H47" s="218">
        <v>0</v>
      </c>
      <c r="I47" s="218">
        <v>9.9999999999999395E-5</v>
      </c>
      <c r="J47" s="218">
        <v>0</v>
      </c>
      <c r="K47" s="223">
        <f t="shared" si="8"/>
        <v>1.8607200000000001E-2</v>
      </c>
    </row>
    <row r="48" spans="2:11">
      <c r="B48" s="217" t="s">
        <v>363</v>
      </c>
      <c r="C48" s="217" t="s">
        <v>479</v>
      </c>
      <c r="D48" s="218">
        <v>0.13985819999999999</v>
      </c>
      <c r="E48" s="218">
        <v>3.103699999999987E-3</v>
      </c>
      <c r="F48" s="218">
        <v>1.9606300000000007E-2</v>
      </c>
      <c r="G48" s="218">
        <v>0</v>
      </c>
      <c r="H48" s="218">
        <v>0</v>
      </c>
      <c r="I48" s="218">
        <v>8.9999999999999941E-3</v>
      </c>
      <c r="J48" s="218">
        <v>0</v>
      </c>
      <c r="K48" s="223">
        <f t="shared" si="8"/>
        <v>0.1081482</v>
      </c>
    </row>
    <row r="49" spans="2:11">
      <c r="B49" s="219" t="s">
        <v>193</v>
      </c>
      <c r="C49" s="219" t="s">
        <v>527</v>
      </c>
      <c r="D49" s="220">
        <v>4.5747000000000003E-2</v>
      </c>
      <c r="E49" s="220">
        <v>0</v>
      </c>
      <c r="F49" s="220">
        <v>0</v>
      </c>
      <c r="G49" s="220">
        <v>0</v>
      </c>
      <c r="H49" s="220">
        <v>0.02</v>
      </c>
      <c r="I49" s="220"/>
      <c r="J49" s="220">
        <v>2.5747000000000003E-2</v>
      </c>
      <c r="K49" s="223">
        <f t="shared" si="8"/>
        <v>2.5747000000000003E-2</v>
      </c>
    </row>
    <row r="50" spans="2:11">
      <c r="B50" s="217" t="s">
        <v>193</v>
      </c>
      <c r="C50" s="217" t="s">
        <v>528</v>
      </c>
      <c r="D50" s="218">
        <v>1.4118063680000001</v>
      </c>
      <c r="E50" s="218">
        <v>0</v>
      </c>
      <c r="F50" s="218">
        <v>0.11</v>
      </c>
      <c r="G50" s="218"/>
      <c r="H50" s="218">
        <v>0</v>
      </c>
      <c r="I50" s="218"/>
      <c r="J50" s="218">
        <v>1.301806368</v>
      </c>
      <c r="K50" s="223">
        <f t="shared" si="8"/>
        <v>1.301806368</v>
      </c>
    </row>
    <row r="51" spans="2:11">
      <c r="B51" s="217" t="s">
        <v>193</v>
      </c>
      <c r="C51" s="217" t="s">
        <v>209</v>
      </c>
      <c r="D51" s="218">
        <v>0.73138910000000001</v>
      </c>
      <c r="E51" s="218">
        <v>3.3486800000000039E-2</v>
      </c>
      <c r="F51" s="218">
        <v>0</v>
      </c>
      <c r="G51" s="218">
        <v>0</v>
      </c>
      <c r="H51" s="218">
        <v>0</v>
      </c>
      <c r="I51" s="218"/>
      <c r="J51" s="218">
        <v>0</v>
      </c>
      <c r="K51" s="223">
        <f t="shared" si="8"/>
        <v>0.69790229999999998</v>
      </c>
    </row>
    <row r="52" spans="2:11">
      <c r="B52" s="217" t="s">
        <v>193</v>
      </c>
      <c r="C52" s="217" t="s">
        <v>568</v>
      </c>
      <c r="D52" s="218">
        <v>1.76732E-2</v>
      </c>
      <c r="E52" s="218">
        <v>0</v>
      </c>
      <c r="F52" s="218">
        <v>0</v>
      </c>
      <c r="G52" s="218">
        <v>0</v>
      </c>
      <c r="H52" s="218">
        <v>0</v>
      </c>
      <c r="I52" s="218"/>
      <c r="J52" s="218">
        <v>0</v>
      </c>
      <c r="K52" s="223">
        <f t="shared" si="8"/>
        <v>1.76732E-2</v>
      </c>
    </row>
    <row r="53" spans="2:11">
      <c r="B53" s="217" t="s">
        <v>193</v>
      </c>
      <c r="C53" s="217" t="s">
        <v>204</v>
      </c>
      <c r="D53" s="218">
        <v>0.105119568</v>
      </c>
      <c r="E53" s="218">
        <v>0</v>
      </c>
      <c r="F53" s="218">
        <v>0.02</v>
      </c>
      <c r="G53" s="218">
        <v>0</v>
      </c>
      <c r="H53" s="218">
        <v>0</v>
      </c>
      <c r="I53" s="218"/>
      <c r="J53" s="218">
        <v>3.7893679999999874E-3</v>
      </c>
      <c r="K53" s="223">
        <f t="shared" si="8"/>
        <v>8.5119567999999993E-2</v>
      </c>
    </row>
    <row r="54" spans="2:11">
      <c r="B54" s="217" t="s">
        <v>193</v>
      </c>
      <c r="C54" s="217" t="s">
        <v>211</v>
      </c>
      <c r="D54" s="218">
        <v>0.33002186</v>
      </c>
      <c r="E54" s="218"/>
      <c r="F54" s="218"/>
      <c r="G54" s="218"/>
      <c r="H54" s="218"/>
      <c r="I54" s="218"/>
      <c r="J54" s="218">
        <v>0.32002185999999999</v>
      </c>
      <c r="K54" s="223">
        <f t="shared" si="8"/>
        <v>0.33002186</v>
      </c>
    </row>
    <row r="55" spans="2:11">
      <c r="B55" s="219" t="s">
        <v>193</v>
      </c>
      <c r="C55" s="219" t="s">
        <v>207</v>
      </c>
      <c r="D55" s="220">
        <v>0.27482229999999996</v>
      </c>
      <c r="E55" s="220">
        <v>0</v>
      </c>
      <c r="F55" s="220">
        <v>0</v>
      </c>
      <c r="G55" s="220">
        <v>0</v>
      </c>
      <c r="H55" s="220">
        <v>0</v>
      </c>
      <c r="I55" s="220"/>
      <c r="J55" s="220">
        <v>0.12446959999999996</v>
      </c>
      <c r="K55" s="223">
        <f t="shared" si="8"/>
        <v>0.27482229999999996</v>
      </c>
    </row>
    <row r="56" spans="2:11">
      <c r="B56" s="217" t="s">
        <v>193</v>
      </c>
      <c r="C56" s="217" t="s">
        <v>569</v>
      </c>
      <c r="D56" s="218">
        <v>1.6192600000000001E-2</v>
      </c>
      <c r="E56" s="218">
        <v>1.6192600000000001E-2</v>
      </c>
      <c r="F56" s="218">
        <v>0</v>
      </c>
      <c r="G56" s="218">
        <v>0</v>
      </c>
      <c r="H56" s="218">
        <v>0</v>
      </c>
      <c r="I56" s="218"/>
      <c r="J56" s="218">
        <v>0</v>
      </c>
      <c r="K56" s="223">
        <f t="shared" si="8"/>
        <v>0</v>
      </c>
    </row>
    <row r="57" spans="2:11">
      <c r="B57" s="217" t="s">
        <v>193</v>
      </c>
      <c r="C57" s="217" t="s">
        <v>570</v>
      </c>
      <c r="D57" s="218">
        <v>5.4000000000000003E-3</v>
      </c>
      <c r="E57" s="218">
        <v>5.4000000000000003E-3</v>
      </c>
      <c r="F57" s="218">
        <v>0</v>
      </c>
      <c r="G57" s="218">
        <v>0</v>
      </c>
      <c r="H57" s="218">
        <v>0</v>
      </c>
      <c r="I57" s="218"/>
      <c r="J57" s="218">
        <v>0</v>
      </c>
      <c r="K57" s="223">
        <f t="shared" si="8"/>
        <v>0</v>
      </c>
    </row>
    <row r="58" spans="2:11">
      <c r="B58" s="217" t="s">
        <v>193</v>
      </c>
      <c r="C58" s="217" t="s">
        <v>545</v>
      </c>
      <c r="D58" s="218">
        <v>0</v>
      </c>
      <c r="E58" s="218">
        <v>0</v>
      </c>
      <c r="F58" s="218">
        <v>0</v>
      </c>
      <c r="G58" s="218">
        <v>0</v>
      </c>
      <c r="H58" s="218">
        <v>0</v>
      </c>
      <c r="I58" s="218">
        <v>0</v>
      </c>
      <c r="J58" s="218">
        <v>0</v>
      </c>
      <c r="K58" s="223">
        <f t="shared" si="8"/>
        <v>0</v>
      </c>
    </row>
    <row r="59" spans="2:11">
      <c r="B59" s="217" t="s">
        <v>493</v>
      </c>
      <c r="C59" s="217" t="s">
        <v>525</v>
      </c>
      <c r="D59" s="218">
        <v>1.235E-2</v>
      </c>
      <c r="E59" s="218">
        <v>0</v>
      </c>
      <c r="F59" s="218">
        <v>1.1050000000000001E-2</v>
      </c>
      <c r="G59" s="218">
        <v>0</v>
      </c>
      <c r="H59" s="218">
        <v>0</v>
      </c>
      <c r="I59" s="218">
        <v>0</v>
      </c>
      <c r="J59" s="218">
        <v>1.2999999999999991E-3</v>
      </c>
      <c r="K59" s="223">
        <f t="shared" si="8"/>
        <v>1.2999999999999991E-3</v>
      </c>
    </row>
    <row r="60" spans="2:11">
      <c r="B60" s="217" t="s">
        <v>493</v>
      </c>
      <c r="C60" s="217" t="s">
        <v>280</v>
      </c>
      <c r="D60" s="218">
        <v>1.22749E-2</v>
      </c>
      <c r="E60" s="218">
        <v>1.22749E-2</v>
      </c>
      <c r="F60" s="218">
        <v>0</v>
      </c>
      <c r="G60" s="218">
        <v>0</v>
      </c>
      <c r="H60" s="218">
        <v>0</v>
      </c>
      <c r="I60" s="218">
        <v>0</v>
      </c>
      <c r="J60" s="218">
        <v>0</v>
      </c>
      <c r="K60" s="223">
        <f t="shared" si="8"/>
        <v>0</v>
      </c>
    </row>
    <row r="61" spans="2:11">
      <c r="B61" s="217" t="s">
        <v>493</v>
      </c>
      <c r="C61" s="217" t="s">
        <v>274</v>
      </c>
      <c r="D61" s="218">
        <v>2.1222499999999998E-2</v>
      </c>
      <c r="E61" s="218">
        <v>0</v>
      </c>
      <c r="F61" s="218">
        <v>2.1222499999999998E-2</v>
      </c>
      <c r="G61" s="218">
        <v>0</v>
      </c>
      <c r="H61" s="218">
        <v>0</v>
      </c>
      <c r="I61" s="218">
        <v>0</v>
      </c>
      <c r="J61" s="218">
        <v>0</v>
      </c>
      <c r="K61" s="223">
        <f t="shared" si="8"/>
        <v>0</v>
      </c>
    </row>
    <row r="62" spans="2:11">
      <c r="B62" s="219" t="s">
        <v>493</v>
      </c>
      <c r="C62" s="219" t="s">
        <v>281</v>
      </c>
      <c r="D62" s="220">
        <v>1.8749999999999999E-2</v>
      </c>
      <c r="E62" s="220">
        <v>0</v>
      </c>
      <c r="F62" s="220">
        <v>0</v>
      </c>
      <c r="G62" s="220">
        <v>0</v>
      </c>
      <c r="H62" s="220">
        <v>0</v>
      </c>
      <c r="I62" s="220">
        <v>0</v>
      </c>
      <c r="J62" s="220">
        <v>1.346E-2</v>
      </c>
      <c r="K62" s="223">
        <f t="shared" si="8"/>
        <v>1.8749999999999999E-2</v>
      </c>
    </row>
    <row r="63" spans="2:11">
      <c r="B63" s="217" t="s">
        <v>493</v>
      </c>
      <c r="C63" s="217" t="s">
        <v>540</v>
      </c>
      <c r="D63" s="218">
        <v>0.13</v>
      </c>
      <c r="E63" s="218">
        <v>0</v>
      </c>
      <c r="F63" s="218">
        <v>0</v>
      </c>
      <c r="G63" s="218">
        <v>0</v>
      </c>
      <c r="H63" s="218">
        <v>0</v>
      </c>
      <c r="I63" s="218">
        <v>0.13</v>
      </c>
      <c r="J63" s="218">
        <v>0</v>
      </c>
      <c r="K63" s="223">
        <f t="shared" si="8"/>
        <v>0</v>
      </c>
    </row>
    <row r="64" spans="2:11">
      <c r="B64" s="219" t="s">
        <v>493</v>
      </c>
      <c r="C64" s="219" t="s">
        <v>275</v>
      </c>
      <c r="D64" s="220">
        <v>3.3433000000000004E-2</v>
      </c>
      <c r="E64" s="220">
        <v>0</v>
      </c>
      <c r="F64" s="220">
        <v>0</v>
      </c>
      <c r="G64" s="220">
        <v>0</v>
      </c>
      <c r="H64" s="220">
        <v>0</v>
      </c>
      <c r="I64" s="220">
        <v>0</v>
      </c>
      <c r="J64" s="220">
        <v>2.6770000000000006E-2</v>
      </c>
      <c r="K64" s="223">
        <f t="shared" si="8"/>
        <v>3.3433000000000004E-2</v>
      </c>
    </row>
    <row r="65" spans="2:11">
      <c r="B65" s="217" t="s">
        <v>493</v>
      </c>
      <c r="C65" s="217" t="s">
        <v>571</v>
      </c>
      <c r="D65" s="218">
        <v>3.5E-4</v>
      </c>
      <c r="E65" s="218">
        <v>0</v>
      </c>
      <c r="F65" s="218">
        <v>3.5E-4</v>
      </c>
      <c r="G65" s="218">
        <v>0</v>
      </c>
      <c r="H65" s="218">
        <v>0</v>
      </c>
      <c r="I65" s="218">
        <v>0</v>
      </c>
      <c r="J65" s="218">
        <v>0</v>
      </c>
      <c r="K65" s="223">
        <f t="shared" si="8"/>
        <v>0</v>
      </c>
    </row>
    <row r="66" spans="2:11">
      <c r="B66" s="217" t="s">
        <v>493</v>
      </c>
      <c r="C66" s="217" t="s">
        <v>572</v>
      </c>
      <c r="D66" s="218">
        <v>1.7845000000000003E-2</v>
      </c>
      <c r="E66" s="218">
        <v>0</v>
      </c>
      <c r="F66" s="218">
        <v>7.9450000000000007E-3</v>
      </c>
      <c r="G66" s="218">
        <v>0</v>
      </c>
      <c r="H66" s="218">
        <v>0</v>
      </c>
      <c r="I66" s="218">
        <v>0</v>
      </c>
      <c r="J66" s="218">
        <v>0</v>
      </c>
      <c r="K66" s="223">
        <f t="shared" si="8"/>
        <v>9.9000000000000025E-3</v>
      </c>
    </row>
    <row r="67" spans="2:11">
      <c r="B67" s="219" t="s">
        <v>493</v>
      </c>
      <c r="C67" s="219" t="s">
        <v>279</v>
      </c>
      <c r="D67" s="220">
        <v>8.095999999999999E-3</v>
      </c>
      <c r="E67" s="220">
        <v>0</v>
      </c>
      <c r="F67" s="220">
        <v>0</v>
      </c>
      <c r="G67" s="220">
        <v>0</v>
      </c>
      <c r="H67" s="220">
        <v>0</v>
      </c>
      <c r="I67" s="220">
        <v>0</v>
      </c>
      <c r="J67" s="220">
        <v>2.8669999999999989E-3</v>
      </c>
      <c r="K67" s="223">
        <f t="shared" si="8"/>
        <v>8.095999999999999E-3</v>
      </c>
    </row>
    <row r="68" spans="2:11">
      <c r="B68" s="217" t="s">
        <v>493</v>
      </c>
      <c r="C68" s="217" t="s">
        <v>295</v>
      </c>
      <c r="D68" s="218">
        <v>1.0610000000000001E-2</v>
      </c>
      <c r="E68" s="218">
        <v>0</v>
      </c>
      <c r="F68" s="218">
        <v>0</v>
      </c>
      <c r="G68" s="218">
        <v>0</v>
      </c>
      <c r="H68" s="218">
        <v>9.4249999999999998E-4</v>
      </c>
      <c r="I68" s="218">
        <v>0</v>
      </c>
      <c r="J68" s="218">
        <v>4.2000000000000023E-4</v>
      </c>
      <c r="K68" s="223">
        <f t="shared" si="8"/>
        <v>9.6675000000000007E-3</v>
      </c>
    </row>
    <row r="69" spans="2:11">
      <c r="B69" s="217" t="s">
        <v>239</v>
      </c>
      <c r="C69" s="217" t="s">
        <v>240</v>
      </c>
      <c r="D69" s="218">
        <v>5.7236300000000004E-2</v>
      </c>
      <c r="E69" s="218"/>
      <c r="F69" s="218">
        <v>5.7236300000000004E-2</v>
      </c>
      <c r="G69" s="218">
        <v>0</v>
      </c>
      <c r="H69" s="218"/>
      <c r="I69" s="218">
        <v>0</v>
      </c>
      <c r="J69" s="218">
        <v>0</v>
      </c>
      <c r="K69" s="223">
        <f t="shared" si="8"/>
        <v>0</v>
      </c>
    </row>
    <row r="70" spans="2:11">
      <c r="B70" s="217" t="s">
        <v>239</v>
      </c>
      <c r="C70" s="217" t="s">
        <v>529</v>
      </c>
      <c r="D70" s="218">
        <v>0</v>
      </c>
      <c r="E70" s="218"/>
      <c r="F70" s="218">
        <v>0</v>
      </c>
      <c r="G70" s="218">
        <v>0</v>
      </c>
      <c r="H70" s="218"/>
      <c r="I70" s="218"/>
      <c r="J70" s="218">
        <v>0</v>
      </c>
      <c r="K70" s="223">
        <f t="shared" si="8"/>
        <v>0</v>
      </c>
    </row>
    <row r="71" spans="2:11">
      <c r="B71" s="217" t="s">
        <v>239</v>
      </c>
      <c r="C71" s="217" t="s">
        <v>523</v>
      </c>
      <c r="D71" s="218">
        <v>4.5000000000000005E-3</v>
      </c>
      <c r="E71" s="218">
        <v>0</v>
      </c>
      <c r="F71" s="218">
        <v>0</v>
      </c>
      <c r="G71" s="218">
        <v>0</v>
      </c>
      <c r="H71" s="218">
        <v>0</v>
      </c>
      <c r="I71" s="218">
        <v>0</v>
      </c>
      <c r="J71" s="218">
        <v>4.000000000000001E-3</v>
      </c>
      <c r="K71" s="223">
        <f t="shared" si="8"/>
        <v>4.5000000000000005E-3</v>
      </c>
    </row>
    <row r="72" spans="2:11">
      <c r="B72" s="217" t="s">
        <v>239</v>
      </c>
      <c r="C72" s="217" t="s">
        <v>573</v>
      </c>
      <c r="D72" s="218">
        <v>3.8800000000000002E-3</v>
      </c>
      <c r="E72" s="218">
        <v>3.8800000000000002E-3</v>
      </c>
      <c r="F72" s="218">
        <v>0</v>
      </c>
      <c r="G72" s="218">
        <v>0</v>
      </c>
      <c r="H72" s="218">
        <v>0</v>
      </c>
      <c r="I72" s="218">
        <v>0</v>
      </c>
      <c r="J72" s="218">
        <v>0</v>
      </c>
      <c r="K72" s="223">
        <f t="shared" si="8"/>
        <v>0</v>
      </c>
    </row>
    <row r="73" spans="2:11">
      <c r="B73" s="217" t="s">
        <v>239</v>
      </c>
      <c r="C73" s="217" t="s">
        <v>546</v>
      </c>
      <c r="D73" s="218">
        <v>1.9E-2</v>
      </c>
      <c r="E73" s="218">
        <v>0</v>
      </c>
      <c r="F73" s="218">
        <v>0</v>
      </c>
      <c r="G73" s="218">
        <v>0</v>
      </c>
      <c r="H73" s="218">
        <v>0</v>
      </c>
      <c r="I73" s="218">
        <v>0</v>
      </c>
      <c r="J73" s="218">
        <v>7.45E-3</v>
      </c>
      <c r="K73" s="223">
        <f t="shared" si="8"/>
        <v>1.9E-2</v>
      </c>
    </row>
    <row r="74" spans="2:11">
      <c r="B74" s="217" t="s">
        <v>239</v>
      </c>
      <c r="C74" s="217" t="s">
        <v>574</v>
      </c>
      <c r="D74" s="218">
        <v>2.0139799999999999E-2</v>
      </c>
      <c r="E74" s="218">
        <v>0</v>
      </c>
      <c r="F74" s="218">
        <v>0</v>
      </c>
      <c r="G74" s="218">
        <v>0</v>
      </c>
      <c r="H74" s="218">
        <v>0</v>
      </c>
      <c r="I74" s="218">
        <v>0</v>
      </c>
      <c r="J74" s="218">
        <v>2.0139799999999999E-2</v>
      </c>
      <c r="K74" s="223">
        <f t="shared" si="8"/>
        <v>2.0139799999999999E-2</v>
      </c>
    </row>
    <row r="75" spans="2:11">
      <c r="B75" s="217" t="s">
        <v>239</v>
      </c>
      <c r="C75" s="217" t="s">
        <v>524</v>
      </c>
      <c r="D75" s="218">
        <v>1.7500000000000002E-2</v>
      </c>
      <c r="E75" s="218">
        <v>0</v>
      </c>
      <c r="F75" s="218">
        <v>6.7999999999999996E-3</v>
      </c>
      <c r="G75" s="218">
        <v>0</v>
      </c>
      <c r="H75" s="218">
        <v>0</v>
      </c>
      <c r="I75" s="218">
        <v>3.0000000000000001E-3</v>
      </c>
      <c r="J75" s="218">
        <v>7.700000000000002E-3</v>
      </c>
      <c r="K75" s="223">
        <f t="shared" si="8"/>
        <v>7.7000000000000011E-3</v>
      </c>
    </row>
    <row r="76" spans="2:11">
      <c r="B76" s="217" t="s">
        <v>239</v>
      </c>
      <c r="C76" s="217" t="s">
        <v>544</v>
      </c>
      <c r="D76" s="218">
        <v>6.3600000000000002E-3</v>
      </c>
      <c r="E76" s="218">
        <v>0</v>
      </c>
      <c r="F76" s="218">
        <v>0</v>
      </c>
      <c r="G76" s="218">
        <v>0</v>
      </c>
      <c r="H76" s="218">
        <v>0</v>
      </c>
      <c r="I76" s="218">
        <v>0</v>
      </c>
      <c r="J76" s="218">
        <v>2.5500000000000002E-3</v>
      </c>
      <c r="K76" s="223">
        <f t="shared" si="8"/>
        <v>6.3600000000000002E-3</v>
      </c>
    </row>
    <row r="77" spans="2:11">
      <c r="B77" s="217" t="s">
        <v>239</v>
      </c>
      <c r="C77" s="217" t="s">
        <v>526</v>
      </c>
      <c r="D77" s="218">
        <v>7.4130999999999997E-3</v>
      </c>
      <c r="E77" s="218">
        <v>0</v>
      </c>
      <c r="F77" s="218">
        <v>0</v>
      </c>
      <c r="G77" s="218">
        <v>0</v>
      </c>
      <c r="H77" s="218">
        <v>0</v>
      </c>
      <c r="I77" s="218">
        <v>0</v>
      </c>
      <c r="J77" s="218">
        <v>6.5799999999999999E-3</v>
      </c>
      <c r="K77" s="223">
        <f t="shared" si="8"/>
        <v>7.4130999999999997E-3</v>
      </c>
    </row>
    <row r="78" spans="2:11">
      <c r="B78" s="217" t="s">
        <v>239</v>
      </c>
      <c r="C78" s="217" t="s">
        <v>575</v>
      </c>
      <c r="D78" s="218">
        <v>7.8230999999999995E-3</v>
      </c>
      <c r="E78" s="218"/>
      <c r="F78" s="218">
        <v>3.489285E-3</v>
      </c>
      <c r="G78" s="218">
        <v>0</v>
      </c>
      <c r="H78" s="218">
        <v>0</v>
      </c>
      <c r="I78" s="218">
        <v>0</v>
      </c>
      <c r="J78" s="218">
        <v>4.3338149999999995E-3</v>
      </c>
      <c r="K78" s="223">
        <f t="shared" si="8"/>
        <v>4.3338149999999995E-3</v>
      </c>
    </row>
    <row r="79" spans="2:11">
      <c r="B79" s="217" t="s">
        <v>239</v>
      </c>
      <c r="C79" s="217" t="s">
        <v>533</v>
      </c>
      <c r="D79" s="218">
        <v>7.4999999999999997E-3</v>
      </c>
      <c r="E79" s="218">
        <v>0</v>
      </c>
      <c r="F79" s="218">
        <v>0</v>
      </c>
      <c r="G79" s="218"/>
      <c r="H79" s="218">
        <v>7.4999999999999997E-3</v>
      </c>
      <c r="I79" s="218">
        <v>0</v>
      </c>
      <c r="J79" s="218">
        <v>0</v>
      </c>
      <c r="K79" s="223">
        <f t="shared" si="8"/>
        <v>0</v>
      </c>
    </row>
    <row r="80" spans="2:11">
      <c r="B80" s="217" t="s">
        <v>239</v>
      </c>
      <c r="C80" s="217" t="s">
        <v>535</v>
      </c>
      <c r="D80" s="218">
        <v>2.2000000000000002E-2</v>
      </c>
      <c r="E80" s="218"/>
      <c r="F80" s="218">
        <v>7.0032999999999996E-3</v>
      </c>
      <c r="G80" s="218">
        <v>4.8929999999999998E-3</v>
      </c>
      <c r="H80" s="218"/>
      <c r="I80" s="218">
        <v>4.1999999999999997E-3</v>
      </c>
      <c r="J80" s="218">
        <v>0</v>
      </c>
      <c r="K80" s="223">
        <f t="shared" si="8"/>
        <v>5.9037000000000022E-3</v>
      </c>
    </row>
    <row r="81" spans="2:11">
      <c r="B81" s="219" t="s">
        <v>239</v>
      </c>
      <c r="C81" s="219" t="s">
        <v>531</v>
      </c>
      <c r="D81" s="220">
        <v>1.5503699999999999E-2</v>
      </c>
      <c r="E81" s="220">
        <v>0</v>
      </c>
      <c r="F81" s="220">
        <v>4.6036999999999996E-3</v>
      </c>
      <c r="G81" s="220">
        <v>4.9629999999999997E-4</v>
      </c>
      <c r="H81" s="220">
        <v>4.0486999999999997E-3</v>
      </c>
      <c r="I81" s="220"/>
      <c r="J81" s="220">
        <v>6.3550000000000004E-3</v>
      </c>
      <c r="K81" s="223">
        <f t="shared" si="8"/>
        <v>6.3550000000000004E-3</v>
      </c>
    </row>
    <row r="82" spans="2:11">
      <c r="B82" s="219" t="s">
        <v>239</v>
      </c>
      <c r="C82" s="219" t="s">
        <v>541</v>
      </c>
      <c r="D82" s="220">
        <v>1.09E-2</v>
      </c>
      <c r="E82" s="220">
        <v>0</v>
      </c>
      <c r="F82" s="220">
        <v>0</v>
      </c>
      <c r="G82" s="220">
        <v>0</v>
      </c>
      <c r="H82" s="220">
        <v>0</v>
      </c>
      <c r="I82" s="220">
        <v>0</v>
      </c>
      <c r="J82" s="220">
        <v>1.09E-2</v>
      </c>
      <c r="K82" s="223">
        <f t="shared" ref="K82:K90" si="10">D82-E82-F82-G82-H82-I82</f>
        <v>1.09E-2</v>
      </c>
    </row>
    <row r="83" spans="2:11">
      <c r="B83" s="217" t="s">
        <v>239</v>
      </c>
      <c r="C83" s="217" t="s">
        <v>543</v>
      </c>
      <c r="D83" s="218">
        <v>4.1355000000000003E-3</v>
      </c>
      <c r="E83" s="218">
        <v>0</v>
      </c>
      <c r="F83" s="218">
        <v>0</v>
      </c>
      <c r="G83" s="218">
        <v>0</v>
      </c>
      <c r="H83" s="218">
        <v>0</v>
      </c>
      <c r="I83" s="218">
        <v>0</v>
      </c>
      <c r="J83" s="218">
        <v>4.1355000000000003E-3</v>
      </c>
      <c r="K83" s="223">
        <f t="shared" si="10"/>
        <v>4.1355000000000003E-3</v>
      </c>
    </row>
    <row r="84" spans="2:11">
      <c r="B84" s="217" t="s">
        <v>239</v>
      </c>
      <c r="C84" s="217" t="s">
        <v>498</v>
      </c>
      <c r="D84" s="218">
        <v>5.0000000000000001E-4</v>
      </c>
      <c r="E84" s="218">
        <v>0</v>
      </c>
      <c r="F84" s="218">
        <v>0</v>
      </c>
      <c r="G84" s="218">
        <v>0</v>
      </c>
      <c r="H84" s="218">
        <v>0</v>
      </c>
      <c r="I84" s="218">
        <v>0</v>
      </c>
      <c r="J84" s="218">
        <v>5.0000000000000001E-4</v>
      </c>
      <c r="K84" s="223">
        <f t="shared" si="10"/>
        <v>5.0000000000000001E-4</v>
      </c>
    </row>
    <row r="85" spans="2:11">
      <c r="B85" s="217" t="s">
        <v>239</v>
      </c>
      <c r="C85" s="217" t="s">
        <v>532</v>
      </c>
      <c r="D85" s="218">
        <v>3.0489999999999996E-3</v>
      </c>
      <c r="E85" s="218">
        <v>0</v>
      </c>
      <c r="F85" s="218">
        <v>0</v>
      </c>
      <c r="G85" s="218">
        <v>0</v>
      </c>
      <c r="H85" s="218">
        <v>0</v>
      </c>
      <c r="I85" s="218">
        <v>0</v>
      </c>
      <c r="J85" s="218">
        <v>6.6499999999999979E-4</v>
      </c>
      <c r="K85" s="223">
        <f t="shared" si="10"/>
        <v>3.0489999999999996E-3</v>
      </c>
    </row>
    <row r="86" spans="2:11">
      <c r="B86" s="217" t="s">
        <v>239</v>
      </c>
      <c r="C86" s="217" t="s">
        <v>576</v>
      </c>
      <c r="D86" s="218">
        <v>5.9599999999999996E-4</v>
      </c>
      <c r="E86" s="218">
        <v>0</v>
      </c>
      <c r="F86" s="218">
        <v>0</v>
      </c>
      <c r="G86" s="218">
        <v>0</v>
      </c>
      <c r="H86" s="218">
        <v>0</v>
      </c>
      <c r="I86" s="218">
        <v>0</v>
      </c>
      <c r="J86" s="218">
        <v>5.9599999999999996E-4</v>
      </c>
      <c r="K86" s="223">
        <f t="shared" si="10"/>
        <v>5.9599999999999996E-4</v>
      </c>
    </row>
    <row r="87" spans="2:11">
      <c r="B87" s="217" t="s">
        <v>239</v>
      </c>
      <c r="C87" s="217" t="s">
        <v>577</v>
      </c>
      <c r="D87" s="218">
        <v>1.7492E-3</v>
      </c>
      <c r="E87" s="218">
        <v>0</v>
      </c>
      <c r="F87" s="218">
        <v>0</v>
      </c>
      <c r="G87" s="218">
        <v>0</v>
      </c>
      <c r="H87" s="218">
        <v>0</v>
      </c>
      <c r="I87" s="218">
        <v>0</v>
      </c>
      <c r="J87" s="218">
        <v>1.7492E-3</v>
      </c>
      <c r="K87" s="223">
        <f t="shared" si="10"/>
        <v>1.7492E-3</v>
      </c>
    </row>
    <row r="88" spans="2:11">
      <c r="B88" s="219" t="s">
        <v>530</v>
      </c>
      <c r="C88" s="219" t="s">
        <v>530</v>
      </c>
      <c r="D88" s="220">
        <v>13.135819810000001</v>
      </c>
      <c r="E88" s="220">
        <v>0</v>
      </c>
      <c r="F88" s="220">
        <v>0</v>
      </c>
      <c r="G88" s="220">
        <v>0</v>
      </c>
      <c r="H88" s="220">
        <v>0</v>
      </c>
      <c r="I88" s="220">
        <v>0</v>
      </c>
      <c r="J88" s="220">
        <v>1.4988198100000005</v>
      </c>
      <c r="K88" s="223">
        <f t="shared" si="10"/>
        <v>13.135819810000001</v>
      </c>
    </row>
    <row r="89" spans="2:11">
      <c r="B89" s="219" t="s">
        <v>342</v>
      </c>
      <c r="C89" s="219" t="s">
        <v>578</v>
      </c>
      <c r="D89" s="220">
        <v>0.1016682</v>
      </c>
      <c r="E89" s="220">
        <v>0</v>
      </c>
      <c r="F89" s="220">
        <v>0</v>
      </c>
      <c r="G89" s="220">
        <v>0</v>
      </c>
      <c r="H89" s="220">
        <v>0</v>
      </c>
      <c r="I89" s="220">
        <v>0</v>
      </c>
      <c r="J89" s="220">
        <v>0.1016682</v>
      </c>
      <c r="K89" s="223">
        <f t="shared" si="10"/>
        <v>0.1016682</v>
      </c>
    </row>
    <row r="90" spans="2:11">
      <c r="B90" s="217" t="s">
        <v>534</v>
      </c>
      <c r="C90" s="217" t="s">
        <v>534</v>
      </c>
      <c r="D90" s="218">
        <v>0.16600000000000001</v>
      </c>
      <c r="E90" s="218">
        <v>0</v>
      </c>
      <c r="F90" s="218">
        <v>0</v>
      </c>
      <c r="G90" s="218">
        <v>0</v>
      </c>
      <c r="H90" s="218">
        <v>0</v>
      </c>
      <c r="I90" s="218">
        <v>0</v>
      </c>
      <c r="J90" s="218">
        <v>1.0000000000000009E-3</v>
      </c>
      <c r="K90" s="223">
        <f t="shared" si="10"/>
        <v>0.16600000000000001</v>
      </c>
    </row>
  </sheetData>
  <mergeCells count="6">
    <mergeCell ref="E14:I14"/>
    <mergeCell ref="B2:M2"/>
    <mergeCell ref="B3:M3"/>
    <mergeCell ref="B5:M5"/>
    <mergeCell ref="B8:M8"/>
    <mergeCell ref="B9:M9"/>
  </mergeCells>
  <conditionalFormatting sqref="C16">
    <cfRule type="duplicateValues" dxfId="5" priority="2"/>
  </conditionalFormatting>
  <conditionalFormatting sqref="C17">
    <cfRule type="duplicateValues" dxfId="4" priority="1"/>
  </conditionalFormatting>
  <conditionalFormatting sqref="C18:C87">
    <cfRule type="duplicateValues" dxfId="3"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General</vt:lpstr>
      <vt:lpstr>SUMMARY</vt:lpstr>
      <vt:lpstr>Intangible Assets</vt:lpstr>
      <vt:lpstr>NCI-I</vt:lpstr>
      <vt:lpstr>Provisions TR 2018</vt:lpstr>
      <vt:lpstr>Trade Receivable-II</vt:lpstr>
      <vt:lpstr>Provision-2018</vt:lpstr>
      <vt:lpstr>Loans-III</vt:lpstr>
      <vt:lpstr>Loan-Deposits</vt:lpstr>
      <vt:lpstr>Loans and Other Assets-III</vt:lpstr>
      <vt:lpstr>Interest Accrued-IV</vt:lpstr>
      <vt:lpstr>Claim for PBG-V</vt:lpstr>
      <vt:lpstr>Other Receivables-VI</vt:lpstr>
      <vt:lpstr>Margin Money-VII</vt:lpstr>
      <vt:lpstr>Tax Assets-VIII</vt:lpstr>
      <vt:lpstr>Non-Current Inventories-IX</vt:lpstr>
      <vt:lpstr>Retention Money-X</vt:lpstr>
      <vt:lpstr>ONCA-VI</vt:lpstr>
      <vt:lpstr>INVENTORY-VII</vt:lpstr>
      <vt:lpstr>Cash &amp; Cash Equivalents-XI</vt:lpstr>
      <vt:lpstr>OCA-XI</vt:lpstr>
      <vt:lpstr>Balances statutory Athority</vt:lpstr>
      <vt:lpstr>Debenture-2018</vt:lpstr>
      <vt:lpstr>Preferred - 2018</vt:lpstr>
      <vt:lpstr>MSEDCL Assets</vt:lpstr>
      <vt:lpstr>SECL Assets</vt:lpstr>
      <vt:lpstr>WCL Assets</vt:lpstr>
      <vt:lpstr>Sheet4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Mohit Agarwal</dc:creator>
  <cp:lastModifiedBy>welcome</cp:lastModifiedBy>
  <cp:lastPrinted>2020-09-30T11:24:21Z</cp:lastPrinted>
  <dcterms:created xsi:type="dcterms:W3CDTF">2017-12-18T06:17:30Z</dcterms:created>
  <dcterms:modified xsi:type="dcterms:W3CDTF">2024-03-15T06:25:19Z</dcterms:modified>
</cp:coreProperties>
</file>