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0" documentId="13_ncr:1_{450A52CE-7224-4296-855D-02725B343182}" xr6:coauthVersionLast="47" xr6:coauthVersionMax="47" xr10:uidLastSave="{00000000-0000-0000-0000-000000000000}"/>
  <bookViews>
    <workbookView xWindow="-108" yWindow="-108" windowWidth="23256" windowHeight="12576" firstSheet="3" activeTab="5" xr2:uid="{00000000-000D-0000-FFFF-FFFF00000000}"/>
  </bookViews>
  <sheets>
    <sheet name="Summary " sheetId="5" r:id="rId1"/>
    <sheet name="IECCL" sheetId="2" r:id="rId2"/>
    <sheet name="Nagaland" sheetId="7" r:id="rId3"/>
    <sheet name="HEL" sheetId="8" r:id="rId4"/>
    <sheet name="CEL" sheetId="9" r:id="rId5"/>
    <sheet name="BETL" sheetId="10" r:id="rId6"/>
    <sheet name="Brindavan" sheetId="11" r:id="rId7"/>
    <sheet name="PTTL" sheetId="12" r:id="rId8"/>
    <sheet name="SPVs" sheetId="3" r:id="rId9"/>
    <sheet name="Recovery summary" sheetId="16" r:id="rId10"/>
    <sheet name="DDPL" sheetId="13" r:id="rId11"/>
    <sheet name="BAPL" sheetId="14" r:id="rId12"/>
    <sheet name="VSV II Summary" sheetId="15" r:id="rId13"/>
    <sheet name="Workings" sheetId="17" r:id="rId14"/>
  </sheets>
  <externalReferences>
    <externalReference r:id="rId15"/>
  </externalReferences>
  <definedNames>
    <definedName name="_xlnm.Print_Area" localSheetId="1">IECCL!$A$1:$N$9</definedName>
  </definedNames>
  <calcPr calcId="191029"/>
</workbook>
</file>

<file path=xl/calcChain.xml><?xml version="1.0" encoding="utf-8"?>
<calcChain xmlns="http://schemas.openxmlformats.org/spreadsheetml/2006/main">
  <c r="C11" i="10" l="1"/>
  <c r="C10" i="10"/>
  <c r="C9" i="10"/>
  <c r="C8" i="10"/>
  <c r="C7" i="10"/>
  <c r="C6" i="10"/>
  <c r="C11" i="11"/>
  <c r="C10" i="11"/>
  <c r="C9" i="11"/>
  <c r="C8" i="11"/>
  <c r="C7" i="11"/>
  <c r="C6" i="11"/>
  <c r="C10" i="12"/>
  <c r="C11" i="12" s="1"/>
  <c r="C9" i="12"/>
  <c r="C8" i="12"/>
  <c r="C7" i="12"/>
  <c r="J6" i="16"/>
  <c r="C6" i="12"/>
  <c r="O17" i="16"/>
  <c r="N17" i="16"/>
  <c r="M17" i="16"/>
  <c r="L17" i="16"/>
  <c r="J17" i="16"/>
  <c r="I17" i="16"/>
  <c r="H17" i="16"/>
  <c r="C11" i="14"/>
  <c r="D7" i="14"/>
  <c r="C7" i="14"/>
  <c r="C6" i="14"/>
  <c r="D6" i="14"/>
  <c r="C11" i="13"/>
  <c r="M16" i="16"/>
  <c r="N16" i="16" s="1"/>
  <c r="L16" i="16"/>
  <c r="I16" i="16"/>
  <c r="H16" i="16"/>
  <c r="J16" i="16" s="1"/>
  <c r="C7" i="13"/>
  <c r="D7" i="13"/>
  <c r="C6" i="13"/>
  <c r="D6" i="13"/>
  <c r="F33" i="17"/>
  <c r="D33" i="17"/>
  <c r="C33" i="17"/>
  <c r="H31" i="17"/>
  <c r="I31" i="17" s="1"/>
  <c r="E31" i="17" s="1"/>
  <c r="G30" i="17"/>
  <c r="G29" i="17"/>
  <c r="G28" i="17"/>
  <c r="F21" i="17"/>
  <c r="D21" i="17"/>
  <c r="C21" i="17"/>
  <c r="T20" i="17"/>
  <c r="T21" i="17" s="1"/>
  <c r="G19" i="17"/>
  <c r="T18" i="17"/>
  <c r="P18" i="17"/>
  <c r="P20" i="17" s="1"/>
  <c r="O18" i="17"/>
  <c r="O20" i="17" s="1"/>
  <c r="P21" i="17" s="1"/>
  <c r="I18" i="17"/>
  <c r="G18" i="17"/>
  <c r="T17" i="17"/>
  <c r="K17" i="17"/>
  <c r="J18" i="17" s="1"/>
  <c r="J19" i="17" s="1"/>
  <c r="E17" i="17"/>
  <c r="G17" i="17" s="1"/>
  <c r="G16" i="17"/>
  <c r="G15" i="17"/>
  <c r="I14" i="17"/>
  <c r="G14" i="17"/>
  <c r="G13" i="17"/>
  <c r="G12" i="17"/>
  <c r="G11" i="17"/>
  <c r="G10" i="17"/>
  <c r="G9" i="17"/>
  <c r="G8" i="17"/>
  <c r="G7" i="17"/>
  <c r="E6" i="17"/>
  <c r="E21" i="17" s="1"/>
  <c r="S9" i="16"/>
  <c r="X9" i="16" s="1"/>
  <c r="Q9" i="16"/>
  <c r="M9" i="16"/>
  <c r="H9" i="16"/>
  <c r="L9" i="16" s="1"/>
  <c r="N9" i="16" s="1"/>
  <c r="S8" i="16"/>
  <c r="X8" i="16" s="1"/>
  <c r="Q8" i="16"/>
  <c r="I8" i="16"/>
  <c r="M8" i="16" s="1"/>
  <c r="H8" i="16"/>
  <c r="G8" i="16"/>
  <c r="S7" i="16"/>
  <c r="X7" i="16" s="1"/>
  <c r="Y7" i="16" s="1"/>
  <c r="Q7" i="16"/>
  <c r="P7" i="16"/>
  <c r="L7" i="16"/>
  <c r="I7" i="16"/>
  <c r="M7" i="16" s="1"/>
  <c r="R6" i="16"/>
  <c r="S6" i="16" s="1"/>
  <c r="X6" i="16" s="1"/>
  <c r="Q6" i="16"/>
  <c r="I6" i="16"/>
  <c r="M6" i="16" s="1"/>
  <c r="H6" i="16"/>
  <c r="S5" i="16"/>
  <c r="X5" i="16" s="1"/>
  <c r="Q5" i="16"/>
  <c r="I5" i="16"/>
  <c r="M5" i="16" s="1"/>
  <c r="H5" i="16"/>
  <c r="L5" i="16" s="1"/>
  <c r="S4" i="16"/>
  <c r="X4" i="16" s="1"/>
  <c r="Q4" i="16"/>
  <c r="I4" i="16"/>
  <c r="M4" i="16" s="1"/>
  <c r="H4" i="16"/>
  <c r="G4" i="16"/>
  <c r="D29" i="9"/>
  <c r="H24" i="12"/>
  <c r="I24" i="12" s="1"/>
  <c r="J24" i="12" s="1"/>
  <c r="K24" i="12" s="1"/>
  <c r="H21" i="12"/>
  <c r="I21" i="12" s="1"/>
  <c r="J21" i="12" s="1"/>
  <c r="K21" i="12" s="1"/>
  <c r="D28" i="12"/>
  <c r="C12" i="12" l="1"/>
  <c r="O16" i="16"/>
  <c r="J9" i="16"/>
  <c r="Y9" i="16"/>
  <c r="J8" i="16"/>
  <c r="Y4" i="16"/>
  <c r="L8" i="16"/>
  <c r="N8" i="16" s="1"/>
  <c r="M10" i="16"/>
  <c r="U5" i="16"/>
  <c r="U7" i="16"/>
  <c r="Z7" i="16" s="1"/>
  <c r="Y6" i="16"/>
  <c r="L4" i="16"/>
  <c r="U4" i="16" s="1"/>
  <c r="Y5" i="16"/>
  <c r="L6" i="16"/>
  <c r="U6" i="16" s="1"/>
  <c r="Y8" i="16"/>
  <c r="G31" i="17"/>
  <c r="E33" i="17"/>
  <c r="G33" i="17"/>
  <c r="G6" i="17"/>
  <c r="G21" i="17" s="1"/>
  <c r="N7" i="16"/>
  <c r="U9" i="16"/>
  <c r="R1" i="16"/>
  <c r="N5" i="16"/>
  <c r="J4" i="16"/>
  <c r="J5" i="16"/>
  <c r="G26" i="12"/>
  <c r="G25" i="12" s="1"/>
  <c r="J25" i="12"/>
  <c r="C13" i="12"/>
  <c r="C14" i="12" s="1"/>
  <c r="H25" i="14"/>
  <c r="I25" i="14" s="1"/>
  <c r="J25" i="14" s="1"/>
  <c r="K25" i="14" s="1"/>
  <c r="H22" i="14"/>
  <c r="I22" i="14" s="1"/>
  <c r="J22" i="14" s="1"/>
  <c r="K22" i="14" s="1"/>
  <c r="D29" i="14"/>
  <c r="G27" i="14" s="1"/>
  <c r="C12" i="13"/>
  <c r="H25" i="13"/>
  <c r="I25" i="13" s="1"/>
  <c r="J25" i="13" s="1"/>
  <c r="K25" i="13" s="1"/>
  <c r="H22" i="13"/>
  <c r="I22" i="13" s="1"/>
  <c r="J22" i="13" s="1"/>
  <c r="K22" i="13" s="1"/>
  <c r="D29" i="13"/>
  <c r="D31" i="13" s="1"/>
  <c r="H25" i="11"/>
  <c r="H22" i="11"/>
  <c r="I22" i="11" s="1"/>
  <c r="J22" i="11" s="1"/>
  <c r="K22" i="11" s="1"/>
  <c r="D29" i="11"/>
  <c r="G27" i="11" s="1"/>
  <c r="G26" i="11" s="1"/>
  <c r="C11" i="8"/>
  <c r="C12" i="10"/>
  <c r="C9" i="9"/>
  <c r="C11" i="9" s="1"/>
  <c r="C12" i="9" s="1"/>
  <c r="C7" i="9"/>
  <c r="H25" i="10"/>
  <c r="I25" i="10" s="1"/>
  <c r="J25" i="10" s="1"/>
  <c r="K25" i="10" s="1"/>
  <c r="H22" i="10"/>
  <c r="I22" i="10" s="1"/>
  <c r="J22" i="10" s="1"/>
  <c r="K22" i="10" s="1"/>
  <c r="D29" i="10"/>
  <c r="G27" i="10" s="1"/>
  <c r="C8" i="9"/>
  <c r="C6" i="9"/>
  <c r="H25" i="9"/>
  <c r="I25" i="9" s="1"/>
  <c r="J25" i="9" s="1"/>
  <c r="K25" i="9" s="1"/>
  <c r="H22" i="9"/>
  <c r="I22" i="9" s="1"/>
  <c r="J22" i="9" s="1"/>
  <c r="K22" i="9" s="1"/>
  <c r="G27" i="9"/>
  <c r="C8" i="8"/>
  <c r="C7" i="8"/>
  <c r="H25" i="8"/>
  <c r="I25" i="8" s="1"/>
  <c r="J25" i="8" s="1"/>
  <c r="K25" i="8" s="1"/>
  <c r="H22" i="8"/>
  <c r="I22" i="8" s="1"/>
  <c r="J22" i="8" s="1"/>
  <c r="K22" i="8" s="1"/>
  <c r="D30" i="8"/>
  <c r="H24" i="7"/>
  <c r="I24" i="7" s="1"/>
  <c r="J24" i="7" s="1"/>
  <c r="K24" i="7" s="1"/>
  <c r="H21" i="7"/>
  <c r="I21" i="7" s="1"/>
  <c r="J21" i="7" s="1"/>
  <c r="K21" i="7" s="1"/>
  <c r="D28" i="7"/>
  <c r="C7" i="7"/>
  <c r="C10" i="7" s="1"/>
  <c r="C11" i="7" s="1"/>
  <c r="C12" i="7" s="1"/>
  <c r="H25" i="12" l="1"/>
  <c r="I25" i="12"/>
  <c r="N4" i="16"/>
  <c r="N10" i="16" s="1"/>
  <c r="Z9" i="16"/>
  <c r="N6" i="16"/>
  <c r="Z4" i="16"/>
  <c r="U8" i="16"/>
  <c r="Z8" i="16" s="1"/>
  <c r="Z6" i="16"/>
  <c r="J10" i="16"/>
  <c r="Z5" i="16"/>
  <c r="L10" i="16"/>
  <c r="S1" i="16"/>
  <c r="H26" i="11"/>
  <c r="G27" i="13"/>
  <c r="J26" i="13" s="1"/>
  <c r="K25" i="12"/>
  <c r="G22" i="12"/>
  <c r="C15" i="12"/>
  <c r="C16" i="12" s="1"/>
  <c r="C17" i="12" s="1"/>
  <c r="C12" i="14"/>
  <c r="C13" i="14" s="1"/>
  <c r="C15" i="14" s="1"/>
  <c r="I26" i="14"/>
  <c r="H26" i="14"/>
  <c r="K26" i="14"/>
  <c r="G26" i="14"/>
  <c r="J26" i="14"/>
  <c r="C13" i="13"/>
  <c r="C15" i="13" s="1"/>
  <c r="C12" i="11"/>
  <c r="C13" i="11" s="1"/>
  <c r="C15" i="11" s="1"/>
  <c r="I25" i="11"/>
  <c r="J25" i="11" s="1"/>
  <c r="K25" i="11" s="1"/>
  <c r="K26" i="11" s="1"/>
  <c r="C12" i="8"/>
  <c r="C13" i="10"/>
  <c r="C15" i="10" s="1"/>
  <c r="I26" i="10"/>
  <c r="H26" i="10"/>
  <c r="K26" i="10"/>
  <c r="G26" i="10"/>
  <c r="J26" i="10"/>
  <c r="I26" i="9"/>
  <c r="H26" i="9"/>
  <c r="K26" i="9"/>
  <c r="G26" i="9"/>
  <c r="J26" i="9"/>
  <c r="C13" i="9"/>
  <c r="C15" i="9" s="1"/>
  <c r="C13" i="8"/>
  <c r="C15" i="8" s="1"/>
  <c r="G27" i="8"/>
  <c r="C13" i="7"/>
  <c r="C14" i="7" s="1"/>
  <c r="G26" i="7"/>
  <c r="Z11" i="16" l="1"/>
  <c r="I26" i="13"/>
  <c r="G26" i="13"/>
  <c r="K26" i="13"/>
  <c r="H26" i="13"/>
  <c r="K23" i="12"/>
  <c r="K27" i="12" s="1"/>
  <c r="G23" i="12"/>
  <c r="G27" i="12" s="1"/>
  <c r="I23" i="12"/>
  <c r="I27" i="12" s="1"/>
  <c r="H23" i="12"/>
  <c r="H27" i="12" s="1"/>
  <c r="J23" i="12"/>
  <c r="J27" i="12" s="1"/>
  <c r="G23" i="14"/>
  <c r="C16" i="14"/>
  <c r="C17" i="14" s="1"/>
  <c r="C18" i="14" s="1"/>
  <c r="G23" i="13"/>
  <c r="C31" i="13"/>
  <c r="C32" i="13" s="1"/>
  <c r="C16" i="13" s="1"/>
  <c r="C17" i="13" s="1"/>
  <c r="C18" i="13" s="1"/>
  <c r="G23" i="11"/>
  <c r="C16" i="11"/>
  <c r="C17" i="11" s="1"/>
  <c r="C18" i="11" s="1"/>
  <c r="J26" i="11"/>
  <c r="I26" i="11"/>
  <c r="G23" i="10"/>
  <c r="C16" i="10"/>
  <c r="C17" i="10" s="1"/>
  <c r="C18" i="10" s="1"/>
  <c r="G23" i="9"/>
  <c r="C16" i="9"/>
  <c r="C17" i="9" s="1"/>
  <c r="C18" i="9" s="1"/>
  <c r="G23" i="8"/>
  <c r="C16" i="8"/>
  <c r="C17" i="8" s="1"/>
  <c r="C18" i="8" s="1"/>
  <c r="I26" i="8"/>
  <c r="H26" i="8"/>
  <c r="K26" i="8"/>
  <c r="G26" i="8"/>
  <c r="J26" i="8"/>
  <c r="J25" i="7"/>
  <c r="K25" i="7"/>
  <c r="G25" i="7"/>
  <c r="I25" i="7"/>
  <c r="H25" i="7"/>
  <c r="G22" i="7"/>
  <c r="G28" i="12" l="1"/>
  <c r="C19" i="12" s="1"/>
  <c r="J24" i="14"/>
  <c r="J28" i="14" s="1"/>
  <c r="I24" i="14"/>
  <c r="I28" i="14" s="1"/>
  <c r="H24" i="14"/>
  <c r="H28" i="14" s="1"/>
  <c r="K24" i="14"/>
  <c r="K28" i="14" s="1"/>
  <c r="G24" i="14"/>
  <c r="G28" i="14" s="1"/>
  <c r="H24" i="13"/>
  <c r="H28" i="13" s="1"/>
  <c r="K24" i="13"/>
  <c r="K28" i="13" s="1"/>
  <c r="G24" i="13"/>
  <c r="G28" i="13" s="1"/>
  <c r="J24" i="13"/>
  <c r="J28" i="13" s="1"/>
  <c r="I24" i="13"/>
  <c r="I28" i="13" s="1"/>
  <c r="K24" i="11"/>
  <c r="K28" i="11" s="1"/>
  <c r="G24" i="11"/>
  <c r="G28" i="11" s="1"/>
  <c r="J24" i="11"/>
  <c r="J28" i="11" s="1"/>
  <c r="I24" i="11"/>
  <c r="I28" i="11" s="1"/>
  <c r="H24" i="11"/>
  <c r="H28" i="11" s="1"/>
  <c r="J24" i="10"/>
  <c r="J28" i="10" s="1"/>
  <c r="I24" i="10"/>
  <c r="I28" i="10" s="1"/>
  <c r="H24" i="10"/>
  <c r="H28" i="10" s="1"/>
  <c r="K24" i="10"/>
  <c r="K28" i="10" s="1"/>
  <c r="G24" i="10"/>
  <c r="G28" i="10" s="1"/>
  <c r="J24" i="9"/>
  <c r="J28" i="9" s="1"/>
  <c r="I24" i="9"/>
  <c r="I28" i="9" s="1"/>
  <c r="H24" i="9"/>
  <c r="H28" i="9" s="1"/>
  <c r="K24" i="9"/>
  <c r="K28" i="9" s="1"/>
  <c r="G24" i="9"/>
  <c r="G28" i="9" s="1"/>
  <c r="H23" i="7"/>
  <c r="H27" i="7" s="1"/>
  <c r="G23" i="7"/>
  <c r="G27" i="7" s="1"/>
  <c r="J23" i="7"/>
  <c r="J27" i="7" s="1"/>
  <c r="I23" i="7"/>
  <c r="I27" i="7" s="1"/>
  <c r="K23" i="7"/>
  <c r="K27" i="7" s="1"/>
  <c r="J24" i="8"/>
  <c r="J28" i="8" s="1"/>
  <c r="I24" i="8"/>
  <c r="I28" i="8" s="1"/>
  <c r="K24" i="8"/>
  <c r="K28" i="8" s="1"/>
  <c r="H24" i="8"/>
  <c r="H28" i="8" s="1"/>
  <c r="G24" i="8"/>
  <c r="G28" i="8" s="1"/>
  <c r="C15" i="7"/>
  <c r="C16" i="7" s="1"/>
  <c r="C17" i="7" s="1"/>
  <c r="G29" i="11" l="1"/>
  <c r="C20" i="11" s="1"/>
  <c r="G28" i="7"/>
  <c r="G29" i="14"/>
  <c r="C20" i="14" s="1"/>
  <c r="G29" i="13"/>
  <c r="C20" i="13" s="1"/>
  <c r="G29" i="10"/>
  <c r="C20" i="10" s="1"/>
  <c r="G29" i="9"/>
  <c r="C20" i="9" s="1"/>
  <c r="C19" i="7"/>
  <c r="G29" i="8"/>
  <c r="C20" i="8" s="1"/>
  <c r="H4" i="5" l="1"/>
  <c r="P25" i="3"/>
  <c r="P23" i="3"/>
  <c r="F19" i="2"/>
  <c r="F18" i="2"/>
  <c r="P18" i="3"/>
  <c r="P21" i="3"/>
  <c r="P14" i="3"/>
  <c r="P15" i="3" s="1"/>
  <c r="P13" i="3"/>
  <c r="M3" i="2"/>
  <c r="M7" i="2" l="1"/>
  <c r="M5" i="2"/>
  <c r="I7" i="2"/>
  <c r="I6" i="2"/>
  <c r="J7" i="2"/>
  <c r="J6" i="2"/>
  <c r="J4" i="2"/>
  <c r="M4" i="2" s="1"/>
  <c r="J3" i="2"/>
  <c r="L9" i="2" l="1"/>
  <c r="G3" i="5" s="1"/>
  <c r="J9" i="2"/>
  <c r="F3" i="5" s="1"/>
  <c r="H7" i="2"/>
  <c r="O7" i="2" l="1"/>
  <c r="P7" i="2" s="1"/>
  <c r="I3" i="2"/>
  <c r="K3" i="2" l="1"/>
  <c r="O3" i="2" s="1"/>
  <c r="P3" i="2" s="1"/>
  <c r="I5" i="2"/>
  <c r="O5" i="2" s="1"/>
  <c r="P5" i="2" s="1"/>
  <c r="H6" i="2"/>
  <c r="H9" i="2" l="1"/>
  <c r="E3" i="5" s="1"/>
  <c r="M6" i="2"/>
  <c r="O6" i="2"/>
  <c r="P6" i="2" s="1"/>
  <c r="M9" i="2"/>
  <c r="M11" i="2" s="1"/>
  <c r="I9" i="2"/>
  <c r="K4" i="2"/>
  <c r="K9" i="2" l="1"/>
  <c r="O4" i="2"/>
  <c r="P4" i="2" s="1"/>
  <c r="F9" i="3"/>
  <c r="H8" i="3"/>
  <c r="H7" i="3"/>
  <c r="H6" i="3"/>
  <c r="H5" i="3"/>
  <c r="H4" i="3"/>
  <c r="H3" i="3"/>
  <c r="F4" i="5" s="1"/>
  <c r="H9" i="3" l="1"/>
  <c r="C4" i="5" s="1"/>
  <c r="J4" i="5" s="1"/>
  <c r="G9" i="2"/>
  <c r="F9" i="2"/>
  <c r="D3" i="5" s="1"/>
  <c r="E9" i="2"/>
  <c r="C3" i="5" s="1"/>
  <c r="J3" i="5" l="1"/>
  <c r="J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8" authorId="0" shapeId="0" xr:uid="{00000000-0006-0000-0200-000001000000}">
      <text>
        <r>
          <rPr>
            <sz val="9"/>
            <color indexed="81"/>
            <rFont val="Tahoma"/>
            <family val="2"/>
          </rPr>
          <t>Bangalore State Highway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R7" authorId="0" shapeId="0" xr:uid="{22E2B62B-2F5A-4AB0-B84D-3711D68A4AEA}">
      <text>
        <r>
          <rPr>
            <b/>
            <sz val="9"/>
            <color indexed="81"/>
            <rFont val="Tahoma"/>
            <family val="2"/>
          </rPr>
          <t>Author:</t>
        </r>
        <r>
          <rPr>
            <sz val="9"/>
            <color indexed="81"/>
            <rFont val="Tahoma"/>
            <family val="2"/>
          </rPr>
          <t xml:space="preserve">
Assumed as 30 days as per VSV II scheme as grace period is not mentioned in the arbitral award</t>
        </r>
      </text>
    </comment>
    <comment ref="R9" authorId="0" shapeId="0" xr:uid="{E69E8C6C-695F-48FC-9F81-92E0CB50BC90}">
      <text>
        <r>
          <rPr>
            <b/>
            <sz val="9"/>
            <color indexed="81"/>
            <rFont val="Tahoma"/>
            <family val="2"/>
          </rPr>
          <t>Author:</t>
        </r>
        <r>
          <rPr>
            <sz val="9"/>
            <color indexed="81"/>
            <rFont val="Tahoma"/>
            <family val="2"/>
          </rPr>
          <t xml:space="preserve">
Assumed as 30 days as per VSV II scheme as grace period is not mentioned in the arbitral award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6" authorId="0" shapeId="0" xr:uid="{2519CF91-14E5-48F4-A30E-1D29028D7CC4}">
      <text>
        <r>
          <rPr>
            <b/>
            <sz val="9"/>
            <color indexed="81"/>
            <rFont val="Tahoma"/>
            <family val="2"/>
          </rPr>
          <t>Author:</t>
        </r>
        <r>
          <rPr>
            <sz val="9"/>
            <color indexed="81"/>
            <rFont val="Tahoma"/>
            <family val="2"/>
          </rPr>
          <t xml:space="preserve">
Rs. 164,70,87,365 deducted being the amount of counter claim allowed in favour of respondent</t>
        </r>
      </text>
    </comment>
    <comment ref="E6" authorId="0" shapeId="0" xr:uid="{DD8273DF-0469-41FB-89AC-B80E46DAB986}">
      <text>
        <r>
          <rPr>
            <b/>
            <sz val="9"/>
            <color indexed="81"/>
            <rFont val="Tahoma"/>
            <family val="2"/>
          </rPr>
          <t>Author:</t>
        </r>
        <r>
          <rPr>
            <sz val="9"/>
            <color indexed="81"/>
            <rFont val="Tahoma"/>
            <family val="2"/>
          </rPr>
          <t xml:space="preserve">
Pre-litigation interest @ 12% from 1.7.2012 to 11.1.2017</t>
        </r>
      </text>
    </comment>
  </commentList>
</comments>
</file>

<file path=xl/sharedStrings.xml><?xml version="1.0" encoding="utf-8"?>
<sst xmlns="http://schemas.openxmlformats.org/spreadsheetml/2006/main" count="579" uniqueCount="280">
  <si>
    <t>RVNL</t>
  </si>
  <si>
    <t>S.NO</t>
  </si>
  <si>
    <t>Project</t>
  </si>
  <si>
    <t>Client</t>
  </si>
  <si>
    <t>ISPRL</t>
  </si>
  <si>
    <t>Hindusthan Thermal - EPC</t>
  </si>
  <si>
    <t>Project Value</t>
  </si>
  <si>
    <t>Award / Claim  Value</t>
  </si>
  <si>
    <t>GAIL</t>
  </si>
  <si>
    <t>Nagaland Road Project</t>
  </si>
  <si>
    <t>Maytas -Gayatri JV</t>
  </si>
  <si>
    <t>Maytas-NCC JV</t>
  </si>
  <si>
    <t xml:space="preserve">SOMA-NCC-IECCL </t>
  </si>
  <si>
    <t>NCC-KMC-IECCL JV</t>
  </si>
  <si>
    <t>Total</t>
  </si>
  <si>
    <t>Details of Projects and the corresponding arbitration claims and their progress</t>
  </si>
  <si>
    <t>Details of SPVs and the corresponding arbitration claims and their progress</t>
  </si>
  <si>
    <t>S.No</t>
  </si>
  <si>
    <t>Project Name</t>
  </si>
  <si>
    <t>SPV Name</t>
  </si>
  <si>
    <t>Client Name</t>
  </si>
  <si>
    <t>Contract value</t>
  </si>
  <si>
    <t>Award Value</t>
  </si>
  <si>
    <t>IECCL's Share</t>
  </si>
  <si>
    <t>Remarks</t>
  </si>
  <si>
    <t>Award Received</t>
  </si>
  <si>
    <t>IECCL's share of award</t>
  </si>
  <si>
    <t>CareGo Logistics (B&amp;S)</t>
  </si>
  <si>
    <t>Carego Logistics</t>
  </si>
  <si>
    <t>TOTAL (Rs. In Crs.)</t>
  </si>
  <si>
    <t>Annupur Barriage Project</t>
  </si>
  <si>
    <t>Kolkatta Metro Rail Stations</t>
  </si>
  <si>
    <t>ISPRL - Pipeline Laying from LFP to Mangalore cavern for strategic Storage</t>
  </si>
  <si>
    <t>DDPL - Dobhi Durgapur Pipe Line Project</t>
  </si>
  <si>
    <t>BAPL - Bokaro Angul Pipe Line Project</t>
  </si>
  <si>
    <t>Counter Claim Value</t>
  </si>
  <si>
    <t>Break up of Claim</t>
  </si>
  <si>
    <t>Loss of Profit</t>
  </si>
  <si>
    <t>Idling Charges</t>
  </si>
  <si>
    <t>Receivable</t>
  </si>
  <si>
    <t>Other components</t>
  </si>
  <si>
    <t>Balance claim receivable</t>
  </si>
  <si>
    <t>The success ratio of award of the LOP claim is very minimal , hence it is excluded from the claim receivable</t>
  </si>
  <si>
    <t>Mob Advance payable</t>
  </si>
  <si>
    <t>Description</t>
  </si>
  <si>
    <t>Counter Claim</t>
  </si>
  <si>
    <t>IECCL</t>
  </si>
  <si>
    <t>Part of MIT</t>
  </si>
  <si>
    <t>Rs Cr</t>
  </si>
  <si>
    <t>Net Claim Filed</t>
  </si>
  <si>
    <t>Claim Filed</t>
  </si>
  <si>
    <t>Mob Advance Payable</t>
  </si>
  <si>
    <t>Pledged to Group</t>
  </si>
  <si>
    <t>It is a B2B project and IECCL margin is 20%; lready in Books</t>
  </si>
  <si>
    <t>Already in Books</t>
  </si>
  <si>
    <t>SPVs*</t>
  </si>
  <si>
    <t>*Rs 436 Cr is for Nagaland Project where IECCL Margin is only 20%</t>
  </si>
  <si>
    <t>To be Set off</t>
  </si>
  <si>
    <t>*Rs 94 Cr is only for PTTPL, which is a loss asset. It is not a claim per se but a case for handing over of project and settlement of Lender dues</t>
  </si>
  <si>
    <t>Resondent has appealed in the court aginst the award and the award has been rejected</t>
  </si>
  <si>
    <t>Rs. In Cr</t>
  </si>
  <si>
    <t>TOTAL</t>
  </si>
  <si>
    <r>
      <t xml:space="preserve">National Highways Authority of India </t>
    </r>
    <r>
      <rPr>
        <b/>
        <sz val="11"/>
        <color theme="1"/>
        <rFont val="Calibri"/>
        <family val="2"/>
        <scheme val="minor"/>
      </rPr>
      <t>(NHAI)</t>
    </r>
  </si>
  <si>
    <r>
      <rPr>
        <b/>
        <sz val="11"/>
        <color rgb="FF000000"/>
        <rFont val="Calibri"/>
        <family val="2"/>
        <scheme val="minor"/>
      </rPr>
      <t>Hyderabad Expressway (HEL):</t>
    </r>
    <r>
      <rPr>
        <sz val="11"/>
        <color rgb="FF000000"/>
        <rFont val="Calibri"/>
        <family val="2"/>
        <scheme val="minor"/>
      </rPr>
      <t xml:space="preserve"> Eight line access controlled expressway from Bongalur to Tukkuguda</t>
    </r>
  </si>
  <si>
    <r>
      <t xml:space="preserve">Hyderabad Growth Corridor Ltd </t>
    </r>
    <r>
      <rPr>
        <b/>
        <sz val="11"/>
        <color theme="1"/>
        <rFont val="Calibri"/>
        <family val="2"/>
        <scheme val="minor"/>
      </rPr>
      <t>(HGCL)</t>
    </r>
  </si>
  <si>
    <r>
      <rPr>
        <b/>
        <sz val="11"/>
        <color theme="1"/>
        <rFont val="Calibri"/>
        <family val="2"/>
        <scheme val="minor"/>
      </rPr>
      <t>Cyberabad Exressway (CEL)</t>
    </r>
    <r>
      <rPr>
        <sz val="11"/>
        <color theme="1"/>
        <rFont val="Calibri"/>
        <family val="2"/>
        <scheme val="minor"/>
      </rPr>
      <t>: Eight line access controlled expressway from Kollur to Patancheru</t>
    </r>
  </si>
  <si>
    <r>
      <t xml:space="preserve">Pondicherry Tindivanam Tollways Limited </t>
    </r>
    <r>
      <rPr>
        <b/>
        <sz val="11"/>
        <color rgb="FF000000"/>
        <rFont val="Calibri"/>
        <family val="2"/>
        <scheme val="minor"/>
      </rPr>
      <t>(PTTL)</t>
    </r>
  </si>
  <si>
    <r>
      <t xml:space="preserve">Bangalore Elevated Tollways Ltd </t>
    </r>
    <r>
      <rPr>
        <b/>
        <sz val="11"/>
        <color rgb="FF000000"/>
        <rFont val="Calibri"/>
        <family val="2"/>
        <scheme val="minor"/>
      </rPr>
      <t>(BETL)</t>
    </r>
    <r>
      <rPr>
        <sz val="11"/>
        <color rgb="FF000000"/>
        <rFont val="Calibri"/>
        <family val="2"/>
        <scheme val="minor"/>
      </rPr>
      <t xml:space="preserve">: Elevated Highway from Silk Board Junction to Electronic City Junction </t>
    </r>
  </si>
  <si>
    <r>
      <t xml:space="preserve">Brindavan Infrastructure Co. Ltd </t>
    </r>
    <r>
      <rPr>
        <b/>
        <sz val="11"/>
        <color theme="1"/>
        <rFont val="Calibri"/>
        <family val="2"/>
        <scheme val="minor"/>
      </rPr>
      <t>(BICL)</t>
    </r>
    <r>
      <rPr>
        <sz val="11"/>
        <color theme="1"/>
        <rFont val="Calibri"/>
        <family val="2"/>
        <scheme val="minor"/>
      </rPr>
      <t>: Upgradation of existing 2 lane to 4 lane divided carriage way  Bangalore-Maddur Section of Bangalore Mysore  State Highway</t>
    </r>
  </si>
  <si>
    <r>
      <t xml:space="preserve">Karnata Road Development Corporation Ltd </t>
    </r>
    <r>
      <rPr>
        <b/>
        <sz val="11"/>
        <color theme="1"/>
        <rFont val="Calibri"/>
        <family val="2"/>
        <scheme val="minor"/>
      </rPr>
      <t>(KRDCL)</t>
    </r>
  </si>
  <si>
    <t>Rs 436 Cr is for Nagaland Project where IECCL Margin is only 20%, which is already in the books of account.</t>
  </si>
  <si>
    <t xml:space="preserve">     </t>
  </si>
  <si>
    <t>CEL</t>
  </si>
  <si>
    <t>Plus Interest Rate as per mentioned in the order</t>
  </si>
  <si>
    <t>BAPL</t>
  </si>
  <si>
    <t>Award/Claim Value</t>
  </si>
  <si>
    <t>BETL</t>
  </si>
  <si>
    <t>Date</t>
  </si>
  <si>
    <t>BICL</t>
  </si>
  <si>
    <t>DDPL</t>
  </si>
  <si>
    <t>HEL</t>
  </si>
  <si>
    <t>PTTL</t>
  </si>
  <si>
    <t>fy check</t>
  </si>
  <si>
    <t>vivad se vishwas</t>
  </si>
  <si>
    <t>Financials of PTTPL</t>
  </si>
  <si>
    <t>In public domain</t>
  </si>
  <si>
    <t>It is mentioned</t>
  </si>
  <si>
    <t>Total Award Claimed (F) =(C-D-E)</t>
  </si>
  <si>
    <t>Expected Realization out of F  (G)</t>
  </si>
  <si>
    <t>Less: Expected Expenses to be incurred to   realize the claim amount (H)</t>
  </si>
  <si>
    <t>Claim Realization available for lenders (G-H)</t>
  </si>
  <si>
    <t>Particulars</t>
  </si>
  <si>
    <t>Amount (In Crs)</t>
  </si>
  <si>
    <t>No. of Years</t>
  </si>
  <si>
    <t>Total Claim filed by the Company (A)</t>
  </si>
  <si>
    <t>Less: Award received so far out of (A) above (B)</t>
  </si>
  <si>
    <t>Discount Rate</t>
  </si>
  <si>
    <t>Total Award Claimed (C) =(A-B)</t>
  </si>
  <si>
    <t>Nifty 50 5-year return</t>
  </si>
  <si>
    <t>https://kunaldesai.blog/nifty-returns/</t>
  </si>
  <si>
    <t>Less: Claims filed by EPC against the company (D)</t>
  </si>
  <si>
    <t>Company Risk Premium</t>
  </si>
  <si>
    <t>Less: Counter claims by NHAI against the company ('E)</t>
  </si>
  <si>
    <t>Appropriate Discount Rate</t>
  </si>
  <si>
    <t>NPV</t>
  </si>
  <si>
    <t xml:space="preserve"> NPV as on date @ 13%</t>
  </si>
  <si>
    <t>Rolling Nifty CAGR for 10 years</t>
  </si>
  <si>
    <t>Total Available balance.</t>
  </si>
  <si>
    <t>As a proxy of Enterprise Value</t>
  </si>
  <si>
    <t>Enterprise Value</t>
  </si>
  <si>
    <t>NPV(As a proxy of Enterprise Value)</t>
  </si>
  <si>
    <t>It is assumed that this will take around 5 years to get realized.</t>
  </si>
  <si>
    <t>Year</t>
  </si>
  <si>
    <t>Net Recovery</t>
  </si>
  <si>
    <t>Yearly Recovery</t>
  </si>
  <si>
    <t>Discount period</t>
  </si>
  <si>
    <t>Discount Factor</t>
  </si>
  <si>
    <t>Present Value</t>
  </si>
  <si>
    <t>Net Present Value (NPV)</t>
  </si>
  <si>
    <t>Vivad se Vishwash is not applicable</t>
  </si>
  <si>
    <t>Hyderabad Expressway (HEL)</t>
  </si>
  <si>
    <t>IECCL's Share (62%)</t>
  </si>
  <si>
    <t>Aweard Date</t>
  </si>
  <si>
    <t>Claim Value</t>
  </si>
  <si>
    <t>Vivad se Vishwash is applicable=65% with 9% interest per annum</t>
  </si>
  <si>
    <t>Expected Realization</t>
  </si>
  <si>
    <t>Less: Expected Expenses to be incurred to realize the award amount (H)</t>
  </si>
  <si>
    <t>Award Value as per letter of awards</t>
  </si>
  <si>
    <t>Award Value as per Vivad se vishwas</t>
  </si>
  <si>
    <t>Cyberabad Exressway (CEL)</t>
  </si>
  <si>
    <t>1st Award Value as per letter of awards</t>
  </si>
  <si>
    <t>1st Award Value as per Vivad se vishwas</t>
  </si>
  <si>
    <t>2nd Award Value as per letter of awards</t>
  </si>
  <si>
    <t>2nd Award Value as per Vivad se vishwas</t>
  </si>
  <si>
    <t>27th Feb 2019</t>
  </si>
  <si>
    <t>24th October 2020</t>
  </si>
  <si>
    <t>Bangalore Elevated Tollways Ltd</t>
  </si>
  <si>
    <t>Brindavan Infrastructure Co. Ltd</t>
  </si>
  <si>
    <t>Dobhi Durgapur Pipe Line Project</t>
  </si>
  <si>
    <t>Claims Award Value as per letter of awards</t>
  </si>
  <si>
    <t>Counter Claims Award Value as per letter of awards</t>
  </si>
  <si>
    <t>Net IECCL's award</t>
  </si>
  <si>
    <t>Bokaro Angul Pipe Line Project</t>
  </si>
  <si>
    <t>Project value</t>
  </si>
  <si>
    <t>Pondicherry Tindivanam Tollways Limited</t>
  </si>
  <si>
    <t>Vivad se Vishwas II (Contractual Disputes) Scheme</t>
  </si>
  <si>
    <t>Summary</t>
  </si>
  <si>
    <t>Objective</t>
  </si>
  <si>
    <t>To implement a one time settlement scheme to effectively settle pending disputes</t>
  </si>
  <si>
    <t>Date of commencement of the scheme : July 15, 2023</t>
  </si>
  <si>
    <t>Applicability :</t>
  </si>
  <si>
    <t>Contractual disputes where one of the parties is either the Government of India and / or an organisation listed below :</t>
  </si>
  <si>
    <t>- Ministries / Departments, attached and subordinate bodies</t>
  </si>
  <si>
    <t>- Autonomous bodies of Government of India</t>
  </si>
  <si>
    <t>- Public sector banks and public sector financial institutions</t>
  </si>
  <si>
    <t>- Central Public Sector Enterprises</t>
  </si>
  <si>
    <t>- Union Territories without legislature and all agencies / undertakings thereof; and</t>
  </si>
  <si>
    <t>- All organisations like Metro Rail Corporations, where Government of India has 50% shareholding, however these organisations can opt out of the scheme at their discretion, with approval of Board of Directors</t>
  </si>
  <si>
    <t>Procuring entity : Above organisations shall be referred to as "Procuring entities"</t>
  </si>
  <si>
    <t>Contractors : The other party in dispute with the procuring entity shall be referred to as "Contractors"</t>
  </si>
  <si>
    <t>Disputes where the award by court / Arbitral Tribunal is only for monetary value will be eligible for settlement under this scheme</t>
  </si>
  <si>
    <t>In case the award stipulates specific performance of contract (either fully or partially), such awards will not be eligible for settlement under this scheme</t>
  </si>
  <si>
    <t>Follwing criteria to be satisfied for eligible for settlement under this scheme :</t>
  </si>
  <si>
    <t>Status of Dispute</t>
  </si>
  <si>
    <t>Cut-off date for issuance of award</t>
  </si>
  <si>
    <t>Arbitral award passsed</t>
  </si>
  <si>
    <t>Court Award passed</t>
  </si>
  <si>
    <t>Applicable only to those contractors who wish to participate in the Scheme</t>
  </si>
  <si>
    <t>Central PSUs who are contractors to the procuring entities are also elgible to submit their claims under this scheme</t>
  </si>
  <si>
    <t>Applicable only for cases involving domestic arbitration</t>
  </si>
  <si>
    <t>Not applicable for cases under international arbitration</t>
  </si>
  <si>
    <t>Applicable for all kinds of procurement including procurement of goods, services and works.</t>
  </si>
  <si>
    <t xml:space="preserve">Also applicable to all "earning contracts" (i.e contracts where Government receivs money in exchange for goods, services, rights etc) </t>
  </si>
  <si>
    <t>Applicable for contracts under Public Private Partnership (PPP) arrangements</t>
  </si>
  <si>
    <t>Amounts payable under the Scheme</t>
  </si>
  <si>
    <t>(a) Court Award passed on or before April 30, 2023
Note :
i. Case may or may not be under further appeal
ii. Court award will include the cases where the parties have approached the courts directly or approached the court subsequent to the arbitral award (under any provision of the Indian Arbitration and Conciliation ACt, 1996).
iii. However, interim Orders under section 9 of the Indian Arbitration and Conciliation Act, 1996, shall not be considered as an award eligible for settlement under this scheme</t>
  </si>
  <si>
    <t>85% of the net amount awarded / upheld by the Court or 85% of the claim amount lodged by the contractor under the scheme, whichever is lower</t>
  </si>
  <si>
    <t>(b) Arbitral Award passed on or before January 31, 2023
Note :
i. Case may or may not be under challenge / appeal before a court
ii. Arbitral award passed by the Micro and Small Enterprises Facilitation Council (MSEFC) or Arbitral Tribunal appointed on reference by MSEFC under the provisions of the Micro, Small and Medium Enterprises Development Act, 2006 shall also be included under this scheme
iii. However, Interim Orders of the Arbitral Tribunal under any provision of the Indian Arbitration and Conciliation Act, 1996, shall not be considered as an award eligible for settlement under this scheme</t>
  </si>
  <si>
    <t>65% of the net amount awarded / upheld by the Court or 65% of the claim amount lodged by the contractor under the scheme, whichever is lower</t>
  </si>
  <si>
    <t>Notes for both (a) and (b) above</t>
  </si>
  <si>
    <t>1. 85% or 65%, as the case may be, of the net amount awarded is payable. (In case, the award directs 'X' to be paid to contractor and 'Y' to be paid to procuring entity by contractor, then net amount awarded shall be (X - Y)</t>
  </si>
  <si>
    <t>2. In case no payment or only partial amount has been made as per the award within the stipulated time given in the award, simple interest @ 9% p.a will be payable on 85% / 65% of the net amount awarded minus the amount already paid, if any, for time period beyond such stipulated period till date of acknowledgement mail</t>
  </si>
  <si>
    <t>Note : Time should be taken as 30 days in case there is no time stipulated in the award for making payments</t>
  </si>
  <si>
    <t>3. 9% interest will be paid only on the net amount payable under this scheme after deducting the amounts already made</t>
  </si>
  <si>
    <t>4. Interest payable under this scheme shall only be 9% simple interest p.a irresepctive of the interest rate (may be below or above 9%) payable for payments made after the stipulated period for making such payments (future interest)</t>
  </si>
  <si>
    <t>11. In case the award directs payment of amount to procuring entity, such awards shall also be eligible under this scheme, if opted by contractor. That is, to bring finality to the case, the contractor may voluntarily offer to close the dispute on same terms and conditions as laid down in the scheme by paying the amount to the procuring entity, 85% or 65% of the net award amount, whichever may be applicable in this case</t>
  </si>
  <si>
    <t>12. Wherever the procuring entity has deposited some amount with a court before filing an appeal / challenge, the interest payable on the amount due shall be on the amount, payable under this scheme, without any reduction for the amount deposited with the court</t>
  </si>
  <si>
    <t>Procuring entity to take prompt action to ensure release of such deposited amount at the earliest after the settlement under the scheme is accepted</t>
  </si>
  <si>
    <t>13. As per Rule 227A of the General Financial Rules, 2017 and earlier guidelines, In case the procuring entities, before challenging an arbitral award, has paid 75% of any such % of the award amount to the contractor, against a BG of equivalent amount, then such amounts paid to the contractor shall be adjusted with the amount due under the present scheme. However, no reimbursements of the BG charges will be made to the contractor</t>
  </si>
  <si>
    <t>Submission of Claims and Time Periods</t>
  </si>
  <si>
    <t>14. Claims to be sumitted through Government e-Marketplace (GeM) - dedicated link on their portal for this scheme</t>
  </si>
  <si>
    <t xml:space="preserve">- Claims to be registered by contractors through their authorised personnel </t>
  </si>
  <si>
    <t>- For non GeM contracts of Ministry of Railways, claims to be registered on IREPS (www.ireps.gov.in)</t>
  </si>
  <si>
    <t>Other Provisions :</t>
  </si>
  <si>
    <t>15. Status of dispute shall not change in case the appropriate court passes an award on the dispute after 30.04.2023 and before settlement under this scheme</t>
  </si>
  <si>
    <t>17. Date of commencement of the Scheme is July 15, 2023 and claims can be submitted by October 31, 2023</t>
  </si>
  <si>
    <t>18. In all cases, where claim amount is Rs. 500 crore or less, procuring entities will have to accept the claim, if the claim is in acceptance of this guidelines</t>
  </si>
  <si>
    <t>19. In case the claim amount is more than Rs. 500 crores, the procuring entities will have an option not to accept the settlement request of the contractor and the same to be communicated to the contractor within 60 days of receipt of claim on portal</t>
  </si>
  <si>
    <t>Note : The contractor may, if he desires so, can reduce the amount claimed, under this scheme from the award amount while submitting his dispute for settlement on the portal under this scheme. Then in this case, the procuring entity will have to accept the same, if the claim is otherwise in compliance of these guidelines</t>
  </si>
  <si>
    <t>20'</t>
  </si>
  <si>
    <t>21. In case settlement could not be achieved for any reason under this scheme, any offer, including reduction of claim amount, by any of the parties during the settlement process under this scheme, shall not be quoted in any further litigation</t>
  </si>
  <si>
    <t>22. If a Public Authority has used a procuring entity to make procurement on their behalf, then in such a case :</t>
  </si>
  <si>
    <t>- The procuring entity shall be the competent authority to accept the settlement under the cases including the cases where the award amount is more than Rs. 500 crores</t>
  </si>
  <si>
    <t>- Budget for meeting the settlement agreement shall be provided by the public authority which got the project executed through procuring entity</t>
  </si>
  <si>
    <t>- The Public authority and the Procuring entity may also be the same in some cases</t>
  </si>
  <si>
    <t>23. Scheme is not applicable where the parties including the procuring entities, have already reached a settlement through conciliatory agreement. However, in case the conciliatory process is underway even after such award, eligible for settlement under this scheme, either by the Arbitral Tribunal or Court, then such conciliatory process should be kept in abeyance and the process provided in this scheme can be followed. In case no settlement is reached under the scheme, then the conciliation, prior to the scheme, can continue</t>
  </si>
  <si>
    <t>24. DoE, from time to time, issue such directions or orders under this scheme, as it may deem fit, which may include giving clarifications, or further directions / instructions for implementatin of this scheme and to remove difficulties arising in giving effect to the provisions of this scheme</t>
  </si>
  <si>
    <t>IECCL Arbitration Awards</t>
  </si>
  <si>
    <t>Contract value 
(in ₹ Cr)</t>
  </si>
  <si>
    <t>Claim Value 
(in ₹ Cr)</t>
  </si>
  <si>
    <t>Award Value 
(in ₹ Cr)</t>
  </si>
  <si>
    <t>IECCL's Share (%)</t>
  </si>
  <si>
    <t>IECCL's share of award 
(in ₹ Cr)</t>
  </si>
  <si>
    <t>Award date</t>
  </si>
  <si>
    <t>Future interest awarded</t>
  </si>
  <si>
    <t>Interest Payable from</t>
  </si>
  <si>
    <t>Grace Period</t>
  </si>
  <si>
    <t>Due date of the payment incuding Grace period</t>
  </si>
  <si>
    <t>% payable as per Vivad se Vishwas II Scheme</t>
  </si>
  <si>
    <t>Eligible amount payable as per Vivad se Vishwas II Scheme</t>
  </si>
  <si>
    <t>Interest payable</t>
  </si>
  <si>
    <t>Date of acknowledgement email (assumed)</t>
  </si>
  <si>
    <t>No. of days</t>
  </si>
  <si>
    <t>Interest as per the VsV II Scheme</t>
  </si>
  <si>
    <t>OTS amount under VsV II Scheme</t>
  </si>
  <si>
    <t>Action Plan</t>
  </si>
  <si>
    <t>Award (Net)</t>
  </si>
  <si>
    <t>Interest</t>
  </si>
  <si>
    <t>Principal</t>
  </si>
  <si>
    <r>
      <t xml:space="preserve">National Highways Authority of India </t>
    </r>
    <r>
      <rPr>
        <b/>
        <sz val="11"/>
        <color rgb="FF000000"/>
        <rFont val="Mulish SemiBold"/>
      </rPr>
      <t>(NHAI)</t>
    </r>
  </si>
  <si>
    <t>- Already accounted in the books for Rs. 436 crs + interest till March 31, 2023
- May be pursued for OTS in case the revised offer is less than the total liquid assets</t>
  </si>
  <si>
    <r>
      <t>Hyderabad Expressway (HEL):</t>
    </r>
    <r>
      <rPr>
        <sz val="11"/>
        <color rgb="FF000000"/>
        <rFont val="Mulish SemiBold"/>
      </rPr>
      <t xml:space="preserve"> Eight line access controlled expressway from Bongalur to Tukkuguda</t>
    </r>
  </si>
  <si>
    <r>
      <t xml:space="preserve">Hyderabad Growth Corridor Ltd </t>
    </r>
    <r>
      <rPr>
        <b/>
        <sz val="11"/>
        <color rgb="FF000000"/>
        <rFont val="Mulish SemiBold"/>
      </rPr>
      <t>(HGCL)</t>
    </r>
  </si>
  <si>
    <t>- Legally transferred to Maytas Investment Trust
'- Award pertains to annuity awards
'- We understand from IECCL that as per the waterfall mechanism defined for MIT, the realisation of first Rs. 200 crores from the SPVs is required to be transferred to IFIN, post that to IECCL
'- Hence, as per the above understanding, there will not be any amounts paid to IECCL</t>
  </si>
  <si>
    <r>
      <t>Cyberabad Exressway (CEL)</t>
    </r>
    <r>
      <rPr>
        <sz val="11"/>
        <color rgb="FF000000"/>
        <rFont val="Mulish SemiBold"/>
      </rPr>
      <t>: Eight line access controlled expressway from Kollur to Patancheru</t>
    </r>
  </si>
  <si>
    <r>
      <t xml:space="preserve">Pondicherry Tindivanam Tollways Limited </t>
    </r>
    <r>
      <rPr>
        <b/>
        <sz val="11"/>
        <color rgb="FF000000"/>
        <rFont val="Mulish SemiBold"/>
      </rPr>
      <t>(PTTL)</t>
    </r>
  </si>
  <si>
    <r>
      <t xml:space="preserve">Bangalore Elevated Tollways Ltd </t>
    </r>
    <r>
      <rPr>
        <b/>
        <sz val="11"/>
        <color rgb="FF000000"/>
        <rFont val="Mulish SemiBold"/>
      </rPr>
      <t>(BETL)</t>
    </r>
    <r>
      <rPr>
        <sz val="11"/>
        <color rgb="FF000000"/>
        <rFont val="Mulish SemiBold"/>
      </rPr>
      <t xml:space="preserve">: Elevated Highway from Silk Board Junction to Electronic City Junction </t>
    </r>
  </si>
  <si>
    <t>- We understand from IECCL that BETPL has been sold to KKR in June 2023
'- Hence, effectively the entire rights and obligations shall be transferred to KKR</t>
  </si>
  <si>
    <r>
      <t xml:space="preserve">Brindavan Infrastructure Co. Ltd </t>
    </r>
    <r>
      <rPr>
        <b/>
        <sz val="11"/>
        <color rgb="FF000000"/>
        <rFont val="Mulish SemiBold"/>
      </rPr>
      <t>(BICL)</t>
    </r>
    <r>
      <rPr>
        <sz val="11"/>
        <color rgb="FF000000"/>
        <rFont val="Mulish SemiBold"/>
      </rPr>
      <t>: Upgradation of existing 2 lane to 4 lane divided carriage way  Bangalore-Maddur Section of Bangalore Mysore  State Highway</t>
    </r>
  </si>
  <si>
    <r>
      <t xml:space="preserve">Karnataka Road Development Corporation Ltd </t>
    </r>
    <r>
      <rPr>
        <b/>
        <sz val="11"/>
        <color rgb="FF000000"/>
        <rFont val="Mulish SemiBold"/>
      </rPr>
      <t>(KRDCL)</t>
    </r>
  </si>
  <si>
    <t>Heading</t>
  </si>
  <si>
    <t>Award</t>
  </si>
  <si>
    <t>Claim</t>
  </si>
  <si>
    <t>Counter Claims</t>
  </si>
  <si>
    <t>Entitlememt of o/s payment for construcition work undertaken by claimant at the Project site after deducting recovery of o/s mobilisation and machinery advances incuding interest</t>
  </si>
  <si>
    <t>Entitlement towards compensation on account of price escalation</t>
  </si>
  <si>
    <t>Entitlement towards Retention monies wrongly withheld by the Respondents</t>
  </si>
  <si>
    <t>Entitlement towards cost of additional works undertaken by the claimant for safety of road users</t>
  </si>
  <si>
    <t>Pre-litigation interest on delayed contractual payments</t>
  </si>
  <si>
    <t>As below</t>
  </si>
  <si>
    <t>Damages for loss suffered by claimant</t>
  </si>
  <si>
    <t>Ownership cost of plants &amp; machinery from June 2012 till January 2017</t>
  </si>
  <si>
    <t>Overhead expenses incurred on the project from June 2012 till January 2017</t>
  </si>
  <si>
    <t>Claimant's loss of profit an business opportunity</t>
  </si>
  <si>
    <t>Additional costs incurred by claimant towards BGs</t>
  </si>
  <si>
    <t>Pre-litigation interest on claim 3 + claim 6 - counter claim</t>
  </si>
  <si>
    <t>Interest pendente lite on claim 1</t>
  </si>
  <si>
    <t>Interest pendente lite on claim 3 + claim 6 - counter claim</t>
  </si>
  <si>
    <t>Less : Counter Claim allowed</t>
  </si>
  <si>
    <t>Future interest :</t>
  </si>
  <si>
    <t>Future interest on the awarded amount of Rs. 703,31,29,536 @ 12% p.a from 10.8.2019 (date of award) till date of payment subject to a grace period of 90 days during which if the payment is made then future interest will not be applicable</t>
  </si>
  <si>
    <t>Hyderabad Expressway</t>
  </si>
  <si>
    <t>Claim for release of bonus annuity under article 6.2 of the concession agreement</t>
  </si>
  <si>
    <t>Claim for interest on delayed disbursement of annuities</t>
  </si>
  <si>
    <t>Claim for interest on delayed disbursement of Grant</t>
  </si>
  <si>
    <t>Claim for pre-award and post-award interest</t>
  </si>
  <si>
    <t>Future interest on the awarded amount of Rs. 30,49,00,000 @ 7% p.a from the date of award) till actual date of payment subject to a grace period of 45 days during which if the payment is made then future interest will not be applicable</t>
  </si>
  <si>
    <t xml:space="preserve"> -</t>
  </si>
  <si>
    <t xml:space="preserve">Contract value </t>
  </si>
  <si>
    <t>(in ₹ Cr)</t>
  </si>
  <si>
    <t>Counter Claim Value 
(in ₹ Cr)</t>
  </si>
  <si>
    <t>Amount Awarded for claims
(in ₹ Cr)</t>
  </si>
  <si>
    <t>Award Amount (In Crs)</t>
  </si>
  <si>
    <t>Intertest</t>
  </si>
  <si>
    <t>Amount Awarded for counter-claims
(in ₹ Cr)</t>
  </si>
  <si>
    <t>Net Award Amount
(in ₹ Cr)</t>
  </si>
  <si>
    <t>Interest Amount</t>
  </si>
  <si>
    <t xml:space="preserve"> Amount (In Crs)</t>
  </si>
  <si>
    <t>65%% payable as per Vivad se Vishwas II Scheme+9% Interest</t>
  </si>
  <si>
    <t>Net Award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</si>
</sst>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_(* \(#,##0\);_(* &quot;-&quot;??_);_(@_)"/>
    <numFmt numFmtId="166" formatCode="0.000"/>
    <numFmt numFmtId="167" formatCode="_(* #,##0.0_);_(* \(#,##0.0\);_(* &quot;-&quot;??_);_(@_)"/>
    <numFmt numFmtId="168" formatCode="0.0"/>
  </numFmts>
  <fonts count="22">
    <font>
      <sz val="11"/>
      <color theme="1"/>
      <name val="Calibri"/>
      <family val="2"/>
      <scheme val="minor"/>
    </font>
    <font>
      <sz val="9"/>
      <color indexed="81"/>
      <name val="Tahoma"/>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b/>
      <sz val="11"/>
      <color rgb="FF000000"/>
      <name val="Calibri"/>
      <family val="2"/>
      <scheme val="minor"/>
    </font>
    <font>
      <b/>
      <sz val="11"/>
      <name val="Calibri"/>
      <family val="2"/>
      <scheme val="minor"/>
    </font>
    <font>
      <b/>
      <sz val="11"/>
      <color theme="1"/>
      <name val="Calibri"/>
      <family val="2"/>
    </font>
    <font>
      <sz val="11"/>
      <color theme="1"/>
      <name val="Calibri"/>
      <family val="2"/>
    </font>
    <font>
      <u/>
      <sz val="11"/>
      <color theme="10"/>
      <name val="Calibri"/>
      <family val="2"/>
      <scheme val="minor"/>
    </font>
    <font>
      <b/>
      <sz val="11"/>
      <color theme="0"/>
      <name val="Calibri"/>
      <family val="2"/>
    </font>
    <font>
      <b/>
      <sz val="12"/>
      <color theme="1"/>
      <name val="Calibri"/>
      <family val="2"/>
      <scheme val="minor"/>
    </font>
    <font>
      <sz val="12"/>
      <color theme="1"/>
      <name val="Calibri"/>
      <family val="2"/>
      <scheme val="minor"/>
    </font>
    <font>
      <sz val="12"/>
      <color theme="1"/>
      <name val="Mulish SemiBold"/>
    </font>
    <font>
      <b/>
      <sz val="11"/>
      <color rgb="FF000000"/>
      <name val="Mulish SemiBold"/>
    </font>
    <font>
      <sz val="11"/>
      <color rgb="FF000000"/>
      <name val="Mulish SemiBold"/>
    </font>
    <font>
      <sz val="11"/>
      <color theme="1"/>
      <name val="Mulish SemiBold"/>
    </font>
    <font>
      <b/>
      <sz val="9"/>
      <color indexed="81"/>
      <name val="Tahoma"/>
      <family val="2"/>
    </font>
    <font>
      <sz val="11"/>
      <color theme="1"/>
      <name val="Mulish SemiBold"/>
      <family val="2"/>
    </font>
    <font>
      <sz val="11"/>
      <color theme="1"/>
      <name val="Mulish ExtraBold"/>
    </font>
  </fonts>
  <fills count="10">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002060"/>
        <bgColor indexed="64"/>
      </patternFill>
    </fill>
    <fill>
      <patternFill patternType="solid">
        <fgColor theme="8" tint="0.39997558519241921"/>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rgb="FF8EAADB"/>
        <bgColor indexed="64"/>
      </patternFill>
    </fill>
    <fill>
      <patternFill patternType="solid">
        <fgColor theme="4"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6">
    <xf numFmtId="0" fontId="0" fillId="0" borderId="0"/>
    <xf numFmtId="164" fontId="2" fillId="0" borderId="0" applyFont="0" applyFill="0" applyBorder="0" applyAlignment="0" applyProtection="0"/>
    <xf numFmtId="9" fontId="2" fillId="0" borderId="0" applyFont="0" applyFill="0" applyBorder="0" applyAlignment="0" applyProtection="0"/>
    <xf numFmtId="0" fontId="11" fillId="0" borderId="0" applyNumberFormat="0" applyFill="0" applyBorder="0" applyAlignment="0" applyProtection="0"/>
    <xf numFmtId="0" fontId="20" fillId="0" borderId="0"/>
    <xf numFmtId="9" fontId="20" fillId="0" borderId="0" applyFont="0" applyFill="0" applyBorder="0" applyAlignment="0" applyProtection="0"/>
  </cellStyleXfs>
  <cellXfs count="160">
    <xf numFmtId="0" fontId="0" fillId="0" borderId="0" xfId="0"/>
    <xf numFmtId="0" fontId="0" fillId="0" borderId="1" xfId="0" applyBorder="1"/>
    <xf numFmtId="0" fontId="0" fillId="0" borderId="3" xfId="0" applyBorder="1"/>
    <xf numFmtId="0" fontId="3"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2" fontId="0" fillId="0" borderId="1" xfId="0" applyNumberFormat="1" applyBorder="1" applyAlignment="1">
      <alignment horizontal="center" vertical="center" wrapText="1"/>
    </xf>
    <xf numFmtId="165" fontId="0" fillId="0" borderId="1" xfId="1" applyNumberFormat="1" applyFont="1" applyBorder="1" applyAlignment="1">
      <alignment horizontal="right" vertical="center" wrapText="1"/>
    </xf>
    <xf numFmtId="164" fontId="0" fillId="0" borderId="0" xfId="0" applyNumberFormat="1" applyAlignment="1">
      <alignment vertical="center"/>
    </xf>
    <xf numFmtId="0" fontId="0" fillId="0" borderId="0" xfId="0" applyAlignment="1">
      <alignment vertical="center"/>
    </xf>
    <xf numFmtId="0" fontId="0" fillId="0" borderId="1" xfId="0" applyBorder="1" applyAlignment="1">
      <alignment wrapText="1"/>
    </xf>
    <xf numFmtId="164" fontId="0" fillId="0" borderId="1" xfId="1" applyFont="1" applyBorder="1" applyAlignment="1">
      <alignment horizontal="center" vertical="center" wrapText="1"/>
    </xf>
    <xf numFmtId="164" fontId="0" fillId="0" borderId="1" xfId="1" applyFont="1" applyBorder="1" applyAlignment="1">
      <alignment horizontal="right" vertical="center" wrapText="1"/>
    </xf>
    <xf numFmtId="0" fontId="4" fillId="2" borderId="1" xfId="0" applyFont="1" applyFill="1" applyBorder="1" applyAlignment="1">
      <alignment horizontal="center" vertical="center" wrapText="1"/>
    </xf>
    <xf numFmtId="0" fontId="0" fillId="0" borderId="0" xfId="0" applyAlignment="1">
      <alignment horizontal="center" vertical="center"/>
    </xf>
    <xf numFmtId="164" fontId="0" fillId="0" borderId="0" xfId="1" applyFont="1"/>
    <xf numFmtId="0" fontId="0" fillId="5" borderId="1" xfId="0" applyFill="1" applyBorder="1" applyAlignment="1">
      <alignment horizontal="center" vertical="center" wrapText="1"/>
    </xf>
    <xf numFmtId="1" fontId="4" fillId="5" borderId="1" xfId="0" applyNumberFormat="1" applyFont="1" applyFill="1" applyBorder="1" applyAlignment="1">
      <alignment horizontal="right" vertical="center" wrapText="1"/>
    </xf>
    <xf numFmtId="1" fontId="4" fillId="5" borderId="1" xfId="1" applyNumberFormat="1" applyFont="1" applyFill="1" applyBorder="1" applyAlignment="1">
      <alignment horizontal="right" vertical="center" wrapText="1"/>
    </xf>
    <xf numFmtId="0" fontId="4" fillId="5" borderId="1" xfId="0" applyFont="1" applyFill="1" applyBorder="1" applyAlignment="1">
      <alignment horizontal="left" vertical="center"/>
    </xf>
    <xf numFmtId="0" fontId="4" fillId="5" borderId="1" xfId="0" applyFont="1" applyFill="1" applyBorder="1"/>
    <xf numFmtId="0" fontId="0" fillId="0" borderId="0" xfId="0" applyAlignment="1">
      <alignment horizontal="center" vertical="center" wrapText="1"/>
    </xf>
    <xf numFmtId="0" fontId="0" fillId="0" borderId="1" xfId="0" applyBorder="1" applyAlignment="1">
      <alignment horizontal="justify" vertical="center" wrapText="1"/>
    </xf>
    <xf numFmtId="0" fontId="6" fillId="0" borderId="1" xfId="0" applyFont="1" applyBorder="1" applyAlignment="1">
      <alignment horizontal="center" vertical="center" wrapText="1"/>
    </xf>
    <xf numFmtId="9" fontId="0" fillId="0" borderId="1" xfId="0" applyNumberFormat="1" applyBorder="1" applyAlignment="1">
      <alignment horizontal="center" vertical="center" wrapText="1"/>
    </xf>
    <xf numFmtId="0" fontId="6" fillId="0" borderId="1" xfId="0" applyFont="1" applyBorder="1" applyAlignment="1">
      <alignment vertical="center" wrapText="1"/>
    </xf>
    <xf numFmtId="10" fontId="0" fillId="0" borderId="1" xfId="0" applyNumberFormat="1" applyBorder="1" applyAlignment="1">
      <alignment horizontal="center" vertical="center" wrapText="1"/>
    </xf>
    <xf numFmtId="0" fontId="8" fillId="5" borderId="1" xfId="0"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0" fontId="8" fillId="0" borderId="1" xfId="0" applyFont="1" applyBorder="1" applyAlignment="1">
      <alignment horizontal="left" vertical="center"/>
    </xf>
    <xf numFmtId="0" fontId="8" fillId="0" borderId="1" xfId="0" applyFont="1" applyBorder="1"/>
    <xf numFmtId="165" fontId="0" fillId="0" borderId="1" xfId="1" applyNumberFormat="1" applyFont="1" applyBorder="1"/>
    <xf numFmtId="164" fontId="0" fillId="0" borderId="1" xfId="1" applyFont="1" applyBorder="1"/>
    <xf numFmtId="0" fontId="4" fillId="0" borderId="0" xfId="0" applyFont="1"/>
    <xf numFmtId="164" fontId="4" fillId="6" borderId="1" xfId="1" applyFont="1" applyFill="1" applyBorder="1" applyAlignment="1">
      <alignment horizontal="center"/>
    </xf>
    <xf numFmtId="1" fontId="0" fillId="0" borderId="0" xfId="0" applyNumberFormat="1"/>
    <xf numFmtId="2" fontId="0" fillId="2" borderId="1" xfId="0" applyNumberFormat="1" applyFill="1" applyBorder="1" applyAlignment="1">
      <alignment horizontal="center" vertical="center" wrapText="1"/>
    </xf>
    <xf numFmtId="0" fontId="0" fillId="7" borderId="0" xfId="0" applyFill="1"/>
    <xf numFmtId="165" fontId="0" fillId="0" borderId="0" xfId="0" applyNumberFormat="1"/>
    <xf numFmtId="14" fontId="0" fillId="7" borderId="0" xfId="0" applyNumberFormat="1" applyFill="1"/>
    <xf numFmtId="14" fontId="0" fillId="0" borderId="0" xfId="0" applyNumberFormat="1"/>
    <xf numFmtId="0" fontId="0" fillId="0" borderId="0" xfId="0" applyAlignment="1">
      <alignment horizontal="right"/>
    </xf>
    <xf numFmtId="2" fontId="0" fillId="0" borderId="0" xfId="0" applyNumberFormat="1"/>
    <xf numFmtId="2" fontId="0" fillId="0" borderId="0" xfId="0" applyNumberFormat="1" applyAlignment="1">
      <alignment horizontal="center"/>
    </xf>
    <xf numFmtId="0" fontId="9" fillId="8" borderId="0" xfId="0" applyFont="1" applyFill="1" applyAlignment="1">
      <alignment horizontal="left" wrapText="1"/>
    </xf>
    <xf numFmtId="4" fontId="9" fillId="8" borderId="0" xfId="0" applyNumberFormat="1" applyFont="1" applyFill="1" applyAlignment="1">
      <alignment horizontal="center" vertical="center" wrapText="1"/>
    </xf>
    <xf numFmtId="0" fontId="10" fillId="0" borderId="0" xfId="0" applyFont="1" applyAlignment="1">
      <alignment horizontal="left" vertical="center" wrapText="1"/>
    </xf>
    <xf numFmtId="4" fontId="10" fillId="0" borderId="0" xfId="0" applyNumberFormat="1" applyFont="1" applyAlignment="1">
      <alignment horizontal="center" vertical="center" wrapText="1"/>
    </xf>
    <xf numFmtId="0" fontId="10" fillId="0" borderId="0" xfId="0" applyFont="1" applyAlignment="1">
      <alignment horizontal="left" wrapText="1"/>
    </xf>
    <xf numFmtId="9" fontId="0" fillId="0" borderId="0" xfId="0" applyNumberFormat="1"/>
    <xf numFmtId="0" fontId="12" fillId="4" borderId="0" xfId="0" applyFont="1" applyFill="1" applyAlignment="1">
      <alignment vertical="center" wrapText="1"/>
    </xf>
    <xf numFmtId="0" fontId="12" fillId="4" borderId="0" xfId="0" applyFont="1" applyFill="1" applyAlignment="1">
      <alignment horizontal="center" vertical="center" wrapText="1"/>
    </xf>
    <xf numFmtId="0" fontId="13" fillId="3" borderId="0" xfId="0" applyFont="1" applyFill="1" applyAlignment="1">
      <alignment horizontal="center"/>
    </xf>
    <xf numFmtId="0" fontId="10" fillId="0" borderId="0" xfId="0" applyFont="1" applyAlignment="1">
      <alignment vertical="center" wrapText="1"/>
    </xf>
    <xf numFmtId="0" fontId="10" fillId="0" borderId="0" xfId="0" applyFont="1" applyAlignment="1">
      <alignment horizontal="center" vertical="center" wrapText="1"/>
    </xf>
    <xf numFmtId="0" fontId="10" fillId="8" borderId="0" xfId="0" applyFont="1" applyFill="1" applyAlignment="1">
      <alignment vertical="center" wrapText="1"/>
    </xf>
    <xf numFmtId="0" fontId="0" fillId="0" borderId="0" xfId="0" applyAlignment="1">
      <alignment horizontal="left" vertical="center"/>
    </xf>
    <xf numFmtId="10" fontId="14" fillId="0" borderId="0" xfId="0" applyNumberFormat="1" applyFont="1" applyAlignment="1">
      <alignment horizontal="center" vertical="center"/>
    </xf>
    <xf numFmtId="0" fontId="11" fillId="0" borderId="0" xfId="3"/>
    <xf numFmtId="0" fontId="0" fillId="0" borderId="0" xfId="0" applyAlignment="1">
      <alignment horizontal="left" wrapText="1"/>
    </xf>
    <xf numFmtId="10" fontId="0" fillId="0" borderId="0" xfId="0" applyNumberFormat="1" applyAlignment="1">
      <alignment horizontal="center" vertical="center"/>
    </xf>
    <xf numFmtId="10" fontId="4" fillId="9" borderId="0" xfId="0" applyNumberFormat="1" applyFont="1" applyFill="1" applyAlignment="1">
      <alignment horizontal="center" vertical="center"/>
    </xf>
    <xf numFmtId="9" fontId="0" fillId="0" borderId="0" xfId="0" applyNumberFormat="1" applyAlignment="1">
      <alignment horizontal="center" vertical="center"/>
    </xf>
    <xf numFmtId="9" fontId="10" fillId="0" borderId="0" xfId="2" applyFont="1" applyBorder="1" applyAlignment="1">
      <alignment horizontal="center" vertical="center" wrapText="1"/>
    </xf>
    <xf numFmtId="2" fontId="0" fillId="0" borderId="0" xfId="0" applyNumberFormat="1" applyAlignment="1">
      <alignment horizontal="center" vertical="center"/>
    </xf>
    <xf numFmtId="9" fontId="10" fillId="0" borderId="0" xfId="0" applyNumberFormat="1" applyFont="1" applyAlignment="1">
      <alignment horizontal="center" vertical="center" wrapText="1"/>
    </xf>
    <xf numFmtId="1" fontId="9" fillId="8" borderId="0" xfId="0" applyNumberFormat="1" applyFont="1" applyFill="1" applyAlignment="1">
      <alignment horizontal="center" vertical="center" wrapText="1"/>
    </xf>
    <xf numFmtId="0" fontId="3" fillId="4" borderId="0" xfId="0" applyFont="1" applyFill="1" applyAlignment="1">
      <alignment horizontal="left"/>
    </xf>
    <xf numFmtId="1" fontId="3" fillId="4" borderId="0" xfId="0" applyNumberFormat="1" applyFont="1" applyFill="1" applyAlignment="1">
      <alignment horizontal="center" vertical="center"/>
    </xf>
    <xf numFmtId="0" fontId="5" fillId="4" borderId="0" xfId="0" applyFont="1" applyFill="1"/>
    <xf numFmtId="0" fontId="0" fillId="0" borderId="0" xfId="0" applyAlignment="1">
      <alignment horizontal="left"/>
    </xf>
    <xf numFmtId="0" fontId="3" fillId="4" borderId="0" xfId="0" applyFont="1" applyFill="1" applyAlignment="1">
      <alignment horizontal="left" vertical="center"/>
    </xf>
    <xf numFmtId="2" fontId="3" fillId="4" borderId="0" xfId="0" applyNumberFormat="1" applyFont="1" applyFill="1" applyAlignment="1">
      <alignment horizontal="center" vertical="center"/>
    </xf>
    <xf numFmtId="0" fontId="3" fillId="4" borderId="0" xfId="0" applyFont="1" applyFill="1" applyAlignment="1">
      <alignment horizontal="center" vertical="center" wrapText="1"/>
    </xf>
    <xf numFmtId="0" fontId="3" fillId="4" borderId="0" xfId="0" applyFont="1" applyFill="1" applyAlignment="1">
      <alignment vertical="center"/>
    </xf>
    <xf numFmtId="0" fontId="3" fillId="4" borderId="0" xfId="0" applyFont="1" applyFill="1" applyAlignment="1">
      <alignment horizontal="center" vertical="center"/>
    </xf>
    <xf numFmtId="0" fontId="0" fillId="0" borderId="0" xfId="0" applyAlignment="1">
      <alignment horizontal="center"/>
    </xf>
    <xf numFmtId="166" fontId="0" fillId="0" borderId="0" xfId="0" applyNumberFormat="1" applyAlignment="1">
      <alignment horizontal="center"/>
    </xf>
    <xf numFmtId="10" fontId="0" fillId="0" borderId="0" xfId="0" applyNumberFormat="1" applyAlignment="1">
      <alignment horizontal="center"/>
    </xf>
    <xf numFmtId="0" fontId="3" fillId="4" borderId="0" xfId="0" applyFont="1" applyFill="1" applyAlignment="1">
      <alignment vertical="center" wrapText="1"/>
    </xf>
    <xf numFmtId="0" fontId="0" fillId="4" borderId="0" xfId="0" applyFill="1" applyAlignment="1">
      <alignment vertical="center"/>
    </xf>
    <xf numFmtId="14" fontId="0" fillId="0" borderId="0" xfId="0" applyNumberFormat="1" applyAlignment="1">
      <alignment horizontal="left"/>
    </xf>
    <xf numFmtId="2" fontId="10" fillId="0" borderId="0" xfId="0" applyNumberFormat="1" applyFont="1" applyAlignment="1">
      <alignment horizontal="center" vertical="center" wrapText="1"/>
    </xf>
    <xf numFmtId="0" fontId="0" fillId="0" borderId="1" xfId="0" applyBorder="1" applyAlignment="1">
      <alignment horizontal="right"/>
    </xf>
    <xf numFmtId="0" fontId="4" fillId="6" borderId="3" xfId="0" applyFont="1" applyFill="1" applyBorder="1" applyAlignment="1">
      <alignment horizontal="center"/>
    </xf>
    <xf numFmtId="0" fontId="4" fillId="6" borderId="2" xfId="0" applyFont="1" applyFill="1" applyBorder="1" applyAlignment="1">
      <alignment horizontal="center"/>
    </xf>
    <xf numFmtId="0" fontId="4" fillId="6" borderId="4" xfId="0" applyFont="1" applyFill="1" applyBorder="1" applyAlignment="1">
      <alignment horizontal="center"/>
    </xf>
    <xf numFmtId="0" fontId="4" fillId="5" borderId="1" xfId="0" applyFont="1" applyFill="1" applyBorder="1" applyAlignment="1">
      <alignment horizontal="center"/>
    </xf>
    <xf numFmtId="0" fontId="4" fillId="5" borderId="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 xfId="0" applyBorder="1" applyAlignment="1">
      <alignment horizontal="justify" vertical="center" wrapText="1"/>
    </xf>
    <xf numFmtId="0" fontId="8" fillId="5" borderId="3"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1" xfId="0" applyFont="1" applyFill="1" applyBorder="1" applyAlignment="1">
      <alignment wrapText="1"/>
    </xf>
    <xf numFmtId="0" fontId="5" fillId="4" borderId="1" xfId="0" applyFont="1" applyFill="1" applyBorder="1" applyAlignment="1">
      <alignment horizontal="center" vertical="center" wrapText="1"/>
    </xf>
    <xf numFmtId="0" fontId="3" fillId="7" borderId="0" xfId="0" applyFont="1" applyFill="1" applyAlignment="1">
      <alignment horizontal="left" vertical="center"/>
    </xf>
    <xf numFmtId="0" fontId="12" fillId="4" borderId="0" xfId="0" applyFont="1" applyFill="1" applyAlignment="1">
      <alignment horizontal="center" vertical="center" wrapText="1"/>
    </xf>
    <xf numFmtId="0" fontId="0" fillId="0" borderId="0" xfId="0" applyAlignment="1">
      <alignment horizontal="left" vertical="center"/>
    </xf>
    <xf numFmtId="0" fontId="4" fillId="9" borderId="0" xfId="0" applyFont="1" applyFill="1" applyAlignment="1">
      <alignment horizontal="left" vertical="center" wrapText="1"/>
    </xf>
    <xf numFmtId="0" fontId="0" fillId="0" borderId="0" xfId="0" quotePrefix="1"/>
    <xf numFmtId="15" fontId="0" fillId="0" borderId="0" xfId="0" applyNumberFormat="1"/>
    <xf numFmtId="0" fontId="0" fillId="0" borderId="0" xfId="0" applyAlignment="1">
      <alignment wrapText="1"/>
    </xf>
    <xf numFmtId="0" fontId="15" fillId="0" borderId="0" xfId="0" applyFont="1" applyAlignment="1">
      <alignment horizontal="left"/>
    </xf>
    <xf numFmtId="164" fontId="0" fillId="0" borderId="0" xfId="0" applyNumberFormat="1"/>
    <xf numFmtId="0" fontId="16"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 xfId="0" applyFont="1" applyFill="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167" fontId="17" fillId="0" borderId="1" xfId="1" applyNumberFormat="1" applyFont="1" applyBorder="1" applyAlignment="1">
      <alignment horizontal="right" vertical="center" wrapText="1"/>
    </xf>
    <xf numFmtId="9" fontId="17" fillId="0" borderId="1" xfId="2" applyFont="1" applyBorder="1" applyAlignment="1">
      <alignment horizontal="right" vertical="center" wrapText="1"/>
    </xf>
    <xf numFmtId="15" fontId="18" fillId="0" borderId="1" xfId="0" applyNumberFormat="1" applyFont="1" applyBorder="1" applyAlignment="1">
      <alignment horizontal="right" vertical="center"/>
    </xf>
    <xf numFmtId="9" fontId="18" fillId="0" borderId="1" xfId="0" applyNumberFormat="1" applyFont="1" applyBorder="1" applyAlignment="1">
      <alignment horizontal="right" vertical="center"/>
    </xf>
    <xf numFmtId="0" fontId="18" fillId="0" borderId="1" xfId="0" applyFont="1" applyBorder="1" applyAlignment="1">
      <alignment horizontal="right" vertical="center"/>
    </xf>
    <xf numFmtId="167" fontId="18" fillId="0" borderId="1" xfId="1" applyNumberFormat="1" applyFont="1" applyBorder="1" applyAlignment="1">
      <alignment horizontal="right" vertical="center"/>
    </xf>
    <xf numFmtId="0" fontId="18" fillId="0" borderId="1" xfId="0" quotePrefix="1" applyFont="1" applyBorder="1" applyAlignment="1">
      <alignment horizontal="justify" vertical="top" wrapText="1"/>
    </xf>
    <xf numFmtId="0" fontId="16" fillId="0" borderId="1" xfId="0" applyFont="1" applyBorder="1" applyAlignment="1">
      <alignment vertical="center" wrapText="1"/>
    </xf>
    <xf numFmtId="0" fontId="16" fillId="0" borderId="1" xfId="0" applyFont="1" applyBorder="1" applyAlignment="1">
      <alignment horizontal="justify" vertical="center" wrapText="1"/>
    </xf>
    <xf numFmtId="0" fontId="17" fillId="0" borderId="1" xfId="0" applyFont="1" applyBorder="1" applyAlignment="1">
      <alignment vertical="center" wrapText="1"/>
    </xf>
    <xf numFmtId="0" fontId="17"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167" fontId="17" fillId="2" borderId="1" xfId="1" applyNumberFormat="1" applyFont="1" applyFill="1" applyBorder="1" applyAlignment="1">
      <alignment horizontal="center" vertical="center" wrapText="1"/>
    </xf>
    <xf numFmtId="167" fontId="16" fillId="2" borderId="1" xfId="1" applyNumberFormat="1" applyFont="1" applyFill="1" applyBorder="1" applyAlignment="1">
      <alignment horizontal="center" vertical="center" wrapText="1"/>
    </xf>
    <xf numFmtId="0" fontId="16" fillId="2" borderId="1" xfId="0" applyFont="1" applyFill="1" applyBorder="1" applyAlignment="1">
      <alignment horizontal="center" vertical="center" wrapText="1"/>
    </xf>
    <xf numFmtId="0" fontId="18" fillId="0" borderId="1" xfId="0" applyFont="1" applyBorder="1"/>
    <xf numFmtId="167" fontId="18" fillId="0" borderId="1" xfId="1" applyNumberFormat="1" applyFont="1" applyBorder="1"/>
    <xf numFmtId="0" fontId="21" fillId="0" borderId="0" xfId="4" applyFont="1"/>
    <xf numFmtId="0" fontId="20" fillId="0" borderId="0" xfId="4"/>
    <xf numFmtId="0" fontId="21" fillId="0" borderId="5" xfId="4" applyFont="1" applyBorder="1" applyAlignment="1">
      <alignment horizontal="center" vertical="center" wrapText="1"/>
    </xf>
    <xf numFmtId="0" fontId="21" fillId="0" borderId="1" xfId="4" applyFont="1" applyBorder="1" applyAlignment="1">
      <alignment horizontal="center"/>
    </xf>
    <xf numFmtId="0" fontId="21" fillId="0" borderId="1" xfId="4" applyFont="1" applyBorder="1" applyAlignment="1">
      <alignment horizontal="center"/>
    </xf>
    <xf numFmtId="0" fontId="21" fillId="0" borderId="7" xfId="4" applyFont="1" applyBorder="1" applyAlignment="1">
      <alignment horizontal="center" vertical="center" wrapText="1"/>
    </xf>
    <xf numFmtId="0" fontId="20" fillId="0" borderId="1" xfId="4" applyBorder="1" applyAlignment="1">
      <alignment horizontal="justify" vertical="top" wrapText="1"/>
    </xf>
    <xf numFmtId="167" fontId="20" fillId="0" borderId="1" xfId="1" applyNumberFormat="1" applyFont="1" applyBorder="1" applyAlignment="1">
      <alignment horizontal="right" vertical="top" wrapText="1"/>
    </xf>
    <xf numFmtId="15" fontId="20" fillId="0" borderId="0" xfId="4" applyNumberFormat="1"/>
    <xf numFmtId="0" fontId="20" fillId="0" borderId="1" xfId="4" applyBorder="1"/>
    <xf numFmtId="9" fontId="0" fillId="0" borderId="0" xfId="5" applyFont="1"/>
    <xf numFmtId="9" fontId="20" fillId="0" borderId="0" xfId="4" applyNumberFormat="1"/>
    <xf numFmtId="0" fontId="21" fillId="0" borderId="1" xfId="4" applyFont="1" applyBorder="1" applyAlignment="1">
      <alignment horizontal="justify" vertical="top" wrapText="1"/>
    </xf>
    <xf numFmtId="167" fontId="21" fillId="0" borderId="1" xfId="1" applyNumberFormat="1" applyFont="1" applyBorder="1" applyAlignment="1">
      <alignment horizontal="right" vertical="top" wrapText="1"/>
    </xf>
    <xf numFmtId="0" fontId="20" fillId="0" borderId="0" xfId="4" applyAlignment="1">
      <alignment horizontal="justify" vertical="top" wrapText="1"/>
    </xf>
    <xf numFmtId="167" fontId="20" fillId="0" borderId="0" xfId="1" applyNumberFormat="1" applyFont="1" applyAlignment="1">
      <alignment horizontal="right" vertical="top" wrapText="1"/>
    </xf>
    <xf numFmtId="168" fontId="20" fillId="0" borderId="0" xfId="4" applyNumberFormat="1"/>
    <xf numFmtId="0" fontId="16" fillId="3" borderId="8"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3" xfId="0" applyFont="1" applyFill="1" applyBorder="1" applyAlignment="1">
      <alignment horizontal="center" vertical="center" wrapText="1"/>
    </xf>
  </cellXfs>
  <cellStyles count="6">
    <cellStyle name="Comma" xfId="1" builtinId="3"/>
    <cellStyle name="Hyperlink" xfId="3" builtinId="8"/>
    <cellStyle name="Normal" xfId="0" builtinId="0"/>
    <cellStyle name="Normal 2" xfId="4" xr:uid="{9972C6DF-1D89-4CBB-B457-EB7C6E9E4B66}"/>
    <cellStyle name="Percent" xfId="2" builtinId="5"/>
    <cellStyle name="Percent 2" xfId="5" xr:uid="{6A36D5E8-C5DD-485B-987B-7988CF8E7AF9}"/>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welcome\Desktop\IL&amp;FS\Documents%20Shared%20By%20Client\Recovery%20under%20VSV-II%20Scheme%20-%20Arbitration%20Awards%20-%20IECCL%20Jul%2019%202023.xlsx" TargetMode="External"/><Relationship Id="rId1" Type="http://schemas.openxmlformats.org/officeDocument/2006/relationships/externalLinkPath" Target="/Users/welcome/Desktop/IL&amp;FS/Documents%20Shared%20By%20Client/Recovery%20under%20VSV-II%20Scheme%20-%20Arbitration%20Awards%20-%20IECCL%20Jul%2019%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VSV II Summary"/>
      <sheetName val="Recovery summary"/>
      <sheetName val="Workings"/>
    </sheetNames>
    <sheetDataSet>
      <sheetData sheetId="0" refreshError="1"/>
      <sheetData sheetId="1" refreshError="1"/>
      <sheetData sheetId="2">
        <row r="14">
          <cell r="I14">
            <v>250.85000000000002</v>
          </cell>
        </row>
        <row r="18">
          <cell r="J18">
            <v>265.61949055555556</v>
          </cell>
        </row>
        <row r="20">
          <cell r="O20">
            <v>67.68590416666666</v>
          </cell>
          <cell r="P20">
            <v>9.4635416666666661</v>
          </cell>
        </row>
        <row r="21">
          <cell r="C21">
            <v>1307.5</v>
          </cell>
          <cell r="D21">
            <v>493.49535660000004</v>
          </cell>
          <cell r="E21">
            <v>233.857597</v>
          </cell>
          <cell r="F21">
            <v>-24.04</v>
          </cell>
        </row>
        <row r="33">
          <cell r="D33">
            <v>30.49</v>
          </cell>
          <cell r="E33">
            <v>5.9938258333333341</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kunaldesai.blog/nifty-returns/" TargetMode="External"/></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8"/>
  <sheetViews>
    <sheetView zoomScale="102" zoomScaleNormal="102" workbookViewId="0">
      <selection activeCell="E26" sqref="E26"/>
    </sheetView>
  </sheetViews>
  <sheetFormatPr defaultColWidth="8.77734375" defaultRowHeight="14.4"/>
  <cols>
    <col min="2" max="2" width="17.44140625" customWidth="1"/>
    <col min="3" max="3" width="10" customWidth="1"/>
    <col min="4" max="4" width="11" customWidth="1"/>
    <col min="5" max="5" width="10" customWidth="1"/>
    <col min="6" max="6" width="11.77734375" customWidth="1"/>
    <col min="7" max="7" width="15" customWidth="1"/>
    <col min="8" max="9" width="10.77734375" customWidth="1"/>
    <col min="10" max="10" width="14.21875" customWidth="1"/>
  </cols>
  <sheetData>
    <row r="1" spans="2:10">
      <c r="B1" s="84" t="s">
        <v>48</v>
      </c>
      <c r="C1" s="84"/>
      <c r="D1" s="84"/>
      <c r="E1" s="84"/>
      <c r="F1" s="84"/>
      <c r="G1" s="84"/>
      <c r="H1" s="84"/>
      <c r="I1" s="84"/>
      <c r="J1" s="84"/>
    </row>
    <row r="2" spans="2:10" s="15" customFormat="1" ht="28.8">
      <c r="B2" s="3" t="s">
        <v>44</v>
      </c>
      <c r="C2" s="3" t="s">
        <v>50</v>
      </c>
      <c r="D2" s="3" t="s">
        <v>45</v>
      </c>
      <c r="E2" s="3" t="s">
        <v>37</v>
      </c>
      <c r="F2" s="3" t="s">
        <v>54</v>
      </c>
      <c r="G2" s="3" t="s">
        <v>51</v>
      </c>
      <c r="H2" s="3" t="s">
        <v>52</v>
      </c>
      <c r="I2" s="3" t="s">
        <v>57</v>
      </c>
      <c r="J2" s="3" t="s">
        <v>49</v>
      </c>
    </row>
    <row r="3" spans="2:10">
      <c r="B3" s="1" t="s">
        <v>46</v>
      </c>
      <c r="C3" s="32">
        <f>IECCL!E9</f>
        <v>677.05000000000007</v>
      </c>
      <c r="D3" s="33">
        <f>IECCL!F9</f>
        <v>361.37</v>
      </c>
      <c r="E3" s="33">
        <f>IECCL!H9</f>
        <v>150.767</v>
      </c>
      <c r="F3" s="33">
        <f>IECCL!J9</f>
        <v>152.43</v>
      </c>
      <c r="G3" s="33">
        <f>IECCL!L9</f>
        <v>34.81</v>
      </c>
      <c r="H3" s="33"/>
      <c r="I3" s="33"/>
      <c r="J3" s="33">
        <f>C3-D3-E3-F3-G3-H3</f>
        <v>-22.326999999999941</v>
      </c>
    </row>
    <row r="4" spans="2:10">
      <c r="B4" s="1" t="s">
        <v>55</v>
      </c>
      <c r="C4" s="32">
        <f>SPVs!H9</f>
        <v>893.20492800000011</v>
      </c>
      <c r="D4" s="33"/>
      <c r="E4" s="33"/>
      <c r="F4" s="32">
        <f>SPVs!H3</f>
        <v>436.08940000000001</v>
      </c>
      <c r="G4" s="33"/>
      <c r="H4" s="32">
        <f>SPVs!H4+SPVs!H5+SPVs!H7</f>
        <v>333.98360000000002</v>
      </c>
      <c r="I4" s="32">
        <v>93.75</v>
      </c>
      <c r="J4" s="33">
        <f>C4-D4-E4-F4-G4-H4-I4</f>
        <v>29.381928000000073</v>
      </c>
    </row>
    <row r="5" spans="2:10" s="34" customFormat="1">
      <c r="B5" s="85" t="s">
        <v>14</v>
      </c>
      <c r="C5" s="86"/>
      <c r="D5" s="86"/>
      <c r="E5" s="86"/>
      <c r="F5" s="86"/>
      <c r="G5" s="86"/>
      <c r="H5" s="86"/>
      <c r="I5" s="87"/>
      <c r="J5" s="35">
        <f>SUM(J3:J4)</f>
        <v>7.0549280000001318</v>
      </c>
    </row>
    <row r="6" spans="2:10">
      <c r="C6" s="16"/>
      <c r="D6" s="16"/>
      <c r="E6" s="16"/>
      <c r="F6" s="16"/>
      <c r="G6" s="16"/>
      <c r="H6" s="16"/>
      <c r="I6" s="16"/>
      <c r="J6" s="16"/>
    </row>
    <row r="7" spans="2:10">
      <c r="B7" t="s">
        <v>56</v>
      </c>
    </row>
    <row r="8" spans="2:10">
      <c r="B8" t="s">
        <v>58</v>
      </c>
    </row>
  </sheetData>
  <mergeCells count="2">
    <mergeCell ref="B1:J1"/>
    <mergeCell ref="B5:I5"/>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D40E7-FB6C-4DA6-BED0-A34FA0428931}">
  <dimension ref="B1:AA17"/>
  <sheetViews>
    <sheetView zoomScale="86" zoomScaleNormal="86" workbookViewId="0">
      <pane xSplit="3" ySplit="3" topLeftCell="Q7" activePane="bottomRight" state="frozen"/>
      <selection pane="topRight" activeCell="D1" sqref="D1"/>
      <selection pane="bottomLeft" activeCell="A4" sqref="A4"/>
      <selection pane="bottomRight" activeCell="C8" sqref="C8"/>
    </sheetView>
  </sheetViews>
  <sheetFormatPr defaultRowHeight="14.4"/>
  <cols>
    <col min="1" max="1" width="1.77734375" customWidth="1"/>
    <col min="2" max="2" width="5.44140625" bestFit="1" customWidth="1"/>
    <col min="3" max="3" width="56.21875" customWidth="1"/>
    <col min="4" max="4" width="12.109375" customWidth="1"/>
    <col min="5" max="5" width="25.6640625" customWidth="1"/>
    <col min="6" max="7" width="10.21875" customWidth="1"/>
    <col min="8" max="8" width="12.88671875" customWidth="1"/>
    <col min="9" max="9" width="10.21875" customWidth="1"/>
    <col min="10" max="10" width="10.77734375" customWidth="1"/>
    <col min="12" max="13" width="10.109375" bestFit="1" customWidth="1"/>
    <col min="14" max="14" width="10" customWidth="1"/>
    <col min="15" max="21" width="15.77734375" customWidth="1"/>
    <col min="22" max="22" width="8.77734375" bestFit="1" customWidth="1"/>
    <col min="23" max="23" width="11.33203125" bestFit="1" customWidth="1"/>
    <col min="24" max="24" width="9.21875" customWidth="1"/>
    <col min="25" max="25" width="8.77734375" bestFit="1" customWidth="1"/>
    <col min="26" max="26" width="13" customWidth="1"/>
    <col min="27" max="27" width="49" customWidth="1"/>
  </cols>
  <sheetData>
    <row r="1" spans="2:27" ht="19.95" customHeight="1">
      <c r="B1" s="106" t="s">
        <v>207</v>
      </c>
      <c r="C1" s="106"/>
      <c r="D1" s="106"/>
      <c r="E1" s="106"/>
      <c r="Q1" s="104">
        <v>44651</v>
      </c>
      <c r="R1">
        <f>Q1-S4</f>
        <v>874</v>
      </c>
      <c r="S1" s="107">
        <f>N4*P4*R1/Y1</f>
        <v>127.03707443225601</v>
      </c>
      <c r="Y1">
        <v>360</v>
      </c>
    </row>
    <row r="2" spans="2:27" ht="49.5" customHeight="1">
      <c r="B2" s="108" t="s">
        <v>17</v>
      </c>
      <c r="C2" s="108" t="s">
        <v>18</v>
      </c>
      <c r="D2" s="108" t="s">
        <v>19</v>
      </c>
      <c r="E2" s="108" t="s">
        <v>20</v>
      </c>
      <c r="F2" s="108" t="s">
        <v>208</v>
      </c>
      <c r="G2" s="108" t="s">
        <v>209</v>
      </c>
      <c r="H2" s="109" t="s">
        <v>210</v>
      </c>
      <c r="I2" s="110"/>
      <c r="J2" s="111"/>
      <c r="K2" s="108" t="s">
        <v>211</v>
      </c>
      <c r="L2" s="109" t="s">
        <v>212</v>
      </c>
      <c r="M2" s="110"/>
      <c r="N2" s="111"/>
      <c r="O2" s="108" t="s">
        <v>213</v>
      </c>
      <c r="P2" s="108" t="s">
        <v>214</v>
      </c>
      <c r="Q2" s="108" t="s">
        <v>215</v>
      </c>
      <c r="R2" s="108" t="s">
        <v>216</v>
      </c>
      <c r="S2" s="108" t="s">
        <v>217</v>
      </c>
      <c r="T2" s="108" t="s">
        <v>218</v>
      </c>
      <c r="U2" s="108" t="s">
        <v>219</v>
      </c>
      <c r="V2" s="108" t="s">
        <v>220</v>
      </c>
      <c r="W2" s="108" t="s">
        <v>221</v>
      </c>
      <c r="X2" s="108" t="s">
        <v>222</v>
      </c>
      <c r="Y2" s="108" t="s">
        <v>223</v>
      </c>
      <c r="Z2" s="108" t="s">
        <v>224</v>
      </c>
      <c r="AA2" s="108" t="s">
        <v>225</v>
      </c>
    </row>
    <row r="3" spans="2:27">
      <c r="B3" s="108"/>
      <c r="C3" s="108"/>
      <c r="D3" s="108"/>
      <c r="E3" s="108"/>
      <c r="F3" s="108"/>
      <c r="G3" s="108"/>
      <c r="H3" s="112" t="s">
        <v>226</v>
      </c>
      <c r="I3" s="112" t="s">
        <v>227</v>
      </c>
      <c r="J3" s="113" t="s">
        <v>14</v>
      </c>
      <c r="K3" s="108"/>
      <c r="L3" s="112" t="s">
        <v>228</v>
      </c>
      <c r="M3" s="112" t="s">
        <v>227</v>
      </c>
      <c r="N3" s="113" t="s">
        <v>14</v>
      </c>
      <c r="O3" s="108"/>
      <c r="P3" s="108"/>
      <c r="Q3" s="108"/>
      <c r="R3" s="108"/>
      <c r="S3" s="108"/>
      <c r="T3" s="108"/>
      <c r="U3" s="108"/>
      <c r="V3" s="108"/>
      <c r="W3" s="108"/>
      <c r="X3" s="108"/>
      <c r="Y3" s="108"/>
      <c r="Z3" s="108"/>
      <c r="AA3" s="108"/>
    </row>
    <row r="4" spans="2:27" ht="55.2">
      <c r="B4" s="114">
        <v>1</v>
      </c>
      <c r="C4" s="115" t="s">
        <v>9</v>
      </c>
      <c r="D4" s="114" t="s">
        <v>10</v>
      </c>
      <c r="E4" s="114" t="s">
        <v>229</v>
      </c>
      <c r="F4" s="116">
        <v>1130.67</v>
      </c>
      <c r="G4" s="116">
        <f>[1]Workings!C21</f>
        <v>1307.5</v>
      </c>
      <c r="H4" s="116">
        <f>[1]Workings!D21+[1]Workings!F21</f>
        <v>469.45535660000002</v>
      </c>
      <c r="I4" s="116">
        <f>[1]Workings!E21</f>
        <v>233.857597</v>
      </c>
      <c r="J4" s="116">
        <f>SUM(H4:I4)</f>
        <v>703.31295360000001</v>
      </c>
      <c r="K4" s="117">
        <v>0.62</v>
      </c>
      <c r="L4" s="116">
        <f>H4*K4</f>
        <v>291.06232109199999</v>
      </c>
      <c r="M4" s="116">
        <f>I4*K4</f>
        <v>144.99171014000001</v>
      </c>
      <c r="N4" s="116">
        <f>SUM(L4:M4)</f>
        <v>436.054031232</v>
      </c>
      <c r="O4" s="118">
        <v>43687</v>
      </c>
      <c r="P4" s="119">
        <v>0.12</v>
      </c>
      <c r="Q4" s="118">
        <f t="shared" ref="Q4:Q9" si="0">O4</f>
        <v>43687</v>
      </c>
      <c r="R4" s="120">
        <v>90</v>
      </c>
      <c r="S4" s="118">
        <f t="shared" ref="S4:S9" si="1">O4+R4</f>
        <v>43777</v>
      </c>
      <c r="T4" s="119">
        <v>0.65</v>
      </c>
      <c r="U4" s="116">
        <f>L4*T4+M4</f>
        <v>334.18221884980005</v>
      </c>
      <c r="V4" s="119">
        <v>0.09</v>
      </c>
      <c r="W4" s="118">
        <v>45169</v>
      </c>
      <c r="X4" s="120">
        <f t="shared" ref="X4:X9" si="2">W4-S4</f>
        <v>1392</v>
      </c>
      <c r="Y4" s="121">
        <f t="shared" ref="Y4:Y9" si="3">H4*V4*X4/$Y$1</f>
        <v>163.37046409679999</v>
      </c>
      <c r="Z4" s="121">
        <f t="shared" ref="Z4:Z9" si="4">U4+Y4</f>
        <v>497.55268294660004</v>
      </c>
      <c r="AA4" s="122" t="s">
        <v>230</v>
      </c>
    </row>
    <row r="5" spans="2:27" ht="110.4">
      <c r="B5" s="114">
        <v>2</v>
      </c>
      <c r="C5" s="123" t="s">
        <v>231</v>
      </c>
      <c r="D5" s="114" t="s">
        <v>10</v>
      </c>
      <c r="E5" s="114" t="s">
        <v>232</v>
      </c>
      <c r="F5" s="116">
        <v>362</v>
      </c>
      <c r="G5" s="116">
        <v>53</v>
      </c>
      <c r="H5" s="116">
        <f>[1]Workings!D33</f>
        <v>30.49</v>
      </c>
      <c r="I5" s="116">
        <f>[1]Workings!E33</f>
        <v>5.9938258333333341</v>
      </c>
      <c r="J5" s="116">
        <f>SUM(H5:I5)</f>
        <v>36.483825833333334</v>
      </c>
      <c r="K5" s="117">
        <v>0.5</v>
      </c>
      <c r="L5" s="116">
        <f t="shared" ref="L5:L9" si="5">H5*K5</f>
        <v>15.244999999999999</v>
      </c>
      <c r="M5" s="116">
        <f t="shared" ref="M5:M9" si="6">I5*K5</f>
        <v>2.996912916666667</v>
      </c>
      <c r="N5" s="116">
        <f t="shared" ref="N5:N9" si="7">SUM(L5:M5)</f>
        <v>18.241912916666667</v>
      </c>
      <c r="O5" s="118">
        <v>44616</v>
      </c>
      <c r="P5" s="119">
        <v>7.0000000000000007E-2</v>
      </c>
      <c r="Q5" s="118">
        <f t="shared" si="0"/>
        <v>44616</v>
      </c>
      <c r="R5" s="120">
        <v>45</v>
      </c>
      <c r="S5" s="118">
        <f t="shared" si="1"/>
        <v>44661</v>
      </c>
      <c r="T5" s="119">
        <v>0.65</v>
      </c>
      <c r="U5" s="116">
        <f t="shared" ref="U5:U9" si="8">L5*T5+M5</f>
        <v>12.906162916666666</v>
      </c>
      <c r="V5" s="119">
        <v>0.09</v>
      </c>
      <c r="W5" s="118">
        <v>45169</v>
      </c>
      <c r="X5" s="120">
        <f t="shared" si="2"/>
        <v>508</v>
      </c>
      <c r="Y5" s="121">
        <f t="shared" si="3"/>
        <v>3.8722299999999992</v>
      </c>
      <c r="Z5" s="121">
        <f t="shared" si="4"/>
        <v>16.778392916666665</v>
      </c>
      <c r="AA5" s="122" t="s">
        <v>233</v>
      </c>
    </row>
    <row r="6" spans="2:27" ht="110.4">
      <c r="B6" s="114">
        <v>3</v>
      </c>
      <c r="C6" s="124" t="s">
        <v>234</v>
      </c>
      <c r="D6" s="114" t="s">
        <v>10</v>
      </c>
      <c r="E6" s="114" t="s">
        <v>232</v>
      </c>
      <c r="F6" s="116">
        <v>415</v>
      </c>
      <c r="G6" s="116">
        <v>234</v>
      </c>
      <c r="H6" s="116">
        <f>140.89018+39.5</f>
        <v>180.39017999999999</v>
      </c>
      <c r="I6" s="116">
        <f>[1]Workings!O20+[1]Workings!P20</f>
        <v>77.149445833333331</v>
      </c>
      <c r="J6" s="116">
        <f>SUM(H6:I6)</f>
        <v>257.53962583333333</v>
      </c>
      <c r="K6" s="117">
        <v>0.5</v>
      </c>
      <c r="L6" s="116">
        <f t="shared" si="5"/>
        <v>90.195089999999993</v>
      </c>
      <c r="M6" s="116">
        <f t="shared" si="6"/>
        <v>38.574722916666666</v>
      </c>
      <c r="N6" s="116">
        <f t="shared" si="7"/>
        <v>128.76981291666667</v>
      </c>
      <c r="O6" s="118">
        <v>43523</v>
      </c>
      <c r="P6" s="119">
        <v>0.15</v>
      </c>
      <c r="Q6" s="118">
        <f t="shared" si="0"/>
        <v>43523</v>
      </c>
      <c r="R6" s="120">
        <f>30*4</f>
        <v>120</v>
      </c>
      <c r="S6" s="118">
        <f t="shared" si="1"/>
        <v>43643</v>
      </c>
      <c r="T6" s="119">
        <v>0.65</v>
      </c>
      <c r="U6" s="116">
        <f t="shared" si="8"/>
        <v>97.201531416666654</v>
      </c>
      <c r="V6" s="119">
        <v>0.09</v>
      </c>
      <c r="W6" s="118">
        <v>45169</v>
      </c>
      <c r="X6" s="120">
        <f t="shared" si="2"/>
        <v>1526</v>
      </c>
      <c r="Y6" s="121">
        <f t="shared" si="3"/>
        <v>68.818853669999982</v>
      </c>
      <c r="Z6" s="121">
        <f t="shared" si="4"/>
        <v>166.02038508666664</v>
      </c>
      <c r="AA6" s="122" t="s">
        <v>233</v>
      </c>
    </row>
    <row r="7" spans="2:27" ht="110.4">
      <c r="B7" s="114">
        <v>4</v>
      </c>
      <c r="C7" s="125" t="s">
        <v>235</v>
      </c>
      <c r="D7" s="114" t="s">
        <v>11</v>
      </c>
      <c r="E7" s="114" t="s">
        <v>229</v>
      </c>
      <c r="F7" s="116">
        <v>229.18</v>
      </c>
      <c r="G7" s="116">
        <v>243</v>
      </c>
      <c r="H7" s="116">
        <v>120.6</v>
      </c>
      <c r="I7" s="116">
        <f>J7-H7</f>
        <v>63.22</v>
      </c>
      <c r="J7" s="116">
        <v>183.82</v>
      </c>
      <c r="K7" s="117">
        <v>0.51</v>
      </c>
      <c r="L7" s="116">
        <f t="shared" si="5"/>
        <v>61.506</v>
      </c>
      <c r="M7" s="116">
        <f t="shared" si="6"/>
        <v>32.242199999999997</v>
      </c>
      <c r="N7" s="116">
        <f t="shared" si="7"/>
        <v>93.748199999999997</v>
      </c>
      <c r="O7" s="118">
        <v>43389</v>
      </c>
      <c r="P7" s="119">
        <f>15.75%</f>
        <v>0.1575</v>
      </c>
      <c r="Q7" s="118">
        <f t="shared" si="0"/>
        <v>43389</v>
      </c>
      <c r="R7" s="120">
        <v>30</v>
      </c>
      <c r="S7" s="118">
        <f t="shared" si="1"/>
        <v>43419</v>
      </c>
      <c r="T7" s="119">
        <v>0.65</v>
      </c>
      <c r="U7" s="116">
        <f t="shared" si="8"/>
        <v>72.221100000000007</v>
      </c>
      <c r="V7" s="119">
        <v>0.09</v>
      </c>
      <c r="W7" s="118">
        <v>45169</v>
      </c>
      <c r="X7" s="120">
        <f t="shared" si="2"/>
        <v>1750</v>
      </c>
      <c r="Y7" s="121">
        <f t="shared" si="3"/>
        <v>52.762500000000003</v>
      </c>
      <c r="Z7" s="121">
        <f>U7+Y7</f>
        <v>124.98360000000001</v>
      </c>
      <c r="AA7" s="122" t="s">
        <v>233</v>
      </c>
    </row>
    <row r="8" spans="2:27" ht="36" customHeight="1">
      <c r="B8" s="114">
        <v>5</v>
      </c>
      <c r="C8" s="125" t="s">
        <v>236</v>
      </c>
      <c r="D8" s="114" t="s">
        <v>12</v>
      </c>
      <c r="E8" s="114" t="s">
        <v>229</v>
      </c>
      <c r="F8" s="116">
        <v>450</v>
      </c>
      <c r="G8" s="116">
        <f>34.05+0.07+1.28+135.93+297.87+159.41+0.34+1.21+1.47+117.6+33.36</f>
        <v>782.59000000000015</v>
      </c>
      <c r="H8" s="116">
        <f>[1]Workings!I14</f>
        <v>250.85000000000002</v>
      </c>
      <c r="I8" s="116">
        <f>[1]Workings!J18</f>
        <v>265.61949055555556</v>
      </c>
      <c r="J8" s="116">
        <f>SUM(H8:I8)</f>
        <v>516.46949055555558</v>
      </c>
      <c r="K8" s="117">
        <v>0.33329999999999999</v>
      </c>
      <c r="L8" s="116">
        <f t="shared" si="5"/>
        <v>83.608305000000001</v>
      </c>
      <c r="M8" s="116">
        <f t="shared" si="6"/>
        <v>88.53097620216667</v>
      </c>
      <c r="N8" s="116">
        <f t="shared" si="7"/>
        <v>172.13928120216667</v>
      </c>
      <c r="O8" s="118">
        <v>43796</v>
      </c>
      <c r="P8" s="119">
        <v>0.12</v>
      </c>
      <c r="Q8" s="118">
        <f t="shared" si="0"/>
        <v>43796</v>
      </c>
      <c r="R8" s="120">
        <v>90</v>
      </c>
      <c r="S8" s="118">
        <f t="shared" si="1"/>
        <v>43886</v>
      </c>
      <c r="T8" s="119">
        <v>0.65</v>
      </c>
      <c r="U8" s="116">
        <f t="shared" si="8"/>
        <v>142.87637445216666</v>
      </c>
      <c r="V8" s="119">
        <v>0.09</v>
      </c>
      <c r="W8" s="118">
        <v>45169</v>
      </c>
      <c r="X8" s="120">
        <f t="shared" si="2"/>
        <v>1283</v>
      </c>
      <c r="Y8" s="121">
        <f t="shared" si="3"/>
        <v>80.460137500000002</v>
      </c>
      <c r="Z8" s="121">
        <f t="shared" si="4"/>
        <v>223.33651195216666</v>
      </c>
      <c r="AA8" s="122" t="s">
        <v>237</v>
      </c>
    </row>
    <row r="9" spans="2:27" ht="55.2">
      <c r="B9" s="114">
        <v>6</v>
      </c>
      <c r="C9" s="125" t="s">
        <v>238</v>
      </c>
      <c r="D9" s="114" t="s">
        <v>13</v>
      </c>
      <c r="E9" s="114" t="s">
        <v>239</v>
      </c>
      <c r="F9" s="116">
        <v>216</v>
      </c>
      <c r="G9" s="116">
        <v>85</v>
      </c>
      <c r="H9" s="116">
        <f>43.3015727</f>
        <v>43.301572700000001</v>
      </c>
      <c r="I9" s="116">
        <v>44.865760399999999</v>
      </c>
      <c r="J9" s="116">
        <f>SUM(H9:I9)</f>
        <v>88.167333100000008</v>
      </c>
      <c r="K9" s="117">
        <v>0.33329999999999999</v>
      </c>
      <c r="L9" s="116">
        <f t="shared" si="5"/>
        <v>14.43241418091</v>
      </c>
      <c r="M9" s="116">
        <f t="shared" si="6"/>
        <v>14.953757941319999</v>
      </c>
      <c r="N9" s="116">
        <f t="shared" si="7"/>
        <v>29.386172122230001</v>
      </c>
      <c r="O9" s="118">
        <v>41495</v>
      </c>
      <c r="P9" s="119">
        <v>0.155</v>
      </c>
      <c r="Q9" s="118">
        <f t="shared" si="0"/>
        <v>41495</v>
      </c>
      <c r="R9" s="120">
        <v>30</v>
      </c>
      <c r="S9" s="118">
        <f t="shared" si="1"/>
        <v>41525</v>
      </c>
      <c r="T9" s="119">
        <v>0.65</v>
      </c>
      <c r="U9" s="116">
        <f t="shared" si="8"/>
        <v>24.334827158911501</v>
      </c>
      <c r="V9" s="119">
        <v>0.09</v>
      </c>
      <c r="W9" s="118">
        <v>45169</v>
      </c>
      <c r="X9" s="120">
        <f t="shared" si="2"/>
        <v>3644</v>
      </c>
      <c r="Y9" s="121">
        <f t="shared" si="3"/>
        <v>39.4477327297</v>
      </c>
      <c r="Z9" s="121">
        <f t="shared" si="4"/>
        <v>63.782559888611502</v>
      </c>
      <c r="AA9" s="122" t="s">
        <v>237</v>
      </c>
    </row>
    <row r="10" spans="2:27">
      <c r="B10" s="126"/>
      <c r="C10" s="127" t="s">
        <v>61</v>
      </c>
      <c r="D10" s="127"/>
      <c r="E10" s="127"/>
      <c r="F10" s="128"/>
      <c r="G10" s="128"/>
      <c r="H10" s="128"/>
      <c r="I10" s="128"/>
      <c r="J10" s="129">
        <f>SUM(J4:J9)</f>
        <v>1785.7932289222219</v>
      </c>
      <c r="K10" s="130"/>
      <c r="L10" s="129">
        <f>SUM(L4:L9)</f>
        <v>556.04913027290991</v>
      </c>
      <c r="M10" s="129">
        <f>SUM(M4:M9)</f>
        <v>322.29028011682004</v>
      </c>
      <c r="N10" s="129">
        <f>SUM(N4:N9)</f>
        <v>878.33941038973001</v>
      </c>
      <c r="O10" s="131"/>
      <c r="P10" s="131"/>
      <c r="Q10" s="131"/>
      <c r="R10" s="131"/>
      <c r="S10" s="131"/>
      <c r="T10" s="131"/>
      <c r="U10" s="131"/>
      <c r="V10" s="131"/>
      <c r="W10" s="131"/>
      <c r="X10" s="131"/>
      <c r="Y10" s="132"/>
      <c r="Z10" s="132"/>
      <c r="AA10" s="131"/>
    </row>
    <row r="11" spans="2:27">
      <c r="B11" s="1"/>
      <c r="C11" s="1"/>
      <c r="D11" s="1"/>
      <c r="E11" s="1"/>
      <c r="F11" s="1"/>
      <c r="G11" s="1"/>
      <c r="H11" s="1"/>
      <c r="I11" s="1"/>
      <c r="J11" s="1"/>
      <c r="K11" s="1"/>
      <c r="L11" s="1"/>
      <c r="M11" s="1"/>
      <c r="N11" s="1"/>
      <c r="O11" s="131"/>
      <c r="P11" s="131"/>
      <c r="Q11" s="131"/>
      <c r="R11" s="131"/>
      <c r="S11" s="131"/>
      <c r="T11" s="131"/>
      <c r="U11" s="131"/>
      <c r="V11" s="131"/>
      <c r="W11" s="131"/>
      <c r="X11" s="131"/>
      <c r="Y11" s="132"/>
      <c r="Z11" s="132">
        <f>SUM(Z4:Z10)</f>
        <v>1092.4541327907116</v>
      </c>
      <c r="AA11" s="131"/>
    </row>
    <row r="12" spans="2:27" ht="8.4" customHeight="1"/>
    <row r="13" spans="2:27" ht="14.4" customHeight="1">
      <c r="C13" s="154" t="s">
        <v>18</v>
      </c>
      <c r="D13" s="154" t="s">
        <v>20</v>
      </c>
      <c r="E13" s="156" t="s">
        <v>268</v>
      </c>
      <c r="F13" s="154" t="s">
        <v>209</v>
      </c>
      <c r="G13" s="154"/>
      <c r="H13" s="150" t="s">
        <v>271</v>
      </c>
      <c r="I13" s="158"/>
      <c r="J13" s="151"/>
      <c r="K13" s="154" t="s">
        <v>270</v>
      </c>
      <c r="L13" s="150" t="s">
        <v>274</v>
      </c>
      <c r="M13" s="158"/>
      <c r="N13" s="151"/>
      <c r="O13" s="108" t="s">
        <v>275</v>
      </c>
    </row>
    <row r="14" spans="2:27" ht="24.6" customHeight="1">
      <c r="C14" s="155"/>
      <c r="D14" s="155"/>
      <c r="E14" s="157" t="s">
        <v>269</v>
      </c>
      <c r="F14" s="155"/>
      <c r="G14" s="155"/>
      <c r="H14" s="152"/>
      <c r="I14" s="159"/>
      <c r="J14" s="153"/>
      <c r="K14" s="155"/>
      <c r="L14" s="152"/>
      <c r="M14" s="159"/>
      <c r="N14" s="153"/>
      <c r="O14" s="108"/>
    </row>
    <row r="15" spans="2:27" ht="27.6">
      <c r="C15" s="112"/>
      <c r="D15" s="157"/>
      <c r="E15" s="157"/>
      <c r="F15" s="157"/>
      <c r="G15" s="157"/>
      <c r="H15" s="112" t="s">
        <v>226</v>
      </c>
      <c r="I15" s="112" t="s">
        <v>227</v>
      </c>
      <c r="J15" s="113" t="s">
        <v>14</v>
      </c>
      <c r="K15" s="112"/>
      <c r="L15" s="112" t="s">
        <v>226</v>
      </c>
      <c r="M15" s="112" t="s">
        <v>227</v>
      </c>
      <c r="N15" s="113" t="s">
        <v>14</v>
      </c>
      <c r="O15" s="157"/>
    </row>
    <row r="16" spans="2:27">
      <c r="C16" s="125" t="s">
        <v>33</v>
      </c>
      <c r="D16" s="114" t="s">
        <v>8</v>
      </c>
      <c r="E16" s="116">
        <v>215.79</v>
      </c>
      <c r="F16" s="116">
        <v>120.78</v>
      </c>
      <c r="G16" t="s">
        <v>267</v>
      </c>
      <c r="H16" s="116">
        <f>DDPL!C6</f>
        <v>66.89</v>
      </c>
      <c r="I16" s="116">
        <f>DDPL!D6</f>
        <v>9.0797850000000011</v>
      </c>
      <c r="J16" s="116">
        <f>H16+I16</f>
        <v>75.969785000000002</v>
      </c>
      <c r="K16" s="116">
        <v>77.19</v>
      </c>
      <c r="L16" s="116">
        <f>DDPL!C7</f>
        <v>21.57</v>
      </c>
      <c r="M16" s="116">
        <f>DDPL!D7</f>
        <v>12.20185</v>
      </c>
      <c r="N16" s="116">
        <f>L16+M16</f>
        <v>33.771850000000001</v>
      </c>
      <c r="O16" s="116">
        <f>J16-N16</f>
        <v>42.197935000000001</v>
      </c>
    </row>
    <row r="17" spans="3:15">
      <c r="C17" s="125" t="s">
        <v>34</v>
      </c>
      <c r="D17" s="114" t="s">
        <v>8</v>
      </c>
      <c r="E17" s="116">
        <v>129.66</v>
      </c>
      <c r="F17" s="116">
        <v>40.98</v>
      </c>
      <c r="H17" s="116">
        <f>BAPL!C6</f>
        <v>33.9</v>
      </c>
      <c r="I17" s="116">
        <f>BAPL!D6</f>
        <v>5.8063500000000001</v>
      </c>
      <c r="J17" s="116">
        <f>H17+I17</f>
        <v>39.70635</v>
      </c>
      <c r="K17" s="116">
        <v>40.409999999999997</v>
      </c>
      <c r="L17" s="116">
        <f>BAPL!C7</f>
        <v>7.13</v>
      </c>
      <c r="M17" s="116">
        <f>BAPL!D7</f>
        <v>2.0706708333333332</v>
      </c>
      <c r="N17" s="116">
        <f>L17+M17</f>
        <v>9.2006708333333336</v>
      </c>
      <c r="O17" s="116">
        <f>J17-N17</f>
        <v>30.505679166666667</v>
      </c>
    </row>
  </sheetData>
  <mergeCells count="32">
    <mergeCell ref="O13:O14"/>
    <mergeCell ref="H13:J14"/>
    <mergeCell ref="L13:N14"/>
    <mergeCell ref="C13:C14"/>
    <mergeCell ref="D13:D14"/>
    <mergeCell ref="F13:F14"/>
    <mergeCell ref="K13:K14"/>
    <mergeCell ref="G13:G14"/>
    <mergeCell ref="W2:W3"/>
    <mergeCell ref="X2:X3"/>
    <mergeCell ref="Y2:Y3"/>
    <mergeCell ref="Z2:Z3"/>
    <mergeCell ref="AA2:AA3"/>
    <mergeCell ref="C10:E10"/>
    <mergeCell ref="Q2:Q3"/>
    <mergeCell ref="R2:R3"/>
    <mergeCell ref="S2:S3"/>
    <mergeCell ref="T2:T3"/>
    <mergeCell ref="U2:U3"/>
    <mergeCell ref="V2:V3"/>
    <mergeCell ref="G2:G3"/>
    <mergeCell ref="H2:J2"/>
    <mergeCell ref="K2:K3"/>
    <mergeCell ref="L2:N2"/>
    <mergeCell ref="O2:O3"/>
    <mergeCell ref="P2:P3"/>
    <mergeCell ref="B1:E1"/>
    <mergeCell ref="B2:B3"/>
    <mergeCell ref="C2:C3"/>
    <mergeCell ref="D2:D3"/>
    <mergeCell ref="E2:E3"/>
    <mergeCell ref="F2:F3"/>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6EE46-39A5-4122-88B9-000E610DE525}">
  <dimension ref="A2:M32"/>
  <sheetViews>
    <sheetView workbookViewId="0">
      <selection activeCell="F12" sqref="F12"/>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119</v>
      </c>
      <c r="B2" s="99" t="s">
        <v>138</v>
      </c>
      <c r="C2" s="99"/>
      <c r="D2" s="99"/>
    </row>
    <row r="3" spans="1:13">
      <c r="A3" t="s">
        <v>122</v>
      </c>
      <c r="B3" s="82">
        <v>45091</v>
      </c>
    </row>
    <row r="4" spans="1:13" ht="28.8">
      <c r="B4" s="51" t="s">
        <v>91</v>
      </c>
      <c r="C4" s="52" t="s">
        <v>272</v>
      </c>
      <c r="D4" s="52" t="s">
        <v>273</v>
      </c>
      <c r="M4">
        <v>5</v>
      </c>
    </row>
    <row r="5" spans="1:13">
      <c r="B5" s="49" t="s">
        <v>143</v>
      </c>
      <c r="C5" s="55">
        <v>215.79</v>
      </c>
      <c r="D5" s="54"/>
      <c r="M5">
        <v>7</v>
      </c>
    </row>
    <row r="6" spans="1:13">
      <c r="B6" s="49" t="s">
        <v>139</v>
      </c>
      <c r="C6" s="83">
        <f>1.51+2.2+17.87+21.57+23.74</f>
        <v>66.89</v>
      </c>
      <c r="D6" s="83">
        <f>1.51*14.85%*(2+10/12)+2.2*14.85%*(2+10/12)+17.87*14.85%*(2+10/12)</f>
        <v>9.0797850000000011</v>
      </c>
    </row>
    <row r="7" spans="1:13">
      <c r="A7" s="41">
        <v>44389</v>
      </c>
      <c r="B7" s="49" t="s">
        <v>140</v>
      </c>
      <c r="C7" s="83">
        <f>21.57</f>
        <v>21.57</v>
      </c>
      <c r="D7" s="83">
        <f>3.89+3.89+21.57*10.25%*2</f>
        <v>12.20185</v>
      </c>
      <c r="F7" s="83"/>
    </row>
    <row r="8" spans="1:13">
      <c r="C8" s="65"/>
    </row>
    <row r="9" spans="1:13">
      <c r="B9" s="49"/>
      <c r="C9" s="66"/>
    </row>
    <row r="10" spans="1:13">
      <c r="B10" s="49"/>
      <c r="C10" s="66"/>
    </row>
    <row r="11" spans="1:13">
      <c r="B11" s="45" t="s">
        <v>141</v>
      </c>
      <c r="C11" s="46">
        <f>(C6+D6)-(C7+D7)</f>
        <v>42.197935000000001</v>
      </c>
      <c r="D11" s="56"/>
    </row>
    <row r="12" spans="1:13">
      <c r="A12" s="63">
        <v>0.9</v>
      </c>
      <c r="B12" s="47" t="s">
        <v>125</v>
      </c>
      <c r="C12" s="48">
        <f>A12*C11</f>
        <v>37.9781415</v>
      </c>
      <c r="D12" s="64"/>
    </row>
    <row r="13" spans="1:13" ht="28.8">
      <c r="A13" s="63">
        <v>0.3</v>
      </c>
      <c r="B13" s="49" t="s">
        <v>126</v>
      </c>
      <c r="C13" s="48">
        <f>C12*A13</f>
        <v>11.39344245</v>
      </c>
      <c r="D13" s="66"/>
      <c r="E13" s="50"/>
    </row>
    <row r="14" spans="1:13">
      <c r="E14" s="50"/>
    </row>
    <row r="15" spans="1:13">
      <c r="B15" s="45" t="s">
        <v>90</v>
      </c>
      <c r="C15" s="46">
        <f>C12-C13</f>
        <v>26.584699049999998</v>
      </c>
      <c r="D15" s="56"/>
    </row>
    <row r="16" spans="1:13" hidden="1">
      <c r="B16" s="45" t="s">
        <v>105</v>
      </c>
      <c r="C16" s="67">
        <f>C32</f>
        <v>12.388026379029737</v>
      </c>
      <c r="D16" s="56" t="s">
        <v>106</v>
      </c>
    </row>
    <row r="17" spans="2:11" hidden="1">
      <c r="B17" s="45" t="s">
        <v>107</v>
      </c>
      <c r="C17" s="67" t="e">
        <f>C16-#REF!</f>
        <v>#REF!</v>
      </c>
      <c r="D17" s="56" t="s">
        <v>108</v>
      </c>
    </row>
    <row r="18" spans="2:11" hidden="1">
      <c r="B18" s="68" t="s">
        <v>109</v>
      </c>
      <c r="C18" s="69" t="e">
        <f>C17</f>
        <v>#REF!</v>
      </c>
      <c r="D18" s="70"/>
    </row>
    <row r="19" spans="2:11" hidden="1">
      <c r="B19" s="71"/>
    </row>
    <row r="20" spans="2:11" ht="28.8" hidden="1">
      <c r="B20" s="72" t="s">
        <v>110</v>
      </c>
      <c r="C20" s="73">
        <f>G29</f>
        <v>17.208088086024553</v>
      </c>
      <c r="D20" s="74" t="s">
        <v>111</v>
      </c>
    </row>
    <row r="21" spans="2:11" hidden="1"/>
    <row r="22" spans="2:11" ht="15.6" hidden="1">
      <c r="B22" t="s">
        <v>93</v>
      </c>
      <c r="C22" s="53">
        <v>5</v>
      </c>
      <c r="F22" s="75" t="s">
        <v>112</v>
      </c>
      <c r="G22" s="76">
        <v>1</v>
      </c>
      <c r="H22" s="76">
        <f>G22+1</f>
        <v>2</v>
      </c>
      <c r="I22" s="76">
        <f t="shared" ref="I22:K22" si="0">H22+1</f>
        <v>3</v>
      </c>
      <c r="J22" s="76">
        <f t="shared" si="0"/>
        <v>4</v>
      </c>
      <c r="K22" s="76">
        <f t="shared" si="0"/>
        <v>5</v>
      </c>
    </row>
    <row r="23" spans="2:11" hidden="1">
      <c r="F23" s="34" t="s">
        <v>113</v>
      </c>
      <c r="G23" s="44">
        <f>C15</f>
        <v>26.584699049999998</v>
      </c>
      <c r="H23" s="77"/>
      <c r="I23" s="77"/>
      <c r="J23" s="77"/>
      <c r="K23" s="77"/>
    </row>
    <row r="24" spans="2:11" hidden="1">
      <c r="B24" s="100" t="s">
        <v>96</v>
      </c>
      <c r="C24" s="100"/>
      <c r="D24" s="100"/>
      <c r="F24" s="34" t="s">
        <v>114</v>
      </c>
      <c r="G24" s="44">
        <f>$G$23/5</f>
        <v>5.3169398099999992</v>
      </c>
      <c r="H24" s="44">
        <f t="shared" ref="H24:K24" si="1">$G$23/5</f>
        <v>5.3169398099999992</v>
      </c>
      <c r="I24" s="44">
        <f t="shared" si="1"/>
        <v>5.3169398099999992</v>
      </c>
      <c r="J24" s="44">
        <f t="shared" si="1"/>
        <v>5.3169398099999992</v>
      </c>
      <c r="K24" s="44">
        <f t="shared" si="1"/>
        <v>5.3169398099999992</v>
      </c>
    </row>
    <row r="25" spans="2:11" ht="15.6" hidden="1">
      <c r="B25" s="101" t="s">
        <v>98</v>
      </c>
      <c r="C25" s="101"/>
      <c r="D25" s="58">
        <v>0.14000000000000001</v>
      </c>
      <c r="E25" s="59" t="s">
        <v>99</v>
      </c>
      <c r="F25" s="34" t="s">
        <v>115</v>
      </c>
      <c r="G25" s="77">
        <v>1</v>
      </c>
      <c r="H25" s="77">
        <f>G25+1</f>
        <v>2</v>
      </c>
      <c r="I25" s="77">
        <f t="shared" ref="I25:K25" si="2">H25+1</f>
        <v>3</v>
      </c>
      <c r="J25" s="77">
        <f t="shared" si="2"/>
        <v>4</v>
      </c>
      <c r="K25" s="77">
        <f t="shared" si="2"/>
        <v>5</v>
      </c>
    </row>
    <row r="26" spans="2:11" hidden="1">
      <c r="B26" s="101" t="s">
        <v>101</v>
      </c>
      <c r="C26" s="101"/>
      <c r="D26" s="61">
        <v>2.5000000000000001E-2</v>
      </c>
      <c r="F26" s="34" t="s">
        <v>116</v>
      </c>
      <c r="G26" s="78">
        <f>1/(1+$G$27)^G25</f>
        <v>0.85836909871244638</v>
      </c>
      <c r="H26" s="78">
        <f>1/(1+$G$27)^H25</f>
        <v>0.73679750962441737</v>
      </c>
      <c r="I26" s="78">
        <f>1/(1+$G$27)^I25</f>
        <v>0.63244421426988617</v>
      </c>
      <c r="J26" s="78">
        <f>1/(1+$G$27)^J25</f>
        <v>0.54287057018874341</v>
      </c>
      <c r="K26" s="78">
        <f>1/(1+$G$27)^K25</f>
        <v>0.46598332205042353</v>
      </c>
    </row>
    <row r="27" spans="2:11" hidden="1">
      <c r="B27" s="57"/>
      <c r="C27" s="57"/>
      <c r="D27" s="61"/>
      <c r="F27" s="34" t="s">
        <v>96</v>
      </c>
      <c r="G27" s="79">
        <f>D29</f>
        <v>0.16500000000000001</v>
      </c>
      <c r="H27" s="77"/>
      <c r="I27" s="77"/>
      <c r="J27" s="77"/>
      <c r="K27" s="77"/>
    </row>
    <row r="28" spans="2:11" hidden="1">
      <c r="B28" s="57"/>
      <c r="C28" s="57"/>
      <c r="D28" s="61"/>
      <c r="F28" s="34" t="s">
        <v>117</v>
      </c>
      <c r="G28" s="44">
        <f>G24*G26</f>
        <v>4.5638968326180249</v>
      </c>
      <c r="H28" s="44">
        <f t="shared" ref="H28:K28" si="3">H24*H26</f>
        <v>3.9175080108309221</v>
      </c>
      <c r="I28" s="44">
        <f t="shared" si="3"/>
        <v>3.3626678204557274</v>
      </c>
      <c r="J28" s="44">
        <f t="shared" si="3"/>
        <v>2.8864101463139287</v>
      </c>
      <c r="K28" s="44">
        <f t="shared" si="3"/>
        <v>2.4776052758059475</v>
      </c>
    </row>
    <row r="29" spans="2:11" ht="28.8" hidden="1">
      <c r="B29" s="102" t="s">
        <v>103</v>
      </c>
      <c r="C29" s="102"/>
      <c r="D29" s="62">
        <f>SUM(D25:D26)</f>
        <v>0.16500000000000001</v>
      </c>
      <c r="F29" s="80" t="s">
        <v>118</v>
      </c>
      <c r="G29" s="73">
        <f>SUM(G28:K28)</f>
        <v>17.208088086024553</v>
      </c>
      <c r="H29" s="75"/>
      <c r="I29" s="75"/>
      <c r="J29" s="75"/>
      <c r="K29" s="81"/>
    </row>
    <row r="30" spans="2:11" hidden="1"/>
    <row r="31" spans="2:11" hidden="1">
      <c r="C31" s="48">
        <f>C15</f>
        <v>26.584699049999998</v>
      </c>
      <c r="D31" s="65">
        <f>1/(1+D29)^C22</f>
        <v>0.46598332205042353</v>
      </c>
    </row>
    <row r="32" spans="2:11" hidden="1">
      <c r="B32" s="10" t="s">
        <v>104</v>
      </c>
      <c r="C32" s="48">
        <f>C31*D31</f>
        <v>12.388026379029737</v>
      </c>
    </row>
  </sheetData>
  <mergeCells count="5">
    <mergeCell ref="B2:D2"/>
    <mergeCell ref="B24:D24"/>
    <mergeCell ref="B25:C25"/>
    <mergeCell ref="B26:C26"/>
    <mergeCell ref="B29:C29"/>
  </mergeCells>
  <dataValidations count="1">
    <dataValidation type="list" allowBlank="1" showInputMessage="1" showErrorMessage="1" sqref="C22" xr:uid="{328398FA-C078-46BB-AAE6-08B304C45568}">
      <formula1>$M$4:$M$5</formula1>
    </dataValidation>
  </dataValidations>
  <hyperlinks>
    <hyperlink ref="E25" r:id="rId1" xr:uid="{28F3C62E-E949-4964-AA5E-4B028F17D9F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975DC-1991-43F0-B86B-AD0473ECC46F}">
  <dimension ref="A2:M32"/>
  <sheetViews>
    <sheetView topLeftCell="A7" workbookViewId="0">
      <selection activeCell="C15" sqref="C15"/>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119</v>
      </c>
      <c r="B2" s="99" t="s">
        <v>142</v>
      </c>
      <c r="C2" s="99"/>
      <c r="D2" s="99"/>
    </row>
    <row r="3" spans="1:13">
      <c r="A3" t="s">
        <v>122</v>
      </c>
      <c r="B3" s="82">
        <v>45091</v>
      </c>
    </row>
    <row r="4" spans="1:13">
      <c r="B4" s="51" t="s">
        <v>91</v>
      </c>
      <c r="C4" s="52" t="s">
        <v>277</v>
      </c>
      <c r="D4" s="52" t="s">
        <v>276</v>
      </c>
      <c r="M4">
        <v>5</v>
      </c>
    </row>
    <row r="5" spans="1:13">
      <c r="B5" s="49" t="s">
        <v>143</v>
      </c>
      <c r="C5" s="55">
        <v>129.66</v>
      </c>
      <c r="D5" s="54"/>
      <c r="M5">
        <v>7</v>
      </c>
    </row>
    <row r="6" spans="1:13">
      <c r="B6" s="49" t="s">
        <v>139</v>
      </c>
      <c r="C6" s="83">
        <f>0.93+12.87+12.97+7.13</f>
        <v>33.9</v>
      </c>
      <c r="D6" s="83">
        <f>(0.93*14.85%*(2+10/12))+(12.87*14.85%*(2+10/12))</f>
        <v>5.8063500000000001</v>
      </c>
    </row>
    <row r="7" spans="1:13">
      <c r="A7" s="41"/>
      <c r="B7" s="49" t="s">
        <v>140</v>
      </c>
      <c r="C7" s="83">
        <f>7.13</f>
        <v>7.13</v>
      </c>
      <c r="D7" s="83">
        <f>7.13*10.25%*(2+10/12)</f>
        <v>2.0706708333333332</v>
      </c>
    </row>
    <row r="8" spans="1:13">
      <c r="C8" s="65"/>
    </row>
    <row r="9" spans="1:13">
      <c r="B9" s="49"/>
      <c r="C9" s="66"/>
    </row>
    <row r="10" spans="1:13">
      <c r="B10" s="49"/>
      <c r="C10" s="66"/>
    </row>
    <row r="11" spans="1:13">
      <c r="B11" s="45" t="s">
        <v>141</v>
      </c>
      <c r="C11" s="46">
        <f>(C6+D6)-(C7+D7)</f>
        <v>30.505679166666667</v>
      </c>
      <c r="D11" s="56"/>
    </row>
    <row r="12" spans="1:13">
      <c r="A12" s="63">
        <v>0.9</v>
      </c>
      <c r="B12" s="47" t="s">
        <v>125</v>
      </c>
      <c r="C12" s="48">
        <f>A12*C11</f>
        <v>27.455111250000002</v>
      </c>
      <c r="D12" s="64"/>
    </row>
    <row r="13" spans="1:13" ht="28.8">
      <c r="A13" s="63">
        <v>0.3</v>
      </c>
      <c r="B13" s="49" t="s">
        <v>126</v>
      </c>
      <c r="C13" s="48">
        <f>C12*A13</f>
        <v>8.2365333750000005</v>
      </c>
      <c r="D13" s="66"/>
      <c r="E13" s="50"/>
    </row>
    <row r="14" spans="1:13">
      <c r="E14" s="50"/>
    </row>
    <row r="15" spans="1:13">
      <c r="B15" s="45" t="s">
        <v>90</v>
      </c>
      <c r="C15" s="46">
        <f>C12-C13</f>
        <v>19.218577875000001</v>
      </c>
      <c r="D15" s="56"/>
    </row>
    <row r="16" spans="1:13" hidden="1">
      <c r="B16" s="45" t="s">
        <v>105</v>
      </c>
      <c r="C16" s="67">
        <f>C32</f>
        <v>0</v>
      </c>
      <c r="D16" s="56" t="s">
        <v>106</v>
      </c>
    </row>
    <row r="17" spans="2:11" hidden="1">
      <c r="B17" s="45" t="s">
        <v>107</v>
      </c>
      <c r="C17" s="67" t="e">
        <f>C16-#REF!</f>
        <v>#REF!</v>
      </c>
      <c r="D17" s="56" t="s">
        <v>108</v>
      </c>
    </row>
    <row r="18" spans="2:11" hidden="1">
      <c r="B18" s="68" t="s">
        <v>109</v>
      </c>
      <c r="C18" s="69" t="e">
        <f>C17</f>
        <v>#REF!</v>
      </c>
      <c r="D18" s="70"/>
    </row>
    <row r="19" spans="2:11" hidden="1">
      <c r="B19" s="71"/>
    </row>
    <row r="20" spans="2:11" ht="28.8" hidden="1">
      <c r="B20" s="72" t="s">
        <v>110</v>
      </c>
      <c r="C20" s="73">
        <f>G29</f>
        <v>12.440049832391184</v>
      </c>
      <c r="D20" s="74" t="s">
        <v>111</v>
      </c>
    </row>
    <row r="21" spans="2:11" hidden="1"/>
    <row r="22" spans="2:11" ht="15.6" hidden="1">
      <c r="B22" t="s">
        <v>93</v>
      </c>
      <c r="C22" s="53">
        <v>5</v>
      </c>
      <c r="F22" s="75" t="s">
        <v>112</v>
      </c>
      <c r="G22" s="76">
        <v>1</v>
      </c>
      <c r="H22" s="76">
        <f>G22+1</f>
        <v>2</v>
      </c>
      <c r="I22" s="76">
        <f t="shared" ref="I22:K22" si="0">H22+1</f>
        <v>3</v>
      </c>
      <c r="J22" s="76">
        <f t="shared" si="0"/>
        <v>4</v>
      </c>
      <c r="K22" s="76">
        <f t="shared" si="0"/>
        <v>5</v>
      </c>
    </row>
    <row r="23" spans="2:11" hidden="1">
      <c r="F23" s="34" t="s">
        <v>113</v>
      </c>
      <c r="G23" s="44">
        <f>C15</f>
        <v>19.218577875000001</v>
      </c>
      <c r="H23" s="77"/>
      <c r="I23" s="77"/>
      <c r="J23" s="77"/>
      <c r="K23" s="77"/>
    </row>
    <row r="24" spans="2:11" hidden="1">
      <c r="B24" s="100" t="s">
        <v>96</v>
      </c>
      <c r="C24" s="100"/>
      <c r="D24" s="100"/>
      <c r="F24" s="34" t="s">
        <v>114</v>
      </c>
      <c r="G24" s="44">
        <f>$G$23/5</f>
        <v>3.8437155750000001</v>
      </c>
      <c r="H24" s="44">
        <f t="shared" ref="H24:K24" si="1">$G$23/5</f>
        <v>3.8437155750000001</v>
      </c>
      <c r="I24" s="44">
        <f t="shared" si="1"/>
        <v>3.8437155750000001</v>
      </c>
      <c r="J24" s="44">
        <f t="shared" si="1"/>
        <v>3.8437155750000001</v>
      </c>
      <c r="K24" s="44">
        <f t="shared" si="1"/>
        <v>3.8437155750000001</v>
      </c>
    </row>
    <row r="25" spans="2:11" ht="15.6" hidden="1">
      <c r="B25" s="101" t="s">
        <v>98</v>
      </c>
      <c r="C25" s="101"/>
      <c r="D25" s="58">
        <v>0.14000000000000001</v>
      </c>
      <c r="E25" s="59" t="s">
        <v>99</v>
      </c>
      <c r="F25" s="34" t="s">
        <v>115</v>
      </c>
      <c r="G25" s="77">
        <v>1</v>
      </c>
      <c r="H25" s="77">
        <f>G25+1</f>
        <v>2</v>
      </c>
      <c r="I25" s="77">
        <f t="shared" ref="I25:K25" si="2">H25+1</f>
        <v>3</v>
      </c>
      <c r="J25" s="77">
        <f t="shared" si="2"/>
        <v>4</v>
      </c>
      <c r="K25" s="77">
        <f t="shared" si="2"/>
        <v>5</v>
      </c>
    </row>
    <row r="26" spans="2:11" hidden="1">
      <c r="B26" s="101" t="s">
        <v>101</v>
      </c>
      <c r="C26" s="101"/>
      <c r="D26" s="61">
        <v>2.5000000000000001E-2</v>
      </c>
      <c r="F26" s="34" t="s">
        <v>116</v>
      </c>
      <c r="G26" s="78">
        <f>1/(1+$G$27)^G25</f>
        <v>0.85836909871244638</v>
      </c>
      <c r="H26" s="78">
        <f>1/(1+$G$27)^H25</f>
        <v>0.73679750962441737</v>
      </c>
      <c r="I26" s="78">
        <f>1/(1+$G$27)^I25</f>
        <v>0.63244421426988617</v>
      </c>
      <c r="J26" s="78">
        <f>1/(1+$G$27)^J25</f>
        <v>0.54287057018874341</v>
      </c>
      <c r="K26" s="78">
        <f>1/(1+$G$27)^K25</f>
        <v>0.46598332205042353</v>
      </c>
    </row>
    <row r="27" spans="2:11" hidden="1">
      <c r="B27" s="57"/>
      <c r="C27" s="57"/>
      <c r="D27" s="61"/>
      <c r="F27" s="34" t="s">
        <v>96</v>
      </c>
      <c r="G27" s="79">
        <f>D29</f>
        <v>0.16500000000000001</v>
      </c>
      <c r="H27" s="77"/>
      <c r="I27" s="77"/>
      <c r="J27" s="77"/>
      <c r="K27" s="77"/>
    </row>
    <row r="28" spans="2:11" hidden="1">
      <c r="B28" s="57"/>
      <c r="C28" s="57"/>
      <c r="D28" s="61"/>
      <c r="F28" s="34" t="s">
        <v>117</v>
      </c>
      <c r="G28" s="44">
        <f>G24*G26</f>
        <v>3.2993266738197424</v>
      </c>
      <c r="H28" s="44">
        <f t="shared" ref="H28:K28" si="3">H24*H26</f>
        <v>2.8320400633645857</v>
      </c>
      <c r="I28" s="44">
        <f t="shared" si="3"/>
        <v>2.430935676707799</v>
      </c>
      <c r="J28" s="44">
        <f t="shared" si="3"/>
        <v>2.086640065843604</v>
      </c>
      <c r="K28" s="44">
        <f t="shared" si="3"/>
        <v>1.791107352655454</v>
      </c>
    </row>
    <row r="29" spans="2:11" ht="28.8" hidden="1">
      <c r="B29" s="102" t="s">
        <v>103</v>
      </c>
      <c r="C29" s="102"/>
      <c r="D29" s="62">
        <f>SUM(D25:D26)</f>
        <v>0.16500000000000001</v>
      </c>
      <c r="F29" s="80" t="s">
        <v>118</v>
      </c>
      <c r="G29" s="73">
        <f>SUM(G28:K28)</f>
        <v>12.440049832391184</v>
      </c>
      <c r="H29" s="75"/>
      <c r="I29" s="75"/>
      <c r="J29" s="75"/>
      <c r="K29" s="81"/>
    </row>
    <row r="30" spans="2:11" hidden="1"/>
    <row r="31" spans="2:11" hidden="1">
      <c r="C31" s="48"/>
      <c r="D31" s="65"/>
    </row>
    <row r="32" spans="2:11">
      <c r="B32" s="10"/>
      <c r="C32" s="48"/>
    </row>
  </sheetData>
  <mergeCells count="5">
    <mergeCell ref="B2:D2"/>
    <mergeCell ref="B24:D24"/>
    <mergeCell ref="B25:C25"/>
    <mergeCell ref="B26:C26"/>
    <mergeCell ref="B29:C29"/>
  </mergeCells>
  <dataValidations count="1">
    <dataValidation type="list" allowBlank="1" showInputMessage="1" showErrorMessage="1" sqref="C22" xr:uid="{535BE796-A316-438F-AEDC-01EC92D29951}">
      <formula1>$M$4:$M$5</formula1>
    </dataValidation>
  </dataValidations>
  <hyperlinks>
    <hyperlink ref="E25" r:id="rId1" xr:uid="{D8FC0B73-8920-4E02-8F03-F17189A12316}"/>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329F9-2700-424F-A948-9FE5A0718226}">
  <dimension ref="B2:C76"/>
  <sheetViews>
    <sheetView workbookViewId="0">
      <selection activeCell="B11" sqref="B11"/>
    </sheetView>
  </sheetViews>
  <sheetFormatPr defaultRowHeight="14.4"/>
  <cols>
    <col min="2" max="2" width="40.33203125" customWidth="1"/>
    <col min="3" max="3" width="9.109375" bestFit="1" customWidth="1"/>
  </cols>
  <sheetData>
    <row r="2" spans="2:2">
      <c r="B2" t="s">
        <v>145</v>
      </c>
    </row>
    <row r="3" spans="2:2">
      <c r="B3" t="s">
        <v>146</v>
      </c>
    </row>
    <row r="5" spans="2:2">
      <c r="B5" t="s">
        <v>147</v>
      </c>
    </row>
    <row r="6" spans="2:2">
      <c r="B6" t="s">
        <v>148</v>
      </c>
    </row>
    <row r="8" spans="2:2">
      <c r="B8" t="s">
        <v>149</v>
      </c>
    </row>
    <row r="10" spans="2:2">
      <c r="B10" t="s">
        <v>150</v>
      </c>
    </row>
    <row r="11" spans="2:2">
      <c r="B11" t="s">
        <v>151</v>
      </c>
    </row>
    <row r="12" spans="2:2">
      <c r="B12" s="103" t="s">
        <v>152</v>
      </c>
    </row>
    <row r="13" spans="2:2">
      <c r="B13" s="103" t="s">
        <v>153</v>
      </c>
    </row>
    <row r="14" spans="2:2">
      <c r="B14" s="103" t="s">
        <v>154</v>
      </c>
    </row>
    <row r="15" spans="2:2">
      <c r="B15" s="103" t="s">
        <v>155</v>
      </c>
    </row>
    <row r="16" spans="2:2">
      <c r="B16" s="103" t="s">
        <v>156</v>
      </c>
    </row>
    <row r="17" spans="2:3">
      <c r="B17" s="103" t="s">
        <v>157</v>
      </c>
    </row>
    <row r="19" spans="2:3">
      <c r="B19" t="s">
        <v>158</v>
      </c>
    </row>
    <row r="21" spans="2:3">
      <c r="B21" t="s">
        <v>159</v>
      </c>
    </row>
    <row r="23" spans="2:3">
      <c r="B23" t="s">
        <v>160</v>
      </c>
    </row>
    <row r="24" spans="2:3">
      <c r="B24" t="s">
        <v>161</v>
      </c>
    </row>
    <row r="26" spans="2:3">
      <c r="B26" t="s">
        <v>162</v>
      </c>
    </row>
    <row r="27" spans="2:3">
      <c r="B27" t="s">
        <v>163</v>
      </c>
      <c r="C27" t="s">
        <v>164</v>
      </c>
    </row>
    <row r="28" spans="2:3">
      <c r="B28" t="s">
        <v>165</v>
      </c>
      <c r="C28" s="104">
        <v>44957</v>
      </c>
    </row>
    <row r="29" spans="2:3">
      <c r="B29" t="s">
        <v>166</v>
      </c>
      <c r="C29" s="104">
        <v>45046</v>
      </c>
    </row>
    <row r="31" spans="2:3">
      <c r="B31" t="s">
        <v>167</v>
      </c>
    </row>
    <row r="32" spans="2:3">
      <c r="B32" t="s">
        <v>168</v>
      </c>
    </row>
    <row r="34" spans="2:3">
      <c r="B34" t="s">
        <v>169</v>
      </c>
    </row>
    <row r="35" spans="2:3">
      <c r="B35" t="s">
        <v>170</v>
      </c>
    </row>
    <row r="37" spans="2:3">
      <c r="B37" t="s">
        <v>171</v>
      </c>
    </row>
    <row r="38" spans="2:3">
      <c r="B38" t="s">
        <v>172</v>
      </c>
    </row>
    <row r="39" spans="2:3">
      <c r="B39" t="s">
        <v>173</v>
      </c>
    </row>
    <row r="41" spans="2:3">
      <c r="B41" t="s">
        <v>174</v>
      </c>
    </row>
    <row r="42" spans="2:3" ht="187.2">
      <c r="B42" s="105" t="s">
        <v>175</v>
      </c>
      <c r="C42" t="s">
        <v>176</v>
      </c>
    </row>
    <row r="43" spans="2:3" ht="230.4">
      <c r="B43" s="105" t="s">
        <v>177</v>
      </c>
      <c r="C43" t="s">
        <v>178</v>
      </c>
    </row>
    <row r="45" spans="2:3">
      <c r="B45" t="s">
        <v>179</v>
      </c>
    </row>
    <row r="46" spans="2:3">
      <c r="B46" t="s">
        <v>180</v>
      </c>
    </row>
    <row r="47" spans="2:3">
      <c r="B47" t="s">
        <v>181</v>
      </c>
    </row>
    <row r="48" spans="2:3">
      <c r="B48" t="s">
        <v>182</v>
      </c>
    </row>
    <row r="49" spans="2:2">
      <c r="B49" t="s">
        <v>183</v>
      </c>
    </row>
    <row r="50" spans="2:2">
      <c r="B50" t="s">
        <v>184</v>
      </c>
    </row>
    <row r="52" spans="2:2">
      <c r="B52" t="s">
        <v>185</v>
      </c>
    </row>
    <row r="53" spans="2:2">
      <c r="B53" t="s">
        <v>186</v>
      </c>
    </row>
    <row r="54" spans="2:2">
      <c r="B54" t="s">
        <v>187</v>
      </c>
    </row>
    <row r="55" spans="2:2">
      <c r="B55" t="s">
        <v>188</v>
      </c>
    </row>
    <row r="57" spans="2:2">
      <c r="B57" t="s">
        <v>189</v>
      </c>
    </row>
    <row r="58" spans="2:2">
      <c r="B58" t="s">
        <v>190</v>
      </c>
    </row>
    <row r="59" spans="2:2">
      <c r="B59" s="103" t="s">
        <v>191</v>
      </c>
    </row>
    <row r="60" spans="2:2">
      <c r="B60" s="103" t="s">
        <v>192</v>
      </c>
    </row>
    <row r="62" spans="2:2">
      <c r="B62" t="s">
        <v>193</v>
      </c>
    </row>
    <row r="63" spans="2:2">
      <c r="B63" t="s">
        <v>194</v>
      </c>
    </row>
    <row r="64" spans="2:2">
      <c r="B64">
        <v>16</v>
      </c>
    </row>
    <row r="65" spans="2:2">
      <c r="B65" t="s">
        <v>195</v>
      </c>
    </row>
    <row r="66" spans="2:2">
      <c r="B66" t="s">
        <v>196</v>
      </c>
    </row>
    <row r="67" spans="2:2">
      <c r="B67" t="s">
        <v>197</v>
      </c>
    </row>
    <row r="68" spans="2:2">
      <c r="B68" t="s">
        <v>198</v>
      </c>
    </row>
    <row r="69" spans="2:2">
      <c r="B69" t="s">
        <v>199</v>
      </c>
    </row>
    <row r="70" spans="2:2">
      <c r="B70" t="s">
        <v>200</v>
      </c>
    </row>
    <row r="71" spans="2:2">
      <c r="B71" t="s">
        <v>201</v>
      </c>
    </row>
    <row r="72" spans="2:2">
      <c r="B72" s="103" t="s">
        <v>202</v>
      </c>
    </row>
    <row r="73" spans="2:2">
      <c r="B73" s="103" t="s">
        <v>203</v>
      </c>
    </row>
    <row r="74" spans="2:2">
      <c r="B74" s="103" t="s">
        <v>204</v>
      </c>
    </row>
    <row r="75" spans="2:2">
      <c r="B75" t="s">
        <v>205</v>
      </c>
    </row>
    <row r="76" spans="2:2">
      <c r="B76" t="s">
        <v>206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C2040-6176-44D3-BD9A-86EA68EEF0A5}">
  <dimension ref="B3:T35"/>
  <sheetViews>
    <sheetView workbookViewId="0">
      <selection activeCell="I15" sqref="I15"/>
    </sheetView>
  </sheetViews>
  <sheetFormatPr defaultColWidth="8.77734375" defaultRowHeight="13.8"/>
  <cols>
    <col min="1" max="1" width="8.77734375" style="134"/>
    <col min="2" max="2" width="57.77734375" style="134" customWidth="1"/>
    <col min="3" max="3" width="9.109375" style="134" bestFit="1" customWidth="1"/>
    <col min="4" max="4" width="12.21875" style="134" bestFit="1" customWidth="1"/>
    <col min="5" max="5" width="11.21875" style="134" customWidth="1"/>
    <col min="6" max="6" width="15.88671875" style="134" bestFit="1" customWidth="1"/>
    <col min="7" max="7" width="7.33203125" style="134" bestFit="1" customWidth="1"/>
    <col min="8" max="8" width="14.109375" style="134" bestFit="1" customWidth="1"/>
    <col min="9" max="9" width="13.21875" style="134" customWidth="1"/>
    <col min="10" max="11" width="8.77734375" style="134"/>
    <col min="12" max="12" width="11.33203125" style="134" bestFit="1" customWidth="1"/>
    <col min="13" max="14" width="8.77734375" style="134"/>
    <col min="15" max="15" width="12.44140625" style="134" customWidth="1"/>
    <col min="16" max="16" width="13.109375" style="134" customWidth="1"/>
    <col min="17" max="17" width="8.77734375" style="134"/>
    <col min="18" max="18" width="11.5546875" style="134" bestFit="1" customWidth="1"/>
    <col min="19" max="16384" width="8.77734375" style="134"/>
  </cols>
  <sheetData>
    <row r="3" spans="2:20">
      <c r="B3" s="133" t="s">
        <v>9</v>
      </c>
    </row>
    <row r="4" spans="2:20">
      <c r="B4" s="135" t="s">
        <v>240</v>
      </c>
      <c r="C4" s="136"/>
      <c r="D4" s="137" t="s">
        <v>241</v>
      </c>
      <c r="E4" s="137"/>
      <c r="F4" s="137"/>
      <c r="G4" s="137"/>
    </row>
    <row r="5" spans="2:20">
      <c r="B5" s="138"/>
      <c r="C5" s="136" t="s">
        <v>242</v>
      </c>
      <c r="D5" s="136" t="s">
        <v>228</v>
      </c>
      <c r="E5" s="136" t="s">
        <v>227</v>
      </c>
      <c r="F5" s="136" t="s">
        <v>243</v>
      </c>
      <c r="G5" s="136" t="s">
        <v>14</v>
      </c>
    </row>
    <row r="6" spans="2:20" ht="41.4">
      <c r="B6" s="139" t="s">
        <v>244</v>
      </c>
      <c r="C6" s="140">
        <v>576.29999999999995</v>
      </c>
      <c r="D6" s="140">
        <v>463.03584180000001</v>
      </c>
      <c r="E6" s="140">
        <f>551.8134565-D6</f>
        <v>88.777614700000015</v>
      </c>
      <c r="F6" s="140"/>
      <c r="G6" s="140">
        <f>SUM(D6:F6)</f>
        <v>551.81345650000003</v>
      </c>
      <c r="I6" s="134">
        <v>0.11</v>
      </c>
    </row>
    <row r="7" spans="2:20" ht="27.6">
      <c r="B7" s="139" t="s">
        <v>245</v>
      </c>
      <c r="C7" s="140">
        <v>133.29</v>
      </c>
      <c r="D7" s="140">
        <v>0</v>
      </c>
      <c r="E7" s="140">
        <v>0</v>
      </c>
      <c r="F7" s="140"/>
      <c r="G7" s="140">
        <f t="shared" ref="G7:G19" si="0">SUM(D7:F7)</f>
        <v>0</v>
      </c>
      <c r="I7" s="134">
        <v>16.72</v>
      </c>
      <c r="P7" s="134">
        <v>0.2</v>
      </c>
    </row>
    <row r="8" spans="2:20" ht="27.6">
      <c r="B8" s="139" t="s">
        <v>246</v>
      </c>
      <c r="C8" s="140">
        <v>23.26</v>
      </c>
      <c r="D8" s="140">
        <v>23.1390286</v>
      </c>
      <c r="E8" s="140"/>
      <c r="F8" s="140"/>
      <c r="G8" s="140">
        <f t="shared" si="0"/>
        <v>23.1390286</v>
      </c>
      <c r="I8" s="134">
        <v>0.73</v>
      </c>
      <c r="O8" s="134">
        <v>140.88999999999999</v>
      </c>
      <c r="P8" s="134">
        <v>39.5</v>
      </c>
      <c r="T8" s="134">
        <v>183.82</v>
      </c>
    </row>
    <row r="9" spans="2:20" ht="27.6">
      <c r="B9" s="139" t="s">
        <v>247</v>
      </c>
      <c r="C9" s="140">
        <v>6.05</v>
      </c>
      <c r="D9" s="140">
        <v>0</v>
      </c>
      <c r="E9" s="140"/>
      <c r="F9" s="140"/>
      <c r="G9" s="140">
        <f t="shared" si="0"/>
        <v>0</v>
      </c>
      <c r="I9" s="134">
        <v>76.83</v>
      </c>
    </row>
    <row r="10" spans="2:20">
      <c r="B10" s="139" t="s">
        <v>248</v>
      </c>
      <c r="C10" s="140">
        <v>453.1</v>
      </c>
      <c r="D10" s="140">
        <v>0</v>
      </c>
      <c r="E10" s="140" t="s">
        <v>249</v>
      </c>
      <c r="F10" s="140"/>
      <c r="G10" s="140">
        <f t="shared" si="0"/>
        <v>0</v>
      </c>
      <c r="I10" s="134">
        <v>90.1</v>
      </c>
    </row>
    <row r="11" spans="2:20">
      <c r="B11" s="139" t="s">
        <v>250</v>
      </c>
      <c r="C11" s="140">
        <v>0</v>
      </c>
      <c r="D11" s="140"/>
      <c r="E11" s="140"/>
      <c r="F11" s="140"/>
      <c r="G11" s="140">
        <f t="shared" si="0"/>
        <v>0</v>
      </c>
      <c r="I11" s="134">
        <v>1.21</v>
      </c>
    </row>
    <row r="12" spans="2:20" ht="27.6">
      <c r="B12" s="139" t="s">
        <v>251</v>
      </c>
      <c r="C12" s="140">
        <v>18.27</v>
      </c>
      <c r="D12" s="140">
        <v>0</v>
      </c>
      <c r="E12" s="140"/>
      <c r="F12" s="140"/>
      <c r="G12" s="140">
        <f t="shared" si="0"/>
        <v>0</v>
      </c>
      <c r="I12" s="134">
        <v>1.47</v>
      </c>
    </row>
    <row r="13" spans="2:20" ht="27.6">
      <c r="B13" s="139" t="s">
        <v>252</v>
      </c>
      <c r="C13" s="140">
        <v>7.52</v>
      </c>
      <c r="D13" s="140">
        <v>0</v>
      </c>
      <c r="E13" s="140"/>
      <c r="F13" s="140"/>
      <c r="G13" s="140">
        <f t="shared" si="0"/>
        <v>0</v>
      </c>
      <c r="I13" s="134">
        <v>63.68</v>
      </c>
    </row>
    <row r="14" spans="2:20">
      <c r="B14" s="139" t="s">
        <v>253</v>
      </c>
      <c r="C14" s="140">
        <v>82.39</v>
      </c>
      <c r="D14" s="140">
        <v>0</v>
      </c>
      <c r="E14" s="140"/>
      <c r="F14" s="140"/>
      <c r="G14" s="140">
        <f t="shared" si="0"/>
        <v>0</v>
      </c>
      <c r="I14" s="134">
        <f>SUM(I6:I13)</f>
        <v>250.85000000000002</v>
      </c>
    </row>
    <row r="15" spans="2:20">
      <c r="B15" s="139" t="s">
        <v>254</v>
      </c>
      <c r="C15" s="140">
        <v>7.32</v>
      </c>
      <c r="D15" s="140">
        <v>7.3204862000000004</v>
      </c>
      <c r="E15" s="140"/>
      <c r="F15" s="140"/>
      <c r="G15" s="140">
        <f t="shared" si="0"/>
        <v>7.3204862000000004</v>
      </c>
      <c r="O15" s="141">
        <v>43523</v>
      </c>
      <c r="P15" s="141">
        <v>43523</v>
      </c>
      <c r="T15" s="141"/>
    </row>
    <row r="16" spans="2:20">
      <c r="B16" s="139" t="s">
        <v>255</v>
      </c>
      <c r="C16" s="140">
        <v>0</v>
      </c>
      <c r="D16" s="140">
        <v>0</v>
      </c>
      <c r="E16" s="140">
        <v>0.81255230000000001</v>
      </c>
      <c r="F16" s="140"/>
      <c r="G16" s="140">
        <f t="shared" si="0"/>
        <v>0.81255230000000001</v>
      </c>
      <c r="I16" s="141">
        <v>43796</v>
      </c>
      <c r="O16" s="141">
        <v>42370</v>
      </c>
      <c r="P16" s="141">
        <v>42948</v>
      </c>
    </row>
    <row r="17" spans="2:20" ht="14.4">
      <c r="B17" s="139" t="s">
        <v>256</v>
      </c>
      <c r="C17" s="140">
        <v>0</v>
      </c>
      <c r="D17" s="140">
        <v>0</v>
      </c>
      <c r="E17" s="142">
        <f>143.4061451</f>
        <v>143.4061451</v>
      </c>
      <c r="F17" s="142"/>
      <c r="G17" s="140">
        <f t="shared" si="0"/>
        <v>143.4061451</v>
      </c>
      <c r="I17" s="141">
        <v>41368</v>
      </c>
      <c r="K17" s="143">
        <f>I21+J21</f>
        <v>0.157</v>
      </c>
      <c r="O17" s="144">
        <v>0.15</v>
      </c>
      <c r="P17" s="144">
        <v>0.15</v>
      </c>
      <c r="T17" s="143">
        <f>13.75%+2%</f>
        <v>0.1575</v>
      </c>
    </row>
    <row r="18" spans="2:20">
      <c r="B18" s="139" t="s">
        <v>257</v>
      </c>
      <c r="C18" s="140">
        <v>0</v>
      </c>
      <c r="D18" s="140">
        <v>0</v>
      </c>
      <c r="E18" s="140">
        <v>0.86128490000000002</v>
      </c>
      <c r="F18" s="140"/>
      <c r="G18" s="140">
        <f t="shared" si="0"/>
        <v>0.86128490000000002</v>
      </c>
      <c r="I18" s="134">
        <f>I16-I17</f>
        <v>2428</v>
      </c>
      <c r="J18" s="134">
        <f>I14*K17*I18/I19</f>
        <v>265.61949055555556</v>
      </c>
      <c r="O18" s="134">
        <f>O15-O16</f>
        <v>1153</v>
      </c>
      <c r="P18" s="134">
        <f>P15-P16</f>
        <v>575</v>
      </c>
      <c r="T18" s="134">
        <f>T15-T16</f>
        <v>0</v>
      </c>
    </row>
    <row r="19" spans="2:20">
      <c r="B19" s="139" t="s">
        <v>258</v>
      </c>
      <c r="C19" s="140"/>
      <c r="D19" s="140"/>
      <c r="E19" s="140"/>
      <c r="F19" s="140">
        <v>-24.04</v>
      </c>
      <c r="G19" s="140">
        <f t="shared" si="0"/>
        <v>-24.04</v>
      </c>
      <c r="I19" s="134">
        <v>360</v>
      </c>
      <c r="J19" s="134">
        <f>I14+J18</f>
        <v>516.46949055555558</v>
      </c>
      <c r="O19" s="134">
        <v>360</v>
      </c>
      <c r="P19" s="134">
        <v>360</v>
      </c>
      <c r="T19" s="134">
        <v>360</v>
      </c>
    </row>
    <row r="20" spans="2:20">
      <c r="B20" s="139"/>
      <c r="C20" s="140"/>
      <c r="D20" s="140"/>
      <c r="E20" s="140"/>
      <c r="F20" s="140"/>
      <c r="G20" s="142"/>
      <c r="O20" s="134">
        <f>O8*O17*O18/O19</f>
        <v>67.68590416666666</v>
      </c>
      <c r="P20" s="134">
        <f>P8*P17*P18/P19</f>
        <v>9.4635416666666661</v>
      </c>
      <c r="T20" s="134">
        <f>T8*T17*T18/T19</f>
        <v>0</v>
      </c>
    </row>
    <row r="21" spans="2:20" ht="14.4">
      <c r="B21" s="145" t="s">
        <v>14</v>
      </c>
      <c r="C21" s="146">
        <f>SUM(C6:C20)</f>
        <v>1307.5</v>
      </c>
      <c r="D21" s="146">
        <f t="shared" ref="D21:G21" si="1">SUM(D6:D20)</f>
        <v>493.49535660000004</v>
      </c>
      <c r="E21" s="146">
        <f t="shared" si="1"/>
        <v>233.857597</v>
      </c>
      <c r="F21" s="146">
        <f t="shared" si="1"/>
        <v>-24.04</v>
      </c>
      <c r="G21" s="146">
        <f t="shared" si="1"/>
        <v>703.31295360000001</v>
      </c>
      <c r="I21" s="143">
        <v>0.13700000000000001</v>
      </c>
      <c r="J21" s="143">
        <v>0.02</v>
      </c>
      <c r="P21" s="134">
        <f>O8+P8+O20+P20+P7</f>
        <v>257.73944583333332</v>
      </c>
      <c r="T21" s="134">
        <f>T7+T8+T20</f>
        <v>183.82</v>
      </c>
    </row>
    <row r="22" spans="2:20">
      <c r="B22" s="145" t="s">
        <v>259</v>
      </c>
      <c r="C22" s="146"/>
      <c r="D22" s="146"/>
      <c r="E22" s="146"/>
      <c r="F22" s="146"/>
      <c r="G22" s="146"/>
    </row>
    <row r="23" spans="2:20" ht="55.2">
      <c r="B23" s="139" t="s">
        <v>260</v>
      </c>
      <c r="C23" s="142"/>
      <c r="D23" s="142"/>
      <c r="E23" s="142"/>
      <c r="F23" s="142"/>
      <c r="G23" s="142"/>
    </row>
    <row r="24" spans="2:20">
      <c r="B24" s="147"/>
      <c r="C24" s="148"/>
      <c r="D24" s="148"/>
      <c r="E24" s="148"/>
      <c r="F24" s="148"/>
      <c r="G24" s="148"/>
    </row>
    <row r="25" spans="2:20">
      <c r="B25" s="133" t="s">
        <v>261</v>
      </c>
    </row>
    <row r="26" spans="2:20">
      <c r="B26" s="135" t="s">
        <v>240</v>
      </c>
      <c r="C26" s="136"/>
      <c r="D26" s="137" t="s">
        <v>241</v>
      </c>
      <c r="E26" s="137"/>
      <c r="F26" s="137"/>
      <c r="G26" s="137"/>
    </row>
    <row r="27" spans="2:20">
      <c r="B27" s="138"/>
      <c r="C27" s="136" t="s">
        <v>242</v>
      </c>
      <c r="D27" s="136" t="s">
        <v>228</v>
      </c>
      <c r="E27" s="136" t="s">
        <v>227</v>
      </c>
      <c r="F27" s="136" t="s">
        <v>243</v>
      </c>
      <c r="G27" s="136" t="s">
        <v>14</v>
      </c>
      <c r="H27" s="134">
        <v>30.49</v>
      </c>
    </row>
    <row r="28" spans="2:20" ht="27.6">
      <c r="B28" s="139" t="s">
        <v>262</v>
      </c>
      <c r="C28" s="140"/>
      <c r="D28" s="140">
        <v>30.49</v>
      </c>
      <c r="E28" s="140">
        <v>0</v>
      </c>
      <c r="F28" s="140"/>
      <c r="G28" s="140">
        <f>SUM(D28:F28)</f>
        <v>30.49</v>
      </c>
      <c r="H28" s="141">
        <v>44616</v>
      </c>
    </row>
    <row r="29" spans="2:20">
      <c r="B29" s="139" t="s">
        <v>263</v>
      </c>
      <c r="C29" s="140"/>
      <c r="D29" s="140">
        <v>0</v>
      </c>
      <c r="E29" s="140">
        <v>0</v>
      </c>
      <c r="F29" s="140"/>
      <c r="G29" s="140">
        <f t="shared" ref="G29:G31" si="2">SUM(D29:F29)</f>
        <v>0</v>
      </c>
      <c r="H29" s="141">
        <v>43605</v>
      </c>
    </row>
    <row r="30" spans="2:20">
      <c r="B30" s="139" t="s">
        <v>264</v>
      </c>
      <c r="C30" s="140"/>
      <c r="D30" s="140">
        <v>0</v>
      </c>
      <c r="E30" s="140"/>
      <c r="F30" s="140"/>
      <c r="G30" s="140">
        <f t="shared" si="2"/>
        <v>0</v>
      </c>
      <c r="H30" s="144">
        <v>7.0000000000000007E-2</v>
      </c>
      <c r="I30" s="134">
        <v>360</v>
      </c>
    </row>
    <row r="31" spans="2:20">
      <c r="B31" s="139" t="s">
        <v>265</v>
      </c>
      <c r="C31" s="140"/>
      <c r="D31" s="140">
        <v>0</v>
      </c>
      <c r="E31" s="140">
        <f>I31</f>
        <v>5.9938258333333341</v>
      </c>
      <c r="F31" s="140"/>
      <c r="G31" s="140">
        <f t="shared" si="2"/>
        <v>5.9938258333333341</v>
      </c>
      <c r="H31" s="134">
        <f>H28-H29</f>
        <v>1011</v>
      </c>
      <c r="I31" s="149">
        <f>H27*H30*H31/I30</f>
        <v>5.9938258333333341</v>
      </c>
    </row>
    <row r="32" spans="2:20">
      <c r="B32" s="139"/>
      <c r="C32" s="140"/>
      <c r="D32" s="140"/>
      <c r="E32" s="140"/>
      <c r="F32" s="140"/>
      <c r="G32" s="142"/>
    </row>
    <row r="33" spans="2:7">
      <c r="B33" s="145" t="s">
        <v>14</v>
      </c>
      <c r="C33" s="146">
        <f>SUM(C28:C32)</f>
        <v>0</v>
      </c>
      <c r="D33" s="146">
        <f>SUM(D28:D32)</f>
        <v>30.49</v>
      </c>
      <c r="E33" s="146">
        <f>SUM(E28:E32)</f>
        <v>5.9938258333333341</v>
      </c>
      <c r="F33" s="146">
        <f>SUM(F28:F32)</f>
        <v>0</v>
      </c>
      <c r="G33" s="146">
        <f>SUM(G28:G32)</f>
        <v>36.483825833333334</v>
      </c>
    </row>
    <row r="34" spans="2:7">
      <c r="B34" s="145" t="s">
        <v>259</v>
      </c>
      <c r="C34" s="146"/>
      <c r="D34" s="146"/>
      <c r="E34" s="146"/>
      <c r="F34" s="146"/>
      <c r="G34" s="146"/>
    </row>
    <row r="35" spans="2:7" ht="55.2">
      <c r="B35" s="139" t="s">
        <v>266</v>
      </c>
      <c r="C35" s="142"/>
      <c r="D35" s="142"/>
      <c r="E35" s="142"/>
      <c r="F35" s="142"/>
      <c r="G35" s="142"/>
    </row>
  </sheetData>
  <mergeCells count="4">
    <mergeCell ref="B4:B5"/>
    <mergeCell ref="D4:G4"/>
    <mergeCell ref="B26:B27"/>
    <mergeCell ref="D26:G26"/>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9"/>
  <sheetViews>
    <sheetView zoomScale="98" zoomScaleNormal="98" workbookViewId="0">
      <selection activeCell="F4" sqref="F4"/>
    </sheetView>
  </sheetViews>
  <sheetFormatPr defaultColWidth="8.77734375" defaultRowHeight="14.4"/>
  <cols>
    <col min="1" max="1" width="5.21875" style="15" customWidth="1"/>
    <col min="2" max="2" width="35.5546875" customWidth="1"/>
    <col min="3" max="3" width="13.5546875" customWidth="1"/>
    <col min="4" max="4" width="17.44140625" customWidth="1"/>
    <col min="5" max="5" width="18.88671875" customWidth="1"/>
    <col min="6" max="6" width="22.21875" customWidth="1"/>
    <col min="7" max="7" width="8.44140625" bestFit="1" customWidth="1"/>
    <col min="8" max="10" width="10.77734375" customWidth="1"/>
    <col min="11" max="11" width="12.21875" customWidth="1"/>
    <col min="12" max="14" width="10.77734375" customWidth="1"/>
    <col min="16" max="17" width="11.21875" bestFit="1" customWidth="1"/>
    <col min="18" max="18" width="11.77734375" customWidth="1"/>
    <col min="19" max="19" width="9.21875" customWidth="1"/>
    <col min="20" max="20" width="11.21875" bestFit="1" customWidth="1"/>
    <col min="23" max="23" width="11.21875" bestFit="1" customWidth="1"/>
  </cols>
  <sheetData>
    <row r="1" spans="1:17">
      <c r="A1" s="20" t="s">
        <v>15</v>
      </c>
      <c r="B1" s="21"/>
      <c r="C1" s="21"/>
      <c r="D1" s="21"/>
      <c r="E1" s="21"/>
      <c r="F1" s="21"/>
      <c r="G1" s="21"/>
      <c r="H1" s="88" t="s">
        <v>36</v>
      </c>
      <c r="I1" s="88"/>
      <c r="J1" s="88"/>
      <c r="K1" s="88"/>
      <c r="L1" s="21"/>
      <c r="M1" s="21" t="s">
        <v>60</v>
      </c>
      <c r="N1" s="2"/>
    </row>
    <row r="2" spans="1:17" ht="43.5" customHeight="1">
      <c r="A2" s="3" t="s">
        <v>1</v>
      </c>
      <c r="B2" s="3" t="s">
        <v>2</v>
      </c>
      <c r="C2" s="3" t="s">
        <v>3</v>
      </c>
      <c r="D2" s="3" t="s">
        <v>6</v>
      </c>
      <c r="E2" s="3" t="s">
        <v>7</v>
      </c>
      <c r="F2" s="3" t="s">
        <v>35</v>
      </c>
      <c r="G2" s="3" t="s">
        <v>25</v>
      </c>
      <c r="H2" s="3" t="s">
        <v>37</v>
      </c>
      <c r="I2" s="3" t="s">
        <v>38</v>
      </c>
      <c r="J2" s="3" t="s">
        <v>39</v>
      </c>
      <c r="K2" s="3" t="s">
        <v>40</v>
      </c>
      <c r="L2" s="3" t="s">
        <v>43</v>
      </c>
      <c r="M2" s="3" t="s">
        <v>41</v>
      </c>
      <c r="N2" s="4" t="s">
        <v>24</v>
      </c>
    </row>
    <row r="3" spans="1:17" s="10" customFormat="1" ht="35.25" customHeight="1">
      <c r="A3" s="5">
        <v>1</v>
      </c>
      <c r="B3" s="6" t="s">
        <v>30</v>
      </c>
      <c r="C3" s="5" t="s">
        <v>5</v>
      </c>
      <c r="D3" s="7">
        <v>61.52</v>
      </c>
      <c r="E3" s="8">
        <v>85.16</v>
      </c>
      <c r="F3" s="8">
        <v>27.32</v>
      </c>
      <c r="G3" s="8">
        <v>0</v>
      </c>
      <c r="H3" s="8">
        <v>1</v>
      </c>
      <c r="I3" s="8">
        <f>6.03+5.6+1.8</f>
        <v>13.43</v>
      </c>
      <c r="J3" s="8">
        <f>7.49</f>
        <v>7.49</v>
      </c>
      <c r="K3" s="8">
        <f>E3-H3-I3-J3</f>
        <v>63.239999999999988</v>
      </c>
      <c r="L3" s="8">
        <v>0</v>
      </c>
      <c r="M3" s="8">
        <f>E3-L3-H3-F3-J3</f>
        <v>49.349999999999994</v>
      </c>
      <c r="N3" s="90" t="s">
        <v>42</v>
      </c>
      <c r="O3" s="9">
        <f>H3+I3+J3+K3</f>
        <v>85.16</v>
      </c>
      <c r="P3" s="9">
        <f>E3-O3</f>
        <v>0</v>
      </c>
    </row>
    <row r="4" spans="1:17" s="10" customFormat="1" ht="43.8" customHeight="1">
      <c r="A4" s="5">
        <v>2</v>
      </c>
      <c r="B4" s="6" t="s">
        <v>33</v>
      </c>
      <c r="C4" s="5" t="s">
        <v>8</v>
      </c>
      <c r="D4" s="7">
        <v>215.79</v>
      </c>
      <c r="E4" s="8">
        <v>172.83</v>
      </c>
      <c r="F4" s="8">
        <v>79.39</v>
      </c>
      <c r="G4" s="8">
        <v>0</v>
      </c>
      <c r="H4" s="8">
        <v>35.75</v>
      </c>
      <c r="I4" s="8">
        <v>37.26</v>
      </c>
      <c r="J4" s="8">
        <f>1.58+1.95</f>
        <v>3.5300000000000002</v>
      </c>
      <c r="K4" s="8">
        <f>E4-H4-I4-J4</f>
        <v>96.29000000000002</v>
      </c>
      <c r="L4" s="8">
        <v>23.75</v>
      </c>
      <c r="M4" s="8">
        <f>E4-L4-H4-F4-J4</f>
        <v>30.410000000000011</v>
      </c>
      <c r="N4" s="91"/>
      <c r="O4" s="9">
        <f>H4+I4+J4+K4</f>
        <v>172.83</v>
      </c>
      <c r="P4" s="9">
        <f>E4-O4</f>
        <v>0</v>
      </c>
      <c r="Q4" s="10" t="s">
        <v>71</v>
      </c>
    </row>
    <row r="5" spans="1:17" s="10" customFormat="1" ht="40.5" customHeight="1">
      <c r="A5" s="5">
        <v>3</v>
      </c>
      <c r="B5" s="6" t="s">
        <v>34</v>
      </c>
      <c r="C5" s="5" t="s">
        <v>8</v>
      </c>
      <c r="D5" s="7">
        <v>129.66</v>
      </c>
      <c r="E5" s="8">
        <v>79.77</v>
      </c>
      <c r="F5" s="8">
        <v>42.92</v>
      </c>
      <c r="G5" s="8">
        <v>0</v>
      </c>
      <c r="H5" s="8">
        <v>25.75</v>
      </c>
      <c r="I5" s="8">
        <f>E5-H5</f>
        <v>54.019999999999996</v>
      </c>
      <c r="J5" s="8">
        <v>0</v>
      </c>
      <c r="K5" s="8">
        <v>0</v>
      </c>
      <c r="L5" s="8">
        <v>7.65</v>
      </c>
      <c r="M5" s="8">
        <f>E5-L5-H5-F5-J5</f>
        <v>3.4499999999999886</v>
      </c>
      <c r="N5" s="91"/>
      <c r="O5" s="9">
        <f>H5+I5+J5+K5</f>
        <v>79.77</v>
      </c>
      <c r="P5" s="9">
        <f>E5-O5</f>
        <v>0</v>
      </c>
    </row>
    <row r="6" spans="1:17" s="10" customFormat="1" ht="29.1" customHeight="1">
      <c r="A6" s="5">
        <v>4</v>
      </c>
      <c r="B6" s="6" t="s">
        <v>32</v>
      </c>
      <c r="C6" s="5" t="s">
        <v>4</v>
      </c>
      <c r="D6" s="7">
        <v>213</v>
      </c>
      <c r="E6" s="8">
        <v>215.44</v>
      </c>
      <c r="F6" s="8">
        <v>51.76</v>
      </c>
      <c r="G6" s="8">
        <v>0</v>
      </c>
      <c r="H6" s="8">
        <f>50.587+0.27+14.54</f>
        <v>65.397000000000006</v>
      </c>
      <c r="I6" s="8">
        <f>150.043-4.5-70.76</f>
        <v>74.783000000000001</v>
      </c>
      <c r="J6" s="8">
        <f>4.5+70.76</f>
        <v>75.260000000000005</v>
      </c>
      <c r="K6" s="8">
        <v>0</v>
      </c>
      <c r="L6" s="8">
        <v>0</v>
      </c>
      <c r="M6" s="8">
        <f>E6-L6-H6-F6-J6</f>
        <v>23.02300000000001</v>
      </c>
      <c r="N6" s="91"/>
      <c r="O6" s="9">
        <f>H6+I6+J6+K6</f>
        <v>215.44</v>
      </c>
      <c r="P6" s="9">
        <f>E6-O6</f>
        <v>0</v>
      </c>
    </row>
    <row r="7" spans="1:17" s="10" customFormat="1" ht="33.75" customHeight="1">
      <c r="A7" s="5">
        <v>5</v>
      </c>
      <c r="B7" s="6" t="s">
        <v>31</v>
      </c>
      <c r="C7" s="5" t="s">
        <v>0</v>
      </c>
      <c r="D7" s="7">
        <v>299.77</v>
      </c>
      <c r="E7" s="8">
        <v>123.85</v>
      </c>
      <c r="F7" s="8">
        <v>159.97999999999999</v>
      </c>
      <c r="G7" s="8">
        <v>0</v>
      </c>
      <c r="H7" s="8">
        <f>18.51+4.36</f>
        <v>22.87</v>
      </c>
      <c r="I7" s="8">
        <f>100.24-65.41</f>
        <v>34.83</v>
      </c>
      <c r="J7" s="8">
        <f>0.74+65.41</f>
        <v>66.149999999999991</v>
      </c>
      <c r="K7" s="8"/>
      <c r="L7" s="8">
        <v>3.41</v>
      </c>
      <c r="M7" s="8">
        <f>E7-L7-H7-F7-J7</f>
        <v>-128.56</v>
      </c>
      <c r="N7" s="92"/>
      <c r="O7" s="9">
        <f>H7+I7+J7+K7</f>
        <v>123.85</v>
      </c>
      <c r="P7" s="9">
        <f>E7-O7</f>
        <v>0</v>
      </c>
    </row>
    <row r="8" spans="1:17" ht="14.55" hidden="1" customHeight="1">
      <c r="A8" s="5">
        <v>6</v>
      </c>
      <c r="B8" s="11" t="s">
        <v>27</v>
      </c>
      <c r="C8" s="5" t="s">
        <v>28</v>
      </c>
      <c r="D8" s="7"/>
      <c r="E8" s="5"/>
      <c r="F8" s="5"/>
      <c r="G8" s="12">
        <v>0</v>
      </c>
      <c r="H8" s="13"/>
      <c r="I8" s="13"/>
      <c r="J8" s="13"/>
      <c r="K8" s="13"/>
      <c r="L8" s="5"/>
      <c r="M8" s="5"/>
      <c r="N8" s="5"/>
    </row>
    <row r="9" spans="1:17" ht="15" customHeight="1">
      <c r="A9" s="17"/>
      <c r="B9" s="89" t="s">
        <v>61</v>
      </c>
      <c r="C9" s="89"/>
      <c r="D9" s="89"/>
      <c r="E9" s="18">
        <f t="shared" ref="E9:M9" si="0">SUM(E3:E8)</f>
        <v>677.05000000000007</v>
      </c>
      <c r="F9" s="18">
        <f t="shared" si="0"/>
        <v>361.37</v>
      </c>
      <c r="G9" s="19">
        <f t="shared" si="0"/>
        <v>0</v>
      </c>
      <c r="H9" s="18">
        <f t="shared" si="0"/>
        <v>150.767</v>
      </c>
      <c r="I9" s="18">
        <f t="shared" si="0"/>
        <v>214.32299999999998</v>
      </c>
      <c r="J9" s="18">
        <f t="shared" si="0"/>
        <v>152.43</v>
      </c>
      <c r="K9" s="18">
        <f t="shared" si="0"/>
        <v>159.53</v>
      </c>
      <c r="L9" s="18">
        <f t="shared" si="0"/>
        <v>34.81</v>
      </c>
      <c r="M9" s="18">
        <f t="shared" si="0"/>
        <v>-22.326999999999998</v>
      </c>
      <c r="N9" s="14"/>
    </row>
    <row r="11" spans="1:17">
      <c r="M11" s="16">
        <f>112.24-M9</f>
        <v>134.56700000000001</v>
      </c>
    </row>
    <row r="15" spans="1:17">
      <c r="J15" s="36"/>
    </row>
    <row r="16" spans="1:17">
      <c r="G16" s="39"/>
    </row>
    <row r="17" spans="2:7">
      <c r="B17" s="42" t="s">
        <v>77</v>
      </c>
      <c r="C17" t="s">
        <v>18</v>
      </c>
      <c r="D17" t="s">
        <v>75</v>
      </c>
      <c r="E17" t="s">
        <v>35</v>
      </c>
    </row>
    <row r="18" spans="2:7">
      <c r="B18" s="41">
        <v>45091</v>
      </c>
      <c r="C18" t="s">
        <v>74</v>
      </c>
      <c r="D18">
        <v>338974255</v>
      </c>
      <c r="E18">
        <v>71313445</v>
      </c>
      <c r="F18">
        <f>(D18-E18)*10^7</f>
        <v>2676608100000000</v>
      </c>
      <c r="G18" t="s">
        <v>73</v>
      </c>
    </row>
    <row r="19" spans="2:7">
      <c r="B19" s="41">
        <v>45091</v>
      </c>
      <c r="C19" t="s">
        <v>79</v>
      </c>
      <c r="D19">
        <v>66.89</v>
      </c>
      <c r="E19">
        <v>21.58</v>
      </c>
      <c r="F19">
        <f>D19-E19</f>
        <v>45.31</v>
      </c>
      <c r="G19" t="s">
        <v>73</v>
      </c>
    </row>
  </sheetData>
  <mergeCells count="3">
    <mergeCell ref="H1:K1"/>
    <mergeCell ref="B9:D9"/>
    <mergeCell ref="N3:N7"/>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EE41A-B90A-402E-8A2D-8ACEEB58300A}">
  <dimension ref="A2:M32"/>
  <sheetViews>
    <sheetView topLeftCell="A10" workbookViewId="0">
      <selection activeCell="E26" sqref="E26"/>
    </sheetView>
  </sheetViews>
  <sheetFormatPr defaultRowHeight="14.4"/>
  <cols>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119</v>
      </c>
      <c r="B2" s="99" t="s">
        <v>9</v>
      </c>
      <c r="C2" s="99"/>
      <c r="D2" s="99"/>
    </row>
    <row r="4" spans="1:13">
      <c r="B4" s="51" t="s">
        <v>91</v>
      </c>
      <c r="C4" s="52" t="s">
        <v>92</v>
      </c>
      <c r="D4" s="52" t="s">
        <v>24</v>
      </c>
      <c r="M4">
        <v>5</v>
      </c>
    </row>
    <row r="5" spans="1:13">
      <c r="B5" s="49" t="s">
        <v>94</v>
      </c>
      <c r="C5" s="7">
        <v>1307.5</v>
      </c>
      <c r="D5" s="54"/>
      <c r="M5">
        <v>7</v>
      </c>
    </row>
    <row r="6" spans="1:13">
      <c r="B6" s="49" t="s">
        <v>95</v>
      </c>
      <c r="C6" s="55">
        <v>0</v>
      </c>
      <c r="D6" s="54"/>
    </row>
    <row r="7" spans="1:13">
      <c r="B7" s="45" t="s">
        <v>97</v>
      </c>
      <c r="C7" s="46">
        <f>C5-C6</f>
        <v>1307.5</v>
      </c>
      <c r="D7" s="56"/>
    </row>
    <row r="8" spans="1:13">
      <c r="B8" s="60" t="s">
        <v>100</v>
      </c>
      <c r="C8" s="48">
        <v>0</v>
      </c>
    </row>
    <row r="9" spans="1:13" ht="28.8">
      <c r="B9" s="60" t="s">
        <v>102</v>
      </c>
      <c r="C9" s="7">
        <v>486.52</v>
      </c>
    </row>
    <row r="10" spans="1:13">
      <c r="B10" s="45" t="s">
        <v>87</v>
      </c>
      <c r="C10" s="46">
        <f>C7-C8-C9</f>
        <v>820.98</v>
      </c>
      <c r="D10" s="56"/>
    </row>
    <row r="11" spans="1:13">
      <c r="B11" s="49" t="s">
        <v>121</v>
      </c>
      <c r="C11" s="48">
        <f>C10*62%</f>
        <v>509.00760000000002</v>
      </c>
      <c r="D11" s="64"/>
    </row>
    <row r="12" spans="1:13">
      <c r="A12" s="63">
        <v>0.9</v>
      </c>
      <c r="B12" s="47" t="s">
        <v>88</v>
      </c>
      <c r="C12" s="48">
        <f>C11*A12</f>
        <v>458.10684000000003</v>
      </c>
      <c r="D12" s="64"/>
      <c r="E12" s="50"/>
    </row>
    <row r="13" spans="1:13" ht="28.8">
      <c r="A13" s="63">
        <v>0.3</v>
      </c>
      <c r="B13" s="49" t="s">
        <v>89</v>
      </c>
      <c r="C13" s="48">
        <f>C12*A13</f>
        <v>137.432052</v>
      </c>
      <c r="D13" s="66"/>
      <c r="E13" s="50"/>
    </row>
    <row r="14" spans="1:13">
      <c r="B14" s="45" t="s">
        <v>90</v>
      </c>
      <c r="C14" s="46">
        <f>C12-C13</f>
        <v>320.67478800000004</v>
      </c>
      <c r="D14" s="56"/>
    </row>
    <row r="15" spans="1:13" hidden="1">
      <c r="B15" s="45" t="s">
        <v>105</v>
      </c>
      <c r="C15" s="67">
        <f>C32</f>
        <v>0</v>
      </c>
      <c r="D15" s="56" t="s">
        <v>106</v>
      </c>
    </row>
    <row r="16" spans="1:13" hidden="1">
      <c r="B16" s="45" t="s">
        <v>107</v>
      </c>
      <c r="C16" s="67" t="e">
        <f>C15-#REF!</f>
        <v>#REF!</v>
      </c>
      <c r="D16" s="56" t="s">
        <v>108</v>
      </c>
    </row>
    <row r="17" spans="2:11" hidden="1">
      <c r="B17" s="68" t="s">
        <v>109</v>
      </c>
      <c r="C17" s="69" t="e">
        <f>C16</f>
        <v>#REF!</v>
      </c>
      <c r="D17" s="70"/>
    </row>
    <row r="18" spans="2:11">
      <c r="B18" s="71"/>
    </row>
    <row r="19" spans="2:11" ht="28.8">
      <c r="B19" s="72" t="s">
        <v>110</v>
      </c>
      <c r="C19" s="73">
        <f>G28</f>
        <v>207.570527260539</v>
      </c>
      <c r="D19" s="74" t="s">
        <v>111</v>
      </c>
    </row>
    <row r="21" spans="2:11">
      <c r="F21" s="75" t="s">
        <v>112</v>
      </c>
      <c r="G21" s="76">
        <v>1</v>
      </c>
      <c r="H21" s="76">
        <f>G21+1</f>
        <v>2</v>
      </c>
      <c r="I21" s="76">
        <f t="shared" ref="I21:K21" si="0">H21+1</f>
        <v>3</v>
      </c>
      <c r="J21" s="76">
        <f t="shared" si="0"/>
        <v>4</v>
      </c>
      <c r="K21" s="76">
        <f t="shared" si="0"/>
        <v>5</v>
      </c>
    </row>
    <row r="22" spans="2:11">
      <c r="F22" s="34" t="s">
        <v>113</v>
      </c>
      <c r="G22" s="44">
        <f>C14</f>
        <v>320.67478800000004</v>
      </c>
      <c r="H22" s="77"/>
      <c r="I22" s="77"/>
      <c r="J22" s="77"/>
      <c r="K22" s="77"/>
    </row>
    <row r="23" spans="2:11" ht="15.6">
      <c r="B23" t="s">
        <v>93</v>
      </c>
      <c r="C23" s="53">
        <v>5</v>
      </c>
      <c r="F23" s="34" t="s">
        <v>114</v>
      </c>
      <c r="G23" s="44">
        <f>$G$22/5</f>
        <v>64.134957600000007</v>
      </c>
      <c r="H23" s="44">
        <f t="shared" ref="H23:K23" si="1">$G$22/5</f>
        <v>64.134957600000007</v>
      </c>
      <c r="I23" s="44">
        <f t="shared" si="1"/>
        <v>64.134957600000007</v>
      </c>
      <c r="J23" s="44">
        <f t="shared" si="1"/>
        <v>64.134957600000007</v>
      </c>
      <c r="K23" s="44">
        <f t="shared" si="1"/>
        <v>64.134957600000007</v>
      </c>
    </row>
    <row r="24" spans="2:11">
      <c r="F24" s="34" t="s">
        <v>115</v>
      </c>
      <c r="G24" s="77">
        <v>1</v>
      </c>
      <c r="H24" s="77">
        <f>G24+1</f>
        <v>2</v>
      </c>
      <c r="I24" s="77">
        <f t="shared" ref="I24:K24" si="2">H24+1</f>
        <v>3</v>
      </c>
      <c r="J24" s="77">
        <f t="shared" si="2"/>
        <v>4</v>
      </c>
      <c r="K24" s="77">
        <f t="shared" si="2"/>
        <v>5</v>
      </c>
    </row>
    <row r="25" spans="2:11">
      <c r="B25" s="100" t="s">
        <v>96</v>
      </c>
      <c r="C25" s="100"/>
      <c r="D25" s="100"/>
      <c r="F25" s="34" t="s">
        <v>116</v>
      </c>
      <c r="G25" s="78">
        <f>1/(1+$G$26)^G24</f>
        <v>0.85836909871244638</v>
      </c>
      <c r="H25" s="78">
        <f>1/(1+$G$26)^H24</f>
        <v>0.73679750962441737</v>
      </c>
      <c r="I25" s="78">
        <f>1/(1+$G$26)^I24</f>
        <v>0.63244421426988617</v>
      </c>
      <c r="J25" s="78">
        <f>1/(1+$G$26)^J24</f>
        <v>0.54287057018874341</v>
      </c>
      <c r="K25" s="78">
        <f>1/(1+$G$26)^K24</f>
        <v>0.46598332205042353</v>
      </c>
    </row>
    <row r="26" spans="2:11" ht="15.6">
      <c r="B26" s="101" t="s">
        <v>98</v>
      </c>
      <c r="C26" s="101"/>
      <c r="D26" s="58">
        <v>0.14000000000000001</v>
      </c>
      <c r="E26" s="59" t="s">
        <v>99</v>
      </c>
      <c r="F26" s="34" t="s">
        <v>96</v>
      </c>
      <c r="G26" s="79">
        <f>D28</f>
        <v>0.16500000000000001</v>
      </c>
      <c r="H26" s="77"/>
      <c r="I26" s="77"/>
      <c r="J26" s="77"/>
      <c r="K26" s="77"/>
    </row>
    <row r="27" spans="2:11">
      <c r="B27" s="101" t="s">
        <v>101</v>
      </c>
      <c r="C27" s="101"/>
      <c r="D27" s="61">
        <v>2.5000000000000001E-2</v>
      </c>
      <c r="F27" s="34" t="s">
        <v>117</v>
      </c>
      <c r="G27" s="44">
        <f>G23*G25</f>
        <v>55.051465751072968</v>
      </c>
      <c r="H27" s="44">
        <f t="shared" ref="H27:K27" si="3">H23*H25</f>
        <v>47.254477039547602</v>
      </c>
      <c r="I27" s="44">
        <f t="shared" si="3"/>
        <v>40.561782866564471</v>
      </c>
      <c r="J27" s="44">
        <f t="shared" si="3"/>
        <v>34.816981001342889</v>
      </c>
      <c r="K27" s="44">
        <f t="shared" si="3"/>
        <v>29.885820602011062</v>
      </c>
    </row>
    <row r="28" spans="2:11" ht="28.8">
      <c r="B28" s="102" t="s">
        <v>103</v>
      </c>
      <c r="C28" s="102"/>
      <c r="D28" s="62">
        <f>SUM(D26:D27)</f>
        <v>0.16500000000000001</v>
      </c>
      <c r="F28" s="80" t="s">
        <v>118</v>
      </c>
      <c r="G28" s="73">
        <f>SUM(G27:K27)</f>
        <v>207.570527260539</v>
      </c>
      <c r="H28" s="75"/>
      <c r="I28" s="75"/>
      <c r="J28" s="75"/>
      <c r="K28" s="81"/>
    </row>
    <row r="31" spans="2:11">
      <c r="C31" s="48"/>
      <c r="D31" s="65"/>
    </row>
    <row r="32" spans="2:11">
      <c r="B32" s="10"/>
      <c r="C32" s="48"/>
    </row>
  </sheetData>
  <mergeCells count="5">
    <mergeCell ref="B2:D2"/>
    <mergeCell ref="B25:D25"/>
    <mergeCell ref="B26:C26"/>
    <mergeCell ref="B27:C27"/>
    <mergeCell ref="B28:C28"/>
  </mergeCells>
  <dataValidations count="1">
    <dataValidation type="list" allowBlank="1" showInputMessage="1" showErrorMessage="1" sqref="C23" xr:uid="{DFC1BD9E-FC66-4939-8431-AD5B5F9CB0E9}">
      <formula1>$M$4:$M$5</formula1>
    </dataValidation>
  </dataValidations>
  <hyperlinks>
    <hyperlink ref="E26" r:id="rId1" xr:uid="{A88E8751-4184-4241-828C-52CAACC9F114}"/>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81B1E-0085-41B2-9F0F-3A9E4B4AB415}">
  <dimension ref="A2:M33"/>
  <sheetViews>
    <sheetView topLeftCell="A15" workbookViewId="0">
      <selection activeCell="G27" sqref="G27"/>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124</v>
      </c>
      <c r="B2" s="99" t="s">
        <v>120</v>
      </c>
      <c r="C2" s="99"/>
      <c r="D2" s="99"/>
    </row>
    <row r="3" spans="1:13">
      <c r="A3" t="s">
        <v>122</v>
      </c>
      <c r="B3" s="82">
        <v>44616</v>
      </c>
    </row>
    <row r="4" spans="1:13">
      <c r="B4" s="51" t="s">
        <v>91</v>
      </c>
      <c r="C4" s="52" t="s">
        <v>92</v>
      </c>
      <c r="D4" s="52" t="s">
        <v>24</v>
      </c>
      <c r="M4">
        <v>5</v>
      </c>
    </row>
    <row r="5" spans="1:13">
      <c r="B5" s="49" t="s">
        <v>21</v>
      </c>
      <c r="C5" s="55">
        <v>362</v>
      </c>
      <c r="D5" s="54"/>
      <c r="M5">
        <v>7</v>
      </c>
    </row>
    <row r="6" spans="1:13">
      <c r="B6" s="49" t="s">
        <v>123</v>
      </c>
      <c r="C6" s="55">
        <v>99</v>
      </c>
      <c r="D6" s="54"/>
    </row>
    <row r="7" spans="1:13">
      <c r="B7" t="s">
        <v>127</v>
      </c>
      <c r="C7" s="83">
        <f>(30.49+30.49*7%*(12+2/12)+0.5)</f>
        <v>56.957316666666664</v>
      </c>
      <c r="D7" s="54"/>
    </row>
    <row r="8" spans="1:13">
      <c r="B8" t="s">
        <v>128</v>
      </c>
      <c r="C8" s="65">
        <f>C7*65%+(C7*65%)*9%</f>
        <v>40.354258858333331</v>
      </c>
    </row>
    <row r="9" spans="1:13">
      <c r="B9" s="49"/>
      <c r="C9" s="66"/>
    </row>
    <row r="10" spans="1:13">
      <c r="B10" s="49" t="s">
        <v>23</v>
      </c>
      <c r="C10" s="66">
        <v>0.5</v>
      </c>
    </row>
    <row r="11" spans="1:13">
      <c r="B11" s="45" t="s">
        <v>26</v>
      </c>
      <c r="C11" s="46">
        <f>C8*C10</f>
        <v>20.177129429166666</v>
      </c>
      <c r="D11" s="56"/>
    </row>
    <row r="12" spans="1:13">
      <c r="A12" s="63">
        <v>0.9</v>
      </c>
      <c r="B12" s="47" t="s">
        <v>125</v>
      </c>
      <c r="C12" s="48">
        <f>A12*C11</f>
        <v>18.159416486249999</v>
      </c>
      <c r="D12" s="64"/>
    </row>
    <row r="13" spans="1:13" ht="28.8">
      <c r="A13" s="63">
        <v>0.3</v>
      </c>
      <c r="B13" s="49" t="s">
        <v>126</v>
      </c>
      <c r="C13" s="48">
        <f>C12*A13</f>
        <v>5.4478249458749994</v>
      </c>
      <c r="D13" s="66"/>
      <c r="E13" s="50"/>
    </row>
    <row r="14" spans="1:13">
      <c r="E14" s="50"/>
    </row>
    <row r="15" spans="1:13">
      <c r="B15" s="45" t="s">
        <v>90</v>
      </c>
      <c r="C15" s="46">
        <f>C12-C13</f>
        <v>12.711591540375</v>
      </c>
      <c r="D15" s="56"/>
    </row>
    <row r="16" spans="1:13" hidden="1">
      <c r="B16" s="45" t="s">
        <v>105</v>
      </c>
      <c r="C16" s="67">
        <f>C33</f>
        <v>0</v>
      </c>
      <c r="D16" s="56" t="s">
        <v>106</v>
      </c>
    </row>
    <row r="17" spans="2:11" hidden="1">
      <c r="B17" s="45" t="s">
        <v>107</v>
      </c>
      <c r="C17" s="67" t="e">
        <f>C16-#REF!</f>
        <v>#REF!</v>
      </c>
      <c r="D17" s="56" t="s">
        <v>108</v>
      </c>
    </row>
    <row r="18" spans="2:11" hidden="1">
      <c r="B18" s="68" t="s">
        <v>109</v>
      </c>
      <c r="C18" s="69" t="e">
        <f>C17</f>
        <v>#REF!</v>
      </c>
      <c r="D18" s="70"/>
    </row>
    <row r="19" spans="2:11">
      <c r="B19" s="71"/>
    </row>
    <row r="20" spans="2:11" ht="28.8">
      <c r="B20" s="72" t="s">
        <v>110</v>
      </c>
      <c r="C20" s="73">
        <f>G29</f>
        <v>8.2281234979915077</v>
      </c>
      <c r="D20" s="74" t="s">
        <v>111</v>
      </c>
    </row>
    <row r="22" spans="2:11">
      <c r="F22" s="75" t="s">
        <v>112</v>
      </c>
      <c r="G22" s="76">
        <v>1</v>
      </c>
      <c r="H22" s="76">
        <f>G22+1</f>
        <v>2</v>
      </c>
      <c r="I22" s="76">
        <f t="shared" ref="I22:K22" si="0">H22+1</f>
        <v>3</v>
      </c>
      <c r="J22" s="76">
        <f t="shared" si="0"/>
        <v>4</v>
      </c>
      <c r="K22" s="76">
        <f t="shared" si="0"/>
        <v>5</v>
      </c>
    </row>
    <row r="23" spans="2:11" ht="15.6">
      <c r="B23" t="s">
        <v>93</v>
      </c>
      <c r="C23" s="53">
        <v>5</v>
      </c>
      <c r="F23" s="34" t="s">
        <v>113</v>
      </c>
      <c r="G23" s="44">
        <f>C15</f>
        <v>12.711591540375</v>
      </c>
      <c r="H23" s="77"/>
      <c r="I23" s="77"/>
      <c r="J23" s="77"/>
      <c r="K23" s="77"/>
    </row>
    <row r="24" spans="2:11">
      <c r="F24" s="34" t="s">
        <v>114</v>
      </c>
      <c r="G24" s="44">
        <f>$G$23/5</f>
        <v>2.542318308075</v>
      </c>
      <c r="H24" s="44">
        <f t="shared" ref="H24:K24" si="1">$G$23/5</f>
        <v>2.542318308075</v>
      </c>
      <c r="I24" s="44">
        <f t="shared" si="1"/>
        <v>2.542318308075</v>
      </c>
      <c r="J24" s="44">
        <f t="shared" si="1"/>
        <v>2.542318308075</v>
      </c>
      <c r="K24" s="44">
        <f t="shared" si="1"/>
        <v>2.542318308075</v>
      </c>
    </row>
    <row r="25" spans="2:11">
      <c r="B25" s="100" t="s">
        <v>96</v>
      </c>
      <c r="C25" s="100"/>
      <c r="D25" s="100"/>
      <c r="F25" s="34" t="s">
        <v>115</v>
      </c>
      <c r="G25" s="77">
        <v>1</v>
      </c>
      <c r="H25" s="77">
        <f>G25+1</f>
        <v>2</v>
      </c>
      <c r="I25" s="77">
        <f t="shared" ref="I25:K25" si="2">H25+1</f>
        <v>3</v>
      </c>
      <c r="J25" s="77">
        <f t="shared" si="2"/>
        <v>4</v>
      </c>
      <c r="K25" s="77">
        <f t="shared" si="2"/>
        <v>5</v>
      </c>
    </row>
    <row r="26" spans="2:11" ht="15.6">
      <c r="B26" s="101" t="s">
        <v>98</v>
      </c>
      <c r="C26" s="101"/>
      <c r="D26" s="58">
        <v>0.14000000000000001</v>
      </c>
      <c r="E26" s="59" t="s">
        <v>99</v>
      </c>
      <c r="F26" s="34" t="s">
        <v>116</v>
      </c>
      <c r="G26" s="78">
        <f>1/(1+$G$27)^G25</f>
        <v>0.85836909871244638</v>
      </c>
      <c r="H26" s="78">
        <f>1/(1+$G$27)^H25</f>
        <v>0.73679750962441737</v>
      </c>
      <c r="I26" s="78">
        <f>1/(1+$G$27)^I25</f>
        <v>0.63244421426988617</v>
      </c>
      <c r="J26" s="78">
        <f>1/(1+$G$27)^J25</f>
        <v>0.54287057018874341</v>
      </c>
      <c r="K26" s="78">
        <f>1/(1+$G$27)^K25</f>
        <v>0.46598332205042353</v>
      </c>
    </row>
    <row r="27" spans="2:11">
      <c r="B27" s="101" t="s">
        <v>101</v>
      </c>
      <c r="C27" s="101"/>
      <c r="D27" s="61">
        <v>2.5000000000000001E-2</v>
      </c>
      <c r="F27" s="34" t="s">
        <v>96</v>
      </c>
      <c r="G27" s="79">
        <f>D30</f>
        <v>0.16500000000000001</v>
      </c>
      <c r="H27" s="77"/>
      <c r="I27" s="77"/>
      <c r="J27" s="77"/>
      <c r="K27" s="77"/>
    </row>
    <row r="28" spans="2:11">
      <c r="B28" s="57"/>
      <c r="C28" s="57"/>
      <c r="D28" s="61"/>
      <c r="F28" s="34" t="s">
        <v>117</v>
      </c>
      <c r="G28" s="44">
        <f>G24*G26</f>
        <v>2.1822474747424891</v>
      </c>
      <c r="H28" s="44">
        <f t="shared" ref="H28:K28" si="3">H24*H26</f>
        <v>1.8731737980622223</v>
      </c>
      <c r="I28" s="44">
        <f t="shared" si="3"/>
        <v>1.6078745047744398</v>
      </c>
      <c r="J28" s="44">
        <f t="shared" si="3"/>
        <v>1.3801497895059567</v>
      </c>
      <c r="K28" s="44">
        <f t="shared" si="3"/>
        <v>1.1846779309064006</v>
      </c>
    </row>
    <row r="29" spans="2:11" ht="28.8">
      <c r="B29" s="57"/>
      <c r="C29" s="57"/>
      <c r="D29" s="61"/>
      <c r="F29" s="80" t="s">
        <v>118</v>
      </c>
      <c r="G29" s="73">
        <f>SUM(G28:K28)</f>
        <v>8.2281234979915077</v>
      </c>
      <c r="H29" s="75"/>
      <c r="I29" s="75"/>
      <c r="J29" s="75"/>
      <c r="K29" s="81"/>
    </row>
    <row r="30" spans="2:11">
      <c r="B30" s="102" t="s">
        <v>103</v>
      </c>
      <c r="C30" s="102"/>
      <c r="D30" s="62">
        <f>SUM(D26:D27)</f>
        <v>0.16500000000000001</v>
      </c>
    </row>
    <row r="32" spans="2:11">
      <c r="C32" s="48"/>
      <c r="D32" s="65"/>
    </row>
    <row r="33" spans="2:3">
      <c r="B33" s="10"/>
      <c r="C33" s="48"/>
    </row>
  </sheetData>
  <mergeCells count="5">
    <mergeCell ref="B2:D2"/>
    <mergeCell ref="B25:D25"/>
    <mergeCell ref="B26:C26"/>
    <mergeCell ref="B27:C27"/>
    <mergeCell ref="B30:C30"/>
  </mergeCells>
  <dataValidations disablePrompts="1" count="1">
    <dataValidation type="list" allowBlank="1" showInputMessage="1" showErrorMessage="1" sqref="C23" xr:uid="{084859BC-3AE4-43C4-A485-54F3A2B8F04C}">
      <formula1>$M$4:$M$5</formula1>
    </dataValidation>
  </dataValidations>
  <hyperlinks>
    <hyperlink ref="E26" r:id="rId1" xr:uid="{93380C42-47EB-447D-A0A0-7CF219054C7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39A9A-202B-4404-BCBC-6662549D19C7}">
  <dimension ref="A2:M32"/>
  <sheetViews>
    <sheetView topLeftCell="A11" workbookViewId="0">
      <selection activeCell="G13" sqref="G13:I14"/>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124</v>
      </c>
      <c r="B2" s="99" t="s">
        <v>129</v>
      </c>
      <c r="C2" s="99"/>
      <c r="D2" s="99"/>
    </row>
    <row r="3" spans="1:13">
      <c r="A3" t="s">
        <v>122</v>
      </c>
      <c r="B3" s="82">
        <v>44616</v>
      </c>
    </row>
    <row r="4" spans="1:13">
      <c r="B4" s="51" t="s">
        <v>91</v>
      </c>
      <c r="C4" s="52" t="s">
        <v>92</v>
      </c>
      <c r="D4" s="52" t="s">
        <v>24</v>
      </c>
      <c r="M4">
        <v>5</v>
      </c>
    </row>
    <row r="5" spans="1:13">
      <c r="B5" s="49" t="s">
        <v>21</v>
      </c>
      <c r="C5" s="55">
        <v>415</v>
      </c>
      <c r="D5" s="54"/>
    </row>
    <row r="6" spans="1:13">
      <c r="A6" t="s">
        <v>134</v>
      </c>
      <c r="B6" t="s">
        <v>130</v>
      </c>
      <c r="C6" s="83">
        <f>140.89+39.5+((140.89*12%*(3+4/12)*15%*(4+6/12))+((39.5*9%*(1+11/12)*15%*(4+1/12))+20+20*9%*(4+5/12)))</f>
        <v>250.55372187499998</v>
      </c>
      <c r="D6" s="54"/>
    </row>
    <row r="7" spans="1:13">
      <c r="B7" t="s">
        <v>131</v>
      </c>
      <c r="C7" s="65">
        <f>C6*65%+(C6*65%)*9%*(4+5/12)</f>
        <v>227.59673710820311</v>
      </c>
      <c r="D7" s="54"/>
    </row>
    <row r="8" spans="1:13">
      <c r="A8" t="s">
        <v>135</v>
      </c>
      <c r="B8" t="s">
        <v>132</v>
      </c>
      <c r="C8" s="55">
        <f>(0.52+0.52*6%*(3+4/12))+(5.5+5.5*6%*(3+4/12))+(5.22+5.22*6%*(3+4/12))+(19.02+19.02*6%*(3+4/12))</f>
        <v>36.311999999999998</v>
      </c>
    </row>
    <row r="9" spans="1:13">
      <c r="B9" t="s">
        <v>133</v>
      </c>
      <c r="C9" s="65">
        <f>C8*65%+(C8*65%)*9%*(2+9/12)</f>
        <v>29.444492999999998</v>
      </c>
    </row>
    <row r="10" spans="1:13">
      <c r="B10" s="49" t="s">
        <v>23</v>
      </c>
      <c r="C10" s="66">
        <v>0.5</v>
      </c>
    </row>
    <row r="11" spans="1:13">
      <c r="B11" s="45" t="s">
        <v>26</v>
      </c>
      <c r="C11" s="46">
        <f>(C7+C9)*C10</f>
        <v>128.52061505410157</v>
      </c>
      <c r="D11" s="56"/>
    </row>
    <row r="12" spans="1:13">
      <c r="A12" s="63">
        <v>0.9</v>
      </c>
      <c r="B12" s="47" t="s">
        <v>125</v>
      </c>
      <c r="C12" s="48">
        <f>A12*C11</f>
        <v>115.66855354869142</v>
      </c>
      <c r="D12" s="64"/>
    </row>
    <row r="13" spans="1:13" ht="28.8">
      <c r="A13" s="63">
        <v>0.3</v>
      </c>
      <c r="B13" s="49" t="s">
        <v>126</v>
      </c>
      <c r="C13" s="48">
        <f>C12*A13</f>
        <v>34.700566064607422</v>
      </c>
      <c r="D13" s="66"/>
      <c r="E13" s="50"/>
      <c r="H13" s="48"/>
      <c r="I13" s="65"/>
    </row>
    <row r="14" spans="1:13">
      <c r="E14" s="50"/>
      <c r="G14" s="10"/>
      <c r="H14" s="48"/>
    </row>
    <row r="15" spans="1:13">
      <c r="B15" s="45" t="s">
        <v>90</v>
      </c>
      <c r="C15" s="46">
        <f>C12-C13</f>
        <v>80.967987484084006</v>
      </c>
      <c r="D15" s="56"/>
    </row>
    <row r="16" spans="1:13" hidden="1">
      <c r="B16" s="45" t="s">
        <v>105</v>
      </c>
      <c r="C16" s="67">
        <f>H14</f>
        <v>0</v>
      </c>
      <c r="D16" s="56" t="s">
        <v>106</v>
      </c>
    </row>
    <row r="17" spans="2:11" hidden="1">
      <c r="B17" s="45" t="s">
        <v>107</v>
      </c>
      <c r="C17" s="67" t="e">
        <f>C16-#REF!</f>
        <v>#REF!</v>
      </c>
      <c r="D17" s="56" t="s">
        <v>108</v>
      </c>
    </row>
    <row r="18" spans="2:11" hidden="1">
      <c r="B18" s="68" t="s">
        <v>109</v>
      </c>
      <c r="C18" s="69" t="e">
        <f>C17</f>
        <v>#REF!</v>
      </c>
      <c r="D18" s="70"/>
    </row>
    <row r="19" spans="2:11">
      <c r="B19" s="71"/>
    </row>
    <row r="20" spans="2:11" ht="28.8">
      <c r="B20" s="72" t="s">
        <v>110</v>
      </c>
      <c r="C20" s="73">
        <f>G29</f>
        <v>52.410006904864744</v>
      </c>
      <c r="D20" s="74" t="s">
        <v>111</v>
      </c>
    </row>
    <row r="22" spans="2:11" ht="15.6">
      <c r="B22" t="s">
        <v>93</v>
      </c>
      <c r="C22" s="53">
        <v>5</v>
      </c>
      <c r="F22" s="75" t="s">
        <v>112</v>
      </c>
      <c r="G22" s="76">
        <v>1</v>
      </c>
      <c r="H22" s="76">
        <f>G22+1</f>
        <v>2</v>
      </c>
      <c r="I22" s="76">
        <f t="shared" ref="I22:K22" si="0">H22+1</f>
        <v>3</v>
      </c>
      <c r="J22" s="76">
        <f t="shared" si="0"/>
        <v>4</v>
      </c>
      <c r="K22" s="76">
        <f t="shared" si="0"/>
        <v>5</v>
      </c>
    </row>
    <row r="23" spans="2:11">
      <c r="F23" s="34" t="s">
        <v>113</v>
      </c>
      <c r="G23" s="44">
        <f>C15</f>
        <v>80.967987484084006</v>
      </c>
      <c r="H23" s="77"/>
      <c r="I23" s="77"/>
      <c r="J23" s="77"/>
      <c r="K23" s="77"/>
    </row>
    <row r="24" spans="2:11">
      <c r="B24" s="100" t="s">
        <v>96</v>
      </c>
      <c r="C24" s="100"/>
      <c r="D24" s="100"/>
      <c r="F24" s="34" t="s">
        <v>114</v>
      </c>
      <c r="G24" s="44">
        <f>$G$23/5</f>
        <v>16.1935974968168</v>
      </c>
      <c r="H24" s="44">
        <f t="shared" ref="H24:K24" si="1">$G$23/5</f>
        <v>16.1935974968168</v>
      </c>
      <c r="I24" s="44">
        <f t="shared" si="1"/>
        <v>16.1935974968168</v>
      </c>
      <c r="J24" s="44">
        <f t="shared" si="1"/>
        <v>16.1935974968168</v>
      </c>
      <c r="K24" s="44">
        <f t="shared" si="1"/>
        <v>16.1935974968168</v>
      </c>
    </row>
    <row r="25" spans="2:11" ht="15.6">
      <c r="B25" s="101" t="s">
        <v>98</v>
      </c>
      <c r="C25" s="101"/>
      <c r="D25" s="58">
        <v>0.14000000000000001</v>
      </c>
      <c r="E25" s="59" t="s">
        <v>99</v>
      </c>
      <c r="F25" s="34" t="s">
        <v>115</v>
      </c>
      <c r="G25" s="77">
        <v>1</v>
      </c>
      <c r="H25" s="77">
        <f>G25+1</f>
        <v>2</v>
      </c>
      <c r="I25" s="77">
        <f t="shared" ref="I25:K25" si="2">H25+1</f>
        <v>3</v>
      </c>
      <c r="J25" s="77">
        <f t="shared" si="2"/>
        <v>4</v>
      </c>
      <c r="K25" s="77">
        <f t="shared" si="2"/>
        <v>5</v>
      </c>
    </row>
    <row r="26" spans="2:11">
      <c r="B26" s="101" t="s">
        <v>101</v>
      </c>
      <c r="C26" s="101"/>
      <c r="D26" s="61">
        <v>2.5000000000000001E-2</v>
      </c>
      <c r="F26" s="34" t="s">
        <v>116</v>
      </c>
      <c r="G26" s="78">
        <f>1/(1+$G$27)^G25</f>
        <v>0.85836909871244638</v>
      </c>
      <c r="H26" s="78">
        <f>1/(1+$G$27)^H25</f>
        <v>0.73679750962441737</v>
      </c>
      <c r="I26" s="78">
        <f>1/(1+$G$27)^I25</f>
        <v>0.63244421426988617</v>
      </c>
      <c r="J26" s="78">
        <f>1/(1+$G$27)^J25</f>
        <v>0.54287057018874341</v>
      </c>
      <c r="K26" s="78">
        <f>1/(1+$G$27)^K25</f>
        <v>0.46598332205042353</v>
      </c>
    </row>
    <row r="27" spans="2:11">
      <c r="B27" s="57"/>
      <c r="C27" s="57"/>
      <c r="D27" s="61"/>
      <c r="F27" s="34" t="s">
        <v>96</v>
      </c>
      <c r="G27" s="79">
        <f>D29</f>
        <v>0.16500000000000001</v>
      </c>
      <c r="H27" s="77"/>
      <c r="I27" s="77"/>
      <c r="J27" s="77"/>
      <c r="K27" s="77"/>
    </row>
    <row r="28" spans="2:11">
      <c r="B28" s="57"/>
      <c r="C28" s="57"/>
      <c r="D28" s="61"/>
      <c r="F28" s="34" t="s">
        <v>117</v>
      </c>
      <c r="G28" s="44">
        <f>G24*G26</f>
        <v>13.900083688254764</v>
      </c>
      <c r="H28" s="44">
        <f t="shared" ref="H28:K28" si="3">H24*H26</f>
        <v>11.931402307514817</v>
      </c>
      <c r="I28" s="44">
        <f t="shared" si="3"/>
        <v>10.241547045077096</v>
      </c>
      <c r="J28" s="44">
        <f t="shared" si="3"/>
        <v>8.7910275065039443</v>
      </c>
      <c r="K28" s="44">
        <f t="shared" si="3"/>
        <v>7.545946357514115</v>
      </c>
    </row>
    <row r="29" spans="2:11" ht="28.8">
      <c r="B29" s="102" t="s">
        <v>103</v>
      </c>
      <c r="C29" s="102"/>
      <c r="D29" s="62">
        <f>SUM(D25:D26)</f>
        <v>0.16500000000000001</v>
      </c>
      <c r="F29" s="80" t="s">
        <v>118</v>
      </c>
      <c r="G29" s="73">
        <f>SUM(G28:K28)</f>
        <v>52.410006904864744</v>
      </c>
      <c r="H29" s="75"/>
      <c r="I29" s="75"/>
      <c r="J29" s="75"/>
      <c r="K29" s="81"/>
    </row>
    <row r="31" spans="2:11">
      <c r="C31" s="48"/>
      <c r="D31" s="65"/>
    </row>
    <row r="32" spans="2:11">
      <c r="B32" s="10"/>
      <c r="C32" s="48"/>
    </row>
  </sheetData>
  <mergeCells count="5">
    <mergeCell ref="B2:D2"/>
    <mergeCell ref="B24:D24"/>
    <mergeCell ref="B25:C25"/>
    <mergeCell ref="B26:C26"/>
    <mergeCell ref="B29:C29"/>
  </mergeCells>
  <dataValidations disablePrompts="1" count="1">
    <dataValidation type="list" allowBlank="1" showInputMessage="1" showErrorMessage="1" sqref="C22" xr:uid="{4CC1E3D6-AB4C-4DC4-B038-FDEE9D69451A}">
      <formula1>$M$4:$M$4</formula1>
    </dataValidation>
  </dataValidations>
  <hyperlinks>
    <hyperlink ref="E25" r:id="rId1" xr:uid="{9A5F50DE-8554-494A-9B92-4527E3157F8D}"/>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37EEC-5442-428A-A7C9-108FFAD63548}">
  <dimension ref="A2:M30"/>
  <sheetViews>
    <sheetView tabSelected="1" workbookViewId="0">
      <selection activeCell="C15" sqref="C15"/>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124</v>
      </c>
      <c r="B2" s="99" t="s">
        <v>136</v>
      </c>
      <c r="C2" s="99"/>
      <c r="D2" s="99"/>
    </row>
    <row r="3" spans="1:13">
      <c r="A3" t="s">
        <v>122</v>
      </c>
      <c r="B3" s="82">
        <v>43796</v>
      </c>
    </row>
    <row r="4" spans="1:13">
      <c r="B4" s="51" t="s">
        <v>91</v>
      </c>
      <c r="C4" s="52" t="s">
        <v>92</v>
      </c>
      <c r="D4" s="52" t="s">
        <v>24</v>
      </c>
      <c r="M4">
        <v>5</v>
      </c>
    </row>
    <row r="5" spans="1:13">
      <c r="B5" s="49" t="s">
        <v>21</v>
      </c>
      <c r="C5" s="55">
        <v>450</v>
      </c>
      <c r="D5" s="54"/>
      <c r="M5">
        <v>7</v>
      </c>
    </row>
    <row r="6" spans="1:13">
      <c r="B6" s="49" t="s">
        <v>123</v>
      </c>
      <c r="C6" s="55">
        <f>'Recovery summary'!G8</f>
        <v>782.59000000000015</v>
      </c>
      <c r="D6" s="54"/>
    </row>
    <row r="7" spans="1:13">
      <c r="B7" t="s">
        <v>22</v>
      </c>
      <c r="C7" s="83">
        <f>'Recovery summary'!J8</f>
        <v>516.46949055555558</v>
      </c>
      <c r="D7" s="54"/>
    </row>
    <row r="8" spans="1:13">
      <c r="B8" s="49" t="s">
        <v>211</v>
      </c>
      <c r="C8" s="61">
        <f>'Recovery summary'!K8</f>
        <v>0.33329999999999999</v>
      </c>
    </row>
    <row r="9" spans="1:13">
      <c r="B9" t="s">
        <v>26</v>
      </c>
      <c r="C9" s="83">
        <f>'Recovery summary'!N8</f>
        <v>172.13928120216667</v>
      </c>
    </row>
    <row r="10" spans="1:13">
      <c r="A10" t="s">
        <v>278</v>
      </c>
      <c r="B10" t="s">
        <v>128</v>
      </c>
      <c r="C10" s="83">
        <f>'Recovery summary'!U8+'Recovery summary'!Y8</f>
        <v>223.33651195216666</v>
      </c>
    </row>
    <row r="11" spans="1:13">
      <c r="B11" s="45" t="s">
        <v>26</v>
      </c>
      <c r="C11" s="46">
        <f>C10</f>
        <v>223.33651195216666</v>
      </c>
      <c r="D11" s="56"/>
    </row>
    <row r="12" spans="1:13">
      <c r="A12" s="63">
        <v>0.9</v>
      </c>
      <c r="B12" s="47" t="s">
        <v>125</v>
      </c>
      <c r="C12" s="48">
        <f>A12*C11</f>
        <v>201.00286075694999</v>
      </c>
      <c r="D12" s="64"/>
    </row>
    <row r="13" spans="1:13" ht="28.8">
      <c r="A13" s="63">
        <v>0.3</v>
      </c>
      <c r="B13" s="49" t="s">
        <v>126</v>
      </c>
      <c r="C13" s="48">
        <f>C12*A13</f>
        <v>60.300858227084994</v>
      </c>
      <c r="D13" s="66"/>
      <c r="E13" s="50"/>
      <c r="H13" s="48"/>
      <c r="I13" s="65"/>
    </row>
    <row r="14" spans="1:13">
      <c r="E14" s="50"/>
      <c r="G14" s="10"/>
      <c r="H14" s="48"/>
    </row>
    <row r="15" spans="1:13">
      <c r="B15" s="45" t="s">
        <v>90</v>
      </c>
      <c r="C15" s="46">
        <f>C12-C13</f>
        <v>140.70200252986498</v>
      </c>
      <c r="D15" s="56"/>
    </row>
    <row r="16" spans="1:13" hidden="1">
      <c r="B16" s="45" t="s">
        <v>105</v>
      </c>
      <c r="C16" s="67">
        <f>H14</f>
        <v>0</v>
      </c>
      <c r="D16" s="56" t="s">
        <v>106</v>
      </c>
    </row>
    <row r="17" spans="2:11" hidden="1">
      <c r="B17" s="45" t="s">
        <v>107</v>
      </c>
      <c r="C17" s="67" t="e">
        <f>C16-#REF!</f>
        <v>#REF!</v>
      </c>
      <c r="D17" s="56" t="s">
        <v>108</v>
      </c>
    </row>
    <row r="18" spans="2:11" hidden="1">
      <c r="B18" s="68" t="s">
        <v>109</v>
      </c>
      <c r="C18" s="69" t="e">
        <f>C17</f>
        <v>#REF!</v>
      </c>
      <c r="D18" s="70"/>
    </row>
    <row r="19" spans="2:11" hidden="1">
      <c r="B19" s="71"/>
    </row>
    <row r="20" spans="2:11" ht="28.8" hidden="1">
      <c r="B20" s="72" t="s">
        <v>110</v>
      </c>
      <c r="C20" s="73">
        <f>G29</f>
        <v>91.075413299213793</v>
      </c>
      <c r="D20" s="74" t="s">
        <v>111</v>
      </c>
    </row>
    <row r="21" spans="2:11" hidden="1"/>
    <row r="22" spans="2:11" ht="15.6" hidden="1">
      <c r="B22" t="s">
        <v>93</v>
      </c>
      <c r="C22" s="53">
        <v>5</v>
      </c>
      <c r="F22" s="75" t="s">
        <v>112</v>
      </c>
      <c r="G22" s="76">
        <v>1</v>
      </c>
      <c r="H22" s="76">
        <f>G22+1</f>
        <v>2</v>
      </c>
      <c r="I22" s="76">
        <f t="shared" ref="I22:K22" si="0">H22+1</f>
        <v>3</v>
      </c>
      <c r="J22" s="76">
        <f t="shared" si="0"/>
        <v>4</v>
      </c>
      <c r="K22" s="76">
        <f t="shared" si="0"/>
        <v>5</v>
      </c>
    </row>
    <row r="23" spans="2:11" hidden="1">
      <c r="F23" s="34" t="s">
        <v>113</v>
      </c>
      <c r="G23" s="44">
        <f>C15</f>
        <v>140.70200252986498</v>
      </c>
      <c r="H23" s="77"/>
      <c r="I23" s="77"/>
      <c r="J23" s="77"/>
      <c r="K23" s="77"/>
    </row>
    <row r="24" spans="2:11" hidden="1">
      <c r="B24" s="100" t="s">
        <v>96</v>
      </c>
      <c r="C24" s="100"/>
      <c r="D24" s="100"/>
      <c r="F24" s="34" t="s">
        <v>114</v>
      </c>
      <c r="G24" s="44">
        <f>$G$23/5</f>
        <v>28.140400505972998</v>
      </c>
      <c r="H24" s="44">
        <f t="shared" ref="H24:K24" si="1">$G$23/5</f>
        <v>28.140400505972998</v>
      </c>
      <c r="I24" s="44">
        <f t="shared" si="1"/>
        <v>28.140400505972998</v>
      </c>
      <c r="J24" s="44">
        <f t="shared" si="1"/>
        <v>28.140400505972998</v>
      </c>
      <c r="K24" s="44">
        <f t="shared" si="1"/>
        <v>28.140400505972998</v>
      </c>
    </row>
    <row r="25" spans="2:11" ht="15.6" hidden="1">
      <c r="B25" s="101" t="s">
        <v>98</v>
      </c>
      <c r="C25" s="101"/>
      <c r="D25" s="58">
        <v>0.14000000000000001</v>
      </c>
      <c r="E25" s="59" t="s">
        <v>99</v>
      </c>
      <c r="F25" s="34" t="s">
        <v>115</v>
      </c>
      <c r="G25" s="77">
        <v>1</v>
      </c>
      <c r="H25" s="77">
        <f>G25+1</f>
        <v>2</v>
      </c>
      <c r="I25" s="77">
        <f t="shared" ref="I25:K25" si="2">H25+1</f>
        <v>3</v>
      </c>
      <c r="J25" s="77">
        <f t="shared" si="2"/>
        <v>4</v>
      </c>
      <c r="K25" s="77">
        <f t="shared" si="2"/>
        <v>5</v>
      </c>
    </row>
    <row r="26" spans="2:11" hidden="1">
      <c r="B26" s="101" t="s">
        <v>101</v>
      </c>
      <c r="C26" s="101"/>
      <c r="D26" s="61">
        <v>2.5000000000000001E-2</v>
      </c>
      <c r="F26" s="34" t="s">
        <v>116</v>
      </c>
      <c r="G26" s="78">
        <f>1/(1+$G$27)^G25</f>
        <v>0.85836909871244638</v>
      </c>
      <c r="H26" s="78">
        <f>1/(1+$G$27)^H25</f>
        <v>0.73679750962441737</v>
      </c>
      <c r="I26" s="78">
        <f>1/(1+$G$27)^I25</f>
        <v>0.63244421426988617</v>
      </c>
      <c r="J26" s="78">
        <f>1/(1+$G$27)^J25</f>
        <v>0.54287057018874341</v>
      </c>
      <c r="K26" s="78">
        <f>1/(1+$G$27)^K25</f>
        <v>0.46598332205042353</v>
      </c>
    </row>
    <row r="27" spans="2:11" hidden="1">
      <c r="B27" s="57"/>
      <c r="C27" s="57"/>
      <c r="D27" s="61"/>
      <c r="F27" s="34" t="s">
        <v>96</v>
      </c>
      <c r="G27" s="79">
        <f>D29</f>
        <v>0.16500000000000001</v>
      </c>
      <c r="H27" s="77"/>
      <c r="I27" s="77"/>
      <c r="J27" s="77"/>
      <c r="K27" s="77"/>
    </row>
    <row r="28" spans="2:11" hidden="1">
      <c r="B28" s="57"/>
      <c r="C28" s="57"/>
      <c r="D28" s="61"/>
      <c r="F28" s="34" t="s">
        <v>117</v>
      </c>
      <c r="G28" s="44">
        <f>G24*G26</f>
        <v>24.154850219719311</v>
      </c>
      <c r="H28" s="44">
        <f t="shared" ref="H28:K28" si="3">H24*H26</f>
        <v>20.733777012634601</v>
      </c>
      <c r="I28" s="44">
        <f t="shared" si="3"/>
        <v>17.79723348724</v>
      </c>
      <c r="J28" s="44">
        <f t="shared" si="3"/>
        <v>15.276595268017164</v>
      </c>
      <c r="K28" s="44">
        <f t="shared" si="3"/>
        <v>13.112957311602717</v>
      </c>
    </row>
    <row r="29" spans="2:11" ht="28.8" hidden="1">
      <c r="B29" s="102" t="s">
        <v>103</v>
      </c>
      <c r="C29" s="102"/>
      <c r="D29" s="62">
        <f>SUM(D25:D26)</f>
        <v>0.16500000000000001</v>
      </c>
      <c r="F29" s="80" t="s">
        <v>118</v>
      </c>
      <c r="G29" s="73">
        <f>SUM(G28:K28)</f>
        <v>91.075413299213793</v>
      </c>
      <c r="H29" s="75"/>
      <c r="I29" s="75"/>
      <c r="J29" s="75"/>
      <c r="K29" s="81"/>
    </row>
    <row r="30" spans="2:11" hidden="1"/>
  </sheetData>
  <mergeCells count="5">
    <mergeCell ref="B2:D2"/>
    <mergeCell ref="B24:D24"/>
    <mergeCell ref="B25:C25"/>
    <mergeCell ref="B26:C26"/>
    <mergeCell ref="B29:C29"/>
  </mergeCells>
  <dataValidations count="1">
    <dataValidation type="list" allowBlank="1" showInputMessage="1" showErrorMessage="1" sqref="C22" xr:uid="{7F43369C-A882-405D-91AC-A64B5B307DE8}">
      <formula1>$M$4:$M$5</formula1>
    </dataValidation>
  </dataValidations>
  <hyperlinks>
    <hyperlink ref="E25" r:id="rId1" xr:uid="{6F7CA658-390C-4746-BB3D-2E55FB1D1B2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CDB3E-B9C4-43E3-8420-062B728EA100}">
  <dimension ref="A2:M31"/>
  <sheetViews>
    <sheetView workbookViewId="0">
      <selection activeCell="A5" sqref="A5:B10"/>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124</v>
      </c>
      <c r="B2" s="99" t="s">
        <v>137</v>
      </c>
      <c r="C2" s="99"/>
      <c r="D2" s="99"/>
    </row>
    <row r="3" spans="1:13">
      <c r="A3" t="s">
        <v>122</v>
      </c>
      <c r="B3" s="82">
        <v>39193</v>
      </c>
    </row>
    <row r="4" spans="1:13">
      <c r="B4" s="51" t="s">
        <v>91</v>
      </c>
      <c r="C4" s="52" t="s">
        <v>92</v>
      </c>
      <c r="D4" s="52" t="s">
        <v>24</v>
      </c>
      <c r="M4">
        <v>5</v>
      </c>
    </row>
    <row r="5" spans="1:13">
      <c r="B5" s="49" t="s">
        <v>21</v>
      </c>
      <c r="C5" s="55">
        <v>216</v>
      </c>
      <c r="D5" s="54"/>
      <c r="M5">
        <v>7</v>
      </c>
    </row>
    <row r="6" spans="1:13">
      <c r="B6" s="49" t="s">
        <v>123</v>
      </c>
      <c r="C6" s="55">
        <f>'Recovery summary'!G9</f>
        <v>85</v>
      </c>
      <c r="D6" s="54"/>
    </row>
    <row r="7" spans="1:13">
      <c r="B7" t="s">
        <v>22</v>
      </c>
      <c r="C7" s="83">
        <f>'Recovery summary'!J9</f>
        <v>88.167333100000008</v>
      </c>
      <c r="D7" s="54"/>
    </row>
    <row r="8" spans="1:13">
      <c r="B8" s="49" t="s">
        <v>211</v>
      </c>
      <c r="C8" s="65">
        <f>'Recovery summary'!K9</f>
        <v>0.33329999999999999</v>
      </c>
    </row>
    <row r="9" spans="1:13">
      <c r="B9" t="s">
        <v>26</v>
      </c>
      <c r="C9" s="83">
        <f>'Recovery summary'!N9</f>
        <v>29.386172122230001</v>
      </c>
    </row>
    <row r="10" spans="1:13">
      <c r="A10" t="s">
        <v>278</v>
      </c>
      <c r="B10" t="s">
        <v>128</v>
      </c>
      <c r="C10" s="83">
        <f>'Recovery summary'!U9+'Recovery summary'!Y9</f>
        <v>63.782559888611502</v>
      </c>
    </row>
    <row r="11" spans="1:13">
      <c r="B11" s="45" t="s">
        <v>279</v>
      </c>
      <c r="C11" s="46">
        <f>C10</f>
        <v>63.782559888611502</v>
      </c>
      <c r="D11" s="56"/>
    </row>
    <row r="12" spans="1:13">
      <c r="A12" s="63">
        <v>0.9</v>
      </c>
      <c r="B12" s="47" t="s">
        <v>125</v>
      </c>
      <c r="C12" s="48">
        <f>A12*C11</f>
        <v>57.404303899750353</v>
      </c>
      <c r="D12" s="64"/>
    </row>
    <row r="13" spans="1:13" ht="28.8">
      <c r="A13" s="63">
        <v>0.3</v>
      </c>
      <c r="B13" s="49" t="s">
        <v>126</v>
      </c>
      <c r="C13" s="48">
        <f>C12*A13</f>
        <v>17.221291169925106</v>
      </c>
      <c r="D13" s="66"/>
      <c r="E13" s="50"/>
      <c r="H13" s="48"/>
      <c r="I13" s="65"/>
    </row>
    <row r="14" spans="1:13">
      <c r="E14" s="50"/>
      <c r="G14" s="10"/>
      <c r="H14" s="48"/>
    </row>
    <row r="15" spans="1:13">
      <c r="B15" s="45" t="s">
        <v>90</v>
      </c>
      <c r="C15" s="46">
        <f>C12-C13</f>
        <v>40.183012729825251</v>
      </c>
      <c r="D15" s="56"/>
    </row>
    <row r="16" spans="1:13" hidden="1">
      <c r="B16" s="45" t="s">
        <v>105</v>
      </c>
      <c r="C16" s="67">
        <f>H14</f>
        <v>0</v>
      </c>
      <c r="D16" s="56" t="s">
        <v>106</v>
      </c>
    </row>
    <row r="17" spans="2:11" hidden="1">
      <c r="B17" s="45" t="s">
        <v>107</v>
      </c>
      <c r="C17" s="67" t="e">
        <f>C16-#REF!</f>
        <v>#REF!</v>
      </c>
      <c r="D17" s="56" t="s">
        <v>108</v>
      </c>
    </row>
    <row r="18" spans="2:11" hidden="1">
      <c r="B18" s="68" t="s">
        <v>109</v>
      </c>
      <c r="C18" s="69" t="e">
        <f>C17</f>
        <v>#REF!</v>
      </c>
      <c r="D18" s="70"/>
    </row>
    <row r="19" spans="2:11" hidden="1">
      <c r="B19" s="71"/>
    </row>
    <row r="20" spans="2:11" ht="28.8" hidden="1">
      <c r="B20" s="72" t="s">
        <v>110</v>
      </c>
      <c r="C20" s="73">
        <f>G29</f>
        <v>26.010180567256739</v>
      </c>
      <c r="D20" s="74" t="s">
        <v>111</v>
      </c>
    </row>
    <row r="21" spans="2:11" hidden="1"/>
    <row r="22" spans="2:11" ht="15.6" hidden="1">
      <c r="B22" t="s">
        <v>93</v>
      </c>
      <c r="C22" s="53">
        <v>5</v>
      </c>
      <c r="F22" s="75" t="s">
        <v>112</v>
      </c>
      <c r="G22" s="76">
        <v>1</v>
      </c>
      <c r="H22" s="76">
        <f>G22+1</f>
        <v>2</v>
      </c>
      <c r="I22" s="76">
        <f t="shared" ref="I22:K22" si="0">H22+1</f>
        <v>3</v>
      </c>
      <c r="J22" s="76">
        <f t="shared" si="0"/>
        <v>4</v>
      </c>
      <c r="K22" s="76">
        <f t="shared" si="0"/>
        <v>5</v>
      </c>
    </row>
    <row r="23" spans="2:11" hidden="1">
      <c r="F23" s="34" t="s">
        <v>113</v>
      </c>
      <c r="G23" s="44">
        <f>C15</f>
        <v>40.183012729825251</v>
      </c>
      <c r="H23" s="77"/>
      <c r="I23" s="77"/>
      <c r="J23" s="77"/>
      <c r="K23" s="77"/>
    </row>
    <row r="24" spans="2:11" hidden="1">
      <c r="B24" s="100" t="s">
        <v>96</v>
      </c>
      <c r="C24" s="100"/>
      <c r="D24" s="100"/>
      <c r="F24" s="34" t="s">
        <v>114</v>
      </c>
      <c r="G24" s="44">
        <f>$G$23/5</f>
        <v>8.0366025459650494</v>
      </c>
      <c r="H24" s="44">
        <f t="shared" ref="H24:K24" si="1">$G$23/5</f>
        <v>8.0366025459650494</v>
      </c>
      <c r="I24" s="44">
        <f t="shared" si="1"/>
        <v>8.0366025459650494</v>
      </c>
      <c r="J24" s="44">
        <f t="shared" si="1"/>
        <v>8.0366025459650494</v>
      </c>
      <c r="K24" s="44">
        <f t="shared" si="1"/>
        <v>8.0366025459650494</v>
      </c>
    </row>
    <row r="25" spans="2:11" ht="15.6" hidden="1">
      <c r="B25" s="101" t="s">
        <v>98</v>
      </c>
      <c r="C25" s="101"/>
      <c r="D25" s="58">
        <v>0.14000000000000001</v>
      </c>
      <c r="E25" s="59" t="s">
        <v>99</v>
      </c>
      <c r="F25" s="34" t="s">
        <v>115</v>
      </c>
      <c r="G25" s="77">
        <v>1</v>
      </c>
      <c r="H25" s="77">
        <f>G25+1</f>
        <v>2</v>
      </c>
      <c r="I25" s="77">
        <f t="shared" ref="I25:K25" si="2">H25+1</f>
        <v>3</v>
      </c>
      <c r="J25" s="77">
        <f t="shared" si="2"/>
        <v>4</v>
      </c>
      <c r="K25" s="77">
        <f t="shared" si="2"/>
        <v>5</v>
      </c>
    </row>
    <row r="26" spans="2:11" hidden="1">
      <c r="B26" s="101" t="s">
        <v>101</v>
      </c>
      <c r="C26" s="101"/>
      <c r="D26" s="61">
        <v>2.5000000000000001E-2</v>
      </c>
      <c r="F26" s="34" t="s">
        <v>116</v>
      </c>
      <c r="G26" s="78">
        <f>1/(1+$G$27)^G25</f>
        <v>0.85836909871244638</v>
      </c>
      <c r="H26" s="78">
        <f>1/(1+$G$27)^H25</f>
        <v>0.73679750962441737</v>
      </c>
      <c r="I26" s="78">
        <f>1/(1+$G$27)^I25</f>
        <v>0.63244421426988617</v>
      </c>
      <c r="J26" s="78">
        <f>1/(1+$G$27)^J25</f>
        <v>0.54287057018874341</v>
      </c>
      <c r="K26" s="78">
        <f>1/(1+$G$27)^K25</f>
        <v>0.46598332205042353</v>
      </c>
    </row>
    <row r="27" spans="2:11" hidden="1">
      <c r="B27" s="57"/>
      <c r="C27" s="57"/>
      <c r="D27" s="61"/>
      <c r="F27" s="34" t="s">
        <v>96</v>
      </c>
      <c r="G27" s="79">
        <f>D29</f>
        <v>0.16500000000000001</v>
      </c>
      <c r="H27" s="77"/>
      <c r="I27" s="77"/>
      <c r="J27" s="77"/>
      <c r="K27" s="77"/>
    </row>
    <row r="28" spans="2:11" hidden="1">
      <c r="B28" s="57"/>
      <c r="C28" s="57"/>
      <c r="D28" s="61"/>
      <c r="F28" s="34" t="s">
        <v>117</v>
      </c>
      <c r="G28" s="44">
        <f>G24*G26</f>
        <v>6.898371284090171</v>
      </c>
      <c r="H28" s="44">
        <f t="shared" ref="H28:K28" si="3">H24*H26</f>
        <v>5.9213487417083011</v>
      </c>
      <c r="I28" s="44">
        <f t="shared" si="3"/>
        <v>5.0827027825822322</v>
      </c>
      <c r="J28" s="44">
        <f t="shared" si="3"/>
        <v>4.3628350065083534</v>
      </c>
      <c r="K28" s="44">
        <f t="shared" si="3"/>
        <v>3.7449227523676853</v>
      </c>
    </row>
    <row r="29" spans="2:11" ht="28.8" hidden="1">
      <c r="B29" s="102" t="s">
        <v>103</v>
      </c>
      <c r="C29" s="102"/>
      <c r="D29" s="62">
        <f>SUM(D25:D26)</f>
        <v>0.16500000000000001</v>
      </c>
      <c r="F29" s="80" t="s">
        <v>118</v>
      </c>
      <c r="G29" s="73">
        <f>SUM(G28:K28)</f>
        <v>26.010180567256739</v>
      </c>
      <c r="H29" s="75"/>
      <c r="I29" s="75"/>
      <c r="J29" s="75"/>
      <c r="K29" s="81"/>
    </row>
    <row r="30" spans="2:11" hidden="1"/>
    <row r="31" spans="2:11" hidden="1"/>
  </sheetData>
  <mergeCells count="5">
    <mergeCell ref="B2:D2"/>
    <mergeCell ref="B24:D24"/>
    <mergeCell ref="B25:C25"/>
    <mergeCell ref="B26:C26"/>
    <mergeCell ref="B29:C29"/>
  </mergeCells>
  <dataValidations count="1">
    <dataValidation type="list" allowBlank="1" showInputMessage="1" showErrorMessage="1" sqref="C22" xr:uid="{E3E3F9C1-7967-41BE-8897-02F11A1229D6}">
      <formula1>$M$4:$M$5</formula1>
    </dataValidation>
  </dataValidations>
  <hyperlinks>
    <hyperlink ref="E25" r:id="rId1" xr:uid="{2A5394A2-62BC-4B68-880E-365FC42BED4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6A1F-1BB0-4716-92C9-C2908165CB89}">
  <dimension ref="A2:M31"/>
  <sheetViews>
    <sheetView workbookViewId="0">
      <selection activeCell="B11" sqref="B11"/>
    </sheetView>
  </sheetViews>
  <sheetFormatPr defaultRowHeight="14.4"/>
  <cols>
    <col min="1" max="1" width="13.5546875" customWidth="1"/>
    <col min="2" max="2" width="44" customWidth="1"/>
    <col min="3" max="3" width="16.33203125" customWidth="1"/>
    <col min="4" max="4" width="34.88671875" customWidth="1"/>
    <col min="6" max="6" width="19.6640625" customWidth="1"/>
    <col min="7" max="7" width="12.44140625" customWidth="1"/>
    <col min="8" max="8" width="10.44140625" customWidth="1"/>
    <col min="9" max="9" width="13" customWidth="1"/>
    <col min="10" max="10" width="10.44140625" customWidth="1"/>
    <col min="11" max="11" width="10.6640625" customWidth="1"/>
  </cols>
  <sheetData>
    <row r="2" spans="1:13">
      <c r="A2" t="s">
        <v>124</v>
      </c>
      <c r="B2" s="99" t="s">
        <v>144</v>
      </c>
      <c r="C2" s="99"/>
      <c r="D2" s="99"/>
    </row>
    <row r="3" spans="1:13">
      <c r="A3" t="s">
        <v>122</v>
      </c>
      <c r="B3" s="82">
        <v>39193</v>
      </c>
    </row>
    <row r="4" spans="1:13">
      <c r="B4" s="51" t="s">
        <v>91</v>
      </c>
      <c r="C4" s="52" t="s">
        <v>92</v>
      </c>
      <c r="D4" s="52" t="s">
        <v>24</v>
      </c>
      <c r="M4">
        <v>5</v>
      </c>
    </row>
    <row r="5" spans="1:13">
      <c r="B5" s="49" t="s">
        <v>21</v>
      </c>
      <c r="C5" s="55">
        <v>229.18</v>
      </c>
      <c r="D5" s="54"/>
      <c r="M5">
        <v>7</v>
      </c>
    </row>
    <row r="6" spans="1:13">
      <c r="B6" s="49" t="s">
        <v>123</v>
      </c>
      <c r="C6" s="83">
        <f>'Recovery summary'!G7</f>
        <v>243</v>
      </c>
      <c r="D6" s="54"/>
    </row>
    <row r="7" spans="1:13">
      <c r="B7" t="s">
        <v>22</v>
      </c>
      <c r="C7" s="55">
        <f>'Recovery summary'!J7</f>
        <v>183.82</v>
      </c>
      <c r="D7" s="54"/>
    </row>
    <row r="8" spans="1:13">
      <c r="B8" s="49" t="s">
        <v>211</v>
      </c>
      <c r="C8" s="66">
        <f>'Recovery summary'!K7</f>
        <v>0.51</v>
      </c>
      <c r="D8" s="54"/>
    </row>
    <row r="9" spans="1:13">
      <c r="B9" t="s">
        <v>26</v>
      </c>
      <c r="C9" s="83">
        <f>'Recovery summary'!N7</f>
        <v>93.748199999999997</v>
      </c>
      <c r="D9" s="54"/>
    </row>
    <row r="10" spans="1:13">
      <c r="A10" t="s">
        <v>278</v>
      </c>
      <c r="B10" t="s">
        <v>128</v>
      </c>
      <c r="C10" s="65">
        <f>'Recovery summary'!U7+'Recovery summary'!Y7</f>
        <v>124.98360000000001</v>
      </c>
    </row>
    <row r="11" spans="1:13">
      <c r="B11" s="45" t="s">
        <v>279</v>
      </c>
      <c r="C11" s="46">
        <f>C10</f>
        <v>124.98360000000001</v>
      </c>
      <c r="D11" s="56"/>
    </row>
    <row r="12" spans="1:13">
      <c r="A12" s="63">
        <v>0.9</v>
      </c>
      <c r="B12" s="47" t="s">
        <v>125</v>
      </c>
      <c r="C12" s="48">
        <f>A12*C11</f>
        <v>112.48524</v>
      </c>
      <c r="D12" s="64"/>
    </row>
    <row r="13" spans="1:13" ht="28.8">
      <c r="A13" s="63">
        <v>0.3</v>
      </c>
      <c r="B13" s="49" t="s">
        <v>126</v>
      </c>
      <c r="C13" s="48">
        <f>C12*A13</f>
        <v>33.745572000000003</v>
      </c>
      <c r="D13" s="66"/>
      <c r="E13" s="50"/>
    </row>
    <row r="14" spans="1:13">
      <c r="B14" s="45" t="s">
        <v>90</v>
      </c>
      <c r="C14" s="46">
        <f>C12-C13</f>
        <v>78.739667999999995</v>
      </c>
      <c r="D14" s="56"/>
    </row>
    <row r="15" spans="1:13" hidden="1">
      <c r="B15" s="45" t="s">
        <v>105</v>
      </c>
      <c r="C15" s="67">
        <f>C31</f>
        <v>0</v>
      </c>
      <c r="D15" s="56" t="s">
        <v>106</v>
      </c>
    </row>
    <row r="16" spans="1:13" hidden="1">
      <c r="B16" s="45" t="s">
        <v>107</v>
      </c>
      <c r="C16" s="67" t="e">
        <f>C15-#REF!</f>
        <v>#REF!</v>
      </c>
      <c r="D16" s="56" t="s">
        <v>108</v>
      </c>
    </row>
    <row r="17" spans="2:11" hidden="1">
      <c r="B17" s="68" t="s">
        <v>109</v>
      </c>
      <c r="C17" s="69" t="e">
        <f>C16</f>
        <v>#REF!</v>
      </c>
      <c r="D17" s="70"/>
    </row>
    <row r="18" spans="2:11" hidden="1">
      <c r="B18" s="71"/>
    </row>
    <row r="19" spans="2:11" ht="28.8" hidden="1">
      <c r="B19" s="72" t="s">
        <v>110</v>
      </c>
      <c r="C19" s="73">
        <f>G28</f>
        <v>50.967631428136428</v>
      </c>
      <c r="D19" s="74" t="s">
        <v>111</v>
      </c>
    </row>
    <row r="20" spans="2:11" hidden="1"/>
    <row r="21" spans="2:11" ht="15.6" hidden="1">
      <c r="B21" t="s">
        <v>93</v>
      </c>
      <c r="C21" s="53">
        <v>5</v>
      </c>
      <c r="F21" s="75" t="s">
        <v>112</v>
      </c>
      <c r="G21" s="76">
        <v>1</v>
      </c>
      <c r="H21" s="76">
        <f>G21+1</f>
        <v>2</v>
      </c>
      <c r="I21" s="76">
        <f t="shared" ref="I21:K21" si="0">H21+1</f>
        <v>3</v>
      </c>
      <c r="J21" s="76">
        <f t="shared" si="0"/>
        <v>4</v>
      </c>
      <c r="K21" s="76">
        <f t="shared" si="0"/>
        <v>5</v>
      </c>
    </row>
    <row r="22" spans="2:11" hidden="1">
      <c r="F22" s="34" t="s">
        <v>113</v>
      </c>
      <c r="G22" s="44">
        <f>C14</f>
        <v>78.739667999999995</v>
      </c>
      <c r="H22" s="77"/>
      <c r="I22" s="77"/>
      <c r="J22" s="77"/>
      <c r="K22" s="77"/>
    </row>
    <row r="23" spans="2:11" hidden="1">
      <c r="B23" s="100" t="s">
        <v>96</v>
      </c>
      <c r="C23" s="100"/>
      <c r="D23" s="100"/>
      <c r="F23" s="34" t="s">
        <v>114</v>
      </c>
      <c r="G23" s="44">
        <f>$G$22/5</f>
        <v>15.7479336</v>
      </c>
      <c r="H23" s="44">
        <f t="shared" ref="H23:K23" si="1">$G$22/5</f>
        <v>15.7479336</v>
      </c>
      <c r="I23" s="44">
        <f t="shared" si="1"/>
        <v>15.7479336</v>
      </c>
      <c r="J23" s="44">
        <f t="shared" si="1"/>
        <v>15.7479336</v>
      </c>
      <c r="K23" s="44">
        <f t="shared" si="1"/>
        <v>15.7479336</v>
      </c>
    </row>
    <row r="24" spans="2:11" ht="15.6" hidden="1">
      <c r="B24" s="101" t="s">
        <v>98</v>
      </c>
      <c r="C24" s="101"/>
      <c r="D24" s="58">
        <v>0.14000000000000001</v>
      </c>
      <c r="E24" s="59" t="s">
        <v>99</v>
      </c>
      <c r="F24" s="34" t="s">
        <v>115</v>
      </c>
      <c r="G24" s="77">
        <v>1</v>
      </c>
      <c r="H24" s="77">
        <f>G24+1</f>
        <v>2</v>
      </c>
      <c r="I24" s="77">
        <f t="shared" ref="I24:K24" si="2">H24+1</f>
        <v>3</v>
      </c>
      <c r="J24" s="77">
        <f t="shared" si="2"/>
        <v>4</v>
      </c>
      <c r="K24" s="77">
        <f t="shared" si="2"/>
        <v>5</v>
      </c>
    </row>
    <row r="25" spans="2:11" hidden="1">
      <c r="B25" s="101" t="s">
        <v>101</v>
      </c>
      <c r="C25" s="101"/>
      <c r="D25" s="61">
        <v>2.5000000000000001E-2</v>
      </c>
      <c r="F25" s="34" t="s">
        <v>116</v>
      </c>
      <c r="G25" s="78">
        <f>1/(1+$G$26)^G24</f>
        <v>0.85836909871244638</v>
      </c>
      <c r="H25" s="78">
        <f>1/(1+$G$26)^H24</f>
        <v>0.73679750962441737</v>
      </c>
      <c r="I25" s="78">
        <f>1/(1+$G$26)^I24</f>
        <v>0.63244421426988617</v>
      </c>
      <c r="J25" s="78">
        <f>1/(1+$G$26)^J24</f>
        <v>0.54287057018874341</v>
      </c>
      <c r="K25" s="78">
        <f>1/(1+$G$26)^K24</f>
        <v>0.46598332205042353</v>
      </c>
    </row>
    <row r="26" spans="2:11" hidden="1">
      <c r="B26" s="57"/>
      <c r="C26" s="57"/>
      <c r="D26" s="61"/>
      <c r="F26" s="34" t="s">
        <v>96</v>
      </c>
      <c r="G26" s="79">
        <f>D28</f>
        <v>0.16500000000000001</v>
      </c>
      <c r="H26" s="77"/>
      <c r="I26" s="77"/>
      <c r="J26" s="77"/>
      <c r="K26" s="77"/>
    </row>
    <row r="27" spans="2:11" hidden="1">
      <c r="B27" s="57"/>
      <c r="C27" s="57"/>
      <c r="D27" s="61"/>
      <c r="F27" s="34" t="s">
        <v>117</v>
      </c>
      <c r="G27" s="44">
        <f>G23*G25</f>
        <v>13.517539570815451</v>
      </c>
      <c r="H27" s="44">
        <f t="shared" ref="H27:K27" si="3">H23*H25</f>
        <v>11.603038258210685</v>
      </c>
      <c r="I27" s="44">
        <f t="shared" si="3"/>
        <v>9.9596894920263406</v>
      </c>
      <c r="J27" s="44">
        <f t="shared" si="3"/>
        <v>8.5490896927264703</v>
      </c>
      <c r="K27" s="44">
        <f t="shared" si="3"/>
        <v>7.3382744143574854</v>
      </c>
    </row>
    <row r="28" spans="2:11" ht="28.8" hidden="1">
      <c r="B28" s="102" t="s">
        <v>103</v>
      </c>
      <c r="C28" s="102"/>
      <c r="D28" s="62">
        <f>SUM(D24:D25)</f>
        <v>0.16500000000000001</v>
      </c>
      <c r="F28" s="80" t="s">
        <v>118</v>
      </c>
      <c r="G28" s="73">
        <f>SUM(G27:K27)</f>
        <v>50.967631428136428</v>
      </c>
      <c r="H28" s="75"/>
      <c r="I28" s="75"/>
      <c r="J28" s="75"/>
      <c r="K28" s="81"/>
    </row>
    <row r="29" spans="2:11" hidden="1"/>
    <row r="30" spans="2:11" hidden="1">
      <c r="C30" s="48"/>
      <c r="D30" s="65"/>
    </row>
    <row r="31" spans="2:11">
      <c r="B31" s="10"/>
      <c r="C31" s="48"/>
    </row>
  </sheetData>
  <mergeCells count="5">
    <mergeCell ref="B2:D2"/>
    <mergeCell ref="B23:D23"/>
    <mergeCell ref="B24:C24"/>
    <mergeCell ref="B25:C25"/>
    <mergeCell ref="B28:C28"/>
  </mergeCells>
  <dataValidations count="1">
    <dataValidation type="list" allowBlank="1" showInputMessage="1" showErrorMessage="1" sqref="C21" xr:uid="{1B2E5D11-6784-4535-BC9E-FAD55A12072A}">
      <formula1>$M$4:$M$5</formula1>
    </dataValidation>
  </dataValidations>
  <hyperlinks>
    <hyperlink ref="E24" r:id="rId1" xr:uid="{976FF8BE-F7B6-4AE9-9D9B-A4D7D5833033}"/>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5"/>
  <sheetViews>
    <sheetView topLeftCell="A4" zoomScale="79" zoomScaleNormal="79" workbookViewId="0">
      <selection activeCell="E6" sqref="E6"/>
    </sheetView>
  </sheetViews>
  <sheetFormatPr defaultColWidth="8.77734375" defaultRowHeight="14.4"/>
  <cols>
    <col min="2" max="2" width="30.5546875" bestFit="1" customWidth="1"/>
    <col min="4" max="4" width="14.77734375" bestFit="1" customWidth="1"/>
    <col min="15" max="15" width="10.33203125" bestFit="1" customWidth="1"/>
    <col min="16" max="16" width="19.33203125" customWidth="1"/>
  </cols>
  <sheetData>
    <row r="1" spans="1:17">
      <c r="A1" s="30" t="s">
        <v>16</v>
      </c>
      <c r="B1" s="31"/>
      <c r="C1" s="31"/>
      <c r="D1" s="31"/>
      <c r="E1" s="31"/>
      <c r="F1" s="31"/>
      <c r="G1" s="31"/>
      <c r="H1" s="31"/>
      <c r="I1" s="1"/>
      <c r="J1" s="1"/>
    </row>
    <row r="2" spans="1:17" s="22" customFormat="1" ht="43.2">
      <c r="A2" s="3" t="s">
        <v>17</v>
      </c>
      <c r="B2" s="3" t="s">
        <v>18</v>
      </c>
      <c r="C2" s="3" t="s">
        <v>19</v>
      </c>
      <c r="D2" s="3" t="s">
        <v>20</v>
      </c>
      <c r="E2" s="3" t="s">
        <v>21</v>
      </c>
      <c r="F2" s="3" t="s">
        <v>22</v>
      </c>
      <c r="G2" s="3" t="s">
        <v>23</v>
      </c>
      <c r="H2" s="3" t="s">
        <v>26</v>
      </c>
      <c r="I2" s="98" t="s">
        <v>24</v>
      </c>
      <c r="J2" s="98"/>
    </row>
    <row r="3" spans="1:17" ht="57.6">
      <c r="A3" s="5">
        <v>1</v>
      </c>
      <c r="B3" s="23" t="s">
        <v>9</v>
      </c>
      <c r="C3" s="24" t="s">
        <v>10</v>
      </c>
      <c r="D3" s="5" t="s">
        <v>62</v>
      </c>
      <c r="E3" s="7">
        <v>1130.67</v>
      </c>
      <c r="F3" s="7">
        <v>703.37</v>
      </c>
      <c r="G3" s="25">
        <v>0.62</v>
      </c>
      <c r="H3" s="7">
        <f>F3*G3</f>
        <v>436.08940000000001</v>
      </c>
      <c r="I3" s="93" t="s">
        <v>53</v>
      </c>
      <c r="J3" s="93"/>
      <c r="K3" t="s">
        <v>82</v>
      </c>
      <c r="L3" t="s">
        <v>86</v>
      </c>
      <c r="P3" t="s">
        <v>70</v>
      </c>
    </row>
    <row r="4" spans="1:17" ht="57" customHeight="1">
      <c r="A4" s="5">
        <v>2</v>
      </c>
      <c r="B4" s="26" t="s">
        <v>63</v>
      </c>
      <c r="C4" s="24" t="s">
        <v>10</v>
      </c>
      <c r="D4" s="5" t="s">
        <v>64</v>
      </c>
      <c r="E4" s="7">
        <v>362</v>
      </c>
      <c r="F4" s="7">
        <v>99</v>
      </c>
      <c r="G4" s="25">
        <v>0.5</v>
      </c>
      <c r="H4" s="7">
        <f t="shared" ref="H4:H7" si="0">F4*G4</f>
        <v>49.5</v>
      </c>
      <c r="I4" s="93" t="s">
        <v>47</v>
      </c>
      <c r="J4" s="93"/>
      <c r="K4" t="s">
        <v>83</v>
      </c>
    </row>
    <row r="5" spans="1:17" ht="44.25" customHeight="1">
      <c r="A5" s="5">
        <v>3</v>
      </c>
      <c r="B5" s="23" t="s">
        <v>65</v>
      </c>
      <c r="C5" s="24" t="s">
        <v>10</v>
      </c>
      <c r="D5" s="5" t="s">
        <v>64</v>
      </c>
      <c r="E5" s="37">
        <v>415</v>
      </c>
      <c r="F5" s="7">
        <v>241</v>
      </c>
      <c r="G5" s="25">
        <v>0.5</v>
      </c>
      <c r="H5" s="7">
        <f t="shared" si="0"/>
        <v>120.5</v>
      </c>
      <c r="I5" s="93" t="s">
        <v>47</v>
      </c>
      <c r="J5" s="93"/>
      <c r="K5" t="s">
        <v>83</v>
      </c>
    </row>
    <row r="6" spans="1:17" ht="57.6">
      <c r="A6" s="5">
        <v>4</v>
      </c>
      <c r="B6" s="26" t="s">
        <v>66</v>
      </c>
      <c r="C6" s="24" t="s">
        <v>11</v>
      </c>
      <c r="D6" s="5" t="s">
        <v>62</v>
      </c>
      <c r="E6" s="7">
        <v>229.18</v>
      </c>
      <c r="F6" s="7">
        <v>183.82</v>
      </c>
      <c r="G6" s="25">
        <v>0.51</v>
      </c>
      <c r="H6" s="7">
        <f t="shared" si="0"/>
        <v>93.748199999999997</v>
      </c>
      <c r="I6" s="93" t="s">
        <v>58</v>
      </c>
      <c r="J6" s="93"/>
      <c r="K6" t="s">
        <v>84</v>
      </c>
    </row>
    <row r="7" spans="1:17" ht="58.05" customHeight="1">
      <c r="A7" s="5">
        <v>5</v>
      </c>
      <c r="B7" s="26" t="s">
        <v>67</v>
      </c>
      <c r="C7" s="24" t="s">
        <v>12</v>
      </c>
      <c r="D7" s="5" t="s">
        <v>62</v>
      </c>
      <c r="E7" s="7">
        <v>450</v>
      </c>
      <c r="F7" s="7">
        <v>492</v>
      </c>
      <c r="G7" s="27">
        <v>0.33329999999999999</v>
      </c>
      <c r="H7" s="7">
        <f t="shared" si="0"/>
        <v>163.9836</v>
      </c>
      <c r="I7" s="93" t="s">
        <v>47</v>
      </c>
      <c r="J7" s="93"/>
      <c r="K7" t="s">
        <v>83</v>
      </c>
    </row>
    <row r="8" spans="1:17" ht="72">
      <c r="A8" s="5">
        <v>6</v>
      </c>
      <c r="B8" s="6" t="s">
        <v>68</v>
      </c>
      <c r="C8" s="24" t="s">
        <v>13</v>
      </c>
      <c r="D8" s="5" t="s">
        <v>69</v>
      </c>
      <c r="E8" s="7">
        <v>216</v>
      </c>
      <c r="F8" s="7">
        <v>88.16</v>
      </c>
      <c r="G8" s="27">
        <v>0.33329999999999999</v>
      </c>
      <c r="H8" s="7">
        <f>F8*G8</f>
        <v>29.383727999999998</v>
      </c>
      <c r="I8" s="93" t="s">
        <v>59</v>
      </c>
      <c r="J8" s="93"/>
      <c r="K8" t="s">
        <v>85</v>
      </c>
    </row>
    <row r="9" spans="1:17" ht="30" customHeight="1">
      <c r="A9" s="28"/>
      <c r="B9" s="94" t="s">
        <v>29</v>
      </c>
      <c r="C9" s="95"/>
      <c r="D9" s="96"/>
      <c r="E9" s="28"/>
      <c r="F9" s="28">
        <f>SUM(F3:F8)</f>
        <v>1807.35</v>
      </c>
      <c r="G9" s="28"/>
      <c r="H9" s="29">
        <f>SUM(H3:H8)</f>
        <v>893.20492800000011</v>
      </c>
      <c r="I9" s="97"/>
      <c r="J9" s="97"/>
    </row>
    <row r="12" spans="1:17">
      <c r="O12" t="s">
        <v>77</v>
      </c>
      <c r="P12" t="s">
        <v>22</v>
      </c>
    </row>
    <row r="13" spans="1:17">
      <c r="N13" s="38" t="s">
        <v>72</v>
      </c>
      <c r="O13" s="40">
        <v>44135</v>
      </c>
      <c r="P13">
        <f>0.52+5.5+5.22+19.02</f>
        <v>30.259999999999998</v>
      </c>
    </row>
    <row r="14" spans="1:17">
      <c r="O14" s="41">
        <v>43501</v>
      </c>
      <c r="P14">
        <f>140.89+39.5+0.2</f>
        <v>180.58999999999997</v>
      </c>
    </row>
    <row r="15" spans="1:17">
      <c r="P15">
        <f>P14+P13</f>
        <v>210.84999999999997</v>
      </c>
      <c r="Q15" t="s">
        <v>73</v>
      </c>
    </row>
    <row r="17" spans="14:17">
      <c r="N17" t="s">
        <v>76</v>
      </c>
    </row>
    <row r="18" spans="14:17">
      <c r="O18" s="41">
        <v>43796</v>
      </c>
      <c r="P18">
        <f>(167276229+7247530+768318822+901061357+12103848+14738056+636810142+1083644)/10^7</f>
        <v>250.8639628</v>
      </c>
      <c r="Q18" t="s">
        <v>73</v>
      </c>
    </row>
    <row r="21" spans="14:17">
      <c r="N21" t="s">
        <v>78</v>
      </c>
      <c r="O21" s="41">
        <v>41495</v>
      </c>
      <c r="P21">
        <f>43.3+44.86</f>
        <v>88.16</v>
      </c>
    </row>
    <row r="23" spans="14:17">
      <c r="N23" t="s">
        <v>80</v>
      </c>
      <c r="O23" s="41">
        <v>44611</v>
      </c>
      <c r="P23">
        <f>30.49+0.5</f>
        <v>30.99</v>
      </c>
      <c r="Q23" t="s">
        <v>73</v>
      </c>
    </row>
    <row r="25" spans="14:17">
      <c r="N25" t="s">
        <v>81</v>
      </c>
      <c r="O25" s="41">
        <v>43389</v>
      </c>
      <c r="P25" s="43">
        <f>2000000*46/10^7</f>
        <v>9.1999999999999993</v>
      </c>
    </row>
  </sheetData>
  <mergeCells count="9">
    <mergeCell ref="I8:J8"/>
    <mergeCell ref="B9:D9"/>
    <mergeCell ref="I9:J9"/>
    <mergeCell ref="I2:J2"/>
    <mergeCell ref="I3:J3"/>
    <mergeCell ref="I4:J4"/>
    <mergeCell ref="I5:J5"/>
    <mergeCell ref="I6:J6"/>
    <mergeCell ref="I7:J7"/>
  </mergeCells>
  <pageMargins left="0.7" right="0.7" top="0.75" bottom="0.75" header="0.3" footer="0.3"/>
  <pageSetup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Summary </vt:lpstr>
      <vt:lpstr>IECCL</vt:lpstr>
      <vt:lpstr>Nagaland</vt:lpstr>
      <vt:lpstr>HEL</vt:lpstr>
      <vt:lpstr>CEL</vt:lpstr>
      <vt:lpstr>BETL</vt:lpstr>
      <vt:lpstr>Brindavan</vt:lpstr>
      <vt:lpstr>PTTL</vt:lpstr>
      <vt:lpstr>SPVs</vt:lpstr>
      <vt:lpstr>Recovery summary</vt:lpstr>
      <vt:lpstr>DDPL</vt:lpstr>
      <vt:lpstr>BAPL</vt:lpstr>
      <vt:lpstr>VSV II Summary</vt:lpstr>
      <vt:lpstr>Workings</vt:lpstr>
      <vt:lpstr>IECCL!Print_Area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2023-08-10T07:33:36Z</dcterms:modified>
</cp:coreProperties>
</file>