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welcome\Desktop\IL&amp;FS\RK Working\Final files\"/>
    </mc:Choice>
  </mc:AlternateContent>
  <xr:revisionPtr revIDLastSave="0" documentId="8_{8E29B305-1A57-474D-847E-70E9E1E536B3}" xr6:coauthVersionLast="47" xr6:coauthVersionMax="47" xr10:uidLastSave="{00000000-0000-0000-0000-000000000000}"/>
  <bookViews>
    <workbookView xWindow="-108" yWindow="-108" windowWidth="23256" windowHeight="12576" tabRatio="948" firstSheet="1" activeTab="1" xr2:uid="{00000000-000D-0000-FFFF-FFFF00000000}"/>
  </bookViews>
  <sheets>
    <sheet name="General" sheetId="3" state="hidden" r:id="rId1"/>
    <sheet name="SUMMARY-2023" sheetId="12" r:id="rId2"/>
    <sheet name="NCI-I" sheetId="59" r:id="rId3"/>
    <sheet name="Provisions TR 2023" sheetId="75" state="hidden" r:id="rId4"/>
    <sheet name="Trade Receivable-II" sheetId="63" r:id="rId5"/>
    <sheet name="Provisions 2023" sheetId="76" state="hidden" r:id="rId6"/>
    <sheet name="Loans-III" sheetId="56" r:id="rId7"/>
    <sheet name="Interest Accrued-IV" sheetId="77" r:id="rId8"/>
    <sheet name="Claim for PBG-V" sheetId="84" r:id="rId9"/>
    <sheet name="Other Receivables-VI" sheetId="78" r:id="rId10"/>
    <sheet name="Margin Money-VII" sheetId="64" r:id="rId11"/>
    <sheet name="Tax Assets-VIII" sheetId="65" r:id="rId12"/>
    <sheet name="Deposits-IX" sheetId="79" r:id="rId13"/>
    <sheet name="Advances to Vendor-X" sheetId="80" r:id="rId14"/>
    <sheet name="Balance - Satutory Authority-XI" sheetId="81" r:id="rId15"/>
    <sheet name="Contract Assets-WIP-XII" sheetId="82" r:id="rId16"/>
    <sheet name="ONCA-VI" sheetId="58" state="hidden" r:id="rId17"/>
    <sheet name="Retention Money-XIII" sheetId="74" r:id="rId18"/>
    <sheet name="INVENTORY-VII" sheetId="67" state="hidden" r:id="rId19"/>
    <sheet name="Cash &amp; Cash Equivalents-XIV" sheetId="69" r:id="rId20"/>
    <sheet name="Award Summary-2023 " sheetId="87" r:id="rId21"/>
    <sheet name="SUMMARY-2018" sheetId="85" r:id="rId22"/>
    <sheet name="Award Summary 2018 " sheetId="86" r:id="rId23"/>
    <sheet name="OCFA-IX" sheetId="70" state="hidden" r:id="rId24"/>
    <sheet name="CTA-X" sheetId="71" state="hidden" r:id="rId25"/>
    <sheet name="OCA-XI" sheetId="66" state="hidden" r:id="rId26"/>
    <sheet name="Debenture-2023" sheetId="72" state="hidden" r:id="rId27"/>
    <sheet name="Preferred - 2023" sheetId="73" state="hidden" r:id="rId28"/>
    <sheet name="MSEDCL Assets" sheetId="33" state="hidden" r:id="rId29"/>
    <sheet name="SECL Assets" sheetId="34" state="hidden" r:id="rId30"/>
    <sheet name="WCL Assets" sheetId="35" state="hidden" r:id="rId31"/>
    <sheet name="Sheet4" sheetId="36" state="hidden" r:id="rId32"/>
  </sheets>
  <externalReferences>
    <externalReference r:id="rId33"/>
    <externalReference r:id="rId34"/>
    <externalReference r:id="rId35"/>
    <externalReference r:id="rId36"/>
    <externalReference r:id="rId37"/>
  </externalReferences>
  <definedNames>
    <definedName name="_xlnm._FilterDatabase" localSheetId="13" hidden="1">'Advances to Vendor-X'!$A$16:$F$105</definedName>
    <definedName name="_xlnm._FilterDatabase" localSheetId="3" hidden="1">'Provisions TR 2023'!$E$2:$G$166</definedName>
    <definedName name="_xlnm.Print_Area" localSheetId="21">'SUMMARY-2018'!#REF!</definedName>
    <definedName name="_xlnm.Print_Area" localSheetId="1">'SUMMARY-2023'!$B$2:$G$24</definedName>
  </definedNames>
  <calcPr calcId="191029" iterate="1"/>
</workbook>
</file>

<file path=xl/calcChain.xml><?xml version="1.0" encoding="utf-8"?>
<calcChain xmlns="http://schemas.openxmlformats.org/spreadsheetml/2006/main">
  <c r="C5" i="87" l="1"/>
  <c r="C4" i="87"/>
  <c r="C6" i="87" s="1"/>
  <c r="C8" i="87" s="1"/>
  <c r="C4" i="86"/>
  <c r="C5" i="86" s="1"/>
  <c r="F21" i="85" l="1"/>
  <c r="E21" i="85"/>
  <c r="D21" i="85"/>
  <c r="F20" i="85"/>
  <c r="E20" i="85"/>
  <c r="D20" i="85"/>
  <c r="F19" i="85"/>
  <c r="E19" i="85"/>
  <c r="D19" i="85"/>
  <c r="F18" i="85"/>
  <c r="E18" i="85"/>
  <c r="D18" i="85"/>
  <c r="F17" i="85"/>
  <c r="E17" i="85"/>
  <c r="D17" i="85"/>
  <c r="F16" i="85"/>
  <c r="E16" i="85"/>
  <c r="D16" i="85"/>
  <c r="F15" i="85"/>
  <c r="E15" i="85"/>
  <c r="D15" i="85"/>
  <c r="F14" i="85"/>
  <c r="E14" i="85"/>
  <c r="D14" i="85"/>
  <c r="F13" i="85"/>
  <c r="E13" i="85"/>
  <c r="D13" i="85"/>
  <c r="F12" i="85"/>
  <c r="E12" i="85"/>
  <c r="D12" i="85"/>
  <c r="F11" i="85"/>
  <c r="E11" i="85"/>
  <c r="D11" i="85"/>
  <c r="D22" i="85" s="1"/>
  <c r="F6" i="85"/>
  <c r="F22" i="85" s="1"/>
  <c r="E6" i="85"/>
  <c r="E22" i="85" s="1"/>
  <c r="H12" i="79" l="1"/>
  <c r="G12" i="79"/>
  <c r="H29" i="80"/>
  <c r="I18" i="80" l="1"/>
  <c r="I19" i="80"/>
  <c r="I20" i="80"/>
  <c r="I21" i="80"/>
  <c r="I22" i="80"/>
  <c r="I23" i="80"/>
  <c r="I24" i="80"/>
  <c r="I25" i="80"/>
  <c r="I26" i="80"/>
  <c r="I27" i="80"/>
  <c r="I28" i="80"/>
  <c r="I29" i="80"/>
  <c r="I30" i="80"/>
  <c r="I31" i="80"/>
  <c r="I32" i="80"/>
  <c r="I33" i="80"/>
  <c r="I34" i="80"/>
  <c r="I35" i="80"/>
  <c r="I36" i="80"/>
  <c r="I37" i="80"/>
  <c r="I38" i="80"/>
  <c r="I39" i="80"/>
  <c r="I40" i="80"/>
  <c r="I41" i="80"/>
  <c r="I42" i="80"/>
  <c r="I43" i="80"/>
  <c r="I44" i="80"/>
  <c r="I45" i="80"/>
  <c r="I46" i="80"/>
  <c r="I47" i="80"/>
  <c r="I48" i="80"/>
  <c r="I49" i="80"/>
  <c r="I50" i="80"/>
  <c r="I51" i="80"/>
  <c r="I52" i="80"/>
  <c r="I53" i="80"/>
  <c r="I54" i="80"/>
  <c r="I55" i="80"/>
  <c r="I56" i="80"/>
  <c r="I57" i="80"/>
  <c r="I58" i="80"/>
  <c r="I59" i="80"/>
  <c r="I60" i="80"/>
  <c r="I61" i="80"/>
  <c r="I62" i="80"/>
  <c r="I63" i="80"/>
  <c r="I64" i="80"/>
  <c r="I65" i="80"/>
  <c r="I66" i="80"/>
  <c r="I67" i="80"/>
  <c r="I68" i="80"/>
  <c r="I69" i="80"/>
  <c r="I70" i="80"/>
  <c r="I71" i="80"/>
  <c r="I72" i="80"/>
  <c r="I73" i="80"/>
  <c r="I74" i="80"/>
  <c r="I75" i="80"/>
  <c r="I76" i="80"/>
  <c r="I77" i="80"/>
  <c r="I78" i="80"/>
  <c r="I79" i="80"/>
  <c r="I80" i="80"/>
  <c r="I81" i="80"/>
  <c r="I82" i="80"/>
  <c r="I83" i="80"/>
  <c r="I84" i="80"/>
  <c r="I85" i="80"/>
  <c r="I86" i="80"/>
  <c r="I87" i="80"/>
  <c r="I88" i="80"/>
  <c r="I89" i="80"/>
  <c r="I90" i="80"/>
  <c r="I91" i="80"/>
  <c r="I92" i="80"/>
  <c r="I93" i="80"/>
  <c r="I94" i="80"/>
  <c r="I95" i="80"/>
  <c r="I96" i="80"/>
  <c r="I97" i="80"/>
  <c r="I98" i="80"/>
  <c r="I99" i="80"/>
  <c r="I100" i="80"/>
  <c r="I101" i="80"/>
  <c r="I102" i="80"/>
  <c r="I103" i="80"/>
  <c r="I104" i="80"/>
  <c r="I17" i="80"/>
  <c r="I105" i="80" s="1"/>
  <c r="F6" i="80" s="1"/>
  <c r="H18" i="80"/>
  <c r="H19" i="80"/>
  <c r="H20" i="80"/>
  <c r="H21" i="80"/>
  <c r="H22" i="80"/>
  <c r="H23" i="80"/>
  <c r="H24" i="80"/>
  <c r="H25" i="80"/>
  <c r="H26" i="80"/>
  <c r="H27" i="80"/>
  <c r="H28" i="80"/>
  <c r="H30" i="80"/>
  <c r="H31" i="80"/>
  <c r="H32" i="80"/>
  <c r="H33" i="80"/>
  <c r="H34" i="80"/>
  <c r="H35" i="80"/>
  <c r="H36" i="80"/>
  <c r="H37" i="80"/>
  <c r="H38" i="80"/>
  <c r="H39" i="80"/>
  <c r="H40" i="80"/>
  <c r="H41" i="80"/>
  <c r="H42" i="80"/>
  <c r="H43" i="80"/>
  <c r="H44" i="80"/>
  <c r="H45" i="80"/>
  <c r="H46" i="80"/>
  <c r="H47" i="80"/>
  <c r="H48" i="80"/>
  <c r="H49" i="80"/>
  <c r="H50" i="80"/>
  <c r="H51" i="80"/>
  <c r="H52" i="80"/>
  <c r="H53" i="80"/>
  <c r="H54" i="80"/>
  <c r="H55" i="80"/>
  <c r="H56" i="80"/>
  <c r="H57" i="80"/>
  <c r="H58" i="80"/>
  <c r="H59" i="80"/>
  <c r="H60" i="80"/>
  <c r="H61" i="80"/>
  <c r="H62" i="80"/>
  <c r="H63" i="80"/>
  <c r="H64" i="80"/>
  <c r="H65" i="80"/>
  <c r="H66" i="80"/>
  <c r="H67" i="80"/>
  <c r="H68" i="80"/>
  <c r="H69" i="80"/>
  <c r="H70" i="80"/>
  <c r="H71" i="80"/>
  <c r="H72" i="80"/>
  <c r="H73" i="80"/>
  <c r="H74" i="80"/>
  <c r="H75" i="80"/>
  <c r="H76" i="80"/>
  <c r="H77" i="80"/>
  <c r="H78" i="80"/>
  <c r="H79" i="80"/>
  <c r="H80" i="80"/>
  <c r="H81" i="80"/>
  <c r="H82" i="80"/>
  <c r="H83" i="80"/>
  <c r="H84" i="80"/>
  <c r="H85" i="80"/>
  <c r="H86" i="80"/>
  <c r="H87" i="80"/>
  <c r="H88" i="80"/>
  <c r="H89" i="80"/>
  <c r="H90" i="80"/>
  <c r="H91" i="80"/>
  <c r="H92" i="80"/>
  <c r="H93" i="80"/>
  <c r="H94" i="80"/>
  <c r="H95" i="80"/>
  <c r="H96" i="80"/>
  <c r="H97" i="80"/>
  <c r="H98" i="80"/>
  <c r="H99" i="80"/>
  <c r="H100" i="80"/>
  <c r="H101" i="80"/>
  <c r="H102" i="80"/>
  <c r="H103" i="80"/>
  <c r="H104" i="80"/>
  <c r="H17" i="80"/>
  <c r="H105" i="80" s="1"/>
  <c r="H106" i="80" l="1"/>
  <c r="E6" i="80" s="1"/>
  <c r="U265" i="63"/>
  <c r="P265" i="63"/>
  <c r="O265" i="63"/>
  <c r="Q264" i="63"/>
  <c r="Q263" i="63"/>
  <c r="Q262" i="63"/>
  <c r="Q261" i="63"/>
  <c r="Q260" i="63"/>
  <c r="Q259" i="63"/>
  <c r="Q258" i="63"/>
  <c r="Q257" i="63"/>
  <c r="Q256" i="63"/>
  <c r="Q255" i="63"/>
  <c r="Q254" i="63"/>
  <c r="Q253" i="63"/>
  <c r="Q252" i="63"/>
  <c r="Q251" i="63"/>
  <c r="Q250" i="63"/>
  <c r="Q249" i="63"/>
  <c r="Q248" i="63"/>
  <c r="Q247" i="63"/>
  <c r="Q246" i="63"/>
  <c r="Q245" i="63"/>
  <c r="Q244" i="63"/>
  <c r="Q243" i="63"/>
  <c r="Q242" i="63"/>
  <c r="Q241" i="63"/>
  <c r="Q240" i="63"/>
  <c r="Q239" i="63"/>
  <c r="Q238" i="63"/>
  <c r="Q237" i="63"/>
  <c r="Q236" i="63"/>
  <c r="Q235" i="63"/>
  <c r="Q234" i="63"/>
  <c r="Q233" i="63"/>
  <c r="Q232" i="63"/>
  <c r="Q231" i="63"/>
  <c r="Q230" i="63"/>
  <c r="Q229" i="63"/>
  <c r="Q228" i="63"/>
  <c r="Q227" i="63"/>
  <c r="Q226" i="63"/>
  <c r="Q225" i="63"/>
  <c r="Q224" i="63"/>
  <c r="Q223" i="63"/>
  <c r="Q222" i="63"/>
  <c r="Q221" i="63"/>
  <c r="Q220" i="63"/>
  <c r="Q219" i="63"/>
  <c r="Q218" i="63"/>
  <c r="Q217" i="63"/>
  <c r="Q216" i="63"/>
  <c r="Q215" i="63"/>
  <c r="Q214" i="63"/>
  <c r="Q213" i="63"/>
  <c r="Q212" i="63"/>
  <c r="Q211" i="63"/>
  <c r="Q210" i="63"/>
  <c r="Q209" i="63"/>
  <c r="Q208" i="63"/>
  <c r="Q207" i="63"/>
  <c r="Q206" i="63"/>
  <c r="Q205" i="63"/>
  <c r="Q204" i="63"/>
  <c r="Q203" i="63"/>
  <c r="Q202" i="63"/>
  <c r="Q201" i="63"/>
  <c r="Q200" i="63"/>
  <c r="Q199" i="63"/>
  <c r="Q198" i="63"/>
  <c r="Q197" i="63"/>
  <c r="Q196" i="63"/>
  <c r="Q195" i="63"/>
  <c r="Q194" i="63"/>
  <c r="Q193" i="63"/>
  <c r="Q192" i="63"/>
  <c r="Q191" i="63"/>
  <c r="Q190" i="63"/>
  <c r="Q189" i="63"/>
  <c r="Q188" i="63"/>
  <c r="Q187" i="63"/>
  <c r="Q186" i="63"/>
  <c r="Q185" i="63"/>
  <c r="Q184" i="63"/>
  <c r="Q183" i="63"/>
  <c r="Q182" i="63"/>
  <c r="Q181" i="63"/>
  <c r="Q180" i="63"/>
  <c r="Q179" i="63"/>
  <c r="Q178" i="63"/>
  <c r="Q177" i="63"/>
  <c r="Q176" i="63"/>
  <c r="V176" i="63" s="1"/>
  <c r="Q175" i="63"/>
  <c r="V175" i="63" s="1"/>
  <c r="Q174" i="63"/>
  <c r="V174" i="63" s="1"/>
  <c r="Q173" i="63"/>
  <c r="V173" i="63" s="1"/>
  <c r="Q172" i="63"/>
  <c r="S172" i="63" s="1"/>
  <c r="Q171" i="63"/>
  <c r="S171" i="63" s="1"/>
  <c r="Q170" i="63"/>
  <c r="S170" i="63" s="1"/>
  <c r="Q169" i="63"/>
  <c r="S169" i="63" s="1"/>
  <c r="S168" i="63"/>
  <c r="Q168" i="63"/>
  <c r="Q167" i="63"/>
  <c r="S167" i="63" s="1"/>
  <c r="Q166" i="63"/>
  <c r="Q165" i="63"/>
  <c r="S165" i="63" s="1"/>
  <c r="Q164" i="63"/>
  <c r="S164" i="63" s="1"/>
  <c r="Q163" i="63"/>
  <c r="S163" i="63" s="1"/>
  <c r="Q162" i="63"/>
  <c r="Q161" i="63"/>
  <c r="S161" i="63" s="1"/>
  <c r="Q160" i="63"/>
  <c r="Q159" i="63"/>
  <c r="Q158" i="63"/>
  <c r="V158" i="63" s="1"/>
  <c r="Q157" i="63"/>
  <c r="S157" i="63" s="1"/>
  <c r="Q156" i="63"/>
  <c r="Q155" i="63"/>
  <c r="Q154" i="63"/>
  <c r="S154" i="63" s="1"/>
  <c r="Q153" i="63"/>
  <c r="S153" i="63" s="1"/>
  <c r="Q152" i="63"/>
  <c r="Q151" i="63"/>
  <c r="Q150" i="63"/>
  <c r="Q149" i="63"/>
  <c r="V149" i="63" s="1"/>
  <c r="Q148" i="63"/>
  <c r="Q147" i="63"/>
  <c r="T147" i="63" s="1"/>
  <c r="Q146" i="63"/>
  <c r="Q145" i="63"/>
  <c r="Q144" i="63"/>
  <c r="Q143" i="63"/>
  <c r="Q142" i="63"/>
  <c r="T142" i="63" s="1"/>
  <c r="Q141" i="63"/>
  <c r="T141" i="63" s="1"/>
  <c r="Q140" i="63"/>
  <c r="Q139" i="63"/>
  <c r="Q138" i="63"/>
  <c r="Q137" i="63"/>
  <c r="Q136" i="63"/>
  <c r="Q135" i="63"/>
  <c r="Q134" i="63"/>
  <c r="Q133" i="63"/>
  <c r="S133" i="63" s="1"/>
  <c r="Q132" i="63"/>
  <c r="V132" i="63" s="1"/>
  <c r="V131" i="63"/>
  <c r="Q131" i="63"/>
  <c r="Q130" i="63"/>
  <c r="Q129" i="63"/>
  <c r="T129" i="63" s="1"/>
  <c r="Q128" i="63"/>
  <c r="Q127" i="63"/>
  <c r="Q126" i="63"/>
  <c r="Q125" i="63"/>
  <c r="Q124" i="63"/>
  <c r="Q123" i="63"/>
  <c r="Q122" i="63"/>
  <c r="Q121" i="63"/>
  <c r="Q120" i="63"/>
  <c r="Q119" i="63"/>
  <c r="Q118" i="63"/>
  <c r="Q117" i="63"/>
  <c r="Q116" i="63"/>
  <c r="Q115" i="63"/>
  <c r="Q114" i="63"/>
  <c r="Q113" i="63"/>
  <c r="Q112" i="63"/>
  <c r="Q111" i="63"/>
  <c r="T111" i="63" s="1"/>
  <c r="Q110" i="63"/>
  <c r="Q109" i="63"/>
  <c r="Q108" i="63"/>
  <c r="Q107" i="63"/>
  <c r="Q106" i="63"/>
  <c r="Q105" i="63"/>
  <c r="V105" i="63" s="1"/>
  <c r="Q104" i="63"/>
  <c r="V104" i="63" s="1"/>
  <c r="Q103" i="63"/>
  <c r="U100" i="63"/>
  <c r="P100" i="63"/>
  <c r="O100" i="63"/>
  <c r="S104" i="74"/>
  <c r="T104" i="74"/>
  <c r="U104" i="74"/>
  <c r="V104" i="74"/>
  <c r="R104" i="74"/>
  <c r="V25" i="74"/>
  <c r="U25" i="74"/>
  <c r="T25" i="74"/>
  <c r="S25" i="74"/>
  <c r="R25" i="74"/>
  <c r="B6" i="74"/>
  <c r="B5" i="82"/>
  <c r="B3" i="74"/>
  <c r="Q265" i="63" l="1"/>
  <c r="Q100" i="63"/>
  <c r="T100" i="63"/>
  <c r="T265" i="63"/>
  <c r="V265" i="63"/>
  <c r="S100" i="63"/>
  <c r="S265" i="63"/>
  <c r="V100" i="63"/>
  <c r="E6" i="84" l="1"/>
  <c r="F6" i="84" s="1"/>
  <c r="F7" i="84" s="1"/>
  <c r="F14" i="12" s="1"/>
  <c r="D7" i="84"/>
  <c r="D14" i="12" s="1"/>
  <c r="B5" i="84"/>
  <c r="B3" i="84"/>
  <c r="E7" i="84" l="1"/>
  <c r="E14" i="12" s="1"/>
  <c r="F6" i="12"/>
  <c r="E6" i="12"/>
  <c r="H7" i="78" l="1"/>
  <c r="F15" i="12" s="1"/>
  <c r="L16" i="78"/>
  <c r="N15" i="78"/>
  <c r="N16" i="78" s="1"/>
  <c r="M15" i="78"/>
  <c r="M16" i="78" s="1"/>
  <c r="N14" i="78"/>
  <c r="M12" i="78"/>
  <c r="N12" i="78" s="1"/>
  <c r="H6" i="77"/>
  <c r="H7" i="77" s="1"/>
  <c r="N18" i="78" l="1"/>
  <c r="Q19" i="74" l="1"/>
  <c r="R18" i="74"/>
  <c r="S18" i="74" s="1"/>
  <c r="S19" i="74" s="1"/>
  <c r="R15" i="74"/>
  <c r="S15" i="74" s="1"/>
  <c r="T15" i="74" s="1"/>
  <c r="G178" i="74"/>
  <c r="G177" i="74"/>
  <c r="G176" i="74"/>
  <c r="G175" i="74"/>
  <c r="G174" i="74"/>
  <c r="G173" i="74"/>
  <c r="G172" i="74"/>
  <c r="G171" i="74"/>
  <c r="G170" i="74"/>
  <c r="G169" i="74"/>
  <c r="G168" i="74"/>
  <c r="G167" i="74"/>
  <c r="G166" i="74"/>
  <c r="G165" i="74"/>
  <c r="G164" i="74"/>
  <c r="G163" i="74"/>
  <c r="G162" i="74"/>
  <c r="G161" i="74"/>
  <c r="G160" i="74"/>
  <c r="G159" i="74"/>
  <c r="G158" i="74"/>
  <c r="G157" i="74"/>
  <c r="G156" i="74"/>
  <c r="G155" i="74"/>
  <c r="G154" i="74"/>
  <c r="G153" i="74"/>
  <c r="G152" i="74"/>
  <c r="G151" i="74"/>
  <c r="G150" i="74"/>
  <c r="G149" i="74"/>
  <c r="G148" i="74"/>
  <c r="G147" i="74"/>
  <c r="G146" i="74"/>
  <c r="G145" i="74"/>
  <c r="G144" i="74"/>
  <c r="G143" i="74"/>
  <c r="G142" i="74"/>
  <c r="G141" i="74"/>
  <c r="G140" i="74"/>
  <c r="G139" i="74"/>
  <c r="G138" i="74"/>
  <c r="G137" i="74"/>
  <c r="G136" i="74"/>
  <c r="G135" i="74"/>
  <c r="G134" i="74"/>
  <c r="G133" i="74"/>
  <c r="G132" i="74"/>
  <c r="G131" i="74"/>
  <c r="G130" i="74"/>
  <c r="G129" i="74"/>
  <c r="G128" i="74"/>
  <c r="G127" i="74"/>
  <c r="G126" i="74"/>
  <c r="G125" i="74"/>
  <c r="G124" i="74"/>
  <c r="G123" i="74"/>
  <c r="G122" i="74"/>
  <c r="G121" i="74"/>
  <c r="G120" i="74"/>
  <c r="G119" i="74"/>
  <c r="G118" i="74"/>
  <c r="G117" i="74"/>
  <c r="G116" i="74"/>
  <c r="G115" i="74"/>
  <c r="G114" i="74"/>
  <c r="G113" i="74"/>
  <c r="G112" i="74"/>
  <c r="G111" i="74"/>
  <c r="G110" i="74"/>
  <c r="G109" i="74"/>
  <c r="G108" i="74"/>
  <c r="G107" i="74"/>
  <c r="G106" i="74"/>
  <c r="G105" i="74"/>
  <c r="G104" i="74"/>
  <c r="G103" i="74"/>
  <c r="G102" i="74"/>
  <c r="G101" i="74"/>
  <c r="G100" i="74"/>
  <c r="G99" i="74"/>
  <c r="G98" i="74"/>
  <c r="G97" i="74"/>
  <c r="G96" i="74"/>
  <c r="G95" i="74"/>
  <c r="G94" i="74"/>
  <c r="G93" i="74"/>
  <c r="G92" i="74"/>
  <c r="L92" i="74" s="1"/>
  <c r="G91" i="74"/>
  <c r="L91" i="74" s="1"/>
  <c r="G90" i="74"/>
  <c r="L90" i="74" s="1"/>
  <c r="G89" i="74"/>
  <c r="L89" i="74" s="1"/>
  <c r="G88" i="74"/>
  <c r="L88" i="74" s="1"/>
  <c r="G87" i="74"/>
  <c r="L87" i="74" s="1"/>
  <c r="G86" i="74"/>
  <c r="I86" i="74" s="1"/>
  <c r="G85" i="74"/>
  <c r="I85" i="74" s="1"/>
  <c r="G84" i="74"/>
  <c r="I84" i="74" s="1"/>
  <c r="H83" i="74"/>
  <c r="H14" i="74" s="1"/>
  <c r="G83" i="74"/>
  <c r="I83" i="74" s="1"/>
  <c r="G82" i="74"/>
  <c r="I82" i="74" s="1"/>
  <c r="G81" i="74"/>
  <c r="I81" i="74" s="1"/>
  <c r="G80" i="74"/>
  <c r="I80" i="74" s="1"/>
  <c r="G79" i="74"/>
  <c r="I79" i="74" s="1"/>
  <c r="G78" i="74"/>
  <c r="G77" i="74"/>
  <c r="I77" i="74" s="1"/>
  <c r="G76" i="74"/>
  <c r="I76" i="74" s="1"/>
  <c r="G75" i="74"/>
  <c r="I75" i="74" s="1"/>
  <c r="G74" i="74"/>
  <c r="G73" i="74"/>
  <c r="G72" i="74"/>
  <c r="G71" i="74"/>
  <c r="I71" i="74" s="1"/>
  <c r="G70" i="74"/>
  <c r="G69" i="74"/>
  <c r="I69" i="74" s="1"/>
  <c r="G68" i="74"/>
  <c r="I68" i="74" s="1"/>
  <c r="G67" i="74"/>
  <c r="I67" i="74" s="1"/>
  <c r="G66" i="74"/>
  <c r="I66" i="74" s="1"/>
  <c r="G65" i="74"/>
  <c r="G64" i="74"/>
  <c r="G63" i="74"/>
  <c r="L63" i="74" s="1"/>
  <c r="G62" i="74"/>
  <c r="G61" i="74"/>
  <c r="L61" i="74" s="1"/>
  <c r="G60" i="74"/>
  <c r="L60" i="74" s="1"/>
  <c r="G59" i="74"/>
  <c r="G58" i="74"/>
  <c r="L58" i="74" s="1"/>
  <c r="G57" i="74"/>
  <c r="I57" i="74" s="1"/>
  <c r="G56" i="74"/>
  <c r="K56" i="74" s="1"/>
  <c r="K14" i="74" s="1"/>
  <c r="S17" i="74" s="1"/>
  <c r="G55" i="74"/>
  <c r="G54" i="74"/>
  <c r="G53" i="74"/>
  <c r="G52" i="74"/>
  <c r="G51" i="74"/>
  <c r="G50" i="74"/>
  <c r="G49" i="74"/>
  <c r="G48" i="74"/>
  <c r="G47" i="74"/>
  <c r="G46" i="74"/>
  <c r="G45" i="74"/>
  <c r="L45" i="74" s="1"/>
  <c r="G44" i="74"/>
  <c r="G43" i="74"/>
  <c r="L43" i="74" s="1"/>
  <c r="G42" i="74"/>
  <c r="L42" i="74" s="1"/>
  <c r="G41" i="74"/>
  <c r="L41" i="74" s="1"/>
  <c r="G40" i="74"/>
  <c r="L40" i="74" s="1"/>
  <c r="G39" i="74"/>
  <c r="L39" i="74" s="1"/>
  <c r="G38" i="74"/>
  <c r="L38" i="74" s="1"/>
  <c r="G37" i="74"/>
  <c r="L37" i="74" s="1"/>
  <c r="G36" i="74"/>
  <c r="L36" i="74" s="1"/>
  <c r="G35" i="74"/>
  <c r="L35" i="74" s="1"/>
  <c r="G34" i="74"/>
  <c r="L34" i="74" s="1"/>
  <c r="G33" i="74"/>
  <c r="L33" i="74" s="1"/>
  <c r="G32" i="74"/>
  <c r="L32" i="74" s="1"/>
  <c r="G31" i="74"/>
  <c r="L31" i="74" s="1"/>
  <c r="G30" i="74"/>
  <c r="L30" i="74" s="1"/>
  <c r="G29" i="74"/>
  <c r="L29" i="74" s="1"/>
  <c r="G28" i="74"/>
  <c r="L28" i="74" s="1"/>
  <c r="G27" i="74"/>
  <c r="L27" i="74" s="1"/>
  <c r="G26" i="74"/>
  <c r="L26" i="74" s="1"/>
  <c r="G25" i="74"/>
  <c r="J25" i="74" s="1"/>
  <c r="G24" i="74"/>
  <c r="J24" i="74" s="1"/>
  <c r="G23" i="74"/>
  <c r="I23" i="74" s="1"/>
  <c r="G22" i="74"/>
  <c r="J22" i="74" s="1"/>
  <c r="G21" i="74"/>
  <c r="J21" i="74" s="1"/>
  <c r="G20" i="74"/>
  <c r="G19" i="74"/>
  <c r="L19" i="74" s="1"/>
  <c r="G18" i="74"/>
  <c r="G17" i="74"/>
  <c r="F14" i="74"/>
  <c r="E14" i="74"/>
  <c r="G7" i="74" l="1"/>
  <c r="G8" i="74" s="1"/>
  <c r="G14" i="74"/>
  <c r="L14" i="74"/>
  <c r="R19" i="74"/>
  <c r="T18" i="74"/>
  <c r="S21" i="74"/>
  <c r="I14" i="74"/>
  <c r="J14" i="74"/>
  <c r="R17" i="74" l="1"/>
  <c r="R21" i="74" s="1"/>
  <c r="F7" i="74"/>
  <c r="T17" i="74"/>
  <c r="H7" i="74"/>
  <c r="H8" i="74" s="1"/>
  <c r="Q17" i="74"/>
  <c r="Q23" i="74" s="1"/>
  <c r="E7" i="74"/>
  <c r="T21" i="74"/>
  <c r="Q21" i="74" l="1"/>
  <c r="Q22" i="74" s="1"/>
  <c r="I7" i="74" s="1"/>
  <c r="I8" i="74" s="1"/>
  <c r="E22" i="12" s="1"/>
  <c r="J7" i="74"/>
  <c r="J8" i="74" s="1"/>
  <c r="F22" i="12" s="1"/>
  <c r="O19" i="82"/>
  <c r="N19" i="82"/>
  <c r="O18" i="82"/>
  <c r="P18" i="82" s="1"/>
  <c r="P19" i="82" s="1"/>
  <c r="O15" i="82"/>
  <c r="P15" i="82" s="1"/>
  <c r="Q15" i="82" s="1"/>
  <c r="E43" i="82"/>
  <c r="I42" i="82"/>
  <c r="I41" i="82"/>
  <c r="I40" i="82"/>
  <c r="I39" i="82"/>
  <c r="I38" i="82"/>
  <c r="I37" i="82"/>
  <c r="I36" i="82"/>
  <c r="I35" i="82"/>
  <c r="I34" i="82"/>
  <c r="D33" i="82"/>
  <c r="I33" i="82" s="1"/>
  <c r="F32" i="82"/>
  <c r="F31" i="82"/>
  <c r="F30" i="82"/>
  <c r="E29" i="82"/>
  <c r="E28" i="82"/>
  <c r="I27" i="82"/>
  <c r="I26" i="82"/>
  <c r="E25" i="82"/>
  <c r="I24" i="82"/>
  <c r="I23" i="82"/>
  <c r="I22" i="82"/>
  <c r="I21" i="82"/>
  <c r="I20" i="82"/>
  <c r="I19" i="82"/>
  <c r="H15" i="82"/>
  <c r="G15" i="82"/>
  <c r="G6" i="82" s="1"/>
  <c r="G7" i="82" s="1"/>
  <c r="D6" i="82"/>
  <c r="D7" i="82"/>
  <c r="B3" i="82"/>
  <c r="I15" i="82" l="1"/>
  <c r="H6" i="82" s="1"/>
  <c r="H7" i="82" s="1"/>
  <c r="E15" i="82"/>
  <c r="E6" i="82" s="1"/>
  <c r="F15" i="82"/>
  <c r="O17" i="82" s="1"/>
  <c r="O21" i="82" s="1"/>
  <c r="F6" i="82"/>
  <c r="N17" i="82"/>
  <c r="D15" i="82"/>
  <c r="P17" i="82"/>
  <c r="P21" i="82" s="1"/>
  <c r="Q17" i="82"/>
  <c r="N16" i="82"/>
  <c r="D21" i="12"/>
  <c r="Q18" i="82"/>
  <c r="N23" i="82" l="1"/>
  <c r="J6" i="82" s="1"/>
  <c r="N21" i="82"/>
  <c r="Q21" i="82"/>
  <c r="N22" i="82" l="1"/>
  <c r="I6" i="82" s="1"/>
  <c r="J7" i="82" l="1"/>
  <c r="F21" i="12" s="1"/>
  <c r="I7" i="82"/>
  <c r="E21" i="12" s="1"/>
  <c r="E7" i="82"/>
  <c r="F7" i="82"/>
  <c r="C17" i="81" l="1"/>
  <c r="E6" i="81" s="1"/>
  <c r="C18" i="81"/>
  <c r="D6" i="81"/>
  <c r="D7" i="81" s="1"/>
  <c r="D20" i="12" s="1"/>
  <c r="E7" i="81"/>
  <c r="E20" i="12" s="1"/>
  <c r="B5" i="81"/>
  <c r="B3" i="81"/>
  <c r="C104" i="80"/>
  <c r="C105" i="80" s="1"/>
  <c r="F7" i="80"/>
  <c r="F19" i="12" s="1"/>
  <c r="D6" i="80"/>
  <c r="D7" i="80" s="1"/>
  <c r="D19" i="12" s="1"/>
  <c r="B5" i="80"/>
  <c r="B3" i="80"/>
  <c r="F7" i="81" l="1"/>
  <c r="F20" i="12" s="1"/>
  <c r="E7" i="80"/>
  <c r="E19" i="12" s="1"/>
  <c r="L21" i="79" l="1"/>
  <c r="M20" i="79"/>
  <c r="M21" i="79" s="1"/>
  <c r="M17" i="79"/>
  <c r="N17" i="79" s="1"/>
  <c r="E58" i="79"/>
  <c r="F57" i="79"/>
  <c r="F56" i="79"/>
  <c r="F55" i="79"/>
  <c r="G54" i="79"/>
  <c r="E53" i="79"/>
  <c r="E52" i="79"/>
  <c r="F51" i="79"/>
  <c r="F50" i="79"/>
  <c r="F49" i="79"/>
  <c r="E48" i="79"/>
  <c r="F47" i="79"/>
  <c r="G46" i="79"/>
  <c r="E45" i="79"/>
  <c r="F44" i="79"/>
  <c r="G43" i="79"/>
  <c r="F42" i="79"/>
  <c r="F41" i="79"/>
  <c r="F40" i="79"/>
  <c r="F39" i="79"/>
  <c r="E38" i="79"/>
  <c r="E37" i="79"/>
  <c r="F36" i="79"/>
  <c r="F35" i="79"/>
  <c r="F34" i="79"/>
  <c r="E33" i="79"/>
  <c r="E32" i="79"/>
  <c r="E31" i="79"/>
  <c r="F30" i="79"/>
  <c r="F29" i="79"/>
  <c r="F28" i="79"/>
  <c r="E27" i="79"/>
  <c r="E26" i="79"/>
  <c r="F25" i="79"/>
  <c r="E24" i="79"/>
  <c r="E22" i="79"/>
  <c r="F21" i="79"/>
  <c r="F16" i="79" s="1"/>
  <c r="F6" i="79" s="1"/>
  <c r="F20" i="79"/>
  <c r="E19" i="79"/>
  <c r="E18" i="79"/>
  <c r="G16" i="79"/>
  <c r="G6" i="79" s="1"/>
  <c r="G7" i="79" s="1"/>
  <c r="D16" i="79"/>
  <c r="N19" i="79" l="1"/>
  <c r="E16" i="79"/>
  <c r="M19" i="79"/>
  <c r="M23" i="79" s="1"/>
  <c r="N20" i="79"/>
  <c r="D6" i="79"/>
  <c r="D7" i="79"/>
  <c r="B5" i="79"/>
  <c r="B3" i="79"/>
  <c r="D24" i="65"/>
  <c r="D27" i="65" s="1"/>
  <c r="D29" i="65" s="1"/>
  <c r="E22" i="65"/>
  <c r="E21" i="65"/>
  <c r="E20" i="65"/>
  <c r="E19" i="65"/>
  <c r="E18" i="65"/>
  <c r="E17" i="65"/>
  <c r="E16" i="65"/>
  <c r="E15" i="65"/>
  <c r="D6" i="65"/>
  <c r="E27" i="65" l="1"/>
  <c r="E6" i="65" s="1"/>
  <c r="E6" i="79"/>
  <c r="L19" i="79"/>
  <c r="L18" i="79"/>
  <c r="D18" i="12"/>
  <c r="N21" i="79"/>
  <c r="N23" i="79" s="1"/>
  <c r="F7" i="79"/>
  <c r="E7" i="79"/>
  <c r="H18" i="78"/>
  <c r="F18" i="78"/>
  <c r="D18" i="78"/>
  <c r="G17" i="78"/>
  <c r="G16" i="78"/>
  <c r="D16" i="78"/>
  <c r="G15" i="78"/>
  <c r="E14" i="78"/>
  <c r="G14" i="78" s="1"/>
  <c r="D6" i="78"/>
  <c r="L25" i="79" l="1"/>
  <c r="I6" i="79" s="1"/>
  <c r="L14" i="78"/>
  <c r="L18" i="78" s="1"/>
  <c r="E6" i="78"/>
  <c r="E7" i="78" s="1"/>
  <c r="E13" i="78"/>
  <c r="E18" i="78" s="1"/>
  <c r="L13" i="78" s="1"/>
  <c r="D7" i="78"/>
  <c r="D15" i="12" s="1"/>
  <c r="G13" i="78" l="1"/>
  <c r="G18" i="78" s="1"/>
  <c r="H24" i="77"/>
  <c r="C16" i="77"/>
  <c r="E16" i="77" s="1"/>
  <c r="E19" i="77" s="1"/>
  <c r="G6" i="77" s="1"/>
  <c r="C17" i="77"/>
  <c r="D17" i="77" s="1"/>
  <c r="D19" i="77" s="1"/>
  <c r="E6" i="77"/>
  <c r="I23" i="77"/>
  <c r="J23" i="77" s="1"/>
  <c r="I20" i="77"/>
  <c r="J20" i="77" s="1"/>
  <c r="G18" i="77"/>
  <c r="G15" i="77"/>
  <c r="G19" i="77" s="1"/>
  <c r="I6" i="77" s="1"/>
  <c r="I7" i="77" s="1"/>
  <c r="J22" i="77" l="1"/>
  <c r="J26" i="77" s="1"/>
  <c r="F6" i="77"/>
  <c r="H22" i="77"/>
  <c r="H28" i="77" s="1"/>
  <c r="I24" i="77"/>
  <c r="I26" i="77" s="1"/>
  <c r="I22" i="77"/>
  <c r="M14" i="78"/>
  <c r="M18" i="78" s="1"/>
  <c r="L19" i="78" s="1"/>
  <c r="G6" i="78" s="1"/>
  <c r="G7" i="78" s="1"/>
  <c r="E15" i="12" s="1"/>
  <c r="F6" i="78"/>
  <c r="F7" i="78" s="1"/>
  <c r="C19" i="77"/>
  <c r="H26" i="77" l="1"/>
  <c r="K6" i="77"/>
  <c r="H27" i="77"/>
  <c r="J6" i="77" s="1"/>
  <c r="G7" i="77"/>
  <c r="F7" i="77"/>
  <c r="E7" i="77"/>
  <c r="C5" i="77"/>
  <c r="C3" i="77"/>
  <c r="H21" i="77" l="1"/>
  <c r="D13" i="12"/>
  <c r="J7" i="77"/>
  <c r="E13" i="12" s="1"/>
  <c r="K7" i="77"/>
  <c r="F13" i="12" s="1"/>
  <c r="C21" i="77"/>
  <c r="E7" i="76"/>
  <c r="D7" i="76" l="1"/>
  <c r="I6" i="56" l="1"/>
  <c r="J6" i="56" s="1"/>
  <c r="F6" i="76"/>
  <c r="F10" i="76" s="1"/>
  <c r="E6" i="76"/>
  <c r="D6" i="76"/>
  <c r="D10" i="76" s="1"/>
  <c r="B5" i="76"/>
  <c r="B3" i="76"/>
  <c r="E10" i="76" l="1"/>
  <c r="E2" i="75" l="1"/>
  <c r="F2" i="75"/>
  <c r="M4" i="75"/>
  <c r="G5" i="75"/>
  <c r="H5" i="75"/>
  <c r="G6" i="75"/>
  <c r="G7" i="75"/>
  <c r="G8" i="75"/>
  <c r="G9" i="75"/>
  <c r="G10" i="75"/>
  <c r="G11" i="75"/>
  <c r="G12" i="75"/>
  <c r="G13" i="75"/>
  <c r="G14" i="75"/>
  <c r="G15" i="75"/>
  <c r="G16" i="75"/>
  <c r="G17" i="75"/>
  <c r="G18" i="75"/>
  <c r="G19" i="75"/>
  <c r="G20" i="75"/>
  <c r="G21" i="75"/>
  <c r="G22" i="75"/>
  <c r="G23" i="75"/>
  <c r="G24" i="75"/>
  <c r="G25" i="75"/>
  <c r="G26" i="75"/>
  <c r="G27" i="75"/>
  <c r="G28" i="75"/>
  <c r="G29" i="75"/>
  <c r="G30" i="75"/>
  <c r="G31" i="75"/>
  <c r="H31" i="75"/>
  <c r="G32" i="75"/>
  <c r="G33" i="75"/>
  <c r="G34" i="75"/>
  <c r="G35" i="75"/>
  <c r="G36" i="75"/>
  <c r="H36" i="75"/>
  <c r="G37" i="75"/>
  <c r="H37" i="75"/>
  <c r="G38" i="75"/>
  <c r="G39" i="75"/>
  <c r="G40" i="75"/>
  <c r="G41" i="75"/>
  <c r="G42" i="75"/>
  <c r="G43" i="75"/>
  <c r="H43" i="75"/>
  <c r="G44" i="75"/>
  <c r="G45" i="75"/>
  <c r="H45" i="75"/>
  <c r="G46" i="75"/>
  <c r="G47" i="75"/>
  <c r="H47" i="75"/>
  <c r="G48" i="75"/>
  <c r="G49" i="75"/>
  <c r="H49" i="75"/>
  <c r="G50" i="75"/>
  <c r="G51" i="75"/>
  <c r="G52" i="75"/>
  <c r="G53" i="75"/>
  <c r="G54" i="75"/>
  <c r="H54" i="75"/>
  <c r="G55" i="75"/>
  <c r="G56" i="75"/>
  <c r="G57" i="75"/>
  <c r="G58" i="75"/>
  <c r="G59" i="75"/>
  <c r="G60" i="75"/>
  <c r="G61" i="75"/>
  <c r="G62" i="75"/>
  <c r="G63" i="75"/>
  <c r="H63" i="75"/>
  <c r="G64" i="75"/>
  <c r="G65" i="75"/>
  <c r="G66" i="75"/>
  <c r="G67" i="75"/>
  <c r="G68" i="75"/>
  <c r="H68" i="75"/>
  <c r="G69" i="75"/>
  <c r="G70" i="75"/>
  <c r="G71" i="75"/>
  <c r="G72" i="75"/>
  <c r="G73" i="75"/>
  <c r="G74" i="75"/>
  <c r="G75" i="75"/>
  <c r="G76" i="75"/>
  <c r="H76" i="75"/>
  <c r="G77" i="75"/>
  <c r="G78" i="75"/>
  <c r="G79" i="75"/>
  <c r="G80" i="75"/>
  <c r="G81" i="75"/>
  <c r="G82" i="75"/>
  <c r="G83" i="75"/>
  <c r="G84" i="75"/>
  <c r="G85" i="75"/>
  <c r="H85" i="75"/>
  <c r="G86" i="75"/>
  <c r="H86" i="75"/>
  <c r="G87" i="75"/>
  <c r="G88" i="75"/>
  <c r="G89" i="75"/>
  <c r="G90" i="75"/>
  <c r="G91" i="75"/>
  <c r="G92" i="75"/>
  <c r="G93" i="75"/>
  <c r="G94" i="75"/>
  <c r="G95" i="75"/>
  <c r="G96" i="75"/>
  <c r="G97" i="75"/>
  <c r="G98" i="75"/>
  <c r="G99" i="75"/>
  <c r="G100" i="75"/>
  <c r="G101" i="75"/>
  <c r="G102" i="75"/>
  <c r="G103" i="75"/>
  <c r="G104" i="75"/>
  <c r="G105" i="75"/>
  <c r="G106" i="75"/>
  <c r="G107" i="75"/>
  <c r="G108" i="75"/>
  <c r="G109" i="75"/>
  <c r="G110" i="75"/>
  <c r="G111" i="75"/>
  <c r="G112" i="75"/>
  <c r="G113" i="75"/>
  <c r="G114" i="75"/>
  <c r="G115" i="75"/>
  <c r="G116" i="75"/>
  <c r="G117" i="75"/>
  <c r="G118" i="75"/>
  <c r="G119" i="75"/>
  <c r="G120" i="75"/>
  <c r="G121" i="75"/>
  <c r="G122" i="75"/>
  <c r="G123" i="75"/>
  <c r="G124" i="75"/>
  <c r="G125" i="75"/>
  <c r="G126" i="75"/>
  <c r="G127" i="75"/>
  <c r="G128" i="75"/>
  <c r="G129" i="75"/>
  <c r="G130" i="75"/>
  <c r="G131" i="75"/>
  <c r="G132" i="75"/>
  <c r="G133" i="75"/>
  <c r="G134" i="75"/>
  <c r="G135" i="75"/>
  <c r="G136" i="75"/>
  <c r="G137" i="75"/>
  <c r="G138" i="75"/>
  <c r="G139" i="75"/>
  <c r="G140" i="75"/>
  <c r="G141" i="75"/>
  <c r="G142" i="75"/>
  <c r="G143" i="75"/>
  <c r="G144" i="75"/>
  <c r="G145" i="75"/>
  <c r="H145" i="75"/>
  <c r="G146" i="75"/>
  <c r="H146" i="75"/>
  <c r="G147" i="75"/>
  <c r="G148" i="75"/>
  <c r="H148" i="75"/>
  <c r="G149" i="75"/>
  <c r="G150" i="75"/>
  <c r="G151" i="75"/>
  <c r="H151" i="75"/>
  <c r="G152" i="75"/>
  <c r="G153" i="75"/>
  <c r="G154" i="75"/>
  <c r="G155" i="75"/>
  <c r="G156" i="75"/>
  <c r="G157" i="75"/>
  <c r="G158" i="75"/>
  <c r="G159" i="75"/>
  <c r="G160" i="75"/>
  <c r="G161" i="75"/>
  <c r="G162" i="75"/>
  <c r="G163" i="75"/>
  <c r="G164" i="75"/>
  <c r="G165" i="75"/>
  <c r="G166" i="75"/>
  <c r="G2" i="75" l="1"/>
  <c r="H2" i="75"/>
  <c r="I2" i="75" s="1"/>
  <c r="M31" i="75"/>
  <c r="P25" i="63"/>
  <c r="Q24" i="63"/>
  <c r="Q25" i="63" s="1"/>
  <c r="Q21" i="63"/>
  <c r="R21" i="63" s="1"/>
  <c r="S21" i="63" s="1"/>
  <c r="R24" i="63" l="1"/>
  <c r="R25" i="63" s="1"/>
  <c r="S24" i="63" l="1"/>
  <c r="E186" i="63"/>
  <c r="J186" i="63"/>
  <c r="D186" i="63"/>
  <c r="D21" i="63"/>
  <c r="F185" i="63"/>
  <c r="F184" i="63"/>
  <c r="F183" i="63"/>
  <c r="F182" i="63"/>
  <c r="F181" i="63"/>
  <c r="F180" i="63"/>
  <c r="F179" i="63"/>
  <c r="F178" i="63"/>
  <c r="F177" i="63"/>
  <c r="F176" i="63"/>
  <c r="F175" i="63"/>
  <c r="F174" i="63"/>
  <c r="F173" i="63"/>
  <c r="F172" i="63"/>
  <c r="F171" i="63"/>
  <c r="F170" i="63"/>
  <c r="F169" i="63"/>
  <c r="F168" i="63"/>
  <c r="F167" i="63"/>
  <c r="F166" i="63"/>
  <c r="F165" i="63"/>
  <c r="F164" i="63"/>
  <c r="F163" i="63"/>
  <c r="F162" i="63"/>
  <c r="F161" i="63"/>
  <c r="F160" i="63"/>
  <c r="F159" i="63"/>
  <c r="F158" i="63"/>
  <c r="F157" i="63"/>
  <c r="F156" i="63"/>
  <c r="F155" i="63"/>
  <c r="F154" i="63"/>
  <c r="F153" i="63"/>
  <c r="F152" i="63"/>
  <c r="F151" i="63"/>
  <c r="F150" i="63"/>
  <c r="F149" i="63"/>
  <c r="F148" i="63"/>
  <c r="F147" i="63"/>
  <c r="F146" i="63"/>
  <c r="F145" i="63"/>
  <c r="F144" i="63"/>
  <c r="F143" i="63"/>
  <c r="F142" i="63"/>
  <c r="F141" i="63"/>
  <c r="F140" i="63"/>
  <c r="F139" i="63"/>
  <c r="F138" i="63"/>
  <c r="F137" i="63"/>
  <c r="F136" i="63"/>
  <c r="F135" i="63"/>
  <c r="F134" i="63"/>
  <c r="F133" i="63"/>
  <c r="F132" i="63"/>
  <c r="F131" i="63"/>
  <c r="F130" i="63"/>
  <c r="F129" i="63"/>
  <c r="F128" i="63"/>
  <c r="F127" i="63"/>
  <c r="F126" i="63"/>
  <c r="F125" i="63"/>
  <c r="F124" i="63"/>
  <c r="F123" i="63"/>
  <c r="F122" i="63"/>
  <c r="F121" i="63"/>
  <c r="F120" i="63"/>
  <c r="F119" i="63"/>
  <c r="F118" i="63"/>
  <c r="F117" i="63"/>
  <c r="F116" i="63"/>
  <c r="F115" i="63"/>
  <c r="F114" i="63"/>
  <c r="F113" i="63"/>
  <c r="F112" i="63"/>
  <c r="F111" i="63"/>
  <c r="F110" i="63"/>
  <c r="F109" i="63"/>
  <c r="F108" i="63"/>
  <c r="F107" i="63"/>
  <c r="F106" i="63"/>
  <c r="F105" i="63"/>
  <c r="F104" i="63"/>
  <c r="F103" i="63"/>
  <c r="F102" i="63"/>
  <c r="F101" i="63"/>
  <c r="F100" i="63"/>
  <c r="F99" i="63"/>
  <c r="F98" i="63"/>
  <c r="F97" i="63"/>
  <c r="K97" i="63" s="1"/>
  <c r="F96" i="63"/>
  <c r="K96" i="63" s="1"/>
  <c r="F95" i="63"/>
  <c r="K95" i="63" s="1"/>
  <c r="F94" i="63"/>
  <c r="K94" i="63" s="1"/>
  <c r="F93" i="63"/>
  <c r="H93" i="63" s="1"/>
  <c r="F92" i="63"/>
  <c r="H92" i="63" s="1"/>
  <c r="F91" i="63"/>
  <c r="H91" i="63" s="1"/>
  <c r="F90" i="63"/>
  <c r="H90" i="63" s="1"/>
  <c r="F89" i="63"/>
  <c r="H89" i="63" s="1"/>
  <c r="F88" i="63"/>
  <c r="H88" i="63" s="1"/>
  <c r="F87" i="63"/>
  <c r="F86" i="63"/>
  <c r="H86" i="63" s="1"/>
  <c r="F85" i="63"/>
  <c r="H85" i="63" s="1"/>
  <c r="F84" i="63"/>
  <c r="H84" i="63" s="1"/>
  <c r="F83" i="63"/>
  <c r="F82" i="63"/>
  <c r="H82" i="63" s="1"/>
  <c r="F81" i="63"/>
  <c r="F80" i="63"/>
  <c r="F79" i="63"/>
  <c r="K79" i="63" s="1"/>
  <c r="F78" i="63"/>
  <c r="H78" i="63" s="1"/>
  <c r="F77" i="63"/>
  <c r="F76" i="63"/>
  <c r="F75" i="63"/>
  <c r="H75" i="63" s="1"/>
  <c r="F74" i="63"/>
  <c r="H74" i="63" s="1"/>
  <c r="F73" i="63"/>
  <c r="F72" i="63"/>
  <c r="F71" i="63"/>
  <c r="F70" i="63"/>
  <c r="K70" i="63" s="1"/>
  <c r="F69" i="63"/>
  <c r="F68" i="63"/>
  <c r="I68" i="63" s="1"/>
  <c r="F67" i="63"/>
  <c r="F66" i="63"/>
  <c r="F65" i="63"/>
  <c r="F64" i="63"/>
  <c r="F63" i="63"/>
  <c r="I63" i="63" s="1"/>
  <c r="F62" i="63"/>
  <c r="I62" i="63" s="1"/>
  <c r="F61" i="63"/>
  <c r="F60" i="63"/>
  <c r="F59" i="63"/>
  <c r="F58" i="63"/>
  <c r="F57" i="63"/>
  <c r="F56" i="63"/>
  <c r="F55" i="63"/>
  <c r="F54" i="63"/>
  <c r="H54" i="63" s="1"/>
  <c r="F53" i="63"/>
  <c r="K53" i="63" s="1"/>
  <c r="F52" i="63"/>
  <c r="K52" i="63" s="1"/>
  <c r="F51" i="63"/>
  <c r="F50" i="63"/>
  <c r="I50" i="63" s="1"/>
  <c r="F49" i="63"/>
  <c r="F48" i="63"/>
  <c r="F47" i="63"/>
  <c r="F46" i="63"/>
  <c r="F45" i="63"/>
  <c r="F44" i="63"/>
  <c r="F43" i="63"/>
  <c r="F42" i="63"/>
  <c r="F41" i="63"/>
  <c r="F40" i="63"/>
  <c r="F39" i="63"/>
  <c r="F38" i="63"/>
  <c r="F37" i="63"/>
  <c r="F36" i="63"/>
  <c r="F35" i="63"/>
  <c r="F34" i="63"/>
  <c r="F33" i="63"/>
  <c r="F32" i="63"/>
  <c r="I32" i="63" s="1"/>
  <c r="F31" i="63"/>
  <c r="F30" i="63"/>
  <c r="F29" i="63"/>
  <c r="F28" i="63"/>
  <c r="F27" i="63"/>
  <c r="F26" i="63"/>
  <c r="K26" i="63" s="1"/>
  <c r="F25" i="63"/>
  <c r="K25" i="63" s="1"/>
  <c r="F24" i="63"/>
  <c r="J21" i="63"/>
  <c r="G7" i="63" s="1"/>
  <c r="G8" i="63" s="1"/>
  <c r="E21" i="63"/>
  <c r="K186" i="63" l="1"/>
  <c r="S23" i="63" s="1"/>
  <c r="S27" i="63" s="1"/>
  <c r="H186" i="63"/>
  <c r="R23" i="63"/>
  <c r="R27" i="63" s="1"/>
  <c r="I186" i="63"/>
  <c r="F186" i="63"/>
  <c r="P22" i="63" s="1"/>
  <c r="F21" i="63"/>
  <c r="I21" i="63"/>
  <c r="H21" i="63"/>
  <c r="K21" i="63"/>
  <c r="H7" i="63" l="1"/>
  <c r="P23" i="63"/>
  <c r="E7" i="63"/>
  <c r="Q23" i="63"/>
  <c r="Q27" i="63" s="1"/>
  <c r="F7" i="63"/>
  <c r="P8" i="59"/>
  <c r="E8" i="69" s="1"/>
  <c r="F8" i="69" s="1"/>
  <c r="P12" i="59"/>
  <c r="H106" i="58"/>
  <c r="H107" i="58"/>
  <c r="H15" i="66"/>
  <c r="H16" i="66"/>
  <c r="E150" i="58"/>
  <c r="E60" i="66"/>
  <c r="P31" i="63" l="1"/>
  <c r="P27" i="63"/>
  <c r="P28" i="63" s="1"/>
  <c r="J7" i="63"/>
  <c r="I7" i="63" l="1"/>
  <c r="D7" i="74"/>
  <c r="Q16" i="74" s="1"/>
  <c r="B9" i="74"/>
  <c r="F8" i="74"/>
  <c r="D8" i="74" l="1"/>
  <c r="D22" i="12" s="1"/>
  <c r="E8" i="74"/>
  <c r="V40" i="73" l="1"/>
  <c r="V41" i="73" s="1"/>
  <c r="V24" i="73" s="1"/>
  <c r="O38" i="73"/>
  <c r="O39" i="73" s="1"/>
  <c r="O24" i="73" s="1"/>
  <c r="W36" i="73"/>
  <c r="D34" i="73"/>
  <c r="K33" i="73"/>
  <c r="K34" i="73" s="1"/>
  <c r="E24" i="73" s="1"/>
  <c r="P32" i="73"/>
  <c r="F28" i="73"/>
  <c r="U25" i="73"/>
  <c r="U26" i="73" s="1"/>
  <c r="N25" i="73"/>
  <c r="P25" i="73" s="1"/>
  <c r="D25" i="73"/>
  <c r="F25" i="73" s="1"/>
  <c r="W24" i="73"/>
  <c r="P24" i="73"/>
  <c r="F24" i="73"/>
  <c r="T11" i="73"/>
  <c r="L11" i="73"/>
  <c r="B11" i="73"/>
  <c r="C3" i="73"/>
  <c r="X36" i="73" s="1"/>
  <c r="D26" i="72"/>
  <c r="C3" i="72" s="1"/>
  <c r="G19" i="72" s="1"/>
  <c r="K25" i="72"/>
  <c r="K26" i="72" s="1"/>
  <c r="E6" i="72" s="1"/>
  <c r="F19" i="72"/>
  <c r="L13" i="72"/>
  <c r="D7" i="72"/>
  <c r="D8" i="72" s="1"/>
  <c r="F6" i="72"/>
  <c r="F6" i="70"/>
  <c r="E6" i="70"/>
  <c r="D10" i="69"/>
  <c r="D23" i="12" s="1"/>
  <c r="E7" i="69"/>
  <c r="F7" i="69" s="1"/>
  <c r="F10" i="69" s="1"/>
  <c r="F23" i="12" s="1"/>
  <c r="E25" i="73" l="1"/>
  <c r="G24" i="73"/>
  <c r="O25" i="73"/>
  <c r="Q24" i="73"/>
  <c r="U27" i="73"/>
  <c r="W26" i="73"/>
  <c r="X24" i="73"/>
  <c r="V25" i="73"/>
  <c r="N26" i="73"/>
  <c r="G28" i="73"/>
  <c r="Q32" i="73"/>
  <c r="D26" i="73"/>
  <c r="W25" i="73"/>
  <c r="G6" i="72"/>
  <c r="E7" i="72"/>
  <c r="D9" i="72"/>
  <c r="F8" i="72"/>
  <c r="F7" i="72"/>
  <c r="P26" i="73" l="1"/>
  <c r="N27" i="73"/>
  <c r="F26" i="73"/>
  <c r="D27" i="73"/>
  <c r="F27" i="73" s="1"/>
  <c r="X25" i="73"/>
  <c r="V26" i="73"/>
  <c r="U28" i="73"/>
  <c r="W27" i="73"/>
  <c r="G25" i="73"/>
  <c r="E26" i="73"/>
  <c r="Q25" i="73"/>
  <c r="O26" i="73"/>
  <c r="D10" i="72"/>
  <c r="F9" i="72"/>
  <c r="G7" i="72"/>
  <c r="E8" i="72"/>
  <c r="Q26" i="73" l="1"/>
  <c r="O27" i="73"/>
  <c r="U29" i="73"/>
  <c r="W28" i="73"/>
  <c r="X26" i="73"/>
  <c r="V27" i="73"/>
  <c r="N28" i="73"/>
  <c r="P27" i="73"/>
  <c r="G26" i="73"/>
  <c r="E27" i="73"/>
  <c r="D11" i="72"/>
  <c r="F10" i="72"/>
  <c r="G8" i="72"/>
  <c r="E9" i="72"/>
  <c r="I7" i="59"/>
  <c r="H7" i="59"/>
  <c r="O28" i="73" l="1"/>
  <c r="Q27" i="73"/>
  <c r="N29" i="73"/>
  <c r="P28" i="73"/>
  <c r="W29" i="73"/>
  <c r="U30" i="73"/>
  <c r="G27" i="73"/>
  <c r="G29" i="73" s="1"/>
  <c r="E29" i="73"/>
  <c r="V28" i="73"/>
  <c r="X27" i="73"/>
  <c r="D12" i="72"/>
  <c r="F11" i="72"/>
  <c r="G9" i="72"/>
  <c r="E10" i="72"/>
  <c r="I6" i="59"/>
  <c r="H6" i="59"/>
  <c r="D36" i="73" l="1"/>
  <c r="V29" i="73"/>
  <c r="X28" i="73"/>
  <c r="O29" i="73"/>
  <c r="Q28" i="73"/>
  <c r="P29" i="73"/>
  <c r="N30" i="73"/>
  <c r="W30" i="73"/>
  <c r="U31" i="73"/>
  <c r="D13" i="72"/>
  <c r="F12" i="72"/>
  <c r="G10" i="72"/>
  <c r="E11" i="72"/>
  <c r="E9" i="58"/>
  <c r="F9" i="58" s="1"/>
  <c r="E9" i="66"/>
  <c r="U32" i="73" l="1"/>
  <c r="W31" i="73"/>
  <c r="X29" i="73"/>
  <c r="V30" i="73"/>
  <c r="N31" i="73"/>
  <c r="P31" i="73" s="1"/>
  <c r="P30" i="73"/>
  <c r="Q29" i="73"/>
  <c r="O30" i="73"/>
  <c r="D37" i="73"/>
  <c r="D38" i="73" s="1"/>
  <c r="F38" i="73" s="1"/>
  <c r="G11" i="72"/>
  <c r="E12" i="72"/>
  <c r="F13" i="72"/>
  <c r="D14" i="72"/>
  <c r="F9" i="66"/>
  <c r="Q30" i="73" l="1"/>
  <c r="O31" i="73"/>
  <c r="Q31" i="73" s="1"/>
  <c r="O33" i="73"/>
  <c r="X30" i="73"/>
  <c r="V31" i="73"/>
  <c r="W32" i="73"/>
  <c r="U33" i="73"/>
  <c r="G12" i="72"/>
  <c r="E13" i="72"/>
  <c r="F14" i="72"/>
  <c r="D15" i="72"/>
  <c r="Q33" i="73" l="1"/>
  <c r="U34" i="73"/>
  <c r="W33" i="73"/>
  <c r="V32" i="73"/>
  <c r="X31" i="73"/>
  <c r="F15" i="72"/>
  <c r="D16" i="72"/>
  <c r="G13" i="72"/>
  <c r="E14" i="72"/>
  <c r="E8" i="58"/>
  <c r="F8" i="58" s="1"/>
  <c r="E8" i="66"/>
  <c r="F8" i="66" s="1"/>
  <c r="E6" i="58"/>
  <c r="F6" i="58" s="1"/>
  <c r="E6" i="66"/>
  <c r="E10" i="66" l="1"/>
  <c r="F6" i="66"/>
  <c r="F10" i="66" s="1"/>
  <c r="V33" i="73"/>
  <c r="X32" i="73"/>
  <c r="U35" i="73"/>
  <c r="W35" i="73" s="1"/>
  <c r="W34" i="73"/>
  <c r="F16" i="72"/>
  <c r="D17" i="72"/>
  <c r="E15" i="72"/>
  <c r="G14" i="72"/>
  <c r="E7" i="70"/>
  <c r="F7" i="70" s="1"/>
  <c r="F6" i="64"/>
  <c r="E6" i="64"/>
  <c r="X33" i="73" l="1"/>
  <c r="V34" i="73"/>
  <c r="G15" i="72"/>
  <c r="E16" i="72"/>
  <c r="F17" i="72"/>
  <c r="D18" i="72"/>
  <c r="F18" i="72" s="1"/>
  <c r="E8" i="63"/>
  <c r="F8" i="63"/>
  <c r="H8" i="63"/>
  <c r="F6" i="71"/>
  <c r="E6" i="71"/>
  <c r="V35" i="73" l="1"/>
  <c r="X34" i="73"/>
  <c r="E17" i="72"/>
  <c r="G16" i="72"/>
  <c r="X35" i="73" l="1"/>
  <c r="X37" i="73" s="1"/>
  <c r="I40" i="73" s="1"/>
  <c r="V37" i="73"/>
  <c r="G17" i="72"/>
  <c r="E18" i="72"/>
  <c r="E10" i="58"/>
  <c r="F10" i="58"/>
  <c r="D10" i="58"/>
  <c r="D10" i="66"/>
  <c r="B5" i="66"/>
  <c r="E8" i="70"/>
  <c r="F8" i="70"/>
  <c r="B8" i="71"/>
  <c r="F7" i="71"/>
  <c r="E7" i="71"/>
  <c r="D7" i="71"/>
  <c r="B5" i="71"/>
  <c r="B3" i="71"/>
  <c r="D8" i="70"/>
  <c r="B5" i="70"/>
  <c r="B3" i="70"/>
  <c r="E10" i="69"/>
  <c r="E23" i="12" s="1"/>
  <c r="B3" i="69"/>
  <c r="B5" i="69"/>
  <c r="B3" i="67"/>
  <c r="B5" i="67"/>
  <c r="B5" i="58"/>
  <c r="B5" i="65"/>
  <c r="B5" i="64"/>
  <c r="B5" i="56"/>
  <c r="B6" i="63"/>
  <c r="E7" i="67"/>
  <c r="F7" i="67"/>
  <c r="D7" i="67"/>
  <c r="G18" i="72" l="1"/>
  <c r="G20" i="72" s="1"/>
  <c r="E20" i="72"/>
  <c r="D7" i="64"/>
  <c r="D16" i="12" s="1"/>
  <c r="F8" i="56"/>
  <c r="G8" i="56"/>
  <c r="H8" i="56"/>
  <c r="I8" i="56"/>
  <c r="J8" i="56"/>
  <c r="E8" i="56"/>
  <c r="D12" i="12" s="1"/>
  <c r="J8" i="63"/>
  <c r="F11" i="12" s="1"/>
  <c r="I8" i="63"/>
  <c r="E11" i="12" s="1"/>
  <c r="D8" i="63"/>
  <c r="D11" i="12" s="1"/>
  <c r="E12" i="12" l="1"/>
  <c r="F12" i="12"/>
  <c r="D28" i="72"/>
  <c r="D29" i="72" s="1"/>
  <c r="D30" i="72" s="1"/>
  <c r="F29" i="72" s="1"/>
  <c r="O4" i="63"/>
  <c r="O5" i="63"/>
  <c r="B11" i="66"/>
  <c r="B3" i="66"/>
  <c r="I10" i="59" l="1"/>
  <c r="F10" i="12" s="1"/>
  <c r="H10" i="59"/>
  <c r="E10" i="12" s="1"/>
  <c r="B8" i="65"/>
  <c r="E7" i="65"/>
  <c r="E17" i="12" s="1"/>
  <c r="D7" i="65"/>
  <c r="D17" i="12" s="1"/>
  <c r="B3" i="65"/>
  <c r="B3" i="64"/>
  <c r="F7" i="65" l="1"/>
  <c r="F17" i="12" s="1"/>
  <c r="E7" i="64" l="1"/>
  <c r="E16" i="12" s="1"/>
  <c r="F7" i="64"/>
  <c r="F16" i="12" s="1"/>
  <c r="B5" i="59" l="1"/>
  <c r="B3" i="59"/>
  <c r="D10" i="59" l="1"/>
  <c r="D10" i="12" s="1"/>
  <c r="D24" i="12" s="1"/>
  <c r="F9" i="59" l="1"/>
  <c r="F8" i="59"/>
  <c r="F7" i="59"/>
  <c r="F6" i="59"/>
  <c r="B3" i="56" l="1"/>
  <c r="B3" i="58"/>
  <c r="B11" i="58"/>
  <c r="B9" i="56" l="1"/>
  <c r="B11" i="59" l="1"/>
  <c r="B11" i="76"/>
  <c r="D3" i="34" l="1"/>
  <c r="E26" i="36" l="1"/>
  <c r="D2" i="34" l="1"/>
  <c r="C4" i="33"/>
  <c r="C3" i="33"/>
  <c r="C5" i="35" l="1"/>
  <c r="C11" i="35" s="1"/>
  <c r="D5" i="34"/>
  <c r="C2" i="33" l="1"/>
  <c r="C6" i="33" s="1"/>
  <c r="D14" i="3" l="1"/>
  <c r="C14" i="3" l="1"/>
  <c r="C12" i="3" l="1"/>
  <c r="D11" i="3"/>
  <c r="C10" i="3"/>
  <c r="C8" i="3" l="1"/>
  <c r="C11" i="3"/>
  <c r="C9" i="3"/>
  <c r="C7" i="3"/>
  <c r="C16" i="3" s="1"/>
  <c r="D10" i="3"/>
  <c r="D7" i="3"/>
  <c r="D16" i="3" l="1"/>
  <c r="C17" i="3" s="1"/>
  <c r="C20" i="3" s="1"/>
  <c r="L23" i="79"/>
  <c r="L24" i="79" s="1"/>
  <c r="H6" i="79" s="1"/>
  <c r="I7" i="79" l="1"/>
  <c r="F18" i="12" s="1"/>
  <c r="H7" i="79"/>
  <c r="E18" i="12" s="1"/>
  <c r="E24" i="12" l="1"/>
  <c r="F24" i="12"/>
</calcChain>
</file>

<file path=xl/sharedStrings.xml><?xml version="1.0" encoding="utf-8"?>
<sst xmlns="http://schemas.openxmlformats.org/spreadsheetml/2006/main" count="4544" uniqueCount="722">
  <si>
    <t>S.No.</t>
  </si>
  <si>
    <t>Items</t>
  </si>
  <si>
    <t>Particulars</t>
  </si>
  <si>
    <t>RECOVERABLE</t>
  </si>
  <si>
    <t>Investments</t>
  </si>
  <si>
    <t>Summary  of Current Assets:-</t>
  </si>
  <si>
    <t>Trade Receivables</t>
  </si>
  <si>
    <t>Advances</t>
  </si>
  <si>
    <t>Short Term Loans &amp; advances</t>
  </si>
  <si>
    <t>Long Term Loans &amp; Advances</t>
  </si>
  <si>
    <t>Inventories</t>
  </si>
  <si>
    <t>Cash &amp; Bank Balance</t>
  </si>
  <si>
    <t>Security Deposit</t>
  </si>
  <si>
    <t>NON-RECOVERABLE</t>
  </si>
  <si>
    <t>Total ( Recoverable+Non-Recoverable)</t>
  </si>
  <si>
    <t>[ Reconciled with audited Balance Sheet ]</t>
  </si>
  <si>
    <t>VALUATION OF CURRENT ASSETS AS ON 7TH NOV' 2017 :-</t>
  </si>
  <si>
    <t>DETAILS</t>
  </si>
  <si>
    <t>SL</t>
  </si>
  <si>
    <t>Potential valuation of current assets in % of total current assets</t>
  </si>
  <si>
    <t>REMARKS &amp; NOTES:-</t>
  </si>
  <si>
    <t>Total</t>
  </si>
  <si>
    <t>Remarks</t>
  </si>
  <si>
    <t>TOTAL:</t>
  </si>
  <si>
    <t>S. No.</t>
  </si>
  <si>
    <t>Annexure</t>
  </si>
  <si>
    <t>Party Name</t>
  </si>
  <si>
    <t>Expected Date of realization/ settlement</t>
  </si>
  <si>
    <t>Fair Valuation Assessment</t>
  </si>
  <si>
    <t>Advance Date</t>
  </si>
  <si>
    <t>I</t>
  </si>
  <si>
    <t>IV</t>
  </si>
  <si>
    <t>OTHER CURRENT ASSETS</t>
  </si>
  <si>
    <t>OCFA</t>
  </si>
  <si>
    <t>LT L&amp;A (Sec. Deposit Other)</t>
  </si>
  <si>
    <t>OCA</t>
  </si>
  <si>
    <t>FSA coal from SECL</t>
  </si>
  <si>
    <t>Current Invoice</t>
  </si>
  <si>
    <t>Per Tonne</t>
  </si>
  <si>
    <t>Rates</t>
  </si>
  <si>
    <t>Rs. per tonne</t>
  </si>
  <si>
    <t>ROM</t>
  </si>
  <si>
    <t>Royalty</t>
  </si>
  <si>
    <t>Stowing excise duty per tonne</t>
  </si>
  <si>
    <t>Sizing charges</t>
  </si>
  <si>
    <t>NMET</t>
  </si>
  <si>
    <t xml:space="preserve">DMF contribution </t>
  </si>
  <si>
    <t>CG Dev. Tax per tonne (Paryavaran Upkar)</t>
  </si>
  <si>
    <t>CG Env. Tax per tonne (Vikas Upkar)</t>
  </si>
  <si>
    <t>Excise Duty</t>
  </si>
  <si>
    <t>Energy Cess</t>
  </si>
  <si>
    <t>Terminal tax</t>
  </si>
  <si>
    <t>GST</t>
  </si>
  <si>
    <t>Surface transportation charge &amp; Evacuation Charge</t>
  </si>
  <si>
    <t>Railway Freight</t>
  </si>
  <si>
    <t>DCTS</t>
  </si>
  <si>
    <t>OCTS</t>
  </si>
  <si>
    <t>Development Surcharge on Coal Transportation</t>
  </si>
  <si>
    <t>Busy season Surcharge on Coal Transportaion (for 9 months)</t>
  </si>
  <si>
    <t>Total Freight</t>
  </si>
  <si>
    <t>Washery Charges</t>
  </si>
  <si>
    <t>Landed cost</t>
  </si>
  <si>
    <t>Coal</t>
  </si>
  <si>
    <t>Asset Amount</t>
  </si>
  <si>
    <t>Amount as per Balance Sheet</t>
  </si>
  <si>
    <t>SUMMARY OF VALUATION ASSESSMENT OF CURRENT ASSETS</t>
  </si>
  <si>
    <t>Nature/ Purpose of Advance</t>
  </si>
  <si>
    <t>Status of Advance</t>
  </si>
  <si>
    <t>OTHER NON-CURRENT ASSETS</t>
  </si>
  <si>
    <t>Item Details</t>
  </si>
  <si>
    <t>NON CURRENT INVESTMENT</t>
  </si>
  <si>
    <t>Nature of Investment</t>
  </si>
  <si>
    <t>Number of shares</t>
  </si>
  <si>
    <t>II</t>
  </si>
  <si>
    <t>III</t>
  </si>
  <si>
    <t>Chance of Recoverability</t>
  </si>
  <si>
    <t>Data Not Provided</t>
  </si>
  <si>
    <t>Cost per Share</t>
  </si>
  <si>
    <t>Capital Advance</t>
  </si>
  <si>
    <t>1. Assessment is done based on the details which the lender could provided to us on our queries.
2. The complete list of counter-parties are taken from the data provided by the lender. Status &amp; Outstanding amount are provided by the lender.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</si>
  <si>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details which the lender provided to us on our queries.
2.  No list of counter-parties  is provided by the lender.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</si>
  <si>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 xml:space="preserve">We have not received any details regarding current status of Advance Tax. Also, as per the information received from the lender, the Company is a non- operational company and hence it is hard to generate any revenue in the near future and therefore no tax liability will occur against which such advance tax should be realised.
Hence, in this scenario, we have considered the Fair Value and Realization value, both to be NIL. </t>
  </si>
  <si>
    <t xml:space="preserve">We have not received any document/data/information and bank statement regarding the verification of bank balances as on valuation date i.e., 26th April 2023. Thus, in this scenario, we have considered the fair market value and realizable value equals to the latest audited trial balance after considering the facts that this is a non-operational unit and the nature of the asset.
Hence the fair market value and realizable value are INR 254.24 Lakhs subject to the condition "No transactions in the said bank account/accounts" post 31st March 2022.
All the data provided by the company are considered in good faith. If any inconsistency is found between the books and the actual amount, the given figures will be null and void.
</t>
  </si>
  <si>
    <t>We have not received any information/ documents from the Company/ lender regarding the nature of advance, terms and conditions, period of pendency, reason of pendency, status of the recovery procedures etc. We have considered, that the amount paid as advance to vendors, is paid in the normal course of business and will be duly recoverable, but the company is a non- operational company and hence it is hard to generate any revenue in the near future. 
So, we have considered the fair Market value and Realizable value to be 50% and 30% respectively.</t>
  </si>
  <si>
    <t>V</t>
  </si>
  <si>
    <t>VI</t>
  </si>
  <si>
    <t>Non-Current Investment</t>
  </si>
  <si>
    <t>Current Tax Assets</t>
  </si>
  <si>
    <t>VII</t>
  </si>
  <si>
    <t>VIII</t>
  </si>
  <si>
    <t>IX</t>
  </si>
  <si>
    <t>X</t>
  </si>
  <si>
    <t>Figures in INR Crores</t>
  </si>
  <si>
    <t>Details as on 31st March 2023</t>
  </si>
  <si>
    <t>Maytas NCC JV</t>
  </si>
  <si>
    <t>NCC – Maytas – ZVS (JV)</t>
  </si>
  <si>
    <t>In debentures (fully paid-up) 25,370,630 (March 31, 2021: 25,370,630) 0.001% Non-convertible debentures of Rs. 10 each in Bangalore Elevated Tollway Private Limited</t>
  </si>
  <si>
    <t xml:space="preserve">Fair Market Value </t>
  </si>
  <si>
    <t>Trade Receivable</t>
  </si>
  <si>
    <t>NON-CURRENT TAX ASSETS</t>
  </si>
  <si>
    <t>INVENTORY</t>
  </si>
  <si>
    <t>S. No</t>
  </si>
  <si>
    <r>
      <t>1.</t>
    </r>
    <r>
      <rPr>
        <b/>
        <i/>
        <sz val="7"/>
        <color rgb="FF000000"/>
        <rFont val="Times New Roman"/>
        <family val="1"/>
      </rPr>
      <t xml:space="preserve">      </t>
    </r>
    <r>
      <rPr>
        <i/>
        <sz val="11"/>
        <color rgb="FF000000"/>
        <rFont val="Calibri"/>
        <family val="2"/>
      </rPr>
      <t>Assessment is done based on the discussions done with the Liquidator/ RP/ Corporate Debtor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</si>
  <si>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Liquidator/ RP/ Corporate Debtor provided to us as per our queries &amp; discussions with the Liquidator/ RP/ Corporate Debtor.</t>
    </r>
  </si>
  <si>
    <r>
      <t>3.</t>
    </r>
    <r>
      <rPr>
        <b/>
        <i/>
        <sz val="7"/>
        <color rgb="FF000000"/>
        <rFont val="Times New Roman"/>
        <family val="1"/>
      </rPr>
      <t xml:space="preserve">      </t>
    </r>
    <r>
      <rPr>
        <i/>
        <sz val="11"/>
        <color rgb="FF000000"/>
        <rFont val="Calibri"/>
        <family val="2"/>
      </rPr>
      <t>No audit of any kind is performed by us for the books of account or ledger statements and all this data/ information/ input/ details provided to us by the Liquidator/ RP/ Corporate Debtor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</si>
  <si>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Securities or Financial Assets. It is purely based on the individual assessment and may differ from valuer to valuer based on the practicality he/she analyses in recoveries of outstanding dues. Ultimate recovery depends on efforts, extensive follow-ups, and close scrutiny of individual case made by the Liquidator / RP / Corporate Debtor. So, our values should not be regarded as any judgment in regard to the recoverability of Securities or Financial Assets.</t>
    </r>
  </si>
  <si>
    <r>
      <t>Cash &amp; Cash Equivalent</t>
    </r>
    <r>
      <rPr>
        <i/>
        <sz val="11"/>
        <color rgb="FF000000"/>
        <rFont val="Calibri"/>
        <family val="2"/>
      </rPr>
      <t>  </t>
    </r>
  </si>
  <si>
    <t>1 </t>
  </si>
  <si>
    <t xml:space="preserve">Margin money deposits means that while issuing the guarantee bank asks the client to deposit some money by way of fixed deposit as a counter security. </t>
  </si>
  <si>
    <t>Hence we have consider fair market value, Going Concern Value and piecemeal value to be at 100% of the book value.</t>
  </si>
  <si>
    <r>
      <t>1.</t>
    </r>
    <r>
      <rPr>
        <sz val="7"/>
        <color rgb="FF000000"/>
        <rFont val="Times New Roman"/>
        <family val="1"/>
      </rPr>
      <t xml:space="preserve">      </t>
    </r>
    <r>
      <rPr>
        <sz val="11"/>
        <color rgb="FF000000"/>
        <rFont val="Calibri"/>
        <family val="2"/>
      </rPr>
      <t>An arbitration award was given against the company by a London Court of international arbitration for breach of contract in favor of a foreign supplier, M/s Key Trade. The Hon’ble High Court of Telangana directed to earmark an amount of Rs 20 Crores. Accordingly, the banks IDBI and SBI (Rs 14 crores and Rs 6 crores respectively) have to pay Rs 20 Crores amounts in favor of Key trade. Hence fair market value would be 0.17 Crs.</t>
    </r>
  </si>
  <si>
    <r>
      <t>2.</t>
    </r>
    <r>
      <rPr>
        <sz val="7"/>
        <color rgb="FF000000"/>
        <rFont val="Times New Roman"/>
        <family val="1"/>
      </rPr>
      <t xml:space="preserve">      </t>
    </r>
    <r>
      <rPr>
        <sz val="11"/>
        <color rgb="FF000000"/>
        <rFont val="Calibri"/>
        <family val="2"/>
      </rPr>
      <t>And for 0.17 Crs, we have not received any document/ supporting regarding the said bank balance. This bank balance will be the same in both the cases i.e. liquidation on going concern basis and liquidation on piecemeal basis. Therefore we have consider Going Concern Value and piecemeal value to be at 100% of the adjusted value.</t>
    </r>
  </si>
  <si>
    <r>
      <t>1.</t>
    </r>
    <r>
      <rPr>
        <b/>
        <i/>
        <sz val="7"/>
        <color rgb="FF000000"/>
        <rFont val="Times New Roman"/>
        <family val="1"/>
      </rPr>
      <t xml:space="preserve">      </t>
    </r>
    <r>
      <rPr>
        <i/>
        <sz val="11"/>
        <color rgb="FF000000"/>
        <rFont val="Calibri"/>
        <family val="2"/>
      </rPr>
      <t>Assessment is done based on the discussions done with the company/ Banker and the details which they could provide to us on our queries.</t>
    </r>
  </si>
  <si>
    <r>
      <t>2.</t>
    </r>
    <r>
      <rPr>
        <b/>
        <i/>
        <sz val="7"/>
        <color rgb="FF000000"/>
        <rFont val="Times New Roman"/>
        <family val="1"/>
      </rPr>
      <t xml:space="preserve">      </t>
    </r>
    <r>
      <rPr>
        <i/>
        <sz val="11"/>
        <color rgb="FF000000"/>
        <rFont val="Calibri"/>
        <family val="2"/>
      </rPr>
      <t>This is just a general assessment on the basis of general Industry practice, based on the details which the company/ Banker provided to us as per our queries &amp; discussions with the company officials/ Banker.</t>
    </r>
  </si>
  <si>
    <r>
      <t>3.</t>
    </r>
    <r>
      <rPr>
        <b/>
        <i/>
        <sz val="7"/>
        <color rgb="FF000000"/>
        <rFont val="Times New Roman"/>
        <family val="1"/>
      </rPr>
      <t xml:space="preserve">      </t>
    </r>
    <r>
      <rPr>
        <i/>
        <sz val="11"/>
        <color rgb="FF000000"/>
        <rFont val="Calibri"/>
        <family val="2"/>
      </rPr>
      <t xml:space="preserve"> No audit of any kind is performed by us for the books of account or ledger statements and all this data/ information/ input/ details provided to us by the company/ Banker are taken as is it on good faith that these are factually correct information.</t>
    </r>
  </si>
  <si>
    <r>
      <t>4.</t>
    </r>
    <r>
      <rPr>
        <b/>
        <i/>
        <sz val="7"/>
        <color rgb="FF000000"/>
        <rFont val="Times New Roman"/>
        <family val="1"/>
      </rPr>
      <t xml:space="preserve">      </t>
    </r>
    <r>
      <rPr>
        <i/>
        <sz val="11"/>
        <color rgb="FF000000"/>
        <rFont val="Calibri"/>
        <family val="2"/>
      </rPr>
      <t>There is no fixed criteria, formula or norm for the Valuation of Current assets It is purely based on the individual assessment and may differ from value to value based on the practicality he/she analyze in recoveries of outstanding dues. Ultimate recovery depends on efforts, extensive follow-ups and close scrutiny of individual case made by the company/ Banker. So our values should not be regarded as any judgment in regard to the recoverability of Current assets.</t>
    </r>
  </si>
  <si>
    <t>CASH AND CASH EQUIVALENTS</t>
  </si>
  <si>
    <t>Liquidation Value Assessment</t>
  </si>
  <si>
    <t>Loans</t>
  </si>
  <si>
    <t>LOANS</t>
  </si>
  <si>
    <t>Loans to Related Parties</t>
  </si>
  <si>
    <t>Loans to other companies</t>
  </si>
  <si>
    <t>Interest Accrued on Deposits and Others</t>
  </si>
  <si>
    <t>Other Receivables</t>
  </si>
  <si>
    <t>Project Materials</t>
  </si>
  <si>
    <t xml:space="preserve">Liquidation value </t>
  </si>
  <si>
    <t>Cash on Hand</t>
  </si>
  <si>
    <r>
      <rPr>
        <b/>
        <sz val="11"/>
        <color rgb="FF000000"/>
        <rFont val="Calibri"/>
        <family val="2"/>
      </rPr>
      <t>Balances with Banks:</t>
    </r>
    <r>
      <rPr>
        <sz val="11"/>
        <color rgb="FF000000"/>
        <rFont val="Calibri"/>
        <family val="2"/>
      </rPr>
      <t xml:space="preserve">
On Current Accounts</t>
    </r>
  </si>
  <si>
    <r>
      <rPr>
        <b/>
        <sz val="11"/>
        <color rgb="FF000000"/>
        <rFont val="Calibri"/>
        <family val="2"/>
      </rPr>
      <t>Other Bank Balances:</t>
    </r>
    <r>
      <rPr>
        <sz val="11"/>
        <color rgb="FF000000"/>
        <rFont val="Calibri"/>
        <family val="2"/>
      </rPr>
      <t xml:space="preserve">
Deposits account due to mature of more than 12 months of reporting date</t>
    </r>
  </si>
  <si>
    <t>OTHER CURRENT FINANCIAL ASSETS</t>
  </si>
  <si>
    <t>TOTAL</t>
  </si>
  <si>
    <t>Deposits (Others) - Unsecured, Considered Good</t>
  </si>
  <si>
    <t>Advances to Vendor (Other than Capital Advances) &amp; Prepaid Expense</t>
  </si>
  <si>
    <r>
      <rPr>
        <b/>
        <sz val="10"/>
        <rFont val="Arial"/>
        <family val="2"/>
      </rPr>
      <t>Contract Assets</t>
    </r>
    <r>
      <rPr>
        <sz val="10"/>
        <rFont val="Arial"/>
        <family val="2"/>
      </rPr>
      <t xml:space="preserve"> - Retention Money</t>
    </r>
  </si>
  <si>
    <r>
      <rPr>
        <b/>
        <sz val="10"/>
        <rFont val="Arial"/>
        <family val="2"/>
      </rPr>
      <t>Contract Assets</t>
    </r>
    <r>
      <rPr>
        <sz val="10"/>
        <rFont val="Arial"/>
        <family val="2"/>
      </rPr>
      <t xml:space="preserve"> - Project Work-in-Progress</t>
    </r>
  </si>
  <si>
    <t>Balances with statutory/government authorities</t>
  </si>
  <si>
    <t>Project Materials is valued in our land and building valuation report and is already considered in the valuation of the same. 
Hence, we have considered Fair Value and Liquidation Value in this case to be NIL.</t>
  </si>
  <si>
    <t>NIL</t>
  </si>
  <si>
    <t>.</t>
  </si>
  <si>
    <t>https://www.gayatrihighways.com/project-CEL.html</t>
  </si>
  <si>
    <t>Cyberabad Expressways Ltd</t>
  </si>
  <si>
    <t xml:space="preserve"> In preference shares (fully paid-up) 2,441,850 (March 31, 2021: 2,441,850)dividend @ of 9% cumulative optionally convertible redeemable preference shares of Rs. 100 each in Bangalore Elevated Tollway Private Limited*</t>
  </si>
  <si>
    <t>Fair Market Value</t>
  </si>
  <si>
    <t>Liquidation Value</t>
  </si>
  <si>
    <t>As per information shared by company these receivables belongs to Tax Deducted at Source (TDS). Since these receivables are with tax authority hence it is 100% recovrable, as company is a going concern. Also, these TDS receivables holds economic benefit to the company. Hence we have considered Fair Market Value as 100% of book value. 
In case of liquidation, this amount will either be adjusted againsted tax liability or 100% recoverable by the authority. Hence liquidation value will be 100% of the fair market value.</t>
  </si>
  <si>
    <t>Margin Money Deposits*
(Lodged with Authorities)</t>
  </si>
  <si>
    <t xml:space="preserve">We have considered the Fair Market Value as per the documents/latest bank statements provided by the RP/Client. </t>
  </si>
  <si>
    <t>As per the cash certificates provided by the company, the amount given under the head cash on hand is matched. Hence we have consider fair market value and liquidation value to be at 100% of the book value.</t>
  </si>
  <si>
    <t>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t>
  </si>
  <si>
    <t>We have considered the Fair Market Value and Liquidation Value as per the documents/data/information/bank statements provided by the Client/Company. After the analysis of documents/data/information/bank statements, deposits bank balance comes out 182.28 Crs. Hence we have consider Fair Market Value and Liquidation Value to be at 182.28 Crs.</t>
  </si>
  <si>
    <t>Accrued interest refers to the amount of interest that has been earned or incurred on a loan or other financial obligation but has not yet been paid. As on 31st March, 2023, current interest accrued on deposits and others includes interest accrued on advance to CEL i.e. 13.35 Crs, Interest on margin money and fixed deposits i.e. 0.34 Crs, Interest accrued on advances to subcontractors and deposits i. e. 0.47 Crs  and Interest receivable on Fixed  Deposits i.e. 3.37 Crs. As per audited financials these assets are considered good. 
Here the chanses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CEL is expected that all the work will be done and the project handing over process will be completed before 30th June, 2023. Here we dont have any information about the status of this handover and has CEL paid off all its liabilities like interest accrued etc. Therefore we have considered NIL value for CEL interest accrued.
Realizability on Interest on fixed deposits are very high because of the nature of these assets, hence we are considering 100% fair market value as well as liquidation value. 
For interest accrued on advances to subcontractors and deposits, we have not receive any documents from company / client regarding this asset. So here in general Circumstances Company must had landed these deposits and advance to government and trust worthy organizations. However recoverability of these interest will depends upon factors like terms and condition of the contract, ageing of the deposits, legality of the same. Therefore we are considering its fair market value as 80% of the book value.  
During Liquidation, other deposits will not have any benefit and recovery of it will be insurmountable task and will be subject to the contract condition, legality issues and dues of the authority. Hence in this case we are considering liquidation value as 50% of fair market value.</t>
  </si>
  <si>
    <t>Valuation Date</t>
  </si>
  <si>
    <t>Periodic Rate</t>
  </si>
  <si>
    <t>Date</t>
  </si>
  <si>
    <t>Cash Flow</t>
  </si>
  <si>
    <t>Period</t>
  </si>
  <si>
    <t>PV</t>
  </si>
  <si>
    <t>Repayment Date</t>
  </si>
  <si>
    <t>(On 15-10-2018)</t>
  </si>
  <si>
    <t>Govt 10-year Yield</t>
  </si>
  <si>
    <t>Debenture Face Value</t>
  </si>
  <si>
    <t>Add:</t>
  </si>
  <si>
    <t>Spread</t>
  </si>
  <si>
    <t>Coupon Rate</t>
  </si>
  <si>
    <t>Required Rate</t>
  </si>
  <si>
    <t>PV of Bond</t>
  </si>
  <si>
    <t>Less:</t>
  </si>
  <si>
    <t>Lack of Marketability Discount</t>
  </si>
  <si>
    <t>Expected Value</t>
  </si>
  <si>
    <t>Nifty Return 10 Years</t>
  </si>
  <si>
    <t>Value as on 15th October 2018</t>
  </si>
  <si>
    <t>We have not received any document/supporting regarding the status of the Income Tax. However the amount belongs to last financial year current tax assets i.e. 2022-23. In general circumstances the amount of income tax which is asset for the company, belongs to government so it is fully recoverable, as the company is running its operations hence it will be able to recover it in future. Therefore, we have consider fair market value and liquidation value to be at 100% of the book value.</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</si>
  <si>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non-current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</si>
  <si>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As per list of projects, provided by the company for the deposits, these deposits include deposits with Govt authorities and corporates, towards various facilities like electricity deposit, rent deposit and other payables. It is also informed by company, that these deposits will be adjusted with the corresponding rent, electricity and other payables. As per financials of the company, these current deposits are considered good in the book of accounts, it means company will get economic benifit of these deposits. Therefore, as it is said above they will be adjusted against corresponding liabilities. Hence, we have considered fair market value as well as liquidation value to be NIL.</t>
  </si>
  <si>
    <t xml:space="preserve">As per financials of the company, Rs 13.32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Here we had also considered Insolvency Bankruptcy code (IBC), 2016, section 53. The said section deals with the mechanism for the distribution of assets under the liquidation of the company. Therefore the fair market value and for liquidation value for this current assets will comes out 7.14 Crs. </t>
  </si>
  <si>
    <t>In the absence of accessible contract documentation and ongoing project status updates, we have determined that for non-current projects - WIP, 70%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30% discount to the book value. With this strategy, the genuine market value is reflected while taking into consideration any complexities that may develop over the course of the project's lifecycle.
For liquidation value of contract assets - Work-in-progress, we are considering 50% of the fair market value, because at the time of liquidation there can be dispute between parties and legality can be arises and breach of contract regarding any terms and conditions can be possible. Therefore, after considering all the facts, we are giving 50% discount to the fair market value.</t>
  </si>
  <si>
    <t>In the absence of accessible contract documentation and ongoing project status updates, we have determined that for current projects - WIP, 80% of the book value will be the fair market value. This choice is the result of a thorough analysis that considers the nature of project completion and contract billing. As the project comes to a close, the contractor's work will be meticulously examined, taking into account all necessary corrections to precisely estimate the final billing amount. Additionally, the post-contract period may introduce shifts in the perception of the overall situation, potentially influencing the valuation. Because of these several factors, we have decided to apply a 20% discount to the book value. With this strategy, the genuine market value is reflected while taking into consideration any complexities that may develop over the course of the project's lifecycle.
For liquidation value of contract assets - Work-in-progress, we are considering 60% of the fair market value, because at the time of liquidation there can be dispute between parties and legality can be arises and breach of contract regarding any terms and conditions can be possible. Therefore, after considering all the facts, we are giving 40% discount to the fair market value.</t>
  </si>
  <si>
    <t xml:space="preserve">Upon reviewing the financial statement of the company as of March 31, 2023, which has been furnished to us for the purpose of valuation, we have observed that there are balances reflected in both the Current assets category, which pertain to dealings with Government/Statutory Authorities. Unfortunately, we have not received any subsequent updates or status reports from the company regarding these balances.
Conversely, within the company's liabilities, there are outstanding statutory dues that are also associated with the aforementioned authorities. Given the absence of any forthcoming information from the company, we are making the assumption that the balances present in the Current assets category will eventually offset the statutory dues that are payable over the course of the year. Hence, it has been decided to treat the fair value and liquidation value of the receivables as NIL. </t>
  </si>
  <si>
    <t>OTHER NON-CURRENT ASSETS - RETENTION MONEY</t>
  </si>
  <si>
    <t>Fair Value Assessment</t>
  </si>
  <si>
    <t>Realization Value Assessment</t>
  </si>
  <si>
    <t xml:space="preserve"> -</t>
  </si>
  <si>
    <t>Retention Money</t>
  </si>
  <si>
    <t>XI</t>
  </si>
  <si>
    <t>Schedule of Trade Receivable - Mar-23</t>
  </si>
  <si>
    <t>Sector</t>
  </si>
  <si>
    <t>Project</t>
  </si>
  <si>
    <t>Name of Customer</t>
  </si>
  <si>
    <t>Oil &amp; Gas</t>
  </si>
  <si>
    <t>PHPL</t>
  </si>
  <si>
    <t>Gail India Ltd</t>
  </si>
  <si>
    <t>KKMBPL-IVA</t>
  </si>
  <si>
    <t>Ports</t>
  </si>
  <si>
    <t>Dighi Port Ltd</t>
  </si>
  <si>
    <t xml:space="preserve">Irrigation </t>
  </si>
  <si>
    <t>Annupur</t>
  </si>
  <si>
    <t>MOSERBEAR</t>
  </si>
  <si>
    <t>GVMC</t>
  </si>
  <si>
    <t>Polavaram</t>
  </si>
  <si>
    <t>MAYTAS - NCC JV</t>
  </si>
  <si>
    <t>Bhupathipalem</t>
  </si>
  <si>
    <t>I &amp; CAD AP</t>
  </si>
  <si>
    <t>Tadipudi</t>
  </si>
  <si>
    <t>Lingala</t>
  </si>
  <si>
    <t>Pranahita package - 7</t>
  </si>
  <si>
    <t>MAYTAS - MEIL-ABB-AAG JV</t>
  </si>
  <si>
    <t>Pranahita Package 8</t>
  </si>
  <si>
    <t>MEIL-SEW-MAYTAS-BHEIL Consortium</t>
  </si>
  <si>
    <t>Pranahita Package 5</t>
  </si>
  <si>
    <t>MEIL-MAYTAS-ABB-AAG JV</t>
  </si>
  <si>
    <t>HMWSS-Water works</t>
  </si>
  <si>
    <t>L&amp;T - KBL - MAYTAS JV</t>
  </si>
  <si>
    <t xml:space="preserve">HNSS Madanapally </t>
  </si>
  <si>
    <t>MEIL-MAYTAS - KBL JV</t>
  </si>
  <si>
    <t>Pogonda Project</t>
  </si>
  <si>
    <t>Udayasamudram</t>
  </si>
  <si>
    <t>MAYTAS - MEIL - KBL JV</t>
  </si>
  <si>
    <t>Anampally</t>
  </si>
  <si>
    <t>GNSS Package LI - 03</t>
  </si>
  <si>
    <t>MAYTAS - KBL JV</t>
  </si>
  <si>
    <t>Dummugudem Pkg 5</t>
  </si>
  <si>
    <t>MEIL - MAYTAS - AAG JV</t>
  </si>
  <si>
    <t xml:space="preserve">Korisapadu Project </t>
  </si>
  <si>
    <t>MAYTAS - KCCPL- FLOWMORE JV</t>
  </si>
  <si>
    <t>Dummugudem Pkg 4</t>
  </si>
  <si>
    <t>NEF Railways T-12</t>
  </si>
  <si>
    <t>MAYTAS - SUSHEE JV</t>
  </si>
  <si>
    <t>Muchumarri</t>
  </si>
  <si>
    <t>MEIL - MAYTAS - WIPL  JV</t>
  </si>
  <si>
    <t>Dummugudem Pkg 1</t>
  </si>
  <si>
    <t>NEF Railway - 8&amp;9</t>
  </si>
  <si>
    <t>NF Railways</t>
  </si>
  <si>
    <t>Railways</t>
  </si>
  <si>
    <t>DFCCI</t>
  </si>
  <si>
    <t>ILFS- GPT JV</t>
  </si>
  <si>
    <t>BMP-Sholapur</t>
  </si>
  <si>
    <t>ILFA-Kalindee JV</t>
  </si>
  <si>
    <t>BMRCL - II</t>
  </si>
  <si>
    <t>Bagalore Metro Rail Limited</t>
  </si>
  <si>
    <t>KMR</t>
  </si>
  <si>
    <t>Rail Vikas Nigam Limited</t>
  </si>
  <si>
    <t>NMR</t>
  </si>
  <si>
    <t>Nagpur Metro Rail Limited</t>
  </si>
  <si>
    <t>MEGA</t>
  </si>
  <si>
    <t>Metro Link Express for Gandhinagar and Ahmedabad (MEGA) Company Limited</t>
  </si>
  <si>
    <t>PMHO</t>
  </si>
  <si>
    <t>Terra Infra Development (P) Ltd-ORR</t>
  </si>
  <si>
    <t>Terra Infra Development (P) Ltd-PTTL</t>
  </si>
  <si>
    <t>Ratna Infrastructures projects Pvt ltd</t>
  </si>
  <si>
    <t xml:space="preserve">IL&amp;FS Transportation Networks Limited </t>
  </si>
  <si>
    <t>SPUR INFRASTRUCTURES PVTD</t>
  </si>
  <si>
    <t>SGSR Infra Pvt Ltd</t>
  </si>
  <si>
    <t>Sterna India Oil &amp; Gas Pvt. Ltd.</t>
  </si>
  <si>
    <t>Roads</t>
  </si>
  <si>
    <t>DLF</t>
  </si>
  <si>
    <t>DLF Limited</t>
  </si>
  <si>
    <t>Nagaland</t>
  </si>
  <si>
    <t>Maytas -Gayatri Jv,  PWD (NH) Nagaland</t>
  </si>
  <si>
    <t>Assam-25</t>
  </si>
  <si>
    <t>National Highway Authority of India Limited</t>
  </si>
  <si>
    <t>ORR -HYD</t>
  </si>
  <si>
    <t>Cyberabad Expressway Limited</t>
  </si>
  <si>
    <t>Assam-17</t>
  </si>
  <si>
    <t>Patna-Gaya</t>
  </si>
  <si>
    <t>Birpur</t>
  </si>
  <si>
    <t>MoRTH</t>
  </si>
  <si>
    <t>PSRP</t>
  </si>
  <si>
    <t>ILFS Transportation and Networks Limited</t>
  </si>
  <si>
    <t>Bidar</t>
  </si>
  <si>
    <t>Trichy</t>
  </si>
  <si>
    <t>Indu Projects Limited</t>
  </si>
  <si>
    <t>Buildings</t>
  </si>
  <si>
    <t>Hillcounty-3039</t>
  </si>
  <si>
    <t>Maytas Properties Limited</t>
  </si>
  <si>
    <t>Marbella</t>
  </si>
  <si>
    <t>EMMAR</t>
  </si>
  <si>
    <t>Gurgaon Hills</t>
  </si>
  <si>
    <t>IREO</t>
  </si>
  <si>
    <t>Palm Garden</t>
  </si>
  <si>
    <t xml:space="preserve">EMMAR MGF </t>
  </si>
  <si>
    <t>Aanand Vilas</t>
  </si>
  <si>
    <t>Puri Inter national p ltd.</t>
  </si>
  <si>
    <t>Gift</t>
  </si>
  <si>
    <t>ANC Contracting India Pvt Ltd</t>
  </si>
  <si>
    <t>Palm Terrace</t>
  </si>
  <si>
    <t>Orchid Heights</t>
  </si>
  <si>
    <t>Neelkamal Realtors Towers  Pvt Ltd.</t>
  </si>
  <si>
    <t>La-Tropicana</t>
  </si>
  <si>
    <t>PARSVNATH LANDMARK DEVELOPERS PVT LTD</t>
  </si>
  <si>
    <t>Cranin</t>
  </si>
  <si>
    <t>Power</t>
  </si>
  <si>
    <t>Ambedkarnagar -PW061</t>
  </si>
  <si>
    <t>MVVNL</t>
  </si>
  <si>
    <t>WBSEDCL- PW57-59</t>
  </si>
  <si>
    <t>WBSEDCL</t>
  </si>
  <si>
    <t>Bulandshahr - PW062</t>
  </si>
  <si>
    <t>PVVNL</t>
  </si>
  <si>
    <t>WBSEDCL NORTH - PW063
(North 24 Paraganas)</t>
  </si>
  <si>
    <t>Moradabad- PW64</t>
  </si>
  <si>
    <t>Amroha- PW065</t>
  </si>
  <si>
    <t>Bhuj - PW067</t>
  </si>
  <si>
    <t>PGCIL - (Bhuj Bhanaskanta Transmission Line - TW02)</t>
  </si>
  <si>
    <t>Bhuj_2 - PW068</t>
  </si>
  <si>
    <t>PGCIL - (Bhuj Bhanaskanta Transmission Line - TW05)</t>
  </si>
  <si>
    <t>Gonda - PW069</t>
  </si>
  <si>
    <t>IPDS South 24 Paraganas- PW070</t>
  </si>
  <si>
    <t>West Bengal State Electricity Distribution Co. Ltd.</t>
  </si>
  <si>
    <t>DDUGJY-South paragnas - PW071</t>
  </si>
  <si>
    <t>Paschim Midnapur- PW072</t>
  </si>
  <si>
    <t>sahibganj - PW073</t>
  </si>
  <si>
    <t>JHARKAND BIJLI VITARAN NIGAM LIMITED</t>
  </si>
  <si>
    <t xml:space="preserve">Jamshedpur -PW074  </t>
  </si>
  <si>
    <t>East Singhbhum Project - PW075</t>
  </si>
  <si>
    <t>West Singhbhum Project - PW076</t>
  </si>
  <si>
    <t>PW077 Dumka-Sahibganj IPDS</t>
  </si>
  <si>
    <t xml:space="preserve">PW078 Dhanbad </t>
  </si>
  <si>
    <t>Head Office</t>
  </si>
  <si>
    <t>Vistra ITCL (India) Limited</t>
  </si>
  <si>
    <t>Others</t>
  </si>
  <si>
    <t>CORRTECH INTERNATIONAL PVT LTD</t>
  </si>
  <si>
    <t>GSPL</t>
  </si>
  <si>
    <t>Gujrat State Petro Net</t>
  </si>
  <si>
    <t>ISPRL</t>
  </si>
  <si>
    <t>Indian Strategic Petroleum Reserves Limited</t>
  </si>
  <si>
    <t>GUJRAT</t>
  </si>
  <si>
    <t>KOCHI-I</t>
  </si>
  <si>
    <t>KKMBPL-IVB</t>
  </si>
  <si>
    <t>DDPL</t>
  </si>
  <si>
    <t>Gandikota</t>
  </si>
  <si>
    <t>HO Irrigation Sector</t>
  </si>
  <si>
    <t>IL&amp;FS ECC Ltd</t>
  </si>
  <si>
    <t>Indira Dummugudem</t>
  </si>
  <si>
    <t>Megha Engineering &amp; Infrastructures Ltd</t>
  </si>
  <si>
    <t>HNSS Phase - I</t>
  </si>
  <si>
    <t xml:space="preserve">-  do - </t>
  </si>
  <si>
    <t>Rajiv Dummugudem</t>
  </si>
  <si>
    <t>Sirisilla</t>
  </si>
  <si>
    <t>HNSS Phase - II</t>
  </si>
  <si>
    <t>PMIS  LI - 02 (Pipe Line)</t>
  </si>
  <si>
    <t>Gandikota Pack  -2</t>
  </si>
  <si>
    <t>HNSS Pump House - 3</t>
  </si>
  <si>
    <t>HNSS Pump House - 2</t>
  </si>
  <si>
    <t>HNSS Pump House - 5</t>
  </si>
  <si>
    <t>HNSS Pump House - 1</t>
  </si>
  <si>
    <t>PMIS  LI - 02</t>
  </si>
  <si>
    <t>HNSS Pump House - 4</t>
  </si>
  <si>
    <t>PMIS  LI - 01</t>
  </si>
  <si>
    <t>PMIS  LI - 05</t>
  </si>
  <si>
    <t>PMIS  LI - 05 (Hard rock)</t>
  </si>
  <si>
    <t>HNSS Pump House - 8</t>
  </si>
  <si>
    <t>HNSS Pump House - 7</t>
  </si>
  <si>
    <t>HNSS Pump House - 6</t>
  </si>
  <si>
    <t>Indira Dummugudem - II</t>
  </si>
  <si>
    <t>Anupanur &amp; Koppanur</t>
  </si>
  <si>
    <t>Kakatiya Thermal</t>
  </si>
  <si>
    <t>Driving Pit Tunnel</t>
  </si>
  <si>
    <t>Pumping sump</t>
  </si>
  <si>
    <t xml:space="preserve">Hydernagar Pump House </t>
  </si>
  <si>
    <t>Zaheerabad water supply</t>
  </si>
  <si>
    <t>NSRDWS Phase - I</t>
  </si>
  <si>
    <t>NSRDWS Phase - II</t>
  </si>
  <si>
    <t>RMRG-II-Viaduct</t>
  </si>
  <si>
    <t>ILFS Transportation Networks Ltd</t>
  </si>
  <si>
    <t>CMR</t>
  </si>
  <si>
    <t>ITNL - KMB JV</t>
  </si>
  <si>
    <t>ELSAMEX MAINTENANCE SERVICES LTD</t>
  </si>
  <si>
    <t>Sarala Projects Works Pvt Ltd</t>
  </si>
  <si>
    <t>SHIVAM INFRA-TECH PRIVATE LIMITED</t>
  </si>
  <si>
    <t>Vasishta Constructions Pvt ltd</t>
  </si>
  <si>
    <t>PES</t>
  </si>
  <si>
    <t>SDM Projects (P) Ltd</t>
  </si>
  <si>
    <t>Sivakumar Bavineni</t>
  </si>
  <si>
    <t>Goyals Timber Technicks Ltd</t>
  </si>
  <si>
    <t>JMC Projects (india) Ltd</t>
  </si>
  <si>
    <t>PMR Infra India (P) Ltd</t>
  </si>
  <si>
    <t>DHARANI ENTERPRISES</t>
  </si>
  <si>
    <t>SDM Projects (P) Ltd.</t>
  </si>
  <si>
    <t>Rockmore Aggregates</t>
  </si>
  <si>
    <t>PRAPURNA TRADING PVT. LTD</t>
  </si>
  <si>
    <t xml:space="preserve">HIRANANDANI PALACE GARDENS PVT LTD .   </t>
  </si>
  <si>
    <t>Gayatri Projects</t>
  </si>
  <si>
    <t>Advance stimul Engineering pvt Ltd</t>
  </si>
  <si>
    <t>KK Infrastructure</t>
  </si>
  <si>
    <t>EXEMPLAR INFRACON PVT.LTD.</t>
  </si>
  <si>
    <t xml:space="preserve">Gayatri Satya Infraworks (I) Pvt. Ltd </t>
  </si>
  <si>
    <t>Offshore infrastructures Ltd</t>
  </si>
  <si>
    <t>Megha Engineering and infrastructures Ltd</t>
  </si>
  <si>
    <t>VISHNUSURYA INFRA PROJECTS PVT LTD</t>
  </si>
  <si>
    <t>SOMA ENTERPRISES LTD</t>
  </si>
  <si>
    <t>Assam-19</t>
  </si>
  <si>
    <t>Kiratpur</t>
  </si>
  <si>
    <t>Patna-Gaya.</t>
  </si>
  <si>
    <t>IIDC</t>
  </si>
  <si>
    <t>Amamravathi</t>
  </si>
  <si>
    <t>BDA</t>
  </si>
  <si>
    <t>Bangalore Development Authority</t>
  </si>
  <si>
    <t>CG-1</t>
  </si>
  <si>
    <t>Nagarjuna Construction company limited</t>
  </si>
  <si>
    <t>Lodha</t>
  </si>
  <si>
    <t>Lodha -Pallava Buildings</t>
  </si>
  <si>
    <t>NAVAC - Hospital</t>
  </si>
  <si>
    <t xml:space="preserve">Naval Academy </t>
  </si>
  <si>
    <t>Aquapolis</t>
  </si>
  <si>
    <t>ANSAL URBAN CONDOMINIUMS PRIVATE LIMITED</t>
  </si>
  <si>
    <t>Cairn-Jodhpur</t>
  </si>
  <si>
    <t>Cairn</t>
  </si>
  <si>
    <t>Ludhyana</t>
  </si>
  <si>
    <t>Emerald lands India Pvt ltd.</t>
  </si>
  <si>
    <t>NAVAC - FR</t>
  </si>
  <si>
    <t>BSCHO</t>
  </si>
  <si>
    <t>CMT Jammu</t>
  </si>
  <si>
    <t>IT Park</t>
  </si>
  <si>
    <t>PARSVNATH LANDMARK DEVELOPERS  LTD</t>
  </si>
  <si>
    <t>DG MAP Lucknow</t>
  </si>
  <si>
    <t>Kanpur</t>
  </si>
  <si>
    <t>Closed Projects</t>
  </si>
  <si>
    <t>Shahjahanpur- PW066</t>
  </si>
  <si>
    <t>Bindavan Infrastructure</t>
  </si>
  <si>
    <t>J.Kumar Infrastructure  Ltd</t>
  </si>
  <si>
    <t>INTERBUILD INFRASTRUCTURE (Pvt) LTD</t>
  </si>
  <si>
    <t>Schedule of Deposits as on March-2023</t>
  </si>
  <si>
    <t xml:space="preserve">Project </t>
  </si>
  <si>
    <t>Current</t>
  </si>
  <si>
    <t>Non Current</t>
  </si>
  <si>
    <t xml:space="preserve">AMBEDKARNAGAR </t>
  </si>
  <si>
    <t>AMROHA</t>
  </si>
  <si>
    <t>Annad Vilas-3054</t>
  </si>
  <si>
    <t>Irrigation</t>
  </si>
  <si>
    <t>Anuppur</t>
  </si>
  <si>
    <t xml:space="preserve">BHUJ TW02 </t>
  </si>
  <si>
    <t>BMP</t>
  </si>
  <si>
    <t>BMR</t>
  </si>
  <si>
    <t>BRGF-SOUTH</t>
  </si>
  <si>
    <t>CMT-JV1</t>
  </si>
  <si>
    <t>Corporate</t>
  </si>
  <si>
    <t>DDUGJUY</t>
  </si>
  <si>
    <t>DHUMKA</t>
  </si>
  <si>
    <t xml:space="preserve">GONDA </t>
  </si>
  <si>
    <t>Gurgaon</t>
  </si>
  <si>
    <t>Gurgaon Hills-3055</t>
  </si>
  <si>
    <t>IEINPMCWS</t>
  </si>
  <si>
    <t>IPDS 24 PARAGANAS</t>
  </si>
  <si>
    <t>JAMSHEDPUR</t>
  </si>
  <si>
    <t>KKBMP - IVA</t>
  </si>
  <si>
    <t>KKBMPL IVA</t>
  </si>
  <si>
    <t>KKBMPL IVB</t>
  </si>
  <si>
    <t>KKBMPL SEC-1</t>
  </si>
  <si>
    <t xml:space="preserve">Mangalore Pipeline Project </t>
  </si>
  <si>
    <t>NEF Railway 8 &amp; 9</t>
  </si>
  <si>
    <t xml:space="preserve">PASCHIM MIDNAPORE </t>
  </si>
  <si>
    <t>PWCHO</t>
  </si>
  <si>
    <t xml:space="preserve">SAHIBGANJ </t>
  </si>
  <si>
    <t>SHAHJAHANPUR</t>
  </si>
  <si>
    <t>SMP</t>
  </si>
  <si>
    <t>Villas Marbella -3052</t>
  </si>
  <si>
    <t>WB-N (IEINPW063)</t>
  </si>
  <si>
    <t>Net Amount</t>
  </si>
  <si>
    <t>Project Status
Active/ terminated/ stalled/ foreclosed</t>
  </si>
  <si>
    <t>When was this amount billed/ period since when the amount is standing in books</t>
  </si>
  <si>
    <t>Completed</t>
  </si>
  <si>
    <t>Amravathi</t>
  </si>
  <si>
    <t>Foreclosed</t>
  </si>
  <si>
    <t>Building</t>
  </si>
  <si>
    <t xml:space="preserve"> Kochi Kootanad Bangalore Mangalore Pipeline Project </t>
  </si>
  <si>
    <t>Annampally</t>
  </si>
  <si>
    <t>Assam 19</t>
  </si>
  <si>
    <t>Assam 25</t>
  </si>
  <si>
    <t>BAPL</t>
  </si>
  <si>
    <t>Terminated</t>
  </si>
  <si>
    <t>BHUJ TW05</t>
  </si>
  <si>
    <t>Ongoing</t>
  </si>
  <si>
    <t>BULANDSHAR</t>
  </si>
  <si>
    <t>Department</t>
  </si>
  <si>
    <t>DFC</t>
  </si>
  <si>
    <t>DHANBAD</t>
  </si>
  <si>
    <t xml:space="preserve">Dobhi Durgapur Pipeline Project </t>
  </si>
  <si>
    <t>Dummugudem - 1</t>
  </si>
  <si>
    <t>Stalled Project</t>
  </si>
  <si>
    <t>E Mall-3028</t>
  </si>
  <si>
    <t>EAST SINGHBHUM</t>
  </si>
  <si>
    <t>EMMAR - 3045</t>
  </si>
  <si>
    <t>Gift-3040</t>
  </si>
  <si>
    <t xml:space="preserve">H.O Oil and Gas Sector </t>
  </si>
  <si>
    <t xml:space="preserve">HDP-Halol - Dahod Pipeline </t>
  </si>
  <si>
    <t>Hil County-3039</t>
  </si>
  <si>
    <t>HO</t>
  </si>
  <si>
    <t>HO Irrigation</t>
  </si>
  <si>
    <t>IEINPMCHO</t>
  </si>
  <si>
    <t>IEINPMCWH</t>
  </si>
  <si>
    <t>IIT Chennai-3022</t>
  </si>
  <si>
    <t>IIT G Type-3037</t>
  </si>
  <si>
    <t>KC Canal LCB-02</t>
  </si>
  <si>
    <t>KLI</t>
  </si>
  <si>
    <t>KNC</t>
  </si>
  <si>
    <t>La-Tropicana-3043</t>
  </si>
  <si>
    <t>Lodha-3056</t>
  </si>
  <si>
    <t>Mahindra-3048</t>
  </si>
  <si>
    <t>MORADABAD</t>
  </si>
  <si>
    <t>NAVAC Hospital-3020</t>
  </si>
  <si>
    <t>ONG SECTOR</t>
  </si>
  <si>
    <t>Palm-3047</t>
  </si>
  <si>
    <t>Patna</t>
  </si>
  <si>
    <t>PLRP</t>
  </si>
  <si>
    <t>Pranahita Package - 7</t>
  </si>
  <si>
    <t>Sector-3000</t>
  </si>
  <si>
    <t>Sitapally Vagu</t>
  </si>
  <si>
    <t>WEST SINGHBHUM</t>
  </si>
  <si>
    <t>Ageing of future recobverability</t>
  </si>
  <si>
    <t>Will be adjusted with Pre October 2018 liability</t>
  </si>
  <si>
    <t>FY 2025</t>
  </si>
  <si>
    <t>FY 2024</t>
  </si>
  <si>
    <t>List of Projects for Advances to Vendor as on March-2023</t>
  </si>
  <si>
    <t>Schedule of Advances to vendors/contractors</t>
  </si>
  <si>
    <t>Ongoing Projects</t>
  </si>
  <si>
    <t>NCD</t>
  </si>
  <si>
    <t>Premium on NCD</t>
  </si>
  <si>
    <t>Interest on NCD</t>
  </si>
  <si>
    <t>Payment towards NCD</t>
  </si>
  <si>
    <t>Preference shares</t>
  </si>
  <si>
    <t>Premium on preference shares</t>
  </si>
  <si>
    <t>Payment towards preference shares</t>
  </si>
  <si>
    <t>As per the Bank statement provided by the company, the amount given under the head balance with Banks: on current accounts is matched. Hence we have consider fair market value and liquidation value to be at 100% of the book value. Also there is a recent development in the investment of the company i.e. a sale of investments in BETPL to KKR of Non-convertible debentures and preference shares. Hence payments towards NCD's is 38.62 Crs and Payment towards preference shares is 24.39 Crs, in total 63.02 Crs comes in the account of the company. Hence we have considered it in balance with banks, even it is not updated in the balance sheet of IL&amp;FS.</t>
  </si>
  <si>
    <t>Trade receivable realization</t>
  </si>
  <si>
    <t>Gross TR</t>
  </si>
  <si>
    <t>Total Provisions</t>
  </si>
  <si>
    <t>Net TR</t>
  </si>
  <si>
    <t>FY24</t>
  </si>
  <si>
    <t>FY25</t>
  </si>
  <si>
    <t>FY26</t>
  </si>
  <si>
    <t>Year</t>
  </si>
  <si>
    <t>Net Recovery</t>
  </si>
  <si>
    <t>Yearly Recovery</t>
  </si>
  <si>
    <t>Discount period</t>
  </si>
  <si>
    <t>Discount Factor</t>
  </si>
  <si>
    <t>Discount Rate</t>
  </si>
  <si>
    <t>Present Value</t>
  </si>
  <si>
    <t>Net Present Value (NPV)</t>
  </si>
  <si>
    <t>Net Present Value (NPV) of Trade receivable</t>
  </si>
  <si>
    <t>A+/Stable</t>
  </si>
  <si>
    <t>CARE D; ISSUER NOT COOPERATING</t>
  </si>
  <si>
    <t>AAA/Stable</t>
  </si>
  <si>
    <t>EVOLVING - Long Term Issuer Default Rating, BBB-</t>
  </si>
  <si>
    <t>A Union Government Company is a Public Sector Undertaking - In Loss - 9931 as on  31st March 2022
https://www.isprlindia.com/downloads/annual-reports/ISPRL-ANNUAL-REPORT-FY-2021-22.pdf</t>
  </si>
  <si>
    <t>State Govt company - Estimated Revenue - 6305
https://jbvnl.co.in/upload/TXD2M4.Budget%20(P)%202023-24.pdf</t>
  </si>
  <si>
    <t>PVVNL (Pashchimanchal Vidyut Vitran Nigam Limited)</t>
  </si>
  <si>
    <t>State Govt company - In Profit - 985 as on 31st March 2023
https://pvvnl.org/wp-content/uploads/2023/08/B.S_30.06.2023.pdf</t>
  </si>
  <si>
    <t>MVVNL (Madhyanchal Vidyut Vitran Nigam Ltd.)</t>
  </si>
  <si>
    <t>State Govt company - In loss - 4877 - 31st March 2023
http://www.mvvnl.in/site/writereaddata/siteContent/202308141609114437MVVNL%20BALANCE%20SHEET%202023-24%20Q1.pdf</t>
  </si>
  <si>
    <t>Company Status: Strike Off</t>
  </si>
  <si>
    <t>MoRTH (The Ministry of Road Transport and Highways)</t>
  </si>
  <si>
    <t>Government Ministry</t>
  </si>
  <si>
    <t>AA-; reaffirmed and outlook 
revised to ‘Positive’ from ‘Stable’</t>
  </si>
  <si>
    <t>CARE B-; Stable / CARE A4; 
ISSUER NOT COOPERATING*</t>
  </si>
  <si>
    <t>Total provision</t>
  </si>
  <si>
    <t>After Discount</t>
  </si>
  <si>
    <t>Outstanding After FY26</t>
  </si>
  <si>
    <t>FY 24</t>
  </si>
  <si>
    <t>FY 25</t>
  </si>
  <si>
    <t>FY 26</t>
  </si>
  <si>
    <t>Yearly Realization</t>
  </si>
  <si>
    <t>PROVISIONS - 2023</t>
  </si>
  <si>
    <t>Provisions For Trade Receivables</t>
  </si>
  <si>
    <t xml:space="preserve">As per financials of the company, company has made provisions for doubtful financial assets to the extent that there is no realistic prospect of recovery. The company failed to provide adequate justification for implementing these provisions. As the company considered that the project company does not have assets or sources of income that could generate sufficient cash flow to repay the amount subject to the provisions. Hence, by conducting secondary research on the top 20 project companies involved, we have gathered information from existing sources such as credit ratings, financials, Annual reports, published articles, and online databases. Based on this information, we get an idea of credit worthiness of the project company and given the discount accordingly. 
We have calculated the total amount for top 20 project companies, after discount. And also calculated the percentage of the after-discount amount against the provisions made for the same.
To calculate the fair market value, we have considered the product of the total provisions made for doubtful financial assets and the said percentage. 
In case of liquidation value, we have considered only those project companies who’s credit ratings are AAA/AA/A or stable and Government or State Government companies. </t>
  </si>
  <si>
    <t>Provision for Loans</t>
  </si>
  <si>
    <t>As per financial of the company, provision for doubtful loans include two types of provisions. First provision i.e., 192.91 Crs, is made for Related Parties.  We have conducted secondary research on the top 80% related parties involved and gathered information from existing sources such as credit ratings, financials, Annual reports, published articles, and online databases. One of the related parties is Hill County properties Private Limited. HCPL is a subsidiary of IL&amp;FS and considered provision for it is 131.56 crs., which is approximately 68% of total provision for related parties. HCPL is under resolution under the aegis of National Company Law Tribunal -Mumbai Bench (NCLT). Hence, we cannot consider recoverability of this provision. In the same way we get an idea of credit worthiness of all the related parties. Most of the related parties are not in good financial situation / not earning operating revenue. Hence, we cannot consider any recoverability from the first provision. Hence, we will consider fair market value and liquidation value to be NIL.
The other provision i.e., 378.28 Crs. is made for Inter Corporate Deposits (ICD) to various companies and for other companies. For amount 323.78 Crs. ICD had given to Satyam Computers Services Limited (SCSL). SCSL had merged into Tech Mahindra Limited (TML) Pursuant to a scheme of the companies act, 1956. TML in its audited financials as on 31st March 2023, continue to disclose as “Suspense Account (Net) Rs. 1230.40” as disclosed by SCSL earlier. Management if IL&amp;FS is of the opinion that the claim made by the company on SCSL is included in the aforesaid amount disclosed by TML in its audited financials. 
IL&amp;FS is confident of recovering the said ICDs together with the compensation due thereon from SCSL/TML, as the company had documentary evidence of these ICDs. Company had filed a case against the TML for recovery of ICD amounts and the matter is yet to listed for response from other sides. Hence for fair market value we have consider the whole amount of ICD and for liquidation value, we cannot consider this amount. 
Rest amount is approx. 54 crs, which belongs to Cyberabad Expressways Limited, Pondicherry Tindivanam Tollway Limited and Terra Projects Ltd. For CEL and PTTL, we will consider the whole amount as above in the report, we have calculated the net arbitration award amount for these two. And Terra Projects Ltd is in good financial position, hence we have considered its provisional amount. Therefore, the fair market value and liquidation value will be 54.50 Crs.</t>
  </si>
  <si>
    <t>Schedule of Interest Accrued</t>
  </si>
  <si>
    <t>Realization Plan against Mar-23 Balances</t>
  </si>
  <si>
    <t>As on Sep-2018</t>
  </si>
  <si>
    <t>As on Mar-23</t>
  </si>
  <si>
    <t>Beyond FY 26</t>
  </si>
  <si>
    <t>Interest accrued on advance to CEL</t>
  </si>
  <si>
    <t xml:space="preserve"> The recoverability may get delayed due to cash flows issues in CEL</t>
  </si>
  <si>
    <t>Interest on margin money and fixed deposits</t>
  </si>
  <si>
    <t>Interest accrued on advances to subcontractors and deposits</t>
  </si>
  <si>
    <t>Interest accrued on Nagaland claim</t>
  </si>
  <si>
    <t>It is a B2B Project and IECCL Margin is only 20%. State of Nagaland Govt.and MoRTH has challenged against award under Sec.34 before Delhi High Court. Hearings under progress.</t>
  </si>
  <si>
    <t>Net Present Value (NPV) of Interest Accrued</t>
  </si>
  <si>
    <t>INTEREST ACCRUED</t>
  </si>
  <si>
    <t>Provision for Interest Accrued</t>
  </si>
  <si>
    <t xml:space="preserve">We have not received any document/ supporting regarding the bifurcation of the said provision. </t>
  </si>
  <si>
    <t>OTHER RECEIVABLES</t>
  </si>
  <si>
    <t>Schedule of  Other Receivable</t>
  </si>
  <si>
    <t>Other receivables</t>
  </si>
  <si>
    <t>JV TDS receivables</t>
  </si>
  <si>
    <t>Other than JV TDS receivable</t>
  </si>
  <si>
    <t>Neuland</t>
  </si>
  <si>
    <t>Gross Total</t>
  </si>
  <si>
    <t>MARGIN MONEY DEPOSITS</t>
  </si>
  <si>
    <t>TAX ASSETS</t>
  </si>
  <si>
    <t>IECCL 31/03/2023</t>
  </si>
  <si>
    <t>Adv. Tax/TDS receivable</t>
  </si>
  <si>
    <t>Actuals</t>
  </si>
  <si>
    <t>Expected</t>
  </si>
  <si>
    <t>TDS Receivable for AY  2023-24(as per 26AS)</t>
  </si>
  <si>
    <t>ITR not yet filed</t>
  </si>
  <si>
    <t>TDS for current  year AY 2021-22</t>
  </si>
  <si>
    <t>TDS Receivable for AY  2020-21</t>
  </si>
  <si>
    <t>TDS Receivable for AY  2019-20</t>
  </si>
  <si>
    <t>TDS Receivable for AY  2018-19</t>
  </si>
  <si>
    <t>TDS Receivable for AY  2017-18</t>
  </si>
  <si>
    <t>TDS Receivable for AY  2016-17</t>
  </si>
  <si>
    <t>Asst.completed refund not paid</t>
  </si>
  <si>
    <t>TDS Receivable for AY  2015-16</t>
  </si>
  <si>
    <t>Refund partly paid bal to be received</t>
  </si>
  <si>
    <t>Refund receivable pending  Before :</t>
  </si>
  <si>
    <t>Commissioner of Income Tax (CIT)/Income Tax Appellate Tribunal (ITAT)-Appeals from 2008-09 to 2014-15</t>
  </si>
  <si>
    <t>Refund receivable on CIT A order Rs. 18.07  Expected refund on ITAT order Rs. 14.29</t>
  </si>
  <si>
    <t>ITAT-Appeals  for AY 2009-10 to 2011-12  reopening u/s  147/263</t>
  </si>
  <si>
    <t>Refund receivable on CIT A order Rs. 1.95  Expected refund on ITAT order Rs. 4.95</t>
  </si>
  <si>
    <t>as per books</t>
  </si>
  <si>
    <t>Diff</t>
  </si>
  <si>
    <t>Balance to be received</t>
  </si>
  <si>
    <t>Tax Assets</t>
  </si>
  <si>
    <t>Recoverability</t>
  </si>
  <si>
    <t>Realization Plan</t>
  </si>
  <si>
    <t>The Deposits represents rent, electricity and other deposits.These deposits will be adjusted with the corresponding rent, electricity and other payables</t>
  </si>
  <si>
    <t>Net Present Value (NPV) of Deposits</t>
  </si>
  <si>
    <t>As per financials of the company, Rs 18.51 Crores of advances and prepaid expenses are given to vendors. Project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it has been decided that we will consider only those projects which are going on or completed after 2018. Therefore the fair market value of this current assets will comes out 4.46 Crs.
For liquidation value we have considered Insolvency Bankruptcy code (IBC), 2016, section 53. Section 53 of the IBC, 2016 outlines the distribution of assets during the liquidation process. In the case of vendor advances, the application of Section 53 depends on the nature and classification of the vendor advance.
If the vendor advance is classified as a financial debt, it would be considered as an unsecured claim and would be ranked below other debts that have higher priority, such as secured creditors and workmen dues. In such cases, the vendor advance may have a lower chance of recovery during the liquidation process.
However, if the vendor advance is categorized as an operational debt, it would have a higher priority compared to unsecured financial debts. Operational debts are given priority in terms of distribution of assets during the liquidation process, and vendors with operational debts may have a better chance of recovering their dues. 
Here the advances to vendor (Other than Capital Advances) &amp; Prepaid Expense are operational debt. Therefore, we have considered the liquidation value as 100% of the fair market value.
It's important to note that the application of Section 53 and the treatment of vendor advances can vary depending on the specific circumstances, the claims made by other creditors, and the decisions of the insolvency resolution professional or the liquidator appointed for the liquidation process.</t>
  </si>
  <si>
    <t xml:space="preserve">As per financials of the company and data / information provided by company, balances with statutory / government authorities belongs to sales tax deducted at source, service tax deducted at source and GST input credit. The service provider can claim this whole amount in the income tax return. Hence this amount is fully recoverable. Therefore, we have considered fair market value and liquidation value to be at 100% of book value. 
Conversely, within the company's liabilities, there are outstanding statutory dues that are also associated with the aforementioned authorities under the head other liabilities. Hence at the time settlement, assets amount will be set off against liabilities. </t>
  </si>
  <si>
    <t>Description</t>
  </si>
  <si>
    <t>Rs. In Cr</t>
  </si>
  <si>
    <t>Realization status</t>
  </si>
  <si>
    <t>Sales Tax deducted at source</t>
  </si>
  <si>
    <t>Will be realized or adjusted once the assessment is completed</t>
  </si>
  <si>
    <t>Service Tax deducted at source</t>
  </si>
  <si>
    <t>GST input credit</t>
  </si>
  <si>
    <t>Realization plan</t>
  </si>
  <si>
    <t>Project work in progress break up - Mar-23</t>
  </si>
  <si>
    <t>Projects</t>
  </si>
  <si>
    <t>Amount in Cr</t>
  </si>
  <si>
    <t>Adjusted with payable to client/B2B liability</t>
  </si>
  <si>
    <t>RD043/ Birpur</t>
  </si>
  <si>
    <t>EMMAR MGF</t>
  </si>
  <si>
    <t xml:space="preserve">Villas Marbella </t>
  </si>
  <si>
    <t>Hillcounty (3039)</t>
  </si>
  <si>
    <t>Kolkata Metro Rail</t>
  </si>
  <si>
    <t>BMP Sholapur</t>
  </si>
  <si>
    <t>BMRCL-2 ( Phase-IIa)</t>
  </si>
  <si>
    <t>OG010-KKMBL-2</t>
  </si>
  <si>
    <t>OG008-Bihar</t>
  </si>
  <si>
    <t>WBSEDCL IEINPW0 57-59</t>
  </si>
  <si>
    <t>Bulandshahar- IEINPW062</t>
  </si>
  <si>
    <t>Lingala - MIL</t>
  </si>
  <si>
    <t>Pranahita Pack - 5</t>
  </si>
  <si>
    <t>Orchid heights</t>
  </si>
  <si>
    <t>Muchumarry</t>
  </si>
  <si>
    <t>Port</t>
  </si>
  <si>
    <t>DIGI Port</t>
  </si>
  <si>
    <t>Korisapadu</t>
  </si>
  <si>
    <t>west singhbhum</t>
  </si>
  <si>
    <t>RE WORKS IN-sahibganj</t>
  </si>
  <si>
    <t>Dumka - (PW077)</t>
  </si>
  <si>
    <t>Dhanbad - (PW078)</t>
  </si>
  <si>
    <t>Surat Metro Rail</t>
  </si>
  <si>
    <t>Outstanding amount beyond FY 26</t>
  </si>
  <si>
    <t>Subsequent collection</t>
  </si>
  <si>
    <t>Retention Money realization</t>
  </si>
  <si>
    <t>Gross RM</t>
  </si>
  <si>
    <t>Net RM</t>
  </si>
  <si>
    <t>Adjusted with payble of client/B2B Contractors</t>
  </si>
  <si>
    <t>Net Present Value (NPV) of Retention Money</t>
  </si>
  <si>
    <t>Outstanding Amount after FY26</t>
  </si>
  <si>
    <t>As per data / information shared by company, tax assets of IECCL belongs to TDS receivables. Company has provided year wise details like actual amount and expected receivable amount, for last 15 years of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As per the details provided by the company, TDS receivables balance amount comes out 60.44 Crs. Therefore, we have considered fair market value to be at 60.44 Crs. 
For liquidation value on piecemeal basis, these TDS receivables does not hold any benefit to the company. Therefore, we have considered liquidation value to be NIL.</t>
  </si>
  <si>
    <t>Interest Accrued</t>
  </si>
  <si>
    <t>Margin Money</t>
  </si>
  <si>
    <t xml:space="preserve">Deposits </t>
  </si>
  <si>
    <t>Advances to Vandor</t>
  </si>
  <si>
    <t>Balance Statory Authority</t>
  </si>
  <si>
    <t>Contract Assets-WIP</t>
  </si>
  <si>
    <t>Land</t>
  </si>
  <si>
    <t>Plant &amp; Machinery</t>
  </si>
  <si>
    <t>Right-of-use-assets</t>
  </si>
  <si>
    <t>Claim for Performance Bank Guarantee</t>
  </si>
  <si>
    <t>Claims for Performance Bank Guarantee</t>
  </si>
  <si>
    <t>XII</t>
  </si>
  <si>
    <t>XIII</t>
  </si>
  <si>
    <t>XIV</t>
  </si>
  <si>
    <t>Cash &amp; Cash Equivalents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</si>
  <si>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</si>
  <si>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t>
  </si>
  <si>
    <t>Deposits (Others)</t>
  </si>
  <si>
    <t>Advances to Vendor</t>
  </si>
  <si>
    <t>Schedule of Contract Assets - Project Work-in-Progress</t>
  </si>
  <si>
    <t>Liquidation</t>
  </si>
  <si>
    <t xml:space="preserve">As informed by the Bank, IL&amp;FS has sold preferential shares in BETPL to KKR for Rs. 24.39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
</t>
  </si>
  <si>
    <t>As informed by the Bank, IL&amp;FS has sold preferential shares in BETPL to KKR for Rs. 38.62 Crs. Hence, this amount has been included under balance with banks within Cash &amp; Cash equivalent head and taken off from the investment. This information has been totally relied upon as per email dated: 04.09.2023 of the Bank since this sale amount has not been reflected under provisional balance sheet of 2022-23 provided to us.</t>
  </si>
  <si>
    <t>i.	For the recoverability of the trade receivables, company has prepared a comprehensive “Realization Plan” on year-on-year basis upto period of FY26. Based on this “Realization Plan” we have calculated the Project wise Present value of Trade Receivables. This has become the prime and sole basis of our assessment of Trade Receivables.
ii.	We have been given ageing also for Trade Receivables along with the Realization Plan but we have relied upon Realization Plan to calculate the value of Trade Receivables since this shows actionable plan for realization of the amount as it is presumed that the company have a better understanding about the creditworthiness of the debtor and their ability or inability to recover the amount from them.
iii.	As per trade receivable realization plan, Rs 36.46 Crs. will be realized in FY24, Rs 34.30 Crs. will be realized in FY25, nothing will be realized in FY26 and beyond that 54.10 Crs will be outstanding Amount. The Realization Plan as provided by the company Management is shown in Table xxxx of the report for reference.
iv.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50% of outstanding amount after FY26.  Thus, the fair market value will be 89.37 Crs.
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49.64 Crs.</t>
  </si>
  <si>
    <t>i.	As per information shared by company, these other receivables i.e., 1.40 Crs. belongs to Tax Deducted at Source (TDS) receivables. TDS receivable is the amount of income tax, which is deducted by the receiver of the service from the total payable amount and deposited to the IT department on behalf of the provider of the service. The provider of the service can claim this amount in the income tax return. 
ii.	As per the realization plan provided by the management of the company, this TDS receivable will be fully recoverable in FY25. The Realization Plan as provided by the company Management is shown in Table xxxx of the report for reference.
iii.	To calculate the present value of the realizable amount, we have considered year on year 9% (Nifty 50 Returns (CAGR) in the Last 15 Years) discount rate. Therefore, the fair market value will be 1.18 Crs.
iv.	For liquidation value on piecemeal basis, these TDS receivables does not hold any benefit to the company. Therefore, we have considered liquidation value to be NIL.</t>
  </si>
  <si>
    <t>As per audited financial statements these money market deposits are lodged with authorities and these deposits were deposited with banks towards the security against BGs issued, which has also been communicated and confirmed by Bank / Client. Hence we have considered fair market value and liquidation value as 100%.</t>
  </si>
  <si>
    <t>i.	Accrued interest refers to the amount of interest that has been earned or incurred on a loan or other financial obligation but has not yet been paid. As on 31st March, 2023, total of interest accrued is 217.08 Crs. As per discussion and data / information shared by the client / company with us, we have calculated the Present value based on realization plan provided by the management of the company. 
ii.	As per realization plan, Rs. 3.78 Crs. will be realized from interest accrued in FY24, Rs. 0.37 Crs. will be realized from interest accrued in FY25 and beyond FY25, Rs. 212.93 Crs. will be realized. The Realization Plan as provided by the company Management is shown in Table xxxx of the report for reference.
iii.	To calculate the present value of the future realizable amount, for first 5 years, we have considered year on year 9% (Nifty 50 Returns (CAGR) in the Last 15 Years) discount rate. For the outstanding amount after FY26, as management is not sure that when this amount will be recovered. Hence, we have given a separate discount on this amount which is 60% of outstanding amount after FY26.  Thus, the fair market value will be 131.54 Crs.
iv.	For liquidation, we have only considered the amount of accrued interest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3.08 Crs.</t>
  </si>
  <si>
    <t>As per financials of the company and data / information provided by company, balances with statutory / government authorities belongs to sales tax deducted at source i.e., 22.36 Crs., service tax deducted at source i.e., 15.61 Crs., and GST input credit i.e., 87.17 Crs. As per the realization plan provided by the management for sales tax deducted at source and service tax deducted at source, it will be realized or adjusted once the assessment is completed. Thus, Sales TDS and Service TDS are not considered for valuation and we cannot comment on what will be the final amount recoverable under this head..  
We have only considered GST input credit for the purpose of calculating the FMV of this asset class. GST Input credit means at the time of paying tax on output, company can reduce the tax which it had already paid on inputs. Hence this amount is fully recoverable. Therefore, we have calculated the fair market value accordingly and it comes out 87.17 Crs. For liquidation value on piecemeal basis, these balances with authorities does not hold any economic benefit to the company. Therefore, we have considered liquidation value to be NIL.</t>
  </si>
  <si>
    <t>i.	As per discussion and data / information shared by the client / company with us, we have calculated the Present value based on project wise details of contract assets - WIP realization plan provided by the management of the company. As per the realization plan, Rs 54.81 Crs. will be realized in FY24, Rs 100.70 Crs. will be realized in FY25, no realization will be there in FY 26 and beyond that 331.31 Crs will be outstanding Amount. The Realization Plan as provided by the company Management is shown in Table xxxx of the report for reference.
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383.53 Crs.
iii.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and 65% of the expected realized value in FY24 and FY25 respectively, therefore, the liquidation value would be 106.57 Crs.</t>
  </si>
  <si>
    <t>i.	As per financials of the company, retention money is the amount, which is retain by the customer till the completion of the defect liability period (DLP). As per information shared by the company, a realization plan had been prepared by the company for retention money, which is based on DLP period. 
ii.	As per the realization plan, Rs 63.33 Crs. will be realized in FY24, Rs 9.77 Crs. will be realized in FY25, 10.00 Crs. will be there in FY 26 and beyond FY26 that 222.24 Crs will be outstanding Amount. The Realization Plan as provided by the company Management is shown in Table xxxx of the report for reference.
iii.	To calculate the present value of the future realizable amount, for first 3 years, we have considered 9% (Nifty 50 Returns (CAGR) in the Last 15 Years) discount rate. For the outstanding amount after FY26, as management is not sure that when this amount will be recovered. Hence, we have given a separate discount on this amount which is 75% of outstanding amount after FY26.  Thus, the fair market value will be 240.73 Crs.
iv.	For liquidation, we have only considered the amount of trade receivable for which the company has the realization plan (except outstanding amount after FY26, as company don’t have recoverability plan for this). Here, the effect of ageing, duration of the contract, litigation, dispute between parties are material, thus we have considered annually expected realization as 75%, 65% and 50% of the expected realized value in FY24, FY25 and FY26 respectively, therefore, the liquidation value would be 58.85 Crs.</t>
  </si>
  <si>
    <t>As per financials of the company, Rs 31.83 Crores of advances and prepaid expenses are given to vendors. Project wise status of these advances can be Active/ terminated/ stalled/ foreclosed. We have not received any document regarding the reason of pendency, status of recovery etc.  Considering the age of advances and in the absence of documentary evidence or appropriate actions by the company / legal recourse to recover the above advances, we have only considered the projects which are either completed or ongoing to calcualte the fairvalue of the head, which comes out to be INR 39.89 crs. 
In case of liquidation, we have considered the value of completed projects to be 100% of the book value, as the projects had already completed. And for ongoing projects, projects are completed either in FY24 or in FY25 hence being conservative atleast 50% of the ongoing projects will be competed. Hence, we have considered 50% of the book value in case of ongoing. Thus, the liquidation value is INR 34.08 Crs.</t>
  </si>
  <si>
    <t>1. Assessment is done based on the details which the lender could provided to us on our queries.
2. We have considered the outstanding Balance as per data provided by the company for 31st March 2023.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</si>
  <si>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The outstanding are taken from the data provided by the company standing as on 31st March 2023.
3. Based on the reason for pendency and comments on recoverability, we have arrived at the valuation based on the assumption that in present situation what is the maximum recoverability can come subject to proper follow-up with the counter parties.
4. The recoverability assessed in the potential valuation is subject to rigorous follow-up with individual debtor.
5.	This is just a general assessment on the basis of general Industry practice, based on the details which the company/ Banker could provide to us as per our queries &amp; discussions with the Company officials/ Banker.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analyzes in recoveries of outstanding dues. Ultimate recovery depends on efforts, extensive follow-ups and close scrutiny of individual case made by the company. So, our values should not be regarded as any judgment in regard to the recoverability of Current assets.</t>
  </si>
  <si>
    <t>1.	Assessment is done based on the discussions done with the banker/ company and the details which they could provide to us on our queries.
2.	All the notes on the current status of amount recovery are given by company/ banker. Notes and data provided by company/ banker has been relied upon in good faith on the basis of which independent potential value assessment of the Current assets has been carried out.
3.	For the basis of arriving at the Value of each Current assets, please refer to the specific annexure.
4.	This is just a general assessment on the basis of general Industry practice based on the details which the company/ banker could provide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company officials/ banker that what is the minimum amount can be recovered out of the receivables, loans &amp; advances, etc.
6.	No audit of any kind is performed by us from the books of account or ledger statements and all this data/ information/ input/ details provided to us by the company/ banker are taken as is it on good faith that these are factually correct information.
7. There is no fixed criteria, formula or norm for the Valuation of Current assets It is purely based on the individual assessment and may differ from valuer to valuer based on the practicality he analyse in recoveries of outstanding dues. Ultimate recovery depends on efforts, extensive follow-ups and close scrutiny of individual case made by the company/ RP. So our values should not be regarded as any judgment in regard to the recoverability of Current assets</t>
  </si>
  <si>
    <t xml:space="preserve">As per  unaudited financials of Maytas NCC JV shared by the banker/company, as on 31st March, 2023, Net worth of the company is INR 14.19 Crores. Also, as per accounting policy of the Maytas NCC JV, IL&amp;FS Engineering and construction Company Limited have 50 % shares in profit margin of the entity. We have considered the net worth as key factor to estimate the value of  this non-current investment of IL&amp;FS share in this company.
Hence the fair market value and liquidation value of the Maytas NCC JV will be INR 7.10 Crore considering the fact that this investment will be 50% of the net worth.
</t>
  </si>
  <si>
    <t>As per unaudited financials of NCC – Maytas – ZVS (JV) shared by the banker/company as on 31st March, 2023, Net worth of the company is INR 0.34 Crores. Also, as per accounting policy of the NCC – Maytas – ZVS (JV), IL&amp;FS Engineering and construction Company Limited have 39.69 % share in profit margin of the entity. We have to consider the net worth as key factor to estimate the value of this non-current investment of IL&amp;FS share in this company. 
Hence the fair market value and liquidation value of this investment will be 39.69% of the net worth of the NCC – Maytas – ZVS (JV) as INR 0.13 Crore in this scenario.</t>
  </si>
  <si>
    <t>As per information provided by client/company, this loan is paid to Maytas NCC JV for running its expenses in the form of working capital and it will be adjusted in percentage of share in profit of the entity, it implies that it is realizable. 
Therefore We have considered the fair market value and liquidation value equal to 0.02 Crs as on valuation date.</t>
  </si>
  <si>
    <t>As per the information provided by the client/company, the loan amount appearing in the financials of IECCL of Rs.10.03 Crs, represents the loan given to Cyberabad Expressways Ltd (cel). 
Here the chances of recoveribility of interest accrued on advance to CEL will depand on the current status of CEL. As per the Concession agreement of Cyberabad Expressway Limited (CEL) (Information given in financials  FY 2023, of CEL) the tenure of operations for the company have been ended on 19th December, 2022, the process of handover is still going on. As per the annual report of CEL for FY2022-23, the company is expecting that all the work will be done and the project handing over process will be completed before 30th June, 2023. However, we cannot comment on the recoverabilty due to lack of information about the current status of the project and its ability to pay off its outstanding liabilities. In the absence of this relevant information, we cannot assign any value to it.  Therefore it seems to be reasonable to considered the fair market value and liquidation value as Nil in this scenario.</t>
  </si>
  <si>
    <t>As per information provided by company, this claim for bank guarantee represents the amount receivable towards encashment of Performance Bank Guarantee (PBG) of one of power project ( APTRANSCO). APTRANSCO is the electric power transmission company of Andhra Pradesh state in India. Currently, it is running its operations, hence these claims can be considered good. As per financials of IECCL these claims are considered good.
Although, we have not received any document/data/information and bank guarantee statement regarding the verification of these claims as on valuation date i.e., 10th July 2023. Thus, in this scenario, we have considered the fair market value as 80% of the book value and Liquidation value as 50% of the fair market value after considering the facts that this is a operational unit and the nature of the asset.</t>
  </si>
  <si>
    <t>1. Assessment is done based on the details which the lender provided to us on our queries.
2. Basis of the assessment is mentioned against each line item based on the information provided to us by the lender.
3. No audit of any kind is performed by us from the books of account or ledger statements and all the data/ information/ input/ details provided to us by the lender are taken as is it on good faith that these are factually correct information.
4.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</si>
  <si>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  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</si>
  <si>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1.	Assessment is done based on the details which the lender provided to us on our queries.
2.Status &amp; Outstanding amount are provided by the lenders.
3.	Basis of the assessment is mentioned against each line item based on the information provided to us by the lender.
4.	No audit of any kind is performed by us from the books of account or ledger statements and all the data/ information/ input/ details provided to us by the lender are taken as is it on good faith that these are factually correct information.
5.	There is no fixed criteria, formula or norm for the Valuation of Current Assets. It is purely based on the individual assessment and may differ from valuer to valuer based on the practicality he/ she analyse in recoveries of outstanding dues. Ultimate recovery depends on efforts, extensive follow-ups and close scrutiny of individual case made by the company. So, our values should not be regarded as any judgment in regard to the recoverability of Securities or Current Assets.</t>
  </si>
  <si>
    <t>-</t>
  </si>
  <si>
    <t>As per data / information shared by company, these security deposits are unsecured but considered as good in nature. However, as per bifurcation available with us, these security deposits belongs to different different corporates which are related to sectors like power, irrigation, roads, railways, Oil and Gas etc. We have not received any details/ supporting regarding the terms and conditions under which deposits were made, period of pendency, any outstanding dues against the same or not etc. 
We have assumed that the deposits are in the normal course of business and are duly recoverable in nature. However, these security deposits are subject to the terms &amp; conditions, durability, legality, any dispute b/w the parties, any breach of contract, interest rate applicability and other such factors. 
Due to lack of data/information of such factors we have considered the fair market value of these security deposit equal to 85% of the book value. For Liquidation Value (Going Concern) a discount of 15% has been given to the fair market value.</t>
  </si>
  <si>
    <t>Details as on 30th September 2018</t>
  </si>
  <si>
    <t>Capital work-in-progress</t>
  </si>
  <si>
    <t>Intangible Assets</t>
  </si>
  <si>
    <t>Loans and Other Assets</t>
  </si>
  <si>
    <t>Claim for PBG</t>
  </si>
  <si>
    <t>Margin Money Deposits</t>
  </si>
  <si>
    <t>Non-Current Inventories</t>
  </si>
  <si>
    <t>Cash and Cash Equivalents</t>
  </si>
  <si>
    <t xml:space="preserve">1. Assessment is done based on the discussions done with the lender and the details which they could provide to us on our queries.
2. All the notes on the current status of amount recovery are given by the lender. Notes and data provided by the lender has been relied upon in good faith on the basis of which independent potential value assessment of the current Assets has been carried out.
3. For the basis of arriving at the Value of each Currents Assets, please refer to the specific annexure.
4. This is just a general assessment on the basis of general Industry practice based on the details which the lender provided to us as per our queries &amp; discussions held during the course of the assessment and further opinion made by us based on the available information and facts on record.
5. Valuation of Current Assets is more of a kind of an assessment based on the Industry practice and an assumption based on the facts &amp; verbal discussion carried out with the lender that what is the minimum amount can be recovered out of the receivables, loans &amp; advances, etc.
6. No audit of any kind is performed by us from the books of account or ledger statements and all this data/ information/ input/ details provided to us by the lender and are taken as is it on good faith that these are factually correct information.
7. There are no fixed criteria, formula or norm for the Valuation of Current Assets. It is purely based on the individual assessment and may differ from valuer to valuer based on the practicality he/ she analyses in recoveries of outstanding dues. Ultimate recovery depends on efforts, extensive follow-ups, close scrutiny of individual case made by the Company. So our values should not be regarded as any judgment in regard to the recoverability of Current Assets.
8. As all these companies are non-operational and lack of information regarding the investments made, loans and advances, pendency, terms and conditions, legality between party and counter party and current status of the investees / related parties / venders and other various factors / scenarios have been considered during the assesment of fair market value and relizable value at our level best. Also the valuation is limited to the scope of work only. </t>
  </si>
  <si>
    <t>Details as on 15th October 2018</t>
  </si>
  <si>
    <t>Net Award Amount</t>
  </si>
  <si>
    <t>Figures in INR Crore</t>
  </si>
  <si>
    <t>IECCL</t>
  </si>
  <si>
    <t>SPVs*</t>
  </si>
  <si>
    <t>Already mentioned in the Financials of IL&amp;FS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</si>
</sst>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 &quot;₹&quot;\ * #,##0.00_ ;_ &quot;₹&quot;\ * \-#,##0.00_ ;_ &quot;₹&quot;\ * &quot;-&quot;??_ ;_ @_ "/>
    <numFmt numFmtId="43" formatCode="_ * #,##0.00_ ;_ * \-#,##0.00_ ;_ * &quot;-&quot;??_ ;_ @_ "/>
    <numFmt numFmtId="164" formatCode="_(&quot;$&quot;* #,##0_);_(&quot;$&quot;* \(#,##0\);_(&quot;$&quot;* &quot;-&quot;_);_(@_)"/>
    <numFmt numFmtId="165" formatCode="_(&quot;$&quot;* #,##0.00_);_(&quot;$&quot;* \(#,##0.00\);_(&quot;$&quot;* &quot;-&quot;??_);_(@_)"/>
    <numFmt numFmtId="166" formatCode="_(* #,##0.00_);_(* \(#,##0.00\);_(* &quot;-&quot;??_);_(@_)"/>
    <numFmt numFmtId="167" formatCode="_ &quot;Rs.&quot;\ * #,##0.00_ ;_ &quot;Rs.&quot;\ * \-#,##0.00_ ;_ &quot;Rs.&quot;\ * &quot;-&quot;??_ ;_ @_ "/>
    <numFmt numFmtId="168" formatCode="_(* #,##0_);_(* \(#,##0\);_(* &quot;-&quot;??_);_(@_)"/>
    <numFmt numFmtId="169" formatCode="_-* #,##0_-;\-* #,##0_-;_-* &quot;-&quot;_-;_-@_-"/>
    <numFmt numFmtId="170" formatCode="_-* #,##0.00_-;\-* #,##0.00_-;_-* &quot;-&quot;??_-;_-@_-"/>
    <numFmt numFmtId="171" formatCode="_(* #,##0.00_);_(* \(#,##0.00\);_(* \-??_);_(@_)"/>
    <numFmt numFmtId="172" formatCode="0.00_)"/>
    <numFmt numFmtId="173" formatCode="0.000"/>
    <numFmt numFmtId="174" formatCode="&quot;$&quot;#,##0.0_);\(&quot;$&quot;#,##0.0\)"/>
    <numFmt numFmtId="175" formatCode="General_)"/>
    <numFmt numFmtId="176" formatCode="0.0%;\(0.0%\)"/>
    <numFmt numFmtId="177" formatCode="&quot;$&quot;#,##0.0"/>
    <numFmt numFmtId="178" formatCode="0.00000000"/>
    <numFmt numFmtId="179" formatCode="_-* #,##0\ _D_M_-;\-* #,##0\ _D_M_-;_-* &quot;-&quot;\ _D_M_-;_-@_-"/>
    <numFmt numFmtId="180" formatCode="_-* #,##0.00\ _D_M_-;\-* #,##0.00\ _D_M_-;_-* &quot;-&quot;??\ _D_M_-;_-@_-"/>
    <numFmt numFmtId="181" formatCode="#,##0\ &quot;F&quot;;[Red]\-#,##0\ &quot;F&quot;"/>
    <numFmt numFmtId="182" formatCode="mm/dd/yy"/>
    <numFmt numFmtId="183" formatCode="#,##0&quot;£&quot;_);\(#,##0&quot;£&quot;\)"/>
    <numFmt numFmtId="184" formatCode="#,##0&quot;£&quot;_);[Red]\(#,##0&quot;£&quot;\)"/>
    <numFmt numFmtId="185" formatCode="_-&quot;$&quot;* #,##0_-;\-&quot;$&quot;* #,##0_-;_-&quot;$&quot;* &quot;-&quot;_-;_-@_-"/>
    <numFmt numFmtId="186" formatCode="_-&quot;$&quot;* #,##0.00_-;\-&quot;$&quot;* #,##0.00_-;_-&quot;$&quot;* &quot;-&quot;??_-;_-@_-"/>
    <numFmt numFmtId="187" formatCode="0.000%"/>
    <numFmt numFmtId="188" formatCode="_ * #,##0_ ;_ * \-#,##0_ ;_ * &quot;-&quot;??_ ;_ @_ "/>
    <numFmt numFmtId="189" formatCode="[$-409]mmm\-yy;@"/>
    <numFmt numFmtId="190" formatCode="_ * #,##0.0000_ ;_ * \-#,##0.0000_ ;_ * &quot;-&quot;??_ ;_ @_ "/>
  </numFmts>
  <fonts count="78">
    <font>
      <sz val="11"/>
      <color theme="1"/>
      <name val="Calibri"/>
      <family val="2"/>
      <scheme val="minor"/>
    </font>
    <font>
      <b/>
      <sz val="11"/>
      <color theme="1"/>
      <name val="Calibri"/>
      <family val="2"/>
      <scheme val="minor"/>
    </font>
    <font>
      <b/>
      <sz val="12"/>
      <color theme="0"/>
      <name val="Calibri"/>
      <family val="2"/>
      <scheme val="minor"/>
    </font>
    <font>
      <sz val="11"/>
      <color theme="1"/>
      <name val="Calibri"/>
      <family val="2"/>
      <scheme val="minor"/>
    </font>
    <font>
      <b/>
      <sz val="14"/>
      <color theme="1"/>
      <name val="Calibri"/>
      <family val="2"/>
      <scheme val="minor"/>
    </font>
    <font>
      <sz val="10"/>
      <name val="Arial"/>
      <family val="2"/>
    </font>
    <font>
      <i/>
      <sz val="9"/>
      <color theme="1"/>
      <name val="Arial"/>
      <family val="2"/>
    </font>
    <font>
      <b/>
      <sz val="9"/>
      <color theme="0"/>
      <name val="Arial"/>
      <family val="2"/>
    </font>
    <font>
      <sz val="9"/>
      <color theme="1"/>
      <name val="Arial"/>
      <family val="2"/>
    </font>
    <font>
      <b/>
      <sz val="9"/>
      <color theme="1"/>
      <name val="Arial"/>
      <family val="2"/>
    </font>
    <font>
      <b/>
      <i/>
      <sz val="9"/>
      <color theme="0"/>
      <name val="Arial"/>
      <family val="2"/>
    </font>
    <font>
      <b/>
      <i/>
      <sz val="9"/>
      <color theme="1"/>
      <name val="Arial"/>
      <family val="2"/>
    </font>
    <font>
      <sz val="9"/>
      <name val="Arial"/>
      <family val="2"/>
    </font>
    <font>
      <sz val="10"/>
      <name val="Arial"/>
      <family val="2"/>
      <charset val="134"/>
    </font>
    <font>
      <sz val="12"/>
      <name val="Times New Roman"/>
      <family val="1"/>
    </font>
    <font>
      <sz val="10"/>
      <color indexed="8"/>
      <name val="Arial"/>
      <family val="2"/>
    </font>
    <font>
      <sz val="10"/>
      <color indexed="8"/>
      <name val="Arial"/>
      <family val="2"/>
    </font>
    <font>
      <b/>
      <sz val="10"/>
      <color indexed="8"/>
      <name val="ARIAL"/>
      <family val="2"/>
    </font>
    <font>
      <b/>
      <sz val="11"/>
      <name val="Arial"/>
      <family val="2"/>
    </font>
    <font>
      <b/>
      <sz val="10"/>
      <name val="Arial"/>
      <family val="2"/>
    </font>
    <font>
      <sz val="11"/>
      <color indexed="8"/>
      <name val="Calibri"/>
      <family val="2"/>
    </font>
    <font>
      <b/>
      <sz val="12"/>
      <name val="Arial"/>
      <family val="2"/>
    </font>
    <font>
      <b/>
      <sz val="10"/>
      <name val="Helv"/>
    </font>
    <font>
      <sz val="8"/>
      <name val="Arial"/>
      <family val="2"/>
    </font>
    <font>
      <b/>
      <sz val="12"/>
      <name val="Helv"/>
    </font>
    <font>
      <b/>
      <sz val="11"/>
      <name val="Helv"/>
    </font>
    <font>
      <b/>
      <i/>
      <sz val="16"/>
      <name val="Helv"/>
    </font>
    <font>
      <sz val="12"/>
      <name val="Tms Rmn"/>
    </font>
    <font>
      <sz val="9"/>
      <name val="Times New Roman"/>
      <family val="1"/>
    </font>
    <font>
      <sz val="10"/>
      <name val="MS Serif"/>
      <family val="1"/>
    </font>
    <font>
      <sz val="10"/>
      <name val="MS Sans Serif"/>
      <family val="2"/>
    </font>
    <font>
      <sz val="10"/>
      <color indexed="16"/>
      <name val="MS Serif"/>
      <family val="1"/>
    </font>
    <font>
      <sz val="7"/>
      <name val="Small Fonts"/>
      <family val="2"/>
    </font>
    <font>
      <b/>
      <i/>
      <sz val="10"/>
      <color indexed="8"/>
      <name val="Arial"/>
      <family val="2"/>
    </font>
    <font>
      <b/>
      <sz val="10"/>
      <color indexed="56"/>
      <name val="Arial"/>
      <family val="2"/>
    </font>
    <font>
      <b/>
      <sz val="16"/>
      <color indexed="8"/>
      <name val="Arial"/>
      <family val="2"/>
    </font>
    <font>
      <sz val="8"/>
      <name val="Helv"/>
    </font>
    <font>
      <b/>
      <sz val="8"/>
      <color indexed="8"/>
      <name val="Helv"/>
    </font>
    <font>
      <b/>
      <sz val="11"/>
      <name val="Times New Roman"/>
      <family val="1"/>
    </font>
    <font>
      <b/>
      <i/>
      <sz val="16"/>
      <name val="Arial"/>
      <family val="2"/>
    </font>
    <font>
      <u/>
      <sz val="10"/>
      <color indexed="12"/>
      <name val="Arial"/>
      <family val="2"/>
    </font>
    <font>
      <sz val="10"/>
      <name val="Arial"/>
      <family val="2"/>
      <charset val="1"/>
    </font>
    <font>
      <i/>
      <sz val="10"/>
      <color theme="1"/>
      <name val="Arial"/>
      <family val="2"/>
    </font>
    <font>
      <sz val="10"/>
      <color theme="1"/>
      <name val="Arial"/>
      <family val="2"/>
    </font>
    <font>
      <b/>
      <sz val="10"/>
      <color theme="1"/>
      <name val="Arial"/>
      <family val="2"/>
    </font>
    <font>
      <b/>
      <sz val="10"/>
      <color theme="0"/>
      <name val="Arial"/>
      <family val="2"/>
    </font>
    <font>
      <b/>
      <i/>
      <sz val="10"/>
      <color theme="0"/>
      <name val="Arial"/>
      <family val="2"/>
    </font>
    <font>
      <i/>
      <sz val="10"/>
      <name val="Arial"/>
      <family val="2"/>
    </font>
    <font>
      <b/>
      <sz val="11"/>
      <color rgb="FFFFFFFF"/>
      <name val="Calibri"/>
      <family val="2"/>
    </font>
    <font>
      <i/>
      <sz val="11"/>
      <color rgb="FF000000"/>
      <name val="Calibri"/>
      <family val="2"/>
    </font>
    <font>
      <b/>
      <sz val="11"/>
      <color rgb="FF000000"/>
      <name val="Calibri"/>
      <family val="2"/>
    </font>
    <font>
      <sz val="11"/>
      <color rgb="FF000000"/>
      <name val="Calibri"/>
      <family val="2"/>
    </font>
    <font>
      <b/>
      <i/>
      <sz val="11"/>
      <color rgb="FF000000"/>
      <name val="Calibri"/>
      <family val="2"/>
    </font>
    <font>
      <b/>
      <i/>
      <sz val="7"/>
      <color rgb="FF000000"/>
      <name val="Times New Roman"/>
      <family val="1"/>
    </font>
    <font>
      <sz val="7"/>
      <color rgb="FF000000"/>
      <name val="Times New Roman"/>
      <family val="1"/>
    </font>
    <font>
      <sz val="10"/>
      <color theme="1"/>
      <name val="Book Antiqua"/>
      <family val="2"/>
    </font>
    <font>
      <sz val="11"/>
      <color rgb="FF000000"/>
      <name val="Calibri"/>
      <family val="2"/>
      <scheme val="minor"/>
    </font>
    <font>
      <b/>
      <i/>
      <sz val="11"/>
      <color theme="0"/>
      <name val="Calibri"/>
      <family val="2"/>
    </font>
    <font>
      <u/>
      <sz val="11"/>
      <color theme="10"/>
      <name val="Calibri"/>
      <family val="2"/>
      <scheme val="minor"/>
    </font>
    <font>
      <b/>
      <sz val="11"/>
      <color theme="0"/>
      <name val="Calibri"/>
      <family val="2"/>
      <scheme val="minor"/>
    </font>
    <font>
      <sz val="11"/>
      <color theme="0"/>
      <name val="Calibri"/>
      <family val="2"/>
      <scheme val="minor"/>
    </font>
    <font>
      <b/>
      <sz val="9"/>
      <name val="Times New Roman"/>
      <family val="1"/>
    </font>
    <font>
      <b/>
      <sz val="9"/>
      <color theme="0"/>
      <name val="Times New Roman"/>
      <family val="1"/>
    </font>
    <font>
      <sz val="11"/>
      <color theme="1"/>
      <name val="Garamond"/>
      <family val="1"/>
    </font>
    <font>
      <b/>
      <sz val="11"/>
      <color theme="0"/>
      <name val="Garamond"/>
      <family val="1"/>
    </font>
    <font>
      <b/>
      <sz val="11"/>
      <name val="Garamond"/>
      <family val="1"/>
    </font>
    <font>
      <sz val="11"/>
      <name val="Garamond"/>
      <family val="1"/>
    </font>
    <font>
      <b/>
      <i/>
      <sz val="11"/>
      <color theme="0"/>
      <name val="Garamond"/>
      <family val="1"/>
    </font>
    <font>
      <b/>
      <sz val="11"/>
      <color rgb="FF000000"/>
      <name val="Calibri"/>
      <family val="2"/>
      <scheme val="minor"/>
    </font>
    <font>
      <b/>
      <sz val="11"/>
      <color theme="1"/>
      <name val="Garamond"/>
      <family val="1"/>
    </font>
    <font>
      <sz val="11"/>
      <name val="Calibri"/>
      <family val="2"/>
      <scheme val="minor"/>
    </font>
    <font>
      <i/>
      <sz val="11"/>
      <name val="Calibri"/>
      <family val="2"/>
      <scheme val="minor"/>
    </font>
    <font>
      <b/>
      <sz val="11"/>
      <name val="Calibri"/>
      <family val="2"/>
      <scheme val="minor"/>
    </font>
    <font>
      <b/>
      <sz val="9"/>
      <color theme="1"/>
      <name val="Book Antiqua"/>
      <family val="1"/>
    </font>
    <font>
      <sz val="9"/>
      <name val="Book Antiqua"/>
      <family val="1"/>
    </font>
    <font>
      <b/>
      <sz val="9"/>
      <name val="Book Antiqua"/>
      <family val="1"/>
    </font>
    <font>
      <sz val="11"/>
      <color theme="1"/>
      <name val="Calibri"/>
      <family val="2"/>
    </font>
    <font>
      <i/>
      <sz val="11"/>
      <color theme="1"/>
      <name val="Calibri"/>
      <family val="2"/>
      <scheme val="minor"/>
    </font>
  </fonts>
  <fills count="29">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0"/>
        <bgColor indexed="64"/>
      </patternFill>
    </fill>
    <fill>
      <patternFill patternType="solid">
        <fgColor rgb="FFFFFFCC"/>
      </patternFill>
    </fill>
    <fill>
      <patternFill patternType="solid">
        <fgColor indexed="9"/>
        <bgColor indexed="64"/>
      </patternFill>
    </fill>
    <fill>
      <patternFill patternType="solid">
        <fgColor indexed="43"/>
        <bgColor indexed="64"/>
      </patternFill>
    </fill>
    <fill>
      <patternFill patternType="solid">
        <fgColor indexed="27"/>
      </patternFill>
    </fill>
    <fill>
      <patternFill patternType="solid">
        <fgColor indexed="9"/>
      </patternFill>
    </fill>
    <fill>
      <patternFill patternType="solid">
        <fgColor indexed="42"/>
      </patternFill>
    </fill>
    <fill>
      <patternFill patternType="solid">
        <fgColor indexed="22"/>
        <bgColor indexed="64"/>
      </patternFill>
    </fill>
    <fill>
      <patternFill patternType="solid">
        <fgColor indexed="9"/>
        <bgColor indexed="26"/>
      </patternFill>
    </fill>
    <fill>
      <patternFill patternType="solid">
        <fgColor indexed="26"/>
        <bgColor indexed="64"/>
      </patternFill>
    </fill>
    <fill>
      <patternFill patternType="solid">
        <fgColor indexed="24"/>
      </patternFill>
    </fill>
    <fill>
      <patternFill patternType="solid">
        <fgColor indexed="40"/>
        <bgColor indexed="64"/>
      </patternFill>
    </fill>
    <fill>
      <patternFill patternType="solid">
        <fgColor indexed="41"/>
      </patternFill>
    </fill>
    <fill>
      <patternFill patternType="solid">
        <fgColor indexed="40"/>
      </patternFill>
    </fill>
    <fill>
      <patternFill patternType="solid">
        <fgColor rgb="FF002060"/>
        <bgColor indexed="64"/>
      </patternFill>
    </fill>
    <fill>
      <patternFill patternType="solid">
        <fgColor rgb="FFB8CCE4"/>
        <bgColor indexed="64"/>
      </patternFill>
    </fill>
    <fill>
      <patternFill patternType="solid">
        <fgColor rgb="FFFFFFFF"/>
        <bgColor indexed="64"/>
      </patternFill>
    </fill>
    <fill>
      <patternFill patternType="solid">
        <fgColor theme="4" tint="0.59999389629810485"/>
        <bgColor indexed="64"/>
      </patternFill>
    </fill>
    <fill>
      <patternFill patternType="solid">
        <fgColor rgb="FF002060"/>
        <bgColor rgb="FF000000"/>
      </patternFill>
    </fill>
    <fill>
      <patternFill patternType="solid">
        <fgColor theme="0" tint="-0.14999847407452621"/>
        <bgColor rgb="FF000000"/>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BDD6EE"/>
        <bgColor indexed="64"/>
      </patternFill>
    </fill>
    <fill>
      <patternFill patternType="solid">
        <fgColor theme="3"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8"/>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s>
  <cellStyleXfs count="5105">
    <xf numFmtId="0" fontId="0" fillId="0" borderId="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5" fillId="0" borderId="0"/>
    <xf numFmtId="43" fontId="5" fillId="0" borderId="0" applyFont="0" applyFill="0" applyBorder="0" applyAlignment="0" applyProtection="0"/>
    <xf numFmtId="166"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0" fontId="5" fillId="0" borderId="0" applyNumberFormat="0" applyFill="0" applyBorder="0" applyAlignment="0" applyProtection="0"/>
    <xf numFmtId="43" fontId="3" fillId="0" borderId="0" applyFont="0" applyFill="0" applyBorder="0" applyAlignment="0" applyProtection="0"/>
    <xf numFmtId="0" fontId="13" fillId="0" borderId="0">
      <alignment vertical="center"/>
    </xf>
    <xf numFmtId="43" fontId="14" fillId="0" borderId="0" applyFont="0" applyFill="0" applyBorder="0" applyAlignment="0" applyProtection="0">
      <alignment vertical="center"/>
    </xf>
    <xf numFmtId="43" fontId="3" fillId="0" borderId="0" applyFont="0" applyFill="0" applyBorder="0" applyAlignment="0" applyProtection="0"/>
    <xf numFmtId="0" fontId="5" fillId="0" borderId="0" applyNumberFormat="0" applyFill="0" applyBorder="0" applyAlignment="0" applyProtection="0"/>
    <xf numFmtId="9" fontId="5" fillId="0" borderId="0" applyFont="0" applyFill="0" applyBorder="0" applyAlignment="0" applyProtection="0"/>
    <xf numFmtId="0" fontId="15" fillId="0" borderId="0">
      <alignment vertical="top"/>
    </xf>
    <xf numFmtId="0" fontId="16"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4" fontId="5" fillId="0" borderId="0" applyFont="0" applyFill="0" applyBorder="0" applyAlignment="0" applyProtection="0"/>
    <xf numFmtId="0" fontId="14" fillId="0" borderId="0" applyFill="0" applyBorder="0"/>
    <xf numFmtId="0" fontId="27" fillId="0" borderId="0" applyNumberFormat="0" applyFill="0" applyBorder="0" applyAlignment="0" applyProtection="0"/>
    <xf numFmtId="174" fontId="5" fillId="0" borderId="0" applyFill="0" applyBorder="0" applyAlignment="0"/>
    <xf numFmtId="175" fontId="28" fillId="0" borderId="0" applyFill="0" applyBorder="0" applyAlignment="0"/>
    <xf numFmtId="173" fontId="28" fillId="0" borderId="0" applyFill="0" applyBorder="0" applyAlignment="0"/>
    <xf numFmtId="176" fontId="5" fillId="0" borderId="0" applyFill="0" applyBorder="0" applyAlignment="0"/>
    <xf numFmtId="177" fontId="5"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2" fillId="0" borderId="0"/>
    <xf numFmtId="0" fontId="19" fillId="0" borderId="0"/>
    <xf numFmtId="43" fontId="15" fillId="0" borderId="0" applyFont="0" applyFill="0" applyBorder="0" applyAlignment="0" applyProtection="0">
      <alignment vertical="top"/>
    </xf>
    <xf numFmtId="174" fontId="5" fillId="0" borderId="0" applyFont="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15" fillId="0" borderId="0" applyFont="0" applyFill="0" applyBorder="0" applyAlignment="0" applyProtection="0">
      <alignment vertical="top"/>
    </xf>
    <xf numFmtId="171" fontId="5"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Fill="0" applyBorder="0" applyAlignment="0" applyProtection="0"/>
    <xf numFmtId="0" fontId="5" fillId="0" borderId="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9" fillId="0" borderId="0" applyNumberFormat="0" applyAlignment="0">
      <alignment horizontal="left"/>
    </xf>
    <xf numFmtId="165" fontId="15" fillId="0" borderId="0" applyFont="0" applyFill="0" applyBorder="0" applyAlignment="0" applyProtection="0">
      <alignment vertical="top"/>
    </xf>
    <xf numFmtId="175" fontId="28"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4" fontId="15" fillId="0" borderId="0" applyFill="0" applyBorder="0" applyAlignment="0"/>
    <xf numFmtId="38" fontId="30" fillId="0" borderId="15">
      <alignment vertical="center"/>
    </xf>
    <xf numFmtId="179" fontId="5" fillId="0" borderId="0" applyFont="0" applyFill="0" applyBorder="0" applyAlignment="0" applyProtection="0"/>
    <xf numFmtId="180" fontId="5" fillId="0" borderId="0" applyFont="0" applyFill="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31" fillId="0" borderId="0" applyNumberFormat="0" applyAlignment="0">
      <alignment horizontal="left"/>
    </xf>
    <xf numFmtId="0" fontId="5" fillId="0" borderId="0" applyFont="0" applyFill="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11"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3" fillId="12"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38" fontId="23" fillId="6" borderId="0" applyNumberFormat="0" applyBorder="0" applyAlignment="0" applyProtection="0"/>
    <xf numFmtId="0" fontId="24" fillId="0" borderId="0">
      <alignment horizontal="left"/>
    </xf>
    <xf numFmtId="0" fontId="21" fillId="0" borderId="0">
      <alignment horizontal="left"/>
    </xf>
    <xf numFmtId="0" fontId="21" fillId="0" borderId="16" applyNumberFormat="0" applyAlignment="0" applyProtection="0">
      <alignment horizontal="left" vertical="center"/>
    </xf>
    <xf numFmtId="0" fontId="21" fillId="0" borderId="12">
      <alignment horizontal="left" vertical="center"/>
    </xf>
    <xf numFmtId="0" fontId="40" fillId="0" borderId="0" applyNumberFormat="0" applyFill="0" applyBorder="0" applyAlignment="0" applyProtection="0">
      <alignment vertical="top"/>
      <protection locked="0"/>
    </xf>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13"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0" fontId="23" fillId="12" borderId="0"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0" fontId="23" fillId="6" borderId="13" applyNumberFormat="0" applyBorder="0" applyAlignment="0" applyProtection="0"/>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0" fontId="25" fillId="0" borderId="5"/>
    <xf numFmtId="0" fontId="18" fillId="0" borderId="17"/>
    <xf numFmtId="37" fontId="32" fillId="0" borderId="0"/>
    <xf numFmtId="172" fontId="26" fillId="0" borderId="0"/>
    <xf numFmtId="172" fontId="39"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5"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15" fillId="0" borderId="0">
      <alignment vertical="top"/>
    </xf>
    <xf numFmtId="0" fontId="15"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3"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0" borderId="0"/>
    <xf numFmtId="0" fontId="5" fillId="0" borderId="0"/>
    <xf numFmtId="0" fontId="3" fillId="0" borderId="0"/>
    <xf numFmtId="0" fontId="5" fillId="0" borderId="0"/>
    <xf numFmtId="0" fontId="5" fillId="0" borderId="0"/>
    <xf numFmtId="0" fontId="3" fillId="0" borderId="0"/>
    <xf numFmtId="0" fontId="5" fillId="0" borderId="0"/>
    <xf numFmtId="0" fontId="12" fillId="0" borderId="0"/>
    <xf numFmtId="0" fontId="12" fillId="0" borderId="0"/>
    <xf numFmtId="0" fontId="12" fillId="0" borderId="0"/>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3" fillId="0" borderId="0"/>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5" fillId="5" borderId="14" applyNumberFormat="0" applyFont="0" applyAlignment="0" applyProtection="0"/>
    <xf numFmtId="40" fontId="15" fillId="9" borderId="0">
      <alignment horizontal="right"/>
    </xf>
    <xf numFmtId="0" fontId="33" fillId="8" borderId="0">
      <alignment horizontal="center"/>
    </xf>
    <xf numFmtId="0" fontId="17" fillId="10" borderId="0"/>
    <xf numFmtId="0" fontId="34" fillId="9" borderId="0" applyBorder="0">
      <alignment horizontal="centerContinuous"/>
    </xf>
    <xf numFmtId="0" fontId="35" fillId="14" borderId="0" applyBorder="0">
      <alignment horizontal="centerContinuous"/>
    </xf>
    <xf numFmtId="177" fontId="5" fillId="0" borderId="0" applyFont="0" applyFill="0" applyBorder="0" applyAlignment="0" applyProtection="0"/>
    <xf numFmtId="181" fontId="5" fillId="0" borderId="0" applyFont="0" applyFill="0" applyBorder="0" applyAlignment="0" applyProtection="0"/>
    <xf numFmtId="10" fontId="5" fillId="0" borderId="0" applyFont="0" applyFill="0" applyBorder="0" applyAlignment="0" applyProtection="0"/>
    <xf numFmtId="10" fontId="5" fillId="0" borderId="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alignment vertical="top"/>
    </xf>
    <xf numFmtId="174" fontId="5" fillId="0" borderId="0" applyFill="0" applyBorder="0" applyAlignment="0"/>
    <xf numFmtId="175" fontId="28" fillId="0" borderId="0" applyFill="0" applyBorder="0" applyAlignment="0"/>
    <xf numFmtId="174" fontId="5" fillId="0" borderId="0" applyFill="0" applyBorder="0" applyAlignment="0"/>
    <xf numFmtId="178" fontId="5" fillId="0" borderId="0" applyFill="0" applyBorder="0" applyAlignment="0"/>
    <xf numFmtId="175" fontId="28" fillId="0" borderId="0" applyFill="0" applyBorder="0" applyAlignment="0"/>
    <xf numFmtId="182" fontId="36" fillId="0" borderId="0" applyNumberFormat="0" applyFill="0" applyBorder="0" applyAlignment="0" applyProtection="0">
      <alignment horizontal="left"/>
    </xf>
    <xf numFmtId="4" fontId="17" fillId="7" borderId="18" applyNumberFormat="0" applyProtection="0">
      <alignment horizontal="left" vertical="center"/>
    </xf>
    <xf numFmtId="4" fontId="17" fillId="15" borderId="0" applyNumberFormat="0" applyProtection="0">
      <alignment horizontal="left" vertical="center"/>
    </xf>
    <xf numFmtId="4" fontId="15" fillId="16" borderId="18" applyNumberFormat="0" applyProtection="0">
      <alignment horizontal="right" vertical="center"/>
    </xf>
    <xf numFmtId="4" fontId="15" fillId="17" borderId="18" applyNumberFormat="0" applyProtection="0">
      <alignment horizontal="left" vertical="center"/>
    </xf>
    <xf numFmtId="0" fontId="15" fillId="15" borderId="18" applyNumberFormat="0" applyProtection="0">
      <alignment horizontal="left" vertical="top"/>
    </xf>
    <xf numFmtId="0" fontId="5" fillId="0" borderId="0"/>
    <xf numFmtId="0" fontId="5" fillId="0" borderId="0"/>
    <xf numFmtId="0" fontId="25" fillId="0" borderId="0"/>
    <xf numFmtId="0" fontId="18" fillId="0" borderId="0"/>
    <xf numFmtId="40" fontId="37" fillId="0" borderId="0" applyBorder="0">
      <alignment horizontal="right"/>
    </xf>
    <xf numFmtId="49" fontId="15" fillId="0" borderId="0" applyFill="0" applyBorder="0" applyAlignment="0"/>
    <xf numFmtId="183" fontId="5" fillId="0" borderId="0" applyFill="0" applyBorder="0" applyAlignment="0"/>
    <xf numFmtId="184" fontId="5" fillId="0" borderId="0" applyFill="0" applyBorder="0" applyAlignment="0"/>
    <xf numFmtId="40" fontId="38" fillId="0" borderId="0"/>
    <xf numFmtId="169" fontId="5" fillId="0" borderId="0" applyFont="0" applyFill="0" applyBorder="0" applyAlignment="0" applyProtection="0"/>
    <xf numFmtId="170" fontId="5" fillId="0" borderId="0" applyFont="0" applyFill="0" applyBorder="0" applyAlignment="0" applyProtection="0"/>
    <xf numFmtId="185" fontId="5" fillId="0" borderId="0" applyFont="0" applyFill="0" applyBorder="0" applyAlignment="0" applyProtection="0"/>
    <xf numFmtId="186" fontId="5"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0" fontId="21" fillId="0" borderId="20">
      <alignment horizontal="left" vertical="center"/>
    </xf>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13"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0" fontId="23" fillId="6" borderId="21" applyNumberFormat="0" applyBorder="0" applyAlignment="0" applyProtection="0"/>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165"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15" fillId="0" borderId="0">
      <alignment vertical="top"/>
    </xf>
    <xf numFmtId="0" fontId="15" fillId="0" borderId="0">
      <alignment vertical="top"/>
    </xf>
    <xf numFmtId="0" fontId="15" fillId="0" borderId="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2" applyNumberFormat="0" applyProtection="0">
      <alignment horizontal="left" vertical="center"/>
    </xf>
    <xf numFmtId="4" fontId="15" fillId="16" borderId="22" applyNumberFormat="0" applyProtection="0">
      <alignment horizontal="right" vertical="center"/>
    </xf>
    <xf numFmtId="4" fontId="15" fillId="17" borderId="22" applyNumberFormat="0" applyProtection="0">
      <alignment horizontal="left" vertical="center"/>
    </xf>
    <xf numFmtId="0" fontId="15" fillId="15" borderId="22" applyNumberFormat="0" applyProtection="0">
      <alignment horizontal="left" vertical="top"/>
    </xf>
    <xf numFmtId="43" fontId="3" fillId="0" borderId="0" applyFont="0" applyFill="0" applyBorder="0" applyAlignment="0" applyProtection="0"/>
    <xf numFmtId="0" fontId="15" fillId="15" borderId="22" applyNumberFormat="0" applyProtection="0">
      <alignment horizontal="left" vertical="top"/>
    </xf>
    <xf numFmtId="4" fontId="15" fillId="17" borderId="22" applyNumberFormat="0" applyProtection="0">
      <alignment horizontal="left" vertical="center"/>
    </xf>
    <xf numFmtId="4" fontId="15" fillId="16" borderId="22" applyNumberFormat="0" applyProtection="0">
      <alignment horizontal="right" vertical="center"/>
    </xf>
    <xf numFmtId="4" fontId="17" fillId="7" borderId="22"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41"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3">
      <alignment horizontal="left" vertical="center"/>
    </xf>
    <xf numFmtId="4" fontId="17" fillId="7" borderId="25" applyNumberFormat="0" applyProtection="0">
      <alignment horizontal="left" vertical="center"/>
    </xf>
    <xf numFmtId="4" fontId="15" fillId="16" borderId="25" applyNumberFormat="0" applyProtection="0">
      <alignment horizontal="right" vertical="center"/>
    </xf>
    <xf numFmtId="4" fontId="15" fillId="17" borderId="25" applyNumberFormat="0" applyProtection="0">
      <alignment horizontal="left" vertical="center"/>
    </xf>
    <xf numFmtId="0" fontId="15" fillId="15" borderId="25" applyNumberFormat="0" applyProtection="0">
      <alignment horizontal="left" vertical="top"/>
    </xf>
    <xf numFmtId="0" fontId="15" fillId="15" borderId="25" applyNumberFormat="0" applyProtection="0">
      <alignment horizontal="left" vertical="top"/>
    </xf>
    <xf numFmtId="4" fontId="15" fillId="17" borderId="25" applyNumberFormat="0" applyProtection="0">
      <alignment horizontal="left" vertical="center"/>
    </xf>
    <xf numFmtId="4" fontId="15" fillId="16" borderId="25" applyNumberFormat="0" applyProtection="0">
      <alignment horizontal="right" vertical="center"/>
    </xf>
    <xf numFmtId="4" fontId="17" fillId="7" borderId="25"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3">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13"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10" fontId="23" fillId="6" borderId="24" applyNumberFormat="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13"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10" fontId="23" fillId="6" borderId="28"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43" fontId="3" fillId="0" borderId="0" applyFont="0" applyFill="0" applyBorder="0" applyAlignment="0" applyProtection="0"/>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27">
      <alignment horizontal="left" vertical="center"/>
    </xf>
    <xf numFmtId="4" fontId="17" fillId="7" borderId="26" applyNumberFormat="0" applyProtection="0">
      <alignment horizontal="left" vertical="center"/>
    </xf>
    <xf numFmtId="4" fontId="15" fillId="16" borderId="26" applyNumberFormat="0" applyProtection="0">
      <alignment horizontal="right" vertical="center"/>
    </xf>
    <xf numFmtId="4" fontId="15" fillId="17" borderId="26" applyNumberFormat="0" applyProtection="0">
      <alignment horizontal="left" vertical="center"/>
    </xf>
    <xf numFmtId="0" fontId="15" fillId="15" borderId="26" applyNumberFormat="0" applyProtection="0">
      <alignment horizontal="left" vertical="top"/>
    </xf>
    <xf numFmtId="0" fontId="15" fillId="15" borderId="26" applyNumberFormat="0" applyProtection="0">
      <alignment horizontal="left" vertical="top"/>
    </xf>
    <xf numFmtId="4" fontId="15" fillId="17" borderId="26" applyNumberFormat="0" applyProtection="0">
      <alignment horizontal="left" vertical="center"/>
    </xf>
    <xf numFmtId="4" fontId="15" fillId="16" borderId="26" applyNumberFormat="0" applyProtection="0">
      <alignment horizontal="right" vertical="center"/>
    </xf>
    <xf numFmtId="4" fontId="17" fillId="7" borderId="26"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27">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13"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10" fontId="23" fillId="6" borderId="29"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43" fontId="3" fillId="0" borderId="0" applyFont="0" applyFill="0" applyBorder="0" applyAlignment="0" applyProtection="0"/>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19" applyNumberFormat="0" applyProtection="0">
      <alignment horizontal="left" vertical="center"/>
    </xf>
    <xf numFmtId="4" fontId="15" fillId="16" borderId="19" applyNumberFormat="0" applyProtection="0">
      <alignment horizontal="right" vertical="center"/>
    </xf>
    <xf numFmtId="4" fontId="15" fillId="17" borderId="19" applyNumberFormat="0" applyProtection="0">
      <alignment horizontal="left" vertical="center"/>
    </xf>
    <xf numFmtId="0" fontId="15" fillId="15" borderId="19" applyNumberFormat="0" applyProtection="0">
      <alignment horizontal="left" vertical="top"/>
    </xf>
    <xf numFmtId="0" fontId="15" fillId="15" borderId="19" applyNumberFormat="0" applyProtection="0">
      <alignment horizontal="left" vertical="top"/>
    </xf>
    <xf numFmtId="4" fontId="15" fillId="17" borderId="19" applyNumberFormat="0" applyProtection="0">
      <alignment horizontal="left" vertical="center"/>
    </xf>
    <xf numFmtId="4" fontId="15" fillId="16" borderId="19" applyNumberFormat="0" applyProtection="0">
      <alignment horizontal="right" vertical="center"/>
    </xf>
    <xf numFmtId="4" fontId="17" fillId="7" borderId="19"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166" fontId="5"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21" fillId="0" borderId="31">
      <alignment horizontal="left" vertical="center"/>
    </xf>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0" fontId="21" fillId="0" borderId="31">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13"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10" fontId="23" fillId="6" borderId="32" applyNumberFormat="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43" fontId="3" fillId="0" borderId="0" applyFont="0" applyFill="0" applyBorder="0" applyAlignment="0" applyProtection="0"/>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alignment vertical="top"/>
    </xf>
    <xf numFmtId="43" fontId="5"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5"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 fontId="17" fillId="7" borderId="30" applyNumberFormat="0" applyProtection="0">
      <alignment horizontal="left" vertical="center"/>
    </xf>
    <xf numFmtId="4" fontId="15" fillId="16" borderId="30" applyNumberFormat="0" applyProtection="0">
      <alignment horizontal="right" vertical="center"/>
    </xf>
    <xf numFmtId="4" fontId="15" fillId="17" borderId="30" applyNumberFormat="0" applyProtection="0">
      <alignment horizontal="left" vertical="center"/>
    </xf>
    <xf numFmtId="0" fontId="15" fillId="15" borderId="30" applyNumberFormat="0" applyProtection="0">
      <alignment horizontal="left" vertical="top"/>
    </xf>
    <xf numFmtId="0" fontId="15" fillId="15" borderId="30" applyNumberFormat="0" applyProtection="0">
      <alignment horizontal="left" vertical="top"/>
    </xf>
    <xf numFmtId="4" fontId="15" fillId="17" borderId="30" applyNumberFormat="0" applyProtection="0">
      <alignment horizontal="left" vertical="center"/>
    </xf>
    <xf numFmtId="4" fontId="15" fillId="16" borderId="30" applyNumberFormat="0" applyProtection="0">
      <alignment horizontal="right" vertical="center"/>
    </xf>
    <xf numFmtId="4" fontId="17" fillId="7" borderId="30" applyNumberFormat="0" applyProtection="0">
      <alignment horizontal="left" vertical="center"/>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5" fillId="0" borderId="0" applyFont="0" applyFill="0" applyBorder="0" applyAlignment="0" applyProtection="0">
      <alignment vertical="top"/>
    </xf>
    <xf numFmtId="43" fontId="15" fillId="0" borderId="0" applyFont="0" applyFill="0" applyBorder="0" applyAlignment="0" applyProtection="0">
      <alignment vertical="top"/>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4" fillId="0" borderId="0" applyFont="0" applyFill="0" applyBorder="0" applyAlignment="0" applyProtection="0">
      <alignment vertical="center"/>
    </xf>
    <xf numFmtId="43" fontId="3" fillId="0" borderId="0" applyFont="0" applyFill="0" applyBorder="0" applyAlignment="0" applyProtection="0"/>
    <xf numFmtId="0" fontId="15" fillId="0" borderId="0">
      <alignment vertical="top"/>
    </xf>
    <xf numFmtId="43" fontId="3" fillId="0" borderId="0" applyFont="0" applyFill="0" applyBorder="0" applyAlignment="0" applyProtection="0"/>
    <xf numFmtId="43" fontId="55" fillId="0" borderId="0" applyFont="0" applyFill="0" applyBorder="0" applyAlignment="0" applyProtection="0"/>
    <xf numFmtId="0" fontId="55" fillId="0" borderId="0"/>
    <xf numFmtId="0" fontId="56" fillId="0" borderId="0"/>
    <xf numFmtId="43" fontId="56" fillId="0" borderId="0" applyFont="0" applyFill="0" applyBorder="0" applyAlignment="0" applyProtection="0"/>
    <xf numFmtId="0" fontId="56" fillId="0" borderId="0"/>
    <xf numFmtId="0" fontId="58" fillId="0" borderId="0" applyNumberFormat="0" applyFill="0" applyBorder="0" applyAlignment="0" applyProtection="0"/>
    <xf numFmtId="166" fontId="56" fillId="0" borderId="0" applyFont="0" applyFill="0" applyBorder="0" applyAlignment="0" applyProtection="0"/>
    <xf numFmtId="166" fontId="55"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cellStyleXfs>
  <cellXfs count="519">
    <xf numFmtId="0" fontId="0" fillId="0" borderId="0" xfId="0"/>
    <xf numFmtId="0" fontId="2" fillId="0" borderId="0" xfId="0" applyFont="1" applyAlignment="1">
      <alignment horizontal="center"/>
    </xf>
    <xf numFmtId="0" fontId="1" fillId="0" borderId="0" xfId="0" applyFont="1" applyAlignment="1">
      <alignment vertical="top"/>
    </xf>
    <xf numFmtId="0" fontId="1" fillId="0" borderId="0" xfId="0" applyFont="1"/>
    <xf numFmtId="1" fontId="0" fillId="0" borderId="0" xfId="0" applyNumberFormat="1"/>
    <xf numFmtId="1" fontId="1" fillId="0" borderId="2" xfId="0" applyNumberFormat="1" applyFont="1" applyBorder="1"/>
    <xf numFmtId="0" fontId="1" fillId="0" borderId="6" xfId="0" applyFont="1" applyBorder="1" applyAlignment="1">
      <alignment horizontal="center"/>
    </xf>
    <xf numFmtId="0" fontId="1" fillId="0" borderId="7" xfId="0" applyFont="1" applyBorder="1"/>
    <xf numFmtId="0" fontId="1" fillId="0" borderId="8" xfId="0" applyFont="1" applyBorder="1"/>
    <xf numFmtId="0" fontId="1" fillId="0" borderId="3" xfId="0" applyFont="1" applyBorder="1" applyAlignment="1">
      <alignment horizontal="center"/>
    </xf>
    <xf numFmtId="0" fontId="0" fillId="0" borderId="9" xfId="0" applyBorder="1"/>
    <xf numFmtId="1" fontId="0" fillId="0" borderId="9" xfId="0" applyNumberFormat="1" applyBorder="1"/>
    <xf numFmtId="0" fontId="0" fillId="0" borderId="3" xfId="0" applyBorder="1"/>
    <xf numFmtId="0" fontId="1" fillId="0" borderId="11" xfId="0" applyFont="1" applyBorder="1"/>
    <xf numFmtId="0" fontId="0" fillId="0" borderId="4" xfId="0" applyBorder="1"/>
    <xf numFmtId="0" fontId="0" fillId="0" borderId="5" xfId="0" applyBorder="1"/>
    <xf numFmtId="0" fontId="0" fillId="0" borderId="10" xfId="0" applyBorder="1"/>
    <xf numFmtId="0" fontId="4" fillId="0" borderId="0" xfId="0" applyFont="1"/>
    <xf numFmtId="0" fontId="4" fillId="0" borderId="0" xfId="0" applyFont="1" applyAlignment="1">
      <alignment vertical="center" wrapText="1"/>
    </xf>
    <xf numFmtId="1" fontId="4" fillId="0" borderId="0" xfId="0" applyNumberFormat="1" applyFont="1" applyAlignment="1">
      <alignment horizontal="center" vertical="center" wrapText="1"/>
    </xf>
    <xf numFmtId="168" fontId="8" fillId="0" borderId="1" xfId="1" applyNumberFormat="1" applyFont="1" applyBorder="1" applyAlignment="1">
      <alignment horizontal="center" vertical="center"/>
    </xf>
    <xf numFmtId="168" fontId="0" fillId="0" borderId="0" xfId="0" applyNumberFormat="1"/>
    <xf numFmtId="0" fontId="8" fillId="0" borderId="0" xfId="0" applyFont="1"/>
    <xf numFmtId="0" fontId="8" fillId="0" borderId="29" xfId="0" applyFont="1" applyBorder="1" applyAlignment="1">
      <alignment horizontal="center" vertical="center" wrapText="1"/>
    </xf>
    <xf numFmtId="0" fontId="9" fillId="2" borderId="33" xfId="0" applyFont="1" applyFill="1" applyBorder="1" applyAlignment="1">
      <alignment horizontal="center" vertical="center" wrapText="1"/>
    </xf>
    <xf numFmtId="0" fontId="8" fillId="0" borderId="33" xfId="0" applyFont="1" applyBorder="1" applyAlignment="1">
      <alignment horizontal="center" vertical="center" wrapText="1"/>
    </xf>
    <xf numFmtId="4" fontId="9" fillId="2" borderId="33" xfId="1" applyNumberFormat="1" applyFont="1" applyFill="1" applyBorder="1"/>
    <xf numFmtId="0" fontId="43" fillId="0" borderId="33" xfId="0" applyFont="1" applyBorder="1"/>
    <xf numFmtId="0" fontId="43" fillId="0" borderId="0" xfId="0" applyFont="1"/>
    <xf numFmtId="167" fontId="43" fillId="0" borderId="0" xfId="0" applyNumberFormat="1" applyFont="1"/>
    <xf numFmtId="0" fontId="44" fillId="2" borderId="1" xfId="0" applyFont="1" applyFill="1" applyBorder="1" applyAlignment="1">
      <alignment horizontal="center" vertical="center"/>
    </xf>
    <xf numFmtId="167" fontId="44" fillId="2" borderId="1" xfId="0" applyNumberFormat="1" applyFont="1" applyFill="1" applyBorder="1" applyAlignment="1">
      <alignment horizontal="center" vertical="center" wrapText="1"/>
    </xf>
    <xf numFmtId="0" fontId="43" fillId="0" borderId="0" xfId="3" applyNumberFormat="1" applyFont="1"/>
    <xf numFmtId="0" fontId="5" fillId="0" borderId="0" xfId="0" applyFont="1" applyAlignment="1">
      <alignment vertical="top" wrapText="1"/>
    </xf>
    <xf numFmtId="0" fontId="5" fillId="0" borderId="0" xfId="0" applyFont="1" applyAlignment="1">
      <alignment vertical="top"/>
    </xf>
    <xf numFmtId="0" fontId="43" fillId="0" borderId="0" xfId="0" applyFont="1" applyAlignment="1">
      <alignment vertical="top" wrapText="1"/>
    </xf>
    <xf numFmtId="0" fontId="11" fillId="2" borderId="34" xfId="0" applyFont="1" applyFill="1" applyBorder="1" applyAlignment="1">
      <alignment horizontal="right" wrapText="1"/>
    </xf>
    <xf numFmtId="167" fontId="9" fillId="2" borderId="33" xfId="0" applyNumberFormat="1" applyFont="1" applyFill="1" applyBorder="1" applyAlignment="1">
      <alignment horizontal="center" vertical="center" wrapText="1"/>
    </xf>
    <xf numFmtId="0" fontId="9" fillId="2" borderId="33" xfId="0" applyFont="1" applyFill="1" applyBorder="1" applyAlignment="1">
      <alignment wrapText="1"/>
    </xf>
    <xf numFmtId="0" fontId="43" fillId="0" borderId="33" xfId="0" applyFont="1" applyBorder="1" applyAlignment="1">
      <alignment horizontal="center"/>
    </xf>
    <xf numFmtId="0" fontId="43" fillId="0" borderId="33" xfId="0" applyFont="1" applyBorder="1" applyAlignment="1">
      <alignment horizontal="center" vertical="top"/>
    </xf>
    <xf numFmtId="0" fontId="8" fillId="0" borderId="36" xfId="0" applyFont="1" applyBorder="1" applyAlignment="1">
      <alignment horizontal="center" vertical="center" wrapText="1"/>
    </xf>
    <xf numFmtId="4" fontId="9" fillId="2" borderId="33" xfId="1" applyNumberFormat="1" applyFont="1" applyFill="1" applyBorder="1" applyAlignment="1">
      <alignment horizontal="right"/>
    </xf>
    <xf numFmtId="0" fontId="9" fillId="2" borderId="34" xfId="0" applyFont="1" applyFill="1" applyBorder="1" applyAlignment="1">
      <alignment horizontal="right" wrapText="1"/>
    </xf>
    <xf numFmtId="168" fontId="8" fillId="0" borderId="33" xfId="1" applyNumberFormat="1" applyFont="1" applyBorder="1" applyAlignment="1">
      <alignment horizontal="center" vertical="center" wrapText="1"/>
    </xf>
    <xf numFmtId="166" fontId="8" fillId="0" borderId="33" xfId="1" applyNumberFormat="1" applyFont="1" applyBorder="1" applyAlignment="1">
      <alignment horizontal="center" vertical="center" wrapText="1"/>
    </xf>
    <xf numFmtId="2" fontId="8" fillId="0" borderId="33" xfId="0" applyNumberFormat="1" applyFont="1" applyBorder="1" applyAlignment="1">
      <alignment horizontal="right" vertical="center" wrapText="1"/>
    </xf>
    <xf numFmtId="9" fontId="0" fillId="0" borderId="0" xfId="0" applyNumberFormat="1"/>
    <xf numFmtId="168" fontId="8" fillId="0" borderId="34" xfId="1" applyNumberFormat="1" applyFont="1" applyBorder="1" applyAlignment="1">
      <alignment horizontal="center" vertical="center" wrapText="1"/>
    </xf>
    <xf numFmtId="44" fontId="8" fillId="0" borderId="33" xfId="1" applyNumberFormat="1" applyFont="1" applyBorder="1" applyAlignment="1">
      <alignment horizontal="center" vertical="center" wrapText="1"/>
    </xf>
    <xf numFmtId="168" fontId="8" fillId="0" borderId="33" xfId="1" applyNumberFormat="1" applyFont="1" applyBorder="1" applyAlignment="1">
      <alignment vertical="center" wrapText="1"/>
    </xf>
    <xf numFmtId="168" fontId="8" fillId="0" borderId="34" xfId="1" applyNumberFormat="1" applyFont="1" applyBorder="1" applyAlignment="1">
      <alignment vertical="center" wrapText="1"/>
    </xf>
    <xf numFmtId="0" fontId="11" fillId="2" borderId="40" xfId="0" applyFont="1" applyFill="1" applyBorder="1" applyAlignment="1">
      <alignment horizontal="right" wrapText="1"/>
    </xf>
    <xf numFmtId="2" fontId="9" fillId="2" borderId="33" xfId="0" applyNumberFormat="1" applyFont="1" applyFill="1" applyBorder="1" applyAlignment="1">
      <alignment horizontal="right" wrapText="1"/>
    </xf>
    <xf numFmtId="0" fontId="8" fillId="0" borderId="37" xfId="0" applyFont="1" applyBorder="1" applyAlignment="1">
      <alignment horizontal="center" vertical="center" wrapText="1"/>
    </xf>
    <xf numFmtId="0" fontId="8" fillId="0" borderId="34" xfId="0" applyFont="1" applyBorder="1" applyAlignment="1">
      <alignment horizontal="left" vertical="center" wrapText="1"/>
    </xf>
    <xf numFmtId="0" fontId="8" fillId="0" borderId="34" xfId="0" applyFont="1" applyBorder="1" applyAlignment="1">
      <alignment horizontal="center" vertical="center" wrapText="1"/>
    </xf>
    <xf numFmtId="0" fontId="9" fillId="2" borderId="33" xfId="0" applyFont="1" applyFill="1" applyBorder="1" applyAlignment="1">
      <alignment horizontal="right" wrapText="1"/>
    </xf>
    <xf numFmtId="2" fontId="8" fillId="0" borderId="39" xfId="0" applyNumberFormat="1" applyFont="1" applyBorder="1" applyAlignment="1">
      <alignment horizontal="right" vertical="center" wrapText="1"/>
    </xf>
    <xf numFmtId="0" fontId="5" fillId="0" borderId="35" xfId="30" applyFont="1" applyBorder="1" applyAlignment="1">
      <alignment horizontal="center" vertical="center" wrapText="1"/>
    </xf>
    <xf numFmtId="2" fontId="5" fillId="0" borderId="35" xfId="30" applyNumberFormat="1" applyFont="1" applyBorder="1" applyAlignment="1">
      <alignment horizontal="center" vertical="center" wrapText="1"/>
    </xf>
    <xf numFmtId="4" fontId="9" fillId="2" borderId="33" xfId="1" applyNumberFormat="1" applyFont="1" applyFill="1" applyBorder="1" applyAlignment="1">
      <alignment horizontal="center"/>
    </xf>
    <xf numFmtId="4" fontId="43" fillId="0" borderId="33" xfId="1" applyNumberFormat="1" applyFont="1" applyBorder="1" applyAlignment="1">
      <alignment horizontal="center" vertical="center"/>
    </xf>
    <xf numFmtId="0" fontId="8" fillId="0" borderId="33" xfId="0" applyFont="1" applyBorder="1" applyAlignment="1">
      <alignment horizontal="left" vertical="center" wrapText="1"/>
    </xf>
    <xf numFmtId="168" fontId="8" fillId="0" borderId="33" xfId="1" applyNumberFormat="1" applyFont="1" applyBorder="1" applyAlignment="1">
      <alignment horizontal="left" vertical="center" wrapText="1"/>
    </xf>
    <xf numFmtId="0" fontId="12" fillId="0" borderId="33" xfId="0" applyFont="1" applyBorder="1" applyAlignment="1">
      <alignment vertical="center" wrapText="1"/>
    </xf>
    <xf numFmtId="0" fontId="51" fillId="0" borderId="33" xfId="0" applyFont="1" applyBorder="1" applyAlignment="1">
      <alignment vertical="center"/>
    </xf>
    <xf numFmtId="0" fontId="50" fillId="19" borderId="33" xfId="0" applyFont="1" applyFill="1" applyBorder="1" applyAlignment="1">
      <alignment horizontal="center" vertical="center"/>
    </xf>
    <xf numFmtId="0" fontId="50" fillId="19" borderId="33" xfId="0" applyFont="1" applyFill="1" applyBorder="1" applyAlignment="1">
      <alignment vertical="center" wrapText="1"/>
    </xf>
    <xf numFmtId="4" fontId="43" fillId="0" borderId="33" xfId="1" applyNumberFormat="1" applyFont="1" applyFill="1" applyBorder="1" applyAlignment="1">
      <alignment horizontal="center" vertical="center"/>
    </xf>
    <xf numFmtId="2" fontId="51" fillId="0" borderId="33" xfId="0" applyNumberFormat="1" applyFont="1" applyBorder="1" applyAlignment="1">
      <alignment horizontal="center" vertical="center"/>
    </xf>
    <xf numFmtId="2" fontId="50" fillId="19" borderId="33" xfId="0" applyNumberFormat="1" applyFont="1" applyFill="1" applyBorder="1" applyAlignment="1">
      <alignment horizontal="center" vertical="center"/>
    </xf>
    <xf numFmtId="0" fontId="8" fillId="0" borderId="46" xfId="0" applyFont="1" applyBorder="1" applyAlignment="1">
      <alignment horizontal="left" vertical="center" wrapText="1"/>
    </xf>
    <xf numFmtId="0" fontId="8" fillId="0" borderId="46" xfId="0" applyFont="1" applyBorder="1" applyAlignment="1">
      <alignment horizontal="center" vertical="center" wrapText="1"/>
    </xf>
    <xf numFmtId="2" fontId="8" fillId="0" borderId="29" xfId="0" applyNumberFormat="1" applyFont="1" applyBorder="1" applyAlignment="1">
      <alignment horizontal="right" vertical="center" wrapText="1"/>
    </xf>
    <xf numFmtId="0" fontId="8" fillId="0" borderId="37" xfId="0" applyFont="1" applyBorder="1" applyAlignment="1">
      <alignment vertical="center" wrapText="1"/>
    </xf>
    <xf numFmtId="2" fontId="5" fillId="0" borderId="47" xfId="30" applyNumberFormat="1" applyFont="1" applyBorder="1" applyAlignment="1">
      <alignment horizontal="center" vertical="center" wrapText="1"/>
    </xf>
    <xf numFmtId="0" fontId="5" fillId="0" borderId="29" xfId="30" applyFont="1" applyBorder="1" applyAlignment="1">
      <alignment horizontal="center" vertical="center" wrapText="1"/>
    </xf>
    <xf numFmtId="0" fontId="0" fillId="0" borderId="0" xfId="0" applyAlignment="1">
      <alignment vertical="center"/>
    </xf>
    <xf numFmtId="0" fontId="11" fillId="2" borderId="34" xfId="0" applyFont="1" applyFill="1" applyBorder="1" applyAlignment="1">
      <alignment horizontal="center" vertical="center" wrapText="1"/>
    </xf>
    <xf numFmtId="0" fontId="5" fillId="0" borderId="47" xfId="30" applyFont="1" applyBorder="1" applyAlignment="1">
      <alignment horizontal="center" vertical="center" wrapText="1"/>
    </xf>
    <xf numFmtId="0" fontId="49" fillId="0" borderId="33" xfId="0" applyFont="1" applyBorder="1" applyAlignment="1">
      <alignment horizontal="right" vertical="center"/>
    </xf>
    <xf numFmtId="0" fontId="50" fillId="19" borderId="33" xfId="0" applyFont="1" applyFill="1" applyBorder="1" applyAlignment="1">
      <alignment vertical="center"/>
    </xf>
    <xf numFmtId="0" fontId="51" fillId="0" borderId="33" xfId="0" applyFont="1" applyBorder="1" applyAlignment="1">
      <alignment horizontal="center" vertical="center" wrapText="1"/>
    </xf>
    <xf numFmtId="0" fontId="51" fillId="20" borderId="33" xfId="0" applyFont="1" applyFill="1" applyBorder="1" applyAlignment="1">
      <alignment horizontal="justify" vertical="center" wrapText="1"/>
    </xf>
    <xf numFmtId="0" fontId="51" fillId="0" borderId="33" xfId="0" applyFont="1" applyBorder="1" applyAlignment="1">
      <alignment vertical="center" wrapText="1"/>
    </xf>
    <xf numFmtId="0" fontId="50" fillId="19" borderId="33" xfId="0" applyFont="1" applyFill="1" applyBorder="1" applyAlignment="1">
      <alignment horizontal="center" vertical="center" wrapText="1"/>
    </xf>
    <xf numFmtId="2" fontId="50" fillId="19" borderId="33" xfId="0" applyNumberFormat="1" applyFont="1" applyFill="1" applyBorder="1" applyAlignment="1">
      <alignment horizontal="center" vertical="center" wrapText="1"/>
    </xf>
    <xf numFmtId="0" fontId="0" fillId="19" borderId="33" xfId="0" applyFill="1" applyBorder="1" applyAlignment="1">
      <alignment vertical="center"/>
    </xf>
    <xf numFmtId="0" fontId="0" fillId="0" borderId="45" xfId="0" applyBorder="1"/>
    <xf numFmtId="0" fontId="0" fillId="0" borderId="48" xfId="0" applyBorder="1"/>
    <xf numFmtId="0" fontId="50" fillId="19" borderId="33" xfId="0" applyFont="1" applyFill="1" applyBorder="1" applyAlignment="1">
      <alignment horizontal="left" vertical="center"/>
    </xf>
    <xf numFmtId="0" fontId="51" fillId="0" borderId="33" xfId="0" applyFont="1" applyBorder="1" applyAlignment="1">
      <alignment horizontal="left" vertical="center" wrapText="1"/>
    </xf>
    <xf numFmtId="0" fontId="51" fillId="19" borderId="33" xfId="0" applyFont="1" applyFill="1" applyBorder="1" applyAlignment="1">
      <alignment horizontal="center" vertical="center"/>
    </xf>
    <xf numFmtId="0" fontId="51" fillId="19" borderId="33" xfId="0" applyFont="1" applyFill="1" applyBorder="1" applyAlignment="1">
      <alignment horizontal="center" vertical="center" wrapText="1"/>
    </xf>
    <xf numFmtId="0" fontId="50" fillId="0" borderId="33" xfId="0" applyFont="1" applyBorder="1" applyAlignment="1">
      <alignment horizontal="center" vertical="center" wrapText="1"/>
    </xf>
    <xf numFmtId="0" fontId="51" fillId="0" borderId="33" xfId="0" applyFont="1" applyBorder="1" applyAlignment="1">
      <alignment horizontal="center" vertical="center"/>
    </xf>
    <xf numFmtId="0" fontId="0" fillId="0" borderId="33" xfId="0" applyBorder="1" applyAlignment="1">
      <alignment horizontal="left" vertical="center" wrapText="1"/>
    </xf>
    <xf numFmtId="0" fontId="0" fillId="0" borderId="33" xfId="0" applyBorder="1" applyAlignment="1">
      <alignment vertical="center" wrapText="1"/>
    </xf>
    <xf numFmtId="0" fontId="51" fillId="19" borderId="33" xfId="0" applyFont="1" applyFill="1" applyBorder="1" applyAlignment="1">
      <alignment vertical="center"/>
    </xf>
    <xf numFmtId="0" fontId="51" fillId="19" borderId="33" xfId="0" applyFont="1" applyFill="1" applyBorder="1" applyAlignment="1">
      <alignment vertical="center" wrapText="1"/>
    </xf>
    <xf numFmtId="2" fontId="51" fillId="0" borderId="33" xfId="1" applyNumberFormat="1" applyFont="1" applyBorder="1" applyAlignment="1">
      <alignment horizontal="center" vertical="center"/>
    </xf>
    <xf numFmtId="2" fontId="51" fillId="20" borderId="33" xfId="0" applyNumberFormat="1" applyFont="1" applyFill="1" applyBorder="1" applyAlignment="1">
      <alignment horizontal="center" vertical="center" wrapText="1"/>
    </xf>
    <xf numFmtId="0" fontId="58" fillId="0" borderId="0" xfId="5100"/>
    <xf numFmtId="0" fontId="8" fillId="0" borderId="0" xfId="0" applyFont="1" applyAlignment="1">
      <alignment wrapText="1"/>
    </xf>
    <xf numFmtId="9" fontId="8" fillId="0" borderId="0" xfId="0" applyNumberFormat="1" applyFont="1"/>
    <xf numFmtId="2" fontId="8" fillId="0" borderId="0" xfId="0" applyNumberFormat="1" applyFont="1"/>
    <xf numFmtId="1" fontId="8" fillId="0" borderId="0" xfId="3" applyNumberFormat="1" applyFont="1"/>
    <xf numFmtId="3" fontId="8" fillId="0" borderId="0" xfId="0" applyNumberFormat="1" applyFont="1"/>
    <xf numFmtId="187" fontId="8" fillId="0" borderId="0" xfId="0" applyNumberFormat="1" applyFont="1"/>
    <xf numFmtId="0" fontId="8" fillId="4" borderId="33" xfId="0" applyFont="1" applyFill="1" applyBorder="1" applyAlignment="1">
      <alignment vertical="center" wrapText="1"/>
    </xf>
    <xf numFmtId="0" fontId="8" fillId="4" borderId="57" xfId="0" applyFont="1" applyFill="1" applyBorder="1" applyAlignment="1">
      <alignment vertical="center" wrapText="1"/>
    </xf>
    <xf numFmtId="0" fontId="8" fillId="0" borderId="33" xfId="0" applyFont="1" applyBorder="1" applyAlignment="1">
      <alignment vertical="center" wrapText="1"/>
    </xf>
    <xf numFmtId="9" fontId="8" fillId="0" borderId="0" xfId="3" applyFont="1"/>
    <xf numFmtId="0" fontId="56" fillId="0" borderId="0" xfId="0" applyFont="1"/>
    <xf numFmtId="0" fontId="0" fillId="0" borderId="0" xfId="0" applyAlignment="1">
      <alignment wrapText="1"/>
    </xf>
    <xf numFmtId="9" fontId="0" fillId="0" borderId="0" xfId="0" applyNumberFormat="1" applyAlignment="1">
      <alignment wrapText="1"/>
    </xf>
    <xf numFmtId="0" fontId="51" fillId="20" borderId="33" xfId="0" applyFont="1" applyFill="1" applyBorder="1" applyAlignment="1">
      <alignment horizontal="center" vertical="center"/>
    </xf>
    <xf numFmtId="0" fontId="51" fillId="0" borderId="33" xfId="0" applyFont="1" applyBorder="1" applyAlignment="1">
      <alignment horizontal="justify" vertical="center" wrapText="1"/>
    </xf>
    <xf numFmtId="0" fontId="0" fillId="0" borderId="33" xfId="0" applyBorder="1" applyAlignment="1">
      <alignment wrapText="1"/>
    </xf>
    <xf numFmtId="0" fontId="0" fillId="0" borderId="33" xfId="0" applyBorder="1"/>
    <xf numFmtId="14" fontId="0" fillId="0" borderId="33" xfId="0" applyNumberFormat="1" applyBorder="1"/>
    <xf numFmtId="187" fontId="0" fillId="0" borderId="33" xfId="3" applyNumberFormat="1" applyFont="1" applyBorder="1"/>
    <xf numFmtId="0" fontId="59" fillId="18" borderId="33" xfId="0" applyFont="1" applyFill="1" applyBorder="1" applyAlignment="1">
      <alignment horizontal="center" vertical="center"/>
    </xf>
    <xf numFmtId="14" fontId="0" fillId="0" borderId="33" xfId="0" applyNumberFormat="1" applyBorder="1" applyAlignment="1">
      <alignment horizontal="center" vertical="center"/>
    </xf>
    <xf numFmtId="43" fontId="0" fillId="0" borderId="33" xfId="1" applyFont="1" applyBorder="1" applyAlignment="1">
      <alignment horizontal="center" vertical="center"/>
    </xf>
    <xf numFmtId="0" fontId="0" fillId="0" borderId="33" xfId="0" applyBorder="1" applyAlignment="1">
      <alignment horizontal="center" vertical="center"/>
    </xf>
    <xf numFmtId="43" fontId="0" fillId="0" borderId="33" xfId="0" applyNumberFormat="1" applyBorder="1" applyAlignment="1">
      <alignment horizontal="center" vertical="center"/>
    </xf>
    <xf numFmtId="14" fontId="0" fillId="0" borderId="0" xfId="0" applyNumberFormat="1"/>
    <xf numFmtId="0" fontId="0" fillId="21" borderId="33" xfId="0" applyFill="1" applyBorder="1" applyAlignment="1">
      <alignment horizontal="center" vertical="center"/>
    </xf>
    <xf numFmtId="43" fontId="0" fillId="21" borderId="33" xfId="1" applyFont="1" applyFill="1" applyBorder="1" applyAlignment="1">
      <alignment horizontal="center" vertical="center"/>
    </xf>
    <xf numFmtId="43" fontId="60" fillId="18" borderId="33" xfId="0" applyNumberFormat="1" applyFont="1" applyFill="1" applyBorder="1" applyAlignment="1">
      <alignment horizontal="center" vertical="center"/>
    </xf>
    <xf numFmtId="187" fontId="0" fillId="0" borderId="33" xfId="0" applyNumberFormat="1" applyBorder="1" applyAlignment="1">
      <alignment vertical="center"/>
    </xf>
    <xf numFmtId="0" fontId="0" fillId="0" borderId="0" xfId="0" applyAlignment="1">
      <alignment horizontal="right"/>
    </xf>
    <xf numFmtId="0" fontId="0" fillId="0" borderId="33" xfId="0" applyBorder="1" applyAlignment="1">
      <alignment vertical="center"/>
    </xf>
    <xf numFmtId="187" fontId="0" fillId="0" borderId="0" xfId="0" applyNumberFormat="1"/>
    <xf numFmtId="0" fontId="1" fillId="21" borderId="33" xfId="0" applyFont="1" applyFill="1" applyBorder="1" applyAlignment="1">
      <alignment vertical="center"/>
    </xf>
    <xf numFmtId="187" fontId="1" fillId="21" borderId="33" xfId="0" applyNumberFormat="1" applyFont="1" applyFill="1" applyBorder="1" applyAlignment="1">
      <alignment vertical="center"/>
    </xf>
    <xf numFmtId="43" fontId="0" fillId="0" borderId="33" xfId="0" applyNumberFormat="1" applyBorder="1" applyAlignment="1">
      <alignment vertical="center"/>
    </xf>
    <xf numFmtId="9" fontId="0" fillId="0" borderId="33" xfId="0" applyNumberFormat="1" applyBorder="1" applyAlignment="1">
      <alignment horizontal="center" vertical="center"/>
    </xf>
    <xf numFmtId="0" fontId="1" fillId="21" borderId="33" xfId="0" applyFont="1" applyFill="1" applyBorder="1"/>
    <xf numFmtId="43" fontId="1" fillId="21" borderId="33" xfId="0" applyNumberFormat="1" applyFont="1" applyFill="1" applyBorder="1"/>
    <xf numFmtId="188" fontId="0" fillId="0" borderId="0" xfId="0" applyNumberFormat="1"/>
    <xf numFmtId="188" fontId="59" fillId="18" borderId="33" xfId="0" applyNumberFormat="1" applyFont="1" applyFill="1" applyBorder="1" applyAlignment="1">
      <alignment horizontal="center" vertical="center"/>
    </xf>
    <xf numFmtId="188" fontId="0" fillId="0" borderId="33" xfId="1" applyNumberFormat="1" applyFont="1" applyBorder="1" applyAlignment="1">
      <alignment horizontal="center" vertical="center"/>
    </xf>
    <xf numFmtId="188" fontId="0" fillId="0" borderId="33" xfId="0" applyNumberFormat="1" applyBorder="1" applyAlignment="1">
      <alignment horizontal="center" vertical="center"/>
    </xf>
    <xf numFmtId="3" fontId="0" fillId="0" borderId="33" xfId="0" applyNumberFormat="1" applyBorder="1"/>
    <xf numFmtId="187" fontId="0" fillId="0" borderId="33" xfId="0" applyNumberFormat="1" applyBorder="1"/>
    <xf numFmtId="188" fontId="0" fillId="21" borderId="33" xfId="1" applyNumberFormat="1" applyFont="1" applyFill="1" applyBorder="1" applyAlignment="1">
      <alignment horizontal="center" vertical="center"/>
    </xf>
    <xf numFmtId="188" fontId="60" fillId="18" borderId="33" xfId="0" applyNumberFormat="1" applyFont="1" applyFill="1" applyBorder="1" applyAlignment="1">
      <alignment horizontal="center" vertical="center"/>
    </xf>
    <xf numFmtId="43" fontId="0" fillId="0" borderId="0" xfId="0" applyNumberFormat="1"/>
    <xf numFmtId="9" fontId="8" fillId="0" borderId="0" xfId="3" applyFont="1" applyAlignment="1">
      <alignment wrapText="1"/>
    </xf>
    <xf numFmtId="0" fontId="8" fillId="0" borderId="56" xfId="0" applyFont="1" applyBorder="1" applyAlignment="1">
      <alignment horizontal="center" vertical="center" wrapText="1"/>
    </xf>
    <xf numFmtId="0" fontId="11" fillId="2" borderId="46" xfId="0" applyFont="1" applyFill="1" applyBorder="1" applyAlignment="1">
      <alignment horizontal="right"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28" fillId="0" borderId="59" xfId="0" applyFont="1" applyBorder="1" applyAlignment="1">
      <alignment horizontal="left" vertical="top" wrapText="1"/>
    </xf>
    <xf numFmtId="0" fontId="28" fillId="0" borderId="59" xfId="5096" applyFont="1" applyBorder="1" applyAlignment="1">
      <alignment horizontal="center" vertical="top"/>
    </xf>
    <xf numFmtId="0" fontId="28" fillId="0" borderId="59" xfId="0" applyFont="1" applyBorder="1" applyAlignment="1">
      <alignment horizontal="left" vertical="top"/>
    </xf>
    <xf numFmtId="0" fontId="28" fillId="0" borderId="60" xfId="0" applyFont="1" applyBorder="1" applyAlignment="1">
      <alignment horizontal="left" vertical="top" wrapText="1"/>
    </xf>
    <xf numFmtId="0" fontId="28" fillId="0" borderId="33" xfId="0" applyFont="1" applyBorder="1" applyAlignment="1">
      <alignment horizontal="center" vertical="top" wrapText="1"/>
    </xf>
    <xf numFmtId="0" fontId="28" fillId="0" borderId="33" xfId="0" applyFont="1" applyBorder="1" applyAlignment="1">
      <alignment horizontal="left" vertical="top" wrapText="1"/>
    </xf>
    <xf numFmtId="0" fontId="28" fillId="0" borderId="33" xfId="7" applyNumberFormat="1" applyFont="1" applyFill="1" applyBorder="1" applyAlignment="1">
      <alignment horizontal="center" vertical="top"/>
    </xf>
    <xf numFmtId="0" fontId="28" fillId="0" borderId="33" xfId="596" applyFont="1" applyBorder="1" applyAlignment="1">
      <alignment horizontal="left" vertical="top"/>
    </xf>
    <xf numFmtId="0" fontId="28" fillId="0" borderId="33" xfId="7" applyNumberFormat="1" applyFont="1" applyFill="1" applyBorder="1" applyAlignment="1">
      <alignment horizontal="left" vertical="top"/>
    </xf>
    <xf numFmtId="0" fontId="28" fillId="0" borderId="33" xfId="5096" applyFont="1" applyBorder="1" applyAlignment="1">
      <alignment horizontal="center" vertical="top"/>
    </xf>
    <xf numFmtId="0" fontId="28" fillId="0" borderId="33" xfId="5096" applyFont="1" applyBorder="1" applyAlignment="1">
      <alignment horizontal="left" vertical="top"/>
    </xf>
    <xf numFmtId="0" fontId="28" fillId="0" borderId="33" xfId="5096" applyFont="1" applyBorder="1" applyAlignment="1">
      <alignment horizontal="left" vertical="top" wrapText="1"/>
    </xf>
    <xf numFmtId="0" fontId="28" fillId="0" borderId="33" xfId="0" applyFont="1" applyBorder="1" applyAlignment="1">
      <alignment horizontal="left" vertical="top"/>
    </xf>
    <xf numFmtId="0" fontId="28" fillId="0" borderId="33" xfId="5096" applyFont="1" applyBorder="1" applyAlignment="1">
      <alignment horizontal="center" vertical="center"/>
    </xf>
    <xf numFmtId="0" fontId="28" fillId="0" borderId="33" xfId="5096" applyFont="1" applyBorder="1" applyAlignment="1">
      <alignment horizontal="left" vertical="center"/>
    </xf>
    <xf numFmtId="0" fontId="28" fillId="0" borderId="33" xfId="5099" applyFont="1" applyBorder="1" applyAlignment="1">
      <alignment horizontal="center" vertical="top"/>
    </xf>
    <xf numFmtId="0" fontId="28" fillId="0" borderId="33" xfId="5099" applyFont="1" applyBorder="1" applyAlignment="1">
      <alignment horizontal="left" vertical="top"/>
    </xf>
    <xf numFmtId="0" fontId="28" fillId="0" borderId="33" xfId="7" applyNumberFormat="1" applyFont="1" applyFill="1" applyBorder="1" applyAlignment="1">
      <alignment horizontal="left" vertical="top" wrapText="1"/>
    </xf>
    <xf numFmtId="0" fontId="28" fillId="0" borderId="33" xfId="0" applyFont="1" applyBorder="1" applyAlignment="1">
      <alignment horizontal="left" vertical="center"/>
    </xf>
    <xf numFmtId="0" fontId="28" fillId="0" borderId="33" xfId="7" applyNumberFormat="1" applyFont="1" applyFill="1" applyBorder="1" applyAlignment="1">
      <alignment vertical="top"/>
    </xf>
    <xf numFmtId="2" fontId="62" fillId="22" borderId="33" xfId="0" applyNumberFormat="1" applyFont="1" applyFill="1" applyBorder="1" applyAlignment="1">
      <alignment horizontal="center" vertical="center" wrapText="1"/>
    </xf>
    <xf numFmtId="0" fontId="63" fillId="0" borderId="0" xfId="0" applyFont="1"/>
    <xf numFmtId="166" fontId="28" fillId="0" borderId="33" xfId="22" applyNumberFormat="1" applyFont="1" applyFill="1" applyBorder="1" applyAlignment="1">
      <alignment horizontal="center" vertical="top" wrapText="1"/>
    </xf>
    <xf numFmtId="0" fontId="63" fillId="0" borderId="33" xfId="0" applyFont="1" applyBorder="1"/>
    <xf numFmtId="0" fontId="64" fillId="18" borderId="33" xfId="0" applyFont="1" applyFill="1" applyBorder="1" applyAlignment="1">
      <alignment horizontal="center"/>
    </xf>
    <xf numFmtId="166" fontId="59" fillId="18" borderId="33" xfId="0" applyNumberFormat="1" applyFont="1" applyFill="1" applyBorder="1"/>
    <xf numFmtId="0" fontId="64" fillId="18" borderId="49" xfId="0" applyFont="1" applyFill="1" applyBorder="1"/>
    <xf numFmtId="0" fontId="66" fillId="0" borderId="59" xfId="0" applyFont="1" applyBorder="1"/>
    <xf numFmtId="0" fontId="66" fillId="0" borderId="59" xfId="0" applyFont="1" applyBorder="1" applyAlignment="1">
      <alignment horizontal="center"/>
    </xf>
    <xf numFmtId="189" fontId="66" fillId="0" borderId="59" xfId="0" applyNumberFormat="1" applyFont="1" applyBorder="1" applyAlignment="1">
      <alignment horizontal="center"/>
    </xf>
    <xf numFmtId="17" fontId="66" fillId="0" borderId="59" xfId="0" applyNumberFormat="1" applyFont="1" applyBorder="1" applyAlignment="1">
      <alignment horizontal="center"/>
    </xf>
    <xf numFmtId="0" fontId="67" fillId="18" borderId="59" xfId="0" applyFont="1" applyFill="1" applyBorder="1" applyAlignment="1">
      <alignment horizontal="center" vertical="center" wrapText="1"/>
    </xf>
    <xf numFmtId="0" fontId="67" fillId="18" borderId="33" xfId="0" applyFont="1" applyFill="1" applyBorder="1" applyAlignment="1">
      <alignment horizontal="center" wrapText="1"/>
    </xf>
    <xf numFmtId="0" fontId="66" fillId="0" borderId="33" xfId="0" applyFont="1" applyBorder="1"/>
    <xf numFmtId="43" fontId="66" fillId="0" borderId="33" xfId="1" applyFont="1" applyBorder="1"/>
    <xf numFmtId="0" fontId="66" fillId="0" borderId="33" xfId="0" applyFont="1" applyBorder="1" applyAlignment="1">
      <alignment horizontal="center"/>
    </xf>
    <xf numFmtId="189" fontId="66" fillId="0" borderId="33" xfId="0" applyNumberFormat="1" applyFont="1" applyBorder="1" applyAlignment="1">
      <alignment horizontal="center"/>
    </xf>
    <xf numFmtId="17" fontId="66" fillId="0" borderId="33" xfId="0" applyNumberFormat="1" applyFont="1" applyBorder="1" applyAlignment="1">
      <alignment horizontal="center"/>
    </xf>
    <xf numFmtId="0" fontId="64" fillId="18" borderId="33" xfId="0" applyFont="1" applyFill="1" applyBorder="1"/>
    <xf numFmtId="0" fontId="65" fillId="0" borderId="59" xfId="0" applyFont="1" applyBorder="1" applyAlignment="1">
      <alignment horizontal="left" vertical="top"/>
    </xf>
    <xf numFmtId="43" fontId="66" fillId="0" borderId="0" xfId="1" applyFont="1"/>
    <xf numFmtId="0" fontId="63" fillId="0" borderId="0" xfId="0" applyFont="1" applyAlignment="1">
      <alignment horizontal="left"/>
    </xf>
    <xf numFmtId="43" fontId="63" fillId="0" borderId="0" xfId="1" applyFont="1"/>
    <xf numFmtId="168" fontId="64" fillId="18" borderId="0" xfId="1" applyNumberFormat="1" applyFont="1" applyFill="1" applyBorder="1" applyAlignment="1">
      <alignment horizontal="center" vertical="center"/>
    </xf>
    <xf numFmtId="43" fontId="64" fillId="18" borderId="0" xfId="1" applyFont="1" applyFill="1" applyBorder="1" applyAlignment="1">
      <alignment horizontal="center" vertical="center" wrapText="1"/>
    </xf>
    <xf numFmtId="0" fontId="67" fillId="18" borderId="59" xfId="0" applyFont="1" applyFill="1" applyBorder="1" applyAlignment="1">
      <alignment horizontal="center" vertical="center"/>
    </xf>
    <xf numFmtId="166" fontId="63" fillId="0" borderId="0" xfId="0" applyNumberFormat="1" applyFont="1"/>
    <xf numFmtId="0" fontId="65" fillId="0" borderId="33" xfId="0" applyFont="1" applyBorder="1" applyAlignment="1">
      <alignment horizontal="left" vertical="top"/>
    </xf>
    <xf numFmtId="168" fontId="64" fillId="18" borderId="33" xfId="1" applyNumberFormat="1" applyFont="1" applyFill="1" applyBorder="1" applyAlignment="1">
      <alignment horizontal="center" vertical="center"/>
    </xf>
    <xf numFmtId="43" fontId="64" fillId="18" borderId="33" xfId="1" applyFont="1" applyFill="1" applyBorder="1" applyAlignment="1">
      <alignment horizontal="center" vertical="center" wrapText="1"/>
    </xf>
    <xf numFmtId="0" fontId="67" fillId="18" borderId="33" xfId="0" applyFont="1" applyFill="1" applyBorder="1" applyAlignment="1">
      <alignment horizontal="center" vertical="center" wrapText="1"/>
    </xf>
    <xf numFmtId="0" fontId="67" fillId="18" borderId="33" xfId="0" applyFont="1" applyFill="1" applyBorder="1" applyAlignment="1">
      <alignment horizontal="center" vertical="center"/>
    </xf>
    <xf numFmtId="0" fontId="63" fillId="0" borderId="33" xfId="0" applyFont="1" applyBorder="1" applyAlignment="1">
      <alignment horizontal="left"/>
    </xf>
    <xf numFmtId="43" fontId="63" fillId="0" borderId="33" xfId="0" applyNumberFormat="1" applyFont="1" applyBorder="1"/>
    <xf numFmtId="43" fontId="63" fillId="0" borderId="33" xfId="1" applyFont="1" applyBorder="1"/>
    <xf numFmtId="166" fontId="63" fillId="0" borderId="33" xfId="0" applyNumberFormat="1" applyFont="1" applyBorder="1"/>
    <xf numFmtId="0" fontId="56" fillId="0" borderId="33" xfId="0" applyFont="1" applyBorder="1"/>
    <xf numFmtId="3" fontId="56" fillId="0" borderId="33" xfId="0" applyNumberFormat="1" applyFont="1" applyBorder="1"/>
    <xf numFmtId="0" fontId="8" fillId="0" borderId="33" xfId="0" applyFont="1" applyBorder="1"/>
    <xf numFmtId="0" fontId="1" fillId="2" borderId="40" xfId="0" applyFont="1" applyFill="1" applyBorder="1" applyAlignment="1">
      <alignment horizontal="right" wrapText="1"/>
    </xf>
    <xf numFmtId="1" fontId="1" fillId="2" borderId="33" xfId="0" applyNumberFormat="1" applyFont="1" applyFill="1" applyBorder="1" applyAlignment="1">
      <alignment horizontal="right" wrapText="1"/>
    </xf>
    <xf numFmtId="0" fontId="61" fillId="0" borderId="0" xfId="0" applyFont="1" applyAlignment="1">
      <alignment vertical="top"/>
    </xf>
    <xf numFmtId="0" fontId="61" fillId="0" borderId="0" xfId="0" applyFont="1" applyAlignment="1">
      <alignment vertical="top" wrapText="1"/>
    </xf>
    <xf numFmtId="43" fontId="28" fillId="0" borderId="0" xfId="1" applyFont="1" applyFill="1" applyBorder="1" applyAlignment="1">
      <alignment vertical="top" wrapText="1"/>
    </xf>
    <xf numFmtId="2" fontId="61" fillId="23" borderId="59" xfId="0" applyNumberFormat="1" applyFont="1" applyFill="1" applyBorder="1" applyAlignment="1">
      <alignment horizontal="center" vertical="center" wrapText="1"/>
    </xf>
    <xf numFmtId="0" fontId="28" fillId="0" borderId="59" xfId="0" applyFont="1" applyBorder="1" applyAlignment="1">
      <alignment horizontal="center" vertical="top" wrapText="1"/>
    </xf>
    <xf numFmtId="0" fontId="28" fillId="0" borderId="59" xfId="596" applyFont="1" applyBorder="1" applyAlignment="1">
      <alignment horizontal="left" vertical="top"/>
    </xf>
    <xf numFmtId="0" fontId="28" fillId="0" borderId="59" xfId="5096" applyFont="1" applyBorder="1" applyAlignment="1">
      <alignment horizontal="left" vertical="top"/>
    </xf>
    <xf numFmtId="0" fontId="28" fillId="0" borderId="59" xfId="5096" applyFont="1" applyBorder="1" applyAlignment="1">
      <alignment horizontal="left" vertical="top" wrapText="1"/>
    </xf>
    <xf numFmtId="0" fontId="28" fillId="0" borderId="59" xfId="5096" applyFont="1" applyBorder="1" applyAlignment="1">
      <alignment horizontal="center" vertical="center"/>
    </xf>
    <xf numFmtId="0" fontId="28" fillId="0" borderId="59" xfId="5096" applyFont="1" applyBorder="1" applyAlignment="1">
      <alignment horizontal="left" vertical="center"/>
    </xf>
    <xf numFmtId="0" fontId="28" fillId="0" borderId="59" xfId="5099" applyFont="1" applyBorder="1" applyAlignment="1">
      <alignment horizontal="center" vertical="top"/>
    </xf>
    <xf numFmtId="0" fontId="28" fillId="0" borderId="59" xfId="5099" applyFont="1" applyBorder="1" applyAlignment="1">
      <alignment horizontal="left" vertical="top"/>
    </xf>
    <xf numFmtId="0" fontId="28" fillId="0" borderId="59" xfId="0" applyFont="1" applyBorder="1" applyAlignment="1">
      <alignment horizontal="left" vertical="center"/>
    </xf>
    <xf numFmtId="0" fontId="61" fillId="0" borderId="33" xfId="0" applyFont="1" applyBorder="1" applyAlignment="1">
      <alignment vertical="top"/>
    </xf>
    <xf numFmtId="0" fontId="61" fillId="0" borderId="33" xfId="0" applyFont="1" applyBorder="1" applyAlignment="1">
      <alignment vertical="top" wrapText="1"/>
    </xf>
    <xf numFmtId="43" fontId="28" fillId="0" borderId="33" xfId="1" applyFont="1" applyFill="1" applyBorder="1" applyAlignment="1">
      <alignment vertical="top" wrapText="1"/>
    </xf>
    <xf numFmtId="168" fontId="28" fillId="0" borderId="33" xfId="22" applyNumberFormat="1" applyFont="1" applyFill="1" applyBorder="1" applyAlignment="1">
      <alignment horizontal="right" vertical="top" wrapText="1"/>
    </xf>
    <xf numFmtId="43" fontId="28" fillId="0" borderId="33" xfId="1" applyFont="1" applyFill="1" applyBorder="1" applyAlignment="1">
      <alignment vertical="top"/>
    </xf>
    <xf numFmtId="166" fontId="0" fillId="0" borderId="0" xfId="0" applyNumberFormat="1"/>
    <xf numFmtId="166" fontId="1" fillId="0" borderId="0" xfId="0" applyNumberFormat="1" applyFont="1"/>
    <xf numFmtId="0" fontId="61" fillId="0" borderId="57" xfId="0" applyFont="1" applyBorder="1" applyAlignment="1">
      <alignment horizontal="left" wrapText="1"/>
    </xf>
    <xf numFmtId="0" fontId="59" fillId="18" borderId="33" xfId="0" applyFont="1" applyFill="1" applyBorder="1" applyAlignment="1">
      <alignment vertical="center"/>
    </xf>
    <xf numFmtId="0" fontId="1" fillId="0" borderId="33" xfId="0" applyFont="1" applyBorder="1"/>
    <xf numFmtId="2" fontId="0" fillId="0" borderId="33" xfId="0" applyNumberFormat="1" applyBorder="1" applyAlignment="1">
      <alignment horizontal="center"/>
    </xf>
    <xf numFmtId="0" fontId="0" fillId="0" borderId="33" xfId="0" applyBorder="1" applyAlignment="1">
      <alignment horizontal="center"/>
    </xf>
    <xf numFmtId="173" fontId="0" fillId="0" borderId="33" xfId="0" applyNumberFormat="1" applyBorder="1" applyAlignment="1">
      <alignment horizontal="center"/>
    </xf>
    <xf numFmtId="10" fontId="0" fillId="0" borderId="33" xfId="0" applyNumberFormat="1" applyBorder="1" applyAlignment="1">
      <alignment horizontal="center"/>
    </xf>
    <xf numFmtId="0" fontId="59" fillId="18" borderId="33" xfId="0" applyFont="1" applyFill="1" applyBorder="1" applyAlignment="1">
      <alignment vertical="center" wrapText="1"/>
    </xf>
    <xf numFmtId="2" fontId="59" fillId="18" borderId="33" xfId="0" applyNumberFormat="1" applyFont="1" applyFill="1" applyBorder="1" applyAlignment="1">
      <alignment horizontal="center" vertical="center"/>
    </xf>
    <xf numFmtId="168" fontId="28" fillId="0" borderId="59" xfId="5101" applyNumberFormat="1" applyFont="1" applyFill="1" applyBorder="1" applyAlignment="1">
      <alignment horizontal="right" vertical="top" wrapText="1"/>
    </xf>
    <xf numFmtId="0" fontId="66" fillId="0" borderId="0" xfId="0" applyFont="1" applyAlignment="1">
      <alignment vertical="top"/>
    </xf>
    <xf numFmtId="0" fontId="28" fillId="0" borderId="59" xfId="5102" applyNumberFormat="1" applyFont="1" applyFill="1" applyBorder="1" applyAlignment="1">
      <alignment vertical="top"/>
    </xf>
    <xf numFmtId="0" fontId="28" fillId="0" borderId="59" xfId="5102" applyNumberFormat="1" applyFont="1" applyFill="1" applyBorder="1" applyAlignment="1">
      <alignment horizontal="center" vertical="top"/>
    </xf>
    <xf numFmtId="0" fontId="28" fillId="0" borderId="59" xfId="5102" applyNumberFormat="1" applyFont="1" applyFill="1" applyBorder="1" applyAlignment="1">
      <alignment horizontal="left" vertical="top" wrapText="1"/>
    </xf>
    <xf numFmtId="0" fontId="28" fillId="0" borderId="59" xfId="5102" applyNumberFormat="1" applyFont="1" applyFill="1" applyBorder="1" applyAlignment="1">
      <alignment horizontal="left" vertical="top"/>
    </xf>
    <xf numFmtId="2" fontId="61" fillId="23" borderId="0" xfId="0" applyNumberFormat="1" applyFont="1" applyFill="1" applyAlignment="1">
      <alignment horizontal="center" vertical="center" wrapText="1"/>
    </xf>
    <xf numFmtId="2" fontId="61" fillId="23" borderId="61" xfId="0" applyNumberFormat="1" applyFont="1" applyFill="1" applyBorder="1" applyAlignment="1">
      <alignment horizontal="center" vertical="center" wrapText="1"/>
    </xf>
    <xf numFmtId="10" fontId="0" fillId="0" borderId="0" xfId="5103" applyNumberFormat="1" applyFont="1"/>
    <xf numFmtId="0" fontId="1" fillId="0" borderId="33" xfId="0" applyFont="1" applyBorder="1" applyAlignment="1">
      <alignment wrapText="1"/>
    </xf>
    <xf numFmtId="2" fontId="8" fillId="0" borderId="39" xfId="0" applyNumberFormat="1" applyFont="1" applyBorder="1" applyAlignment="1">
      <alignment horizontal="center" vertical="center" wrapText="1"/>
    </xf>
    <xf numFmtId="2" fontId="9" fillId="2" borderId="33" xfId="0" applyNumberFormat="1" applyFont="1" applyFill="1" applyBorder="1" applyAlignment="1">
      <alignment horizontal="center" vertical="center" wrapText="1"/>
    </xf>
    <xf numFmtId="2" fontId="0" fillId="0" borderId="0" xfId="0" applyNumberFormat="1"/>
    <xf numFmtId="0" fontId="8" fillId="25" borderId="37" xfId="0" applyFont="1" applyFill="1" applyBorder="1" applyAlignment="1">
      <alignment horizontal="center" vertical="center" wrapText="1"/>
    </xf>
    <xf numFmtId="2" fontId="5" fillId="25" borderId="35" xfId="30" applyNumberFormat="1" applyFont="1" applyFill="1" applyBorder="1" applyAlignment="1">
      <alignment horizontal="center" vertical="center" wrapText="1"/>
    </xf>
    <xf numFmtId="0" fontId="8" fillId="25" borderId="37" xfId="0" applyFont="1" applyFill="1" applyBorder="1" applyAlignment="1">
      <alignment vertical="center" wrapText="1"/>
    </xf>
    <xf numFmtId="0" fontId="63" fillId="0" borderId="59" xfId="0" applyFont="1" applyBorder="1"/>
    <xf numFmtId="17" fontId="65" fillId="24" borderId="33" xfId="1" quotePrefix="1" applyNumberFormat="1" applyFont="1" applyFill="1" applyBorder="1" applyAlignment="1">
      <alignment horizontal="center" vertical="center" wrapText="1"/>
    </xf>
    <xf numFmtId="0" fontId="0" fillId="0" borderId="33" xfId="0" quotePrefix="1" applyBorder="1" applyAlignment="1">
      <alignment horizontal="left"/>
    </xf>
    <xf numFmtId="0" fontId="70" fillId="0" borderId="33" xfId="0" applyFont="1" applyBorder="1" applyAlignment="1">
      <alignment horizontal="left" vertical="top" wrapText="1" indent="1"/>
    </xf>
    <xf numFmtId="166" fontId="0" fillId="0" borderId="33" xfId="0" applyNumberFormat="1" applyBorder="1"/>
    <xf numFmtId="43" fontId="0" fillId="0" borderId="33" xfId="1" applyFont="1" applyBorder="1"/>
    <xf numFmtId="0" fontId="70" fillId="0" borderId="33" xfId="0" quotePrefix="1" applyFont="1" applyBorder="1" applyAlignment="1">
      <alignment horizontal="left" vertical="top" wrapText="1" indent="1"/>
    </xf>
    <xf numFmtId="0" fontId="71" fillId="0" borderId="33" xfId="0" applyFont="1" applyBorder="1" applyAlignment="1">
      <alignment horizontal="left" vertical="top" wrapText="1" indent="1"/>
    </xf>
    <xf numFmtId="0" fontId="0" fillId="0" borderId="33" xfId="0" applyBorder="1" applyAlignment="1">
      <alignment vertical="top" wrapText="1"/>
    </xf>
    <xf numFmtId="43" fontId="68" fillId="0" borderId="33" xfId="1" applyFont="1" applyBorder="1"/>
    <xf numFmtId="43" fontId="0" fillId="0" borderId="33" xfId="0" applyNumberFormat="1" applyBorder="1"/>
    <xf numFmtId="0" fontId="59" fillId="18" borderId="33" xfId="0" applyFont="1" applyFill="1" applyBorder="1"/>
    <xf numFmtId="0" fontId="59" fillId="18" borderId="33" xfId="0" applyFont="1" applyFill="1" applyBorder="1" applyAlignment="1">
      <alignment horizontal="center"/>
    </xf>
    <xf numFmtId="43" fontId="0" fillId="0" borderId="33" xfId="1" applyFont="1" applyBorder="1" applyAlignment="1">
      <alignment wrapText="1"/>
    </xf>
    <xf numFmtId="0" fontId="0" fillId="0" borderId="33" xfId="0" quotePrefix="1" applyBorder="1" applyAlignment="1">
      <alignment horizontal="left" wrapText="1"/>
    </xf>
    <xf numFmtId="0" fontId="72" fillId="0" borderId="33" xfId="0" applyFont="1" applyBorder="1" applyAlignment="1">
      <alignment horizontal="left" vertical="center" wrapText="1" indent="1"/>
    </xf>
    <xf numFmtId="0" fontId="69" fillId="0" borderId="33" xfId="0" applyFont="1" applyBorder="1"/>
    <xf numFmtId="168" fontId="69" fillId="26" borderId="33" xfId="1" applyNumberFormat="1" applyFont="1" applyFill="1" applyBorder="1" applyAlignment="1">
      <alignment horizontal="center" vertical="center"/>
    </xf>
    <xf numFmtId="43" fontId="69" fillId="26" borderId="33" xfId="1" applyFont="1" applyFill="1" applyBorder="1" applyAlignment="1">
      <alignment horizontal="center" vertical="center" wrapText="1"/>
    </xf>
    <xf numFmtId="43" fontId="66" fillId="0" borderId="59" xfId="1" applyFont="1" applyBorder="1" applyAlignment="1">
      <alignment horizontal="center" vertical="center"/>
    </xf>
    <xf numFmtId="0" fontId="64" fillId="18" borderId="61" xfId="0" applyFont="1" applyFill="1" applyBorder="1"/>
    <xf numFmtId="43" fontId="59" fillId="18" borderId="0" xfId="0" applyNumberFormat="1" applyFont="1" applyFill="1"/>
    <xf numFmtId="0" fontId="8" fillId="25" borderId="36" xfId="0" applyFont="1" applyFill="1" applyBorder="1" applyAlignment="1">
      <alignment horizontal="center" vertical="center" wrapText="1"/>
    </xf>
    <xf numFmtId="0" fontId="5" fillId="25" borderId="35" xfId="30" applyFont="1" applyFill="1" applyBorder="1" applyAlignment="1">
      <alignment horizontal="center" vertical="center" wrapText="1"/>
    </xf>
    <xf numFmtId="0" fontId="8" fillId="25" borderId="33" xfId="0" applyFont="1" applyFill="1" applyBorder="1" applyAlignment="1">
      <alignment vertical="center" wrapText="1"/>
    </xf>
    <xf numFmtId="0" fontId="69" fillId="0" borderId="33" xfId="0" applyFont="1" applyBorder="1" applyAlignment="1">
      <alignment horizontal="center"/>
    </xf>
    <xf numFmtId="43" fontId="63" fillId="0" borderId="33" xfId="1" applyFont="1" applyBorder="1" applyAlignment="1">
      <alignment horizontal="right"/>
    </xf>
    <xf numFmtId="43" fontId="69" fillId="0" borderId="33" xfId="1" applyFont="1" applyBorder="1" applyAlignment="1">
      <alignment horizontal="right"/>
    </xf>
    <xf numFmtId="0" fontId="5" fillId="25" borderId="47" xfId="30" applyFont="1" applyFill="1" applyBorder="1" applyAlignment="1">
      <alignment horizontal="center" vertical="center" wrapText="1"/>
    </xf>
    <xf numFmtId="0" fontId="73" fillId="0" borderId="33" xfId="0" applyFont="1" applyBorder="1" applyAlignment="1">
      <alignment wrapText="1"/>
    </xf>
    <xf numFmtId="43" fontId="74" fillId="0" borderId="33" xfId="1" applyFont="1" applyBorder="1"/>
    <xf numFmtId="168" fontId="75" fillId="26" borderId="33" xfId="1" applyNumberFormat="1" applyFont="1" applyFill="1" applyBorder="1" applyAlignment="1">
      <alignment horizontal="center" vertical="center" wrapText="1"/>
    </xf>
    <xf numFmtId="189" fontId="75" fillId="26" borderId="33" xfId="1" applyNumberFormat="1" applyFont="1" applyFill="1" applyBorder="1" applyAlignment="1">
      <alignment horizontal="center" vertical="center" wrapText="1"/>
    </xf>
    <xf numFmtId="0" fontId="0" fillId="18" borderId="33" xfId="0" applyFill="1" applyBorder="1" applyAlignment="1">
      <alignment vertical="center"/>
    </xf>
    <xf numFmtId="43" fontId="74" fillId="25" borderId="33" xfId="1" applyFont="1" applyFill="1" applyBorder="1"/>
    <xf numFmtId="189" fontId="75" fillId="25" borderId="33" xfId="1" applyNumberFormat="1" applyFont="1" applyFill="1" applyBorder="1" applyAlignment="1">
      <alignment horizontal="center" vertical="center" wrapText="1"/>
    </xf>
    <xf numFmtId="43" fontId="63" fillId="25" borderId="33" xfId="1" applyFont="1" applyFill="1" applyBorder="1"/>
    <xf numFmtId="188" fontId="28" fillId="0" borderId="59" xfId="1" applyNumberFormat="1" applyFont="1" applyFill="1" applyBorder="1" applyAlignment="1">
      <alignment horizontal="right" vertical="top" wrapText="1"/>
    </xf>
    <xf numFmtId="3" fontId="28" fillId="0" borderId="59" xfId="0" applyNumberFormat="1" applyFont="1" applyBorder="1" applyAlignment="1">
      <alignment vertical="top"/>
    </xf>
    <xf numFmtId="168" fontId="28" fillId="0" borderId="59" xfId="5101" applyNumberFormat="1" applyFont="1" applyFill="1" applyBorder="1" applyAlignment="1">
      <alignment horizontal="center" vertical="top" wrapText="1"/>
    </xf>
    <xf numFmtId="43" fontId="8" fillId="0" borderId="33" xfId="0" applyNumberFormat="1" applyFont="1" applyBorder="1" applyAlignment="1">
      <alignment vertical="center" wrapText="1"/>
    </xf>
    <xf numFmtId="2" fontId="43" fillId="0" borderId="0" xfId="0" applyNumberFormat="1" applyFont="1"/>
    <xf numFmtId="0" fontId="59" fillId="18" borderId="38" xfId="0" applyFont="1" applyFill="1" applyBorder="1" applyAlignment="1">
      <alignment vertical="center"/>
    </xf>
    <xf numFmtId="0" fontId="59" fillId="18" borderId="38" xfId="0" applyFont="1" applyFill="1" applyBorder="1" applyAlignment="1">
      <alignment horizontal="center" vertical="center"/>
    </xf>
    <xf numFmtId="0" fontId="65" fillId="24" borderId="33" xfId="440" applyFont="1" applyFill="1" applyBorder="1" applyAlignment="1">
      <alignment horizontal="center" vertical="center" wrapText="1"/>
    </xf>
    <xf numFmtId="17" fontId="65" fillId="24" borderId="33" xfId="1" applyNumberFormat="1" applyFont="1" applyFill="1" applyBorder="1" applyAlignment="1">
      <alignment horizontal="center" vertical="center" wrapText="1"/>
    </xf>
    <xf numFmtId="0" fontId="66" fillId="0" borderId="33" xfId="440" applyFont="1" applyBorder="1" applyAlignment="1">
      <alignment vertical="top" wrapText="1"/>
    </xf>
    <xf numFmtId="0" fontId="66" fillId="0" borderId="33" xfId="440" applyFont="1" applyBorder="1" applyAlignment="1">
      <alignment horizontal="center" vertical="top" wrapText="1"/>
    </xf>
    <xf numFmtId="43" fontId="66" fillId="0" borderId="33" xfId="1" applyFont="1" applyFill="1" applyBorder="1" applyAlignment="1">
      <alignment vertical="top"/>
    </xf>
    <xf numFmtId="0" fontId="66" fillId="0" borderId="33" xfId="440" applyFont="1" applyBorder="1" applyAlignment="1">
      <alignment horizontal="center" vertical="top"/>
    </xf>
    <xf numFmtId="0" fontId="66" fillId="0" borderId="33" xfId="440" applyFont="1" applyBorder="1" applyAlignment="1">
      <alignment vertical="top"/>
    </xf>
    <xf numFmtId="166" fontId="66" fillId="0" borderId="33" xfId="440" applyNumberFormat="1" applyFont="1" applyBorder="1" applyAlignment="1">
      <alignment vertical="top"/>
    </xf>
    <xf numFmtId="43" fontId="1" fillId="0" borderId="33" xfId="0" applyNumberFormat="1" applyFont="1" applyBorder="1"/>
    <xf numFmtId="2" fontId="1" fillId="0" borderId="33" xfId="0" applyNumberFormat="1" applyFont="1" applyBorder="1"/>
    <xf numFmtId="0" fontId="62" fillId="22" borderId="47" xfId="0" applyFont="1" applyFill="1" applyBorder="1" applyAlignment="1">
      <alignment horizontal="center" vertical="center" wrapText="1"/>
    </xf>
    <xf numFmtId="0" fontId="52" fillId="0" borderId="0" xfId="0" applyFont="1" applyAlignment="1">
      <alignment horizontal="left" vertical="center" wrapText="1"/>
    </xf>
    <xf numFmtId="4" fontId="43" fillId="0" borderId="0" xfId="0" applyNumberFormat="1" applyFont="1"/>
    <xf numFmtId="2" fontId="9" fillId="2" borderId="33" xfId="0" applyNumberFormat="1" applyFont="1" applyFill="1" applyBorder="1" applyAlignment="1">
      <alignment wrapText="1"/>
    </xf>
    <xf numFmtId="0" fontId="44" fillId="0" borderId="0" xfId="0" applyFont="1"/>
    <xf numFmtId="2" fontId="44" fillId="0" borderId="0" xfId="0" applyNumberFormat="1" applyFont="1"/>
    <xf numFmtId="0" fontId="8" fillId="0" borderId="56" xfId="0" applyFont="1" applyBorder="1" applyAlignment="1">
      <alignment vertical="center" wrapText="1"/>
    </xf>
    <xf numFmtId="0" fontId="43" fillId="0" borderId="56" xfId="0" applyFont="1" applyBorder="1"/>
    <xf numFmtId="2" fontId="43" fillId="0" borderId="33" xfId="0" applyNumberFormat="1" applyFont="1" applyBorder="1" applyAlignment="1">
      <alignment horizontal="center"/>
    </xf>
    <xf numFmtId="4" fontId="43" fillId="0" borderId="33" xfId="0" applyNumberFormat="1" applyFont="1" applyBorder="1" applyAlignment="1">
      <alignment horizontal="center"/>
    </xf>
    <xf numFmtId="2" fontId="44" fillId="2" borderId="1" xfId="0" applyNumberFormat="1" applyFont="1" applyFill="1" applyBorder="1" applyAlignment="1">
      <alignment horizontal="center" vertical="center"/>
    </xf>
    <xf numFmtId="0" fontId="62" fillId="22" borderId="46" xfId="0" applyFont="1" applyFill="1" applyBorder="1" applyAlignment="1">
      <alignment vertical="center" wrapText="1"/>
    </xf>
    <xf numFmtId="0" fontId="62" fillId="22" borderId="31" xfId="0" applyFont="1" applyFill="1" applyBorder="1" applyAlignment="1">
      <alignment vertical="center" wrapText="1"/>
    </xf>
    <xf numFmtId="0" fontId="62" fillId="22" borderId="47" xfId="0" applyFont="1" applyFill="1" applyBorder="1" applyAlignment="1">
      <alignment vertical="center" wrapText="1"/>
    </xf>
    <xf numFmtId="190" fontId="63" fillId="0" borderId="33" xfId="0" applyNumberFormat="1" applyFont="1" applyBorder="1" applyAlignment="1">
      <alignment horizontal="center" vertical="center"/>
    </xf>
    <xf numFmtId="190" fontId="63" fillId="0" borderId="33" xfId="1" applyNumberFormat="1" applyFont="1" applyBorder="1" applyAlignment="1">
      <alignment horizontal="center" vertical="center"/>
    </xf>
    <xf numFmtId="190" fontId="65" fillId="0" borderId="33" xfId="1" applyNumberFormat="1" applyFont="1" applyBorder="1"/>
    <xf numFmtId="2" fontId="51" fillId="20" borderId="33" xfId="0" applyNumberFormat="1" applyFont="1" applyFill="1" applyBorder="1" applyAlignment="1">
      <alignment horizontal="center" vertical="center"/>
    </xf>
    <xf numFmtId="0" fontId="5" fillId="0" borderId="33" xfId="30" applyFont="1" applyBorder="1" applyAlignment="1">
      <alignment horizontal="center" vertical="center" wrapText="1"/>
    </xf>
    <xf numFmtId="2" fontId="5" fillId="0" borderId="33" xfId="30" applyNumberFormat="1" applyFont="1" applyBorder="1" applyAlignment="1">
      <alignment horizontal="center" vertical="center" wrapText="1"/>
    </xf>
    <xf numFmtId="0" fontId="11" fillId="2" borderId="33" xfId="0" applyFont="1" applyFill="1" applyBorder="1" applyAlignment="1">
      <alignment horizontal="right" wrapText="1"/>
    </xf>
    <xf numFmtId="0" fontId="61" fillId="23" borderId="59" xfId="0" applyFont="1" applyFill="1" applyBorder="1" applyAlignment="1">
      <alignment vertical="center" wrapText="1"/>
    </xf>
    <xf numFmtId="43" fontId="61" fillId="23" borderId="59" xfId="0" applyNumberFormat="1" applyFont="1" applyFill="1" applyBorder="1" applyAlignment="1">
      <alignment horizontal="center" vertical="center" wrapText="1"/>
    </xf>
    <xf numFmtId="43" fontId="28" fillId="0" borderId="59" xfId="5101" applyNumberFormat="1" applyFont="1" applyFill="1" applyBorder="1" applyAlignment="1">
      <alignment horizontal="right" vertical="top" wrapText="1"/>
    </xf>
    <xf numFmtId="43" fontId="28" fillId="0" borderId="59" xfId="5101" applyNumberFormat="1" applyFont="1" applyFill="1" applyBorder="1" applyAlignment="1">
      <alignment horizontal="center" vertical="top" wrapText="1"/>
    </xf>
    <xf numFmtId="0" fontId="28" fillId="0" borderId="60" xfId="5102" applyNumberFormat="1" applyFont="1" applyFill="1" applyBorder="1" applyAlignment="1">
      <alignment horizontal="center" vertical="top"/>
    </xf>
    <xf numFmtId="0" fontId="28" fillId="0" borderId="60" xfId="5102" applyNumberFormat="1" applyFont="1" applyFill="1" applyBorder="1" applyAlignment="1">
      <alignment vertical="top"/>
    </xf>
    <xf numFmtId="2" fontId="0" fillId="0" borderId="33" xfId="0" applyNumberFormat="1" applyBorder="1"/>
    <xf numFmtId="0" fontId="28" fillId="0" borderId="33" xfId="5102" applyNumberFormat="1" applyFont="1" applyFill="1" applyBorder="1" applyAlignment="1">
      <alignment horizontal="center" vertical="top"/>
    </xf>
    <xf numFmtId="0" fontId="28" fillId="0" borderId="33" xfId="5102" applyNumberFormat="1" applyFont="1" applyFill="1" applyBorder="1" applyAlignment="1">
      <alignment horizontal="left" vertical="top"/>
    </xf>
    <xf numFmtId="0" fontId="28" fillId="0" borderId="33" xfId="5102" applyNumberFormat="1" applyFont="1" applyFill="1" applyBorder="1" applyAlignment="1">
      <alignment horizontal="left" vertical="top" wrapText="1"/>
    </xf>
    <xf numFmtId="43" fontId="62" fillId="22" borderId="33" xfId="0" applyNumberFormat="1" applyFont="1" applyFill="1" applyBorder="1" applyAlignment="1">
      <alignment horizontal="center" vertical="center" wrapText="1"/>
    </xf>
    <xf numFmtId="2" fontId="1" fillId="21" borderId="33" xfId="0" applyNumberFormat="1" applyFont="1" applyFill="1" applyBorder="1"/>
    <xf numFmtId="166" fontId="28" fillId="0" borderId="33" xfId="22" applyNumberFormat="1" applyFont="1" applyFill="1" applyBorder="1" applyAlignment="1">
      <alignment horizontal="right" vertical="top" wrapText="1"/>
    </xf>
    <xf numFmtId="0" fontId="48" fillId="18" borderId="0" xfId="0" applyFont="1" applyFill="1" applyAlignment="1">
      <alignment horizontal="center" vertical="center" wrapText="1"/>
    </xf>
    <xf numFmtId="0" fontId="49" fillId="0" borderId="0" xfId="0" applyFont="1" applyAlignment="1">
      <alignment horizontal="right" vertical="center"/>
    </xf>
    <xf numFmtId="0" fontId="50" fillId="19" borderId="0" xfId="0" applyFont="1" applyFill="1" applyAlignment="1">
      <alignment horizontal="center" vertical="center" wrapText="1"/>
    </xf>
    <xf numFmtId="0" fontId="49" fillId="0" borderId="0" xfId="0" applyFont="1" applyAlignment="1">
      <alignment horizontal="right" vertical="center" wrapText="1"/>
    </xf>
    <xf numFmtId="0" fontId="0" fillId="0" borderId="0" xfId="0" applyAlignment="1">
      <alignment vertical="center" wrapText="1"/>
    </xf>
    <xf numFmtId="0" fontId="51" fillId="19" borderId="0" xfId="0" applyFont="1" applyFill="1" applyAlignment="1">
      <alignment vertical="center" wrapText="1"/>
    </xf>
    <xf numFmtId="0" fontId="57" fillId="18" borderId="0" xfId="0" applyFont="1" applyFill="1" applyAlignment="1">
      <alignment horizontal="left" vertical="center"/>
    </xf>
    <xf numFmtId="0" fontId="49" fillId="0" borderId="0" xfId="0" applyFont="1" applyAlignment="1">
      <alignment horizontal="left" vertical="center" wrapText="1"/>
    </xf>
    <xf numFmtId="0" fontId="62" fillId="22" borderId="0" xfId="0" applyFont="1" applyFill="1" applyAlignment="1">
      <alignment horizontal="center" vertical="center" wrapText="1"/>
    </xf>
    <xf numFmtId="2" fontId="62" fillId="22" borderId="0" xfId="0" applyNumberFormat="1" applyFont="1" applyFill="1" applyAlignment="1">
      <alignment horizontal="center" vertical="center" wrapText="1"/>
    </xf>
    <xf numFmtId="168" fontId="28" fillId="0" borderId="0" xfId="22" applyNumberFormat="1" applyFont="1" applyFill="1" applyBorder="1" applyAlignment="1">
      <alignment horizontal="right" vertical="top" wrapText="1"/>
    </xf>
    <xf numFmtId="166" fontId="1" fillId="0" borderId="33" xfId="0" applyNumberFormat="1" applyFont="1" applyBorder="1"/>
    <xf numFmtId="166" fontId="28" fillId="0" borderId="33" xfId="1" applyNumberFormat="1" applyFont="1" applyFill="1" applyBorder="1" applyAlignment="1">
      <alignment vertical="top"/>
    </xf>
    <xf numFmtId="43" fontId="0" fillId="0" borderId="0" xfId="1" applyFont="1"/>
    <xf numFmtId="9" fontId="0" fillId="0" borderId="33" xfId="3" applyFont="1" applyBorder="1" applyAlignment="1">
      <alignment horizontal="center"/>
    </xf>
    <xf numFmtId="0" fontId="1" fillId="0" borderId="57" xfId="0" applyFont="1" applyBorder="1"/>
    <xf numFmtId="0" fontId="67" fillId="18" borderId="0" xfId="0" applyFont="1" applyFill="1" applyAlignment="1">
      <alignment horizontal="center" vertical="center" wrapText="1"/>
    </xf>
    <xf numFmtId="0" fontId="50" fillId="27" borderId="69" xfId="0" applyFont="1" applyFill="1" applyBorder="1" applyAlignment="1">
      <alignment horizontal="center" vertical="center" wrapText="1"/>
    </xf>
    <xf numFmtId="0" fontId="50" fillId="27" borderId="10" xfId="0" applyFont="1" applyFill="1" applyBorder="1" applyAlignment="1">
      <alignment horizontal="center" vertical="center" wrapText="1"/>
    </xf>
    <xf numFmtId="0" fontId="76" fillId="0" borderId="69" xfId="0" applyFont="1" applyBorder="1" applyAlignment="1">
      <alignment vertical="center" wrapText="1"/>
    </xf>
    <xf numFmtId="0" fontId="76" fillId="0" borderId="10" xfId="0" applyFont="1" applyBorder="1" applyAlignment="1">
      <alignment horizontal="center" vertical="center" wrapText="1"/>
    </xf>
    <xf numFmtId="0" fontId="76" fillId="0" borderId="10" xfId="0" applyFont="1" applyBorder="1" applyAlignment="1">
      <alignment horizontal="center" vertical="center"/>
    </xf>
    <xf numFmtId="0" fontId="51" fillId="0" borderId="10" xfId="0" applyFont="1" applyBorder="1" applyAlignment="1">
      <alignment horizontal="center" vertical="center"/>
    </xf>
    <xf numFmtId="0" fontId="50" fillId="27" borderId="10" xfId="0" applyFont="1" applyFill="1" applyBorder="1" applyAlignment="1">
      <alignment horizontal="center" vertical="center"/>
    </xf>
    <xf numFmtId="43" fontId="72" fillId="24" borderId="33" xfId="1" quotePrefix="1" applyFont="1" applyFill="1" applyBorder="1" applyAlignment="1">
      <alignment horizontal="center" vertical="center" wrapText="1"/>
    </xf>
    <xf numFmtId="17" fontId="72" fillId="24" borderId="33" xfId="1" quotePrefix="1" applyNumberFormat="1" applyFont="1" applyFill="1" applyBorder="1" applyAlignment="1">
      <alignment horizontal="center" vertical="center" wrapText="1"/>
    </xf>
    <xf numFmtId="0" fontId="1" fillId="24" borderId="33" xfId="0" applyFont="1" applyFill="1" applyBorder="1" applyAlignment="1">
      <alignment horizontal="center" vertical="center" wrapText="1"/>
    </xf>
    <xf numFmtId="0" fontId="0" fillId="0" borderId="33" xfId="0" applyBorder="1" applyAlignment="1">
      <alignment vertical="top"/>
    </xf>
    <xf numFmtId="43" fontId="0" fillId="0" borderId="33" xfId="1" applyFont="1" applyBorder="1" applyAlignment="1">
      <alignment vertical="top"/>
    </xf>
    <xf numFmtId="0" fontId="1" fillId="24" borderId="33" xfId="0" applyFont="1" applyFill="1" applyBorder="1" applyAlignment="1">
      <alignment vertical="top"/>
    </xf>
    <xf numFmtId="43" fontId="1" fillId="24" borderId="33" xfId="1" applyFont="1" applyFill="1" applyBorder="1" applyAlignment="1">
      <alignment vertical="top"/>
    </xf>
    <xf numFmtId="0" fontId="0" fillId="0" borderId="0" xfId="0" applyAlignment="1">
      <alignment horizontal="left" vertical="top" wrapText="1"/>
    </xf>
    <xf numFmtId="0" fontId="2" fillId="0" borderId="0" xfId="0" applyFont="1" applyAlignment="1">
      <alignment horizontal="center"/>
    </xf>
    <xf numFmtId="0" fontId="45" fillId="18" borderId="1" xfId="0" applyFont="1" applyFill="1" applyBorder="1" applyAlignment="1">
      <alignment horizontal="center"/>
    </xf>
    <xf numFmtId="0" fontId="45" fillId="18" borderId="33" xfId="0" applyFont="1" applyFill="1" applyBorder="1" applyAlignment="1">
      <alignment horizontal="center"/>
    </xf>
    <xf numFmtId="0" fontId="47" fillId="0" borderId="33" xfId="0" applyFont="1" applyBorder="1" applyAlignment="1">
      <alignment horizontal="left" vertical="top" wrapText="1"/>
    </xf>
    <xf numFmtId="0" fontId="46" fillId="18" borderId="46" xfId="0" applyFont="1" applyFill="1" applyBorder="1" applyAlignment="1">
      <alignment horizontal="left"/>
    </xf>
    <xf numFmtId="0" fontId="46" fillId="18" borderId="31" xfId="0" applyFont="1" applyFill="1" applyBorder="1" applyAlignment="1">
      <alignment horizontal="left"/>
    </xf>
    <xf numFmtId="0" fontId="46" fillId="18" borderId="47" xfId="0" applyFont="1" applyFill="1" applyBorder="1" applyAlignment="1">
      <alignment horizontal="left"/>
    </xf>
    <xf numFmtId="0" fontId="44" fillId="2" borderId="46" xfId="0" applyFont="1" applyFill="1" applyBorder="1" applyAlignment="1">
      <alignment horizontal="center" vertical="center"/>
    </xf>
    <xf numFmtId="0" fontId="44" fillId="2" borderId="47" xfId="0" applyFont="1" applyFill="1" applyBorder="1" applyAlignment="1">
      <alignment horizontal="center" vertical="center"/>
    </xf>
    <xf numFmtId="0" fontId="47" fillId="4" borderId="1" xfId="0" applyFont="1" applyFill="1" applyBorder="1" applyAlignment="1">
      <alignment horizontal="right"/>
    </xf>
    <xf numFmtId="0" fontId="47" fillId="4" borderId="33" xfId="0" applyFont="1" applyFill="1" applyBorder="1" applyAlignment="1">
      <alignment horizontal="right"/>
    </xf>
    <xf numFmtId="0" fontId="42" fillId="0" borderId="21" xfId="0" applyFont="1" applyBorder="1" applyAlignment="1">
      <alignment horizontal="right"/>
    </xf>
    <xf numFmtId="0" fontId="42" fillId="0" borderId="33" xfId="0" applyFont="1" applyBorder="1" applyAlignment="1">
      <alignment horizontal="right"/>
    </xf>
    <xf numFmtId="0" fontId="7" fillId="18" borderId="33" xfId="0" applyFont="1" applyFill="1" applyBorder="1" applyAlignment="1">
      <alignment horizontal="center" vertical="center" wrapText="1"/>
    </xf>
    <xf numFmtId="0" fontId="10" fillId="18" borderId="34" xfId="0" applyFont="1" applyFill="1" applyBorder="1" applyAlignment="1">
      <alignment horizontal="left" wrapText="1"/>
    </xf>
    <xf numFmtId="0" fontId="10" fillId="18" borderId="12" xfId="0" applyFont="1" applyFill="1" applyBorder="1" applyAlignment="1">
      <alignment horizontal="left" wrapText="1"/>
    </xf>
    <xf numFmtId="0" fontId="10" fillId="18" borderId="31" xfId="0" applyFont="1" applyFill="1" applyBorder="1" applyAlignment="1">
      <alignment horizontal="left" wrapText="1"/>
    </xf>
    <xf numFmtId="0" fontId="6" fillId="0" borderId="33" xfId="0" applyFont="1" applyBorder="1" applyAlignment="1">
      <alignment horizontal="left" vertical="top" wrapText="1"/>
    </xf>
    <xf numFmtId="0" fontId="8" fillId="0" borderId="34" xfId="0" applyFont="1" applyBorder="1" applyAlignment="1">
      <alignment horizontal="right" vertical="center" wrapText="1"/>
    </xf>
    <xf numFmtId="0" fontId="8" fillId="0" borderId="27" xfId="0" applyFont="1" applyBorder="1" applyAlignment="1">
      <alignment horizontal="right" vertical="center" wrapText="1"/>
    </xf>
    <xf numFmtId="0" fontId="8" fillId="0" borderId="41" xfId="0" applyFont="1" applyBorder="1" applyAlignment="1">
      <alignment horizontal="right" vertical="center" wrapText="1"/>
    </xf>
    <xf numFmtId="167" fontId="9" fillId="0" borderId="39" xfId="0" applyNumberFormat="1" applyFont="1" applyBorder="1" applyAlignment="1">
      <alignment horizontal="right" vertical="center" wrapText="1"/>
    </xf>
    <xf numFmtId="167" fontId="9" fillId="0" borderId="42" xfId="0" applyNumberFormat="1" applyFont="1" applyBorder="1" applyAlignment="1">
      <alignment horizontal="right" vertical="center" wrapText="1"/>
    </xf>
    <xf numFmtId="167" fontId="9" fillId="0" borderId="43" xfId="0" applyNumberFormat="1" applyFont="1" applyBorder="1" applyAlignment="1">
      <alignment horizontal="right" vertical="center" wrapText="1"/>
    </xf>
    <xf numFmtId="2" fontId="61" fillId="23" borderId="59" xfId="0" applyNumberFormat="1" applyFont="1" applyFill="1" applyBorder="1" applyAlignment="1">
      <alignment horizontal="center" vertical="center" wrapText="1"/>
    </xf>
    <xf numFmtId="0" fontId="61" fillId="23" borderId="59" xfId="0" applyFont="1" applyFill="1" applyBorder="1" applyAlignment="1">
      <alignment horizontal="center" vertical="center" wrapText="1"/>
    </xf>
    <xf numFmtId="0" fontId="48" fillId="18" borderId="33" xfId="0" applyFont="1" applyFill="1" applyBorder="1" applyAlignment="1">
      <alignment horizontal="center" vertical="center" wrapText="1"/>
    </xf>
    <xf numFmtId="0" fontId="49" fillId="0" borderId="33" xfId="0" applyFont="1" applyBorder="1" applyAlignment="1">
      <alignment horizontal="right" vertical="center"/>
    </xf>
    <xf numFmtId="0" fontId="57" fillId="18" borderId="56" xfId="0" applyFont="1" applyFill="1" applyBorder="1" applyAlignment="1">
      <alignment horizontal="left" vertical="center"/>
    </xf>
    <xf numFmtId="0" fontId="50" fillId="0" borderId="33" xfId="0" applyFont="1" applyBorder="1" applyAlignment="1">
      <alignment horizontal="center" vertical="center"/>
    </xf>
    <xf numFmtId="0" fontId="52" fillId="0" borderId="45" xfId="0" applyFont="1" applyBorder="1" applyAlignment="1">
      <alignment horizontal="left" vertical="center" wrapText="1"/>
    </xf>
    <xf numFmtId="0" fontId="52" fillId="0" borderId="0" xfId="0" applyFont="1" applyAlignment="1">
      <alignment horizontal="left" vertical="center" wrapText="1"/>
    </xf>
    <xf numFmtId="0" fontId="49" fillId="0" borderId="33" xfId="0" applyFont="1" applyBorder="1" applyAlignment="1">
      <alignment horizontal="right" vertical="center" wrapText="1"/>
    </xf>
    <xf numFmtId="0" fontId="49" fillId="0" borderId="33" xfId="0" applyFont="1" applyBorder="1" applyAlignment="1">
      <alignment horizontal="left" vertical="center" wrapText="1"/>
    </xf>
    <xf numFmtId="0" fontId="52" fillId="0" borderId="38" xfId="0" applyFont="1" applyBorder="1" applyAlignment="1">
      <alignment horizontal="left" vertical="center" wrapText="1"/>
    </xf>
    <xf numFmtId="2" fontId="62" fillId="22" borderId="33" xfId="0" applyNumberFormat="1" applyFont="1" applyFill="1" applyBorder="1" applyAlignment="1">
      <alignment horizontal="center" vertical="center" wrapText="1"/>
    </xf>
    <xf numFmtId="0" fontId="62" fillId="22" borderId="33" xfId="0" applyFont="1" applyFill="1" applyBorder="1" applyAlignment="1">
      <alignment horizontal="center" vertical="center" wrapText="1"/>
    </xf>
    <xf numFmtId="0" fontId="61" fillId="0" borderId="46" xfId="0" applyFont="1" applyBorder="1" applyAlignment="1">
      <alignment horizontal="center" wrapText="1"/>
    </xf>
    <xf numFmtId="0" fontId="61" fillId="0" borderId="31" xfId="0" applyFont="1" applyBorder="1" applyAlignment="1">
      <alignment horizontal="center" wrapText="1"/>
    </xf>
    <xf numFmtId="0" fontId="61" fillId="0" borderId="47" xfId="0" applyFont="1" applyBorder="1" applyAlignment="1">
      <alignment horizontal="center" wrapText="1"/>
    </xf>
    <xf numFmtId="0" fontId="7" fillId="18" borderId="34" xfId="0" applyFont="1" applyFill="1" applyBorder="1" applyAlignment="1">
      <alignment horizontal="center" vertical="center" wrapText="1"/>
    </xf>
    <xf numFmtId="0" fontId="7" fillId="18" borderId="12" xfId="0" applyFont="1" applyFill="1" applyBorder="1" applyAlignment="1">
      <alignment horizontal="center" vertical="center" wrapText="1"/>
    </xf>
    <xf numFmtId="0" fontId="7" fillId="18" borderId="35" xfId="0" applyFont="1" applyFill="1" applyBorder="1" applyAlignment="1">
      <alignment horizontal="center" vertical="center" wrapText="1"/>
    </xf>
    <xf numFmtId="0" fontId="6" fillId="0" borderId="34" xfId="0" applyFont="1" applyBorder="1" applyAlignment="1">
      <alignment horizontal="right" vertical="center" wrapText="1"/>
    </xf>
    <xf numFmtId="0" fontId="6" fillId="0" borderId="12" xfId="0" applyFont="1" applyBorder="1" applyAlignment="1">
      <alignment horizontal="right" vertical="center" wrapText="1"/>
    </xf>
    <xf numFmtId="0" fontId="6" fillId="0" borderId="35" xfId="0" applyFont="1" applyBorder="1" applyAlignment="1">
      <alignment horizontal="right" vertical="center" wrapText="1"/>
    </xf>
    <xf numFmtId="0" fontId="10" fillId="18" borderId="35" xfId="0" applyFont="1" applyFill="1" applyBorder="1" applyAlignment="1">
      <alignment horizontal="left" wrapText="1"/>
    </xf>
    <xf numFmtId="0" fontId="48" fillId="18" borderId="66" xfId="0" applyFont="1" applyFill="1" applyBorder="1" applyAlignment="1">
      <alignment horizontal="center" vertical="center" wrapText="1"/>
    </xf>
    <xf numFmtId="0" fontId="48" fillId="18" borderId="16" xfId="0" applyFont="1" applyFill="1" applyBorder="1" applyAlignment="1">
      <alignment horizontal="center" vertical="center" wrapText="1"/>
    </xf>
    <xf numFmtId="0" fontId="48" fillId="18" borderId="67" xfId="0" applyFont="1" applyFill="1" applyBorder="1" applyAlignment="1">
      <alignment horizontal="center" vertical="center" wrapText="1"/>
    </xf>
    <xf numFmtId="0" fontId="48" fillId="18" borderId="68" xfId="0" applyFont="1" applyFill="1" applyBorder="1" applyAlignment="1">
      <alignment horizontal="center" vertical="center" wrapText="1"/>
    </xf>
    <xf numFmtId="0" fontId="50" fillId="27" borderId="66" xfId="0" applyFont="1" applyFill="1" applyBorder="1" applyAlignment="1">
      <alignment horizontal="center" vertical="center"/>
    </xf>
    <xf numFmtId="0" fontId="50" fillId="27" borderId="67" xfId="0" applyFont="1" applyFill="1" applyBorder="1" applyAlignment="1">
      <alignment horizontal="center" vertical="center"/>
    </xf>
    <xf numFmtId="0" fontId="69" fillId="0" borderId="33" xfId="0" applyFont="1" applyBorder="1" applyAlignment="1">
      <alignment horizontal="center" vertical="center" wrapText="1"/>
    </xf>
    <xf numFmtId="0" fontId="6" fillId="0" borderId="46" xfId="0" applyFont="1" applyBorder="1" applyAlignment="1">
      <alignment horizontal="right" vertical="center" wrapText="1"/>
    </xf>
    <xf numFmtId="0" fontId="6" fillId="0" borderId="31" xfId="0" applyFont="1" applyBorder="1" applyAlignment="1">
      <alignment horizontal="right" vertical="center" wrapText="1"/>
    </xf>
    <xf numFmtId="0" fontId="6" fillId="0" borderId="40" xfId="0" applyFont="1" applyBorder="1" applyAlignment="1">
      <alignment horizontal="right" vertical="center" wrapText="1"/>
    </xf>
    <xf numFmtId="0" fontId="6" fillId="0" borderId="49" xfId="0" applyFont="1" applyBorder="1" applyAlignment="1">
      <alignment horizontal="right" vertical="center" wrapText="1"/>
    </xf>
    <xf numFmtId="0" fontId="7" fillId="18" borderId="45" xfId="0" applyFont="1" applyFill="1" applyBorder="1" applyAlignment="1">
      <alignment horizontal="center" wrapText="1"/>
    </xf>
    <xf numFmtId="0" fontId="7" fillId="18" borderId="0" xfId="0" applyFont="1" applyFill="1" applyAlignment="1">
      <alignment horizontal="center" wrapText="1"/>
    </xf>
    <xf numFmtId="0" fontId="10" fillId="18" borderId="58" xfId="0" applyFont="1" applyFill="1" applyBorder="1" applyAlignment="1">
      <alignment horizontal="left" wrapText="1"/>
    </xf>
    <xf numFmtId="0" fontId="10" fillId="18" borderId="42" xfId="0" applyFont="1" applyFill="1" applyBorder="1" applyAlignment="1">
      <alignment horizontal="left" wrapText="1"/>
    </xf>
    <xf numFmtId="0" fontId="6" fillId="0" borderId="45" xfId="0" applyFont="1" applyBorder="1" applyAlignment="1">
      <alignment horizontal="left" vertical="top" wrapText="1"/>
    </xf>
    <xf numFmtId="0" fontId="6" fillId="0" borderId="0" xfId="0" applyFont="1" applyAlignment="1">
      <alignment horizontal="left" vertical="top" wrapText="1"/>
    </xf>
    <xf numFmtId="0" fontId="1" fillId="0" borderId="46"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47" xfId="0" applyFont="1" applyBorder="1" applyAlignment="1">
      <alignment horizontal="center" vertical="center" wrapText="1"/>
    </xf>
    <xf numFmtId="0" fontId="7" fillId="18" borderId="34" xfId="0" applyFont="1" applyFill="1" applyBorder="1" applyAlignment="1">
      <alignment horizontal="center" wrapText="1"/>
    </xf>
    <xf numFmtId="0" fontId="7" fillId="18" borderId="12" xfId="0" applyFont="1" applyFill="1" applyBorder="1" applyAlignment="1">
      <alignment horizontal="center" wrapText="1"/>
    </xf>
    <xf numFmtId="0" fontId="7" fillId="18" borderId="35" xfId="0" applyFont="1" applyFill="1" applyBorder="1" applyAlignment="1">
      <alignment horizontal="center" wrapText="1"/>
    </xf>
    <xf numFmtId="0" fontId="6" fillId="0" borderId="27" xfId="0" applyFont="1" applyBorder="1" applyAlignment="1">
      <alignment horizontal="right" vertical="center" wrapText="1"/>
    </xf>
    <xf numFmtId="0" fontId="6" fillId="0" borderId="41" xfId="0" applyFont="1" applyBorder="1" applyAlignment="1">
      <alignment horizontal="right" vertical="center" wrapText="1"/>
    </xf>
    <xf numFmtId="0" fontId="6" fillId="0" borderId="47" xfId="0" applyFont="1" applyBorder="1" applyAlignment="1">
      <alignment horizontal="right" vertical="center" wrapText="1"/>
    </xf>
    <xf numFmtId="0" fontId="63" fillId="0" borderId="33" xfId="0" applyFont="1" applyBorder="1" applyAlignment="1">
      <alignment horizontal="center" vertical="center" wrapText="1"/>
    </xf>
    <xf numFmtId="0" fontId="63" fillId="0" borderId="33" xfId="0" applyFont="1" applyBorder="1" applyAlignment="1">
      <alignment horizontal="center"/>
    </xf>
    <xf numFmtId="0" fontId="10" fillId="3" borderId="58" xfId="0" applyFont="1" applyFill="1" applyBorder="1" applyAlignment="1">
      <alignment horizontal="left" wrapText="1"/>
    </xf>
    <xf numFmtId="0" fontId="10" fillId="3" borderId="42" xfId="0" applyFont="1" applyFill="1" applyBorder="1" applyAlignment="1">
      <alignment horizontal="left" wrapText="1"/>
    </xf>
    <xf numFmtId="0" fontId="10" fillId="3" borderId="34" xfId="0" applyFont="1" applyFill="1" applyBorder="1" applyAlignment="1">
      <alignment horizontal="left" wrapText="1"/>
    </xf>
    <xf numFmtId="0" fontId="10" fillId="3" borderId="12" xfId="0" applyFont="1" applyFill="1" applyBorder="1" applyAlignment="1">
      <alignment horizontal="left" wrapText="1"/>
    </xf>
    <xf numFmtId="0" fontId="10" fillId="3" borderId="35" xfId="0" applyFont="1" applyFill="1" applyBorder="1" applyAlignment="1">
      <alignment horizontal="left" wrapText="1"/>
    </xf>
    <xf numFmtId="0" fontId="0" fillId="0" borderId="45" xfId="0" applyBorder="1" applyAlignment="1">
      <alignment horizontal="left" vertical="center" wrapText="1"/>
    </xf>
    <xf numFmtId="0" fontId="0" fillId="0" borderId="0" xfId="0" applyAlignment="1">
      <alignment horizontal="left" vertical="center" wrapText="1"/>
    </xf>
    <xf numFmtId="0" fontId="63" fillId="0" borderId="56" xfId="0" applyFont="1" applyBorder="1" applyAlignment="1">
      <alignment horizontal="center" vertical="center" wrapText="1"/>
    </xf>
    <xf numFmtId="0" fontId="63" fillId="0" borderId="38" xfId="0" applyFont="1" applyBorder="1" applyAlignment="1">
      <alignment horizontal="center" vertical="center" wrapText="1"/>
    </xf>
    <xf numFmtId="0" fontId="69" fillId="0" borderId="33" xfId="0" applyFont="1" applyBorder="1" applyAlignment="1">
      <alignment horizontal="center"/>
    </xf>
    <xf numFmtId="0" fontId="6" fillId="0" borderId="33" xfId="0" applyFont="1" applyBorder="1" applyAlignment="1">
      <alignment horizontal="right" vertical="center" wrapText="1"/>
    </xf>
    <xf numFmtId="0" fontId="10" fillId="3" borderId="33" xfId="0" applyFont="1" applyFill="1" applyBorder="1" applyAlignment="1">
      <alignment horizontal="left" wrapText="1"/>
    </xf>
    <xf numFmtId="0" fontId="7" fillId="18" borderId="33" xfId="0" applyFont="1" applyFill="1" applyBorder="1" applyAlignment="1">
      <alignment horizontal="center" wrapText="1"/>
    </xf>
    <xf numFmtId="0" fontId="65" fillId="0" borderId="65" xfId="0" applyFont="1" applyBorder="1" applyAlignment="1">
      <alignment horizontal="left" vertical="top"/>
    </xf>
    <xf numFmtId="0" fontId="65" fillId="0" borderId="49" xfId="0" applyFont="1" applyBorder="1" applyAlignment="1">
      <alignment horizontal="left" vertical="top"/>
    </xf>
    <xf numFmtId="0" fontId="65" fillId="0" borderId="50" xfId="0" applyFont="1" applyBorder="1" applyAlignment="1">
      <alignment horizontal="left" vertical="top"/>
    </xf>
    <xf numFmtId="0" fontId="64" fillId="18" borderId="33" xfId="0" applyFont="1" applyFill="1" applyBorder="1" applyAlignment="1">
      <alignment horizontal="center"/>
    </xf>
    <xf numFmtId="0" fontId="61" fillId="21" borderId="33" xfId="0" applyFont="1" applyFill="1" applyBorder="1" applyAlignment="1">
      <alignment horizontal="center" vertical="center" wrapText="1"/>
    </xf>
    <xf numFmtId="43" fontId="62" fillId="22" borderId="33" xfId="0" applyNumberFormat="1" applyFont="1" applyFill="1" applyBorder="1" applyAlignment="1">
      <alignment horizontal="center" vertical="center" wrapText="1"/>
    </xf>
    <xf numFmtId="43" fontId="61" fillId="23" borderId="62" xfId="0" applyNumberFormat="1" applyFont="1" applyFill="1" applyBorder="1" applyAlignment="1">
      <alignment horizontal="center" vertical="center" wrapText="1"/>
    </xf>
    <xf numFmtId="43" fontId="61" fillId="23" borderId="63" xfId="0" applyNumberFormat="1" applyFont="1" applyFill="1" applyBorder="1" applyAlignment="1">
      <alignment horizontal="center" vertical="center" wrapText="1"/>
    </xf>
    <xf numFmtId="43" fontId="61" fillId="23" borderId="64"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47" xfId="0" applyFont="1" applyBorder="1" applyAlignment="1">
      <alignment horizontal="center" vertical="center" wrapText="1"/>
    </xf>
    <xf numFmtId="0" fontId="52" fillId="0" borderId="33" xfId="0" applyFont="1" applyBorder="1" applyAlignment="1">
      <alignment horizontal="justify" vertical="center"/>
    </xf>
    <xf numFmtId="0" fontId="51" fillId="0" borderId="33" xfId="0" applyFont="1" applyBorder="1" applyAlignment="1">
      <alignment horizontal="right" vertical="center" wrapText="1"/>
    </xf>
    <xf numFmtId="0" fontId="0" fillId="0" borderId="33" xfId="0" applyBorder="1" applyAlignment="1">
      <alignment wrapText="1"/>
    </xf>
    <xf numFmtId="0" fontId="57" fillId="18" borderId="33" xfId="0" applyFont="1" applyFill="1" applyBorder="1" applyAlignment="1">
      <alignment vertical="center"/>
    </xf>
    <xf numFmtId="0" fontId="51" fillId="20" borderId="51" xfId="0" applyFont="1" applyFill="1" applyBorder="1" applyAlignment="1">
      <alignment horizontal="left" vertical="center" wrapText="1"/>
    </xf>
    <xf numFmtId="0" fontId="51" fillId="20" borderId="52" xfId="0" applyFont="1" applyFill="1" applyBorder="1" applyAlignment="1">
      <alignment horizontal="left" vertical="center" wrapText="1"/>
    </xf>
    <xf numFmtId="0" fontId="51" fillId="20" borderId="53" xfId="0" applyFont="1" applyFill="1" applyBorder="1" applyAlignment="1">
      <alignment horizontal="left" vertical="center" wrapText="1"/>
    </xf>
    <xf numFmtId="0" fontId="51" fillId="20" borderId="54" xfId="0" applyFont="1" applyFill="1" applyBorder="1" applyAlignment="1">
      <alignment horizontal="left" vertical="center" wrapText="1"/>
    </xf>
    <xf numFmtId="0" fontId="51" fillId="20" borderId="9" xfId="0" applyFont="1" applyFill="1" applyBorder="1" applyAlignment="1">
      <alignment horizontal="left" vertical="center" wrapText="1"/>
    </xf>
    <xf numFmtId="0" fontId="51" fillId="20" borderId="48" xfId="0" applyFont="1" applyFill="1" applyBorder="1" applyAlignment="1">
      <alignment horizontal="left" vertical="center" wrapText="1"/>
    </xf>
    <xf numFmtId="0" fontId="51" fillId="20" borderId="44" xfId="0" applyFont="1" applyFill="1" applyBorder="1" applyAlignment="1">
      <alignment horizontal="left" vertical="center" wrapText="1"/>
    </xf>
    <xf numFmtId="0" fontId="51" fillId="20" borderId="55" xfId="0" applyFont="1" applyFill="1" applyBorder="1" applyAlignment="1">
      <alignment horizontal="left" vertical="center" wrapText="1"/>
    </xf>
    <xf numFmtId="0" fontId="51" fillId="20" borderId="50" xfId="0" applyFont="1" applyFill="1" applyBorder="1" applyAlignment="1">
      <alignment horizontal="left" vertical="center" wrapText="1"/>
    </xf>
    <xf numFmtId="0" fontId="48" fillId="18" borderId="33" xfId="0" applyFont="1" applyFill="1" applyBorder="1" applyAlignment="1">
      <alignment horizontal="center" vertical="center"/>
    </xf>
    <xf numFmtId="0" fontId="52" fillId="0" borderId="45" xfId="0" applyFont="1" applyBorder="1" applyAlignment="1">
      <alignment horizontal="justify" vertical="center"/>
    </xf>
    <xf numFmtId="0" fontId="52" fillId="0" borderId="0" xfId="0" applyFont="1" applyAlignment="1">
      <alignment horizontal="justify" vertical="center"/>
    </xf>
    <xf numFmtId="0" fontId="52" fillId="0" borderId="48" xfId="0" applyFont="1" applyBorder="1" applyAlignment="1">
      <alignment horizontal="justify" vertical="center"/>
    </xf>
    <xf numFmtId="0" fontId="52" fillId="0" borderId="40" xfId="0" applyFont="1" applyBorder="1" applyAlignment="1">
      <alignment horizontal="justify" vertical="center"/>
    </xf>
    <xf numFmtId="0" fontId="52" fillId="0" borderId="49" xfId="0" applyFont="1" applyBorder="1" applyAlignment="1">
      <alignment horizontal="justify" vertical="center"/>
    </xf>
    <xf numFmtId="0" fontId="52" fillId="0" borderId="50" xfId="0" applyFont="1" applyBorder="1" applyAlignment="1">
      <alignment horizontal="justify" vertical="center"/>
    </xf>
    <xf numFmtId="0" fontId="50" fillId="0" borderId="33" xfId="0" applyFont="1" applyBorder="1" applyAlignment="1">
      <alignment vertical="center" wrapText="1"/>
    </xf>
    <xf numFmtId="0" fontId="52" fillId="19" borderId="33" xfId="0" applyFont="1" applyFill="1" applyBorder="1" applyAlignment="1">
      <alignment vertical="center"/>
    </xf>
    <xf numFmtId="0" fontId="8" fillId="0" borderId="45" xfId="0" applyFont="1" applyBorder="1" applyAlignment="1">
      <alignment horizontal="left" vertical="center" wrapText="1"/>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64" fillId="18" borderId="49" xfId="0" applyFont="1" applyFill="1" applyBorder="1" applyAlignment="1">
      <alignment horizontal="left"/>
    </xf>
    <xf numFmtId="0" fontId="44" fillId="2" borderId="33" xfId="0" applyFont="1" applyFill="1" applyBorder="1" applyAlignment="1">
      <alignment horizontal="center" vertical="center"/>
    </xf>
    <xf numFmtId="167" fontId="44" fillId="2" borderId="33" xfId="0" applyNumberFormat="1" applyFont="1" applyFill="1" applyBorder="1" applyAlignment="1">
      <alignment horizontal="center" vertical="center" wrapText="1"/>
    </xf>
    <xf numFmtId="0" fontId="19" fillId="2" borderId="33" xfId="0" applyFont="1" applyFill="1" applyBorder="1" applyAlignment="1">
      <alignment horizontal="center" vertical="center"/>
    </xf>
    <xf numFmtId="4" fontId="44" fillId="2" borderId="33" xfId="1" applyNumberFormat="1" applyFont="1" applyFill="1" applyBorder="1" applyAlignment="1">
      <alignment horizontal="center" vertical="center"/>
    </xf>
    <xf numFmtId="0" fontId="19" fillId="2" borderId="33" xfId="0" applyFont="1" applyFill="1" applyBorder="1"/>
    <xf numFmtId="0" fontId="77" fillId="0" borderId="33" xfId="0" applyFont="1" applyBorder="1" applyAlignment="1">
      <alignment horizontal="right"/>
    </xf>
    <xf numFmtId="0" fontId="59" fillId="18" borderId="33" xfId="0" applyFont="1" applyFill="1" applyBorder="1" applyAlignment="1">
      <alignment horizontal="center" vertical="center" wrapText="1"/>
    </xf>
    <xf numFmtId="0" fontId="0" fillId="0" borderId="0" xfId="0" applyAlignment="1">
      <alignment horizontal="center" vertical="center"/>
    </xf>
    <xf numFmtId="166" fontId="0" fillId="0" borderId="33" xfId="5104" applyFont="1" applyBorder="1"/>
    <xf numFmtId="0" fontId="1" fillId="28" borderId="33" xfId="0" applyFont="1" applyFill="1" applyBorder="1" applyAlignment="1">
      <alignment horizontal="left"/>
    </xf>
    <xf numFmtId="166" fontId="1" fillId="28" borderId="33" xfId="5104" applyFont="1" applyFill="1" applyBorder="1" applyAlignment="1">
      <alignment horizontal="center"/>
    </xf>
    <xf numFmtId="166" fontId="0" fillId="0" borderId="0" xfId="5104" applyFont="1"/>
  </cellXfs>
  <cellStyles count="5105">
    <cellStyle name=" _x0007_LÓ_x0018_ÄþÍN^NuNVþˆHÁ_x0001__x0018_(n" xfId="36" xr:uid="{00000000-0005-0000-0000-000000000000}"/>
    <cellStyle name="%" xfId="37" xr:uid="{00000000-0005-0000-0000-000001000000}"/>
    <cellStyle name="%_eFunds ETR Q3 -2007" xfId="38" xr:uid="{00000000-0005-0000-0000-000002000000}"/>
    <cellStyle name="??" xfId="39" xr:uid="{00000000-0005-0000-0000-000003000000}"/>
    <cellStyle name="?? [0.00]_PERSONAL" xfId="40" xr:uid="{00000000-0005-0000-0000-000004000000}"/>
    <cellStyle name="???? [0.00]_PERSONAL" xfId="41" xr:uid="{00000000-0005-0000-0000-000005000000}"/>
    <cellStyle name="????_PERSONAL" xfId="42" xr:uid="{00000000-0005-0000-0000-000006000000}"/>
    <cellStyle name="??_PERSONAL" xfId="43" xr:uid="{00000000-0005-0000-0000-000007000000}"/>
    <cellStyle name="_Worksheet in 2262" xfId="44" xr:uid="{00000000-0005-0000-0000-000008000000}"/>
    <cellStyle name="=C:\WINNT\SYSTEM32\COMMAND.COM" xfId="23" xr:uid="{00000000-0005-0000-0000-000009000000}"/>
    <cellStyle name="=C:\WINNT\SYSTEM32\COMMAND.COM 2" xfId="28" xr:uid="{00000000-0005-0000-0000-00000A000000}"/>
    <cellStyle name="Body" xfId="45" xr:uid="{00000000-0005-0000-0000-00000B000000}"/>
    <cellStyle name="Calc Currency (0)" xfId="46" xr:uid="{00000000-0005-0000-0000-00000C000000}"/>
    <cellStyle name="Calc Currency (2)" xfId="47" xr:uid="{00000000-0005-0000-0000-00000D000000}"/>
    <cellStyle name="Calc Percent (0)" xfId="48" xr:uid="{00000000-0005-0000-0000-00000E000000}"/>
    <cellStyle name="Calc Percent (1)" xfId="49" xr:uid="{00000000-0005-0000-0000-00000F000000}"/>
    <cellStyle name="Calc Percent (2)" xfId="50" xr:uid="{00000000-0005-0000-0000-000010000000}"/>
    <cellStyle name="Calc Units (0)" xfId="51" xr:uid="{00000000-0005-0000-0000-000011000000}"/>
    <cellStyle name="Calc Units (1)" xfId="52" xr:uid="{00000000-0005-0000-0000-000012000000}"/>
    <cellStyle name="Calc Units (2)" xfId="53" xr:uid="{00000000-0005-0000-0000-000013000000}"/>
    <cellStyle name="category" xfId="54" xr:uid="{00000000-0005-0000-0000-000014000000}"/>
    <cellStyle name="category 2" xfId="55" xr:uid="{00000000-0005-0000-0000-000015000000}"/>
    <cellStyle name="Comma" xfId="1" builtinId="3"/>
    <cellStyle name="Comma [00]" xfId="57" xr:uid="{00000000-0005-0000-0000-000017000000}"/>
    <cellStyle name="Comma 10" xfId="58" xr:uid="{00000000-0005-0000-0000-000018000000}"/>
    <cellStyle name="Comma 10 2" xfId="874" xr:uid="{00000000-0005-0000-0000-000019000000}"/>
    <cellStyle name="Comma 10 2 2" xfId="1662" xr:uid="{00000000-0005-0000-0000-00001A000000}"/>
    <cellStyle name="Comma 10 2 2 2" xfId="3906" xr:uid="{00000000-0005-0000-0000-00001B000000}"/>
    <cellStyle name="Comma 10 2 3" xfId="2386" xr:uid="{00000000-0005-0000-0000-00001C000000}"/>
    <cellStyle name="Comma 10 2 3 2" xfId="4630" xr:uid="{00000000-0005-0000-0000-00001D000000}"/>
    <cellStyle name="Comma 10 2 4" xfId="3120" xr:uid="{00000000-0005-0000-0000-00001E000000}"/>
    <cellStyle name="Comma 10 3" xfId="1068" xr:uid="{00000000-0005-0000-0000-00001F000000}"/>
    <cellStyle name="Comma 10 3 2" xfId="1855" xr:uid="{00000000-0005-0000-0000-000020000000}"/>
    <cellStyle name="Comma 10 3 2 2" xfId="4099" xr:uid="{00000000-0005-0000-0000-000021000000}"/>
    <cellStyle name="Comma 10 3 3" xfId="2579" xr:uid="{00000000-0005-0000-0000-000022000000}"/>
    <cellStyle name="Comma 10 3 3 2" xfId="4823" xr:uid="{00000000-0005-0000-0000-000023000000}"/>
    <cellStyle name="Comma 10 3 4" xfId="3313" xr:uid="{00000000-0005-0000-0000-000024000000}"/>
    <cellStyle name="Comma 10 4" xfId="1081" xr:uid="{00000000-0005-0000-0000-000025000000}"/>
    <cellStyle name="Comma 10 4 2" xfId="1868" xr:uid="{00000000-0005-0000-0000-000026000000}"/>
    <cellStyle name="Comma 10 4 2 2" xfId="4112" xr:uid="{00000000-0005-0000-0000-000027000000}"/>
    <cellStyle name="Comma 10 4 3" xfId="2592" xr:uid="{00000000-0005-0000-0000-000028000000}"/>
    <cellStyle name="Comma 10 4 3 2" xfId="4836" xr:uid="{00000000-0005-0000-0000-000029000000}"/>
    <cellStyle name="Comma 10 4 4" xfId="3326" xr:uid="{00000000-0005-0000-0000-00002A000000}"/>
    <cellStyle name="Comma 10 5" xfId="1127" xr:uid="{00000000-0005-0000-0000-00002B000000}"/>
    <cellStyle name="Comma 10 5 2" xfId="1914" xr:uid="{00000000-0005-0000-0000-00002C000000}"/>
    <cellStyle name="Comma 10 5 2 2" xfId="4158" xr:uid="{00000000-0005-0000-0000-00002D000000}"/>
    <cellStyle name="Comma 10 5 3" xfId="2638" xr:uid="{00000000-0005-0000-0000-00002E000000}"/>
    <cellStyle name="Comma 10 5 3 2" xfId="4882" xr:uid="{00000000-0005-0000-0000-00002F000000}"/>
    <cellStyle name="Comma 10 5 4" xfId="3372" xr:uid="{00000000-0005-0000-0000-000030000000}"/>
    <cellStyle name="Comma 10 6" xfId="1342" xr:uid="{00000000-0005-0000-0000-000031000000}"/>
    <cellStyle name="Comma 10 6 2" xfId="3586" xr:uid="{00000000-0005-0000-0000-000032000000}"/>
    <cellStyle name="Comma 10 7" xfId="2128" xr:uid="{00000000-0005-0000-0000-000033000000}"/>
    <cellStyle name="Comma 10 7 2" xfId="4372" xr:uid="{00000000-0005-0000-0000-000034000000}"/>
    <cellStyle name="Comma 10 8" xfId="2852" xr:uid="{00000000-0005-0000-0000-000035000000}"/>
    <cellStyle name="Comma 11" xfId="59" xr:uid="{00000000-0005-0000-0000-000036000000}"/>
    <cellStyle name="Comma 12" xfId="13" xr:uid="{00000000-0005-0000-0000-000037000000}"/>
    <cellStyle name="Comma 12 2" xfId="60" xr:uid="{00000000-0005-0000-0000-000038000000}"/>
    <cellStyle name="Comma 12 2 2" xfId="875" xr:uid="{00000000-0005-0000-0000-000039000000}"/>
    <cellStyle name="Comma 12 2 2 2" xfId="1663" xr:uid="{00000000-0005-0000-0000-00003A000000}"/>
    <cellStyle name="Comma 12 2 2 2 2" xfId="3907" xr:uid="{00000000-0005-0000-0000-00003B000000}"/>
    <cellStyle name="Comma 12 2 2 3" xfId="2387" xr:uid="{00000000-0005-0000-0000-00003C000000}"/>
    <cellStyle name="Comma 12 2 2 3 2" xfId="4631" xr:uid="{00000000-0005-0000-0000-00003D000000}"/>
    <cellStyle name="Comma 12 2 2 4" xfId="3121" xr:uid="{00000000-0005-0000-0000-00003E000000}"/>
    <cellStyle name="Comma 12 2 3" xfId="1128" xr:uid="{00000000-0005-0000-0000-00003F000000}"/>
    <cellStyle name="Comma 12 2 3 2" xfId="1915" xr:uid="{00000000-0005-0000-0000-000040000000}"/>
    <cellStyle name="Comma 12 2 3 2 2" xfId="4159" xr:uid="{00000000-0005-0000-0000-000041000000}"/>
    <cellStyle name="Comma 12 2 3 3" xfId="2639" xr:uid="{00000000-0005-0000-0000-000042000000}"/>
    <cellStyle name="Comma 12 2 3 3 2" xfId="4883" xr:uid="{00000000-0005-0000-0000-000043000000}"/>
    <cellStyle name="Comma 12 2 3 4" xfId="3373" xr:uid="{00000000-0005-0000-0000-000044000000}"/>
    <cellStyle name="Comma 12 2 4" xfId="1343" xr:uid="{00000000-0005-0000-0000-000045000000}"/>
    <cellStyle name="Comma 12 2 4 2" xfId="3587" xr:uid="{00000000-0005-0000-0000-000046000000}"/>
    <cellStyle name="Comma 12 2 5" xfId="2129" xr:uid="{00000000-0005-0000-0000-000047000000}"/>
    <cellStyle name="Comma 12 2 5 2" xfId="4373" xr:uid="{00000000-0005-0000-0000-000048000000}"/>
    <cellStyle name="Comma 12 2 6" xfId="2853" xr:uid="{00000000-0005-0000-0000-000049000000}"/>
    <cellStyle name="Comma 12 3" xfId="860" xr:uid="{00000000-0005-0000-0000-00004A000000}"/>
    <cellStyle name="Comma 12 3 2" xfId="1648" xr:uid="{00000000-0005-0000-0000-00004B000000}"/>
    <cellStyle name="Comma 12 3 2 2" xfId="3892" xr:uid="{00000000-0005-0000-0000-00004C000000}"/>
    <cellStyle name="Comma 12 3 3" xfId="2372" xr:uid="{00000000-0005-0000-0000-00004D000000}"/>
    <cellStyle name="Comma 12 3 3 2" xfId="4616" xr:uid="{00000000-0005-0000-0000-00004E000000}"/>
    <cellStyle name="Comma 12 3 4" xfId="3106" xr:uid="{00000000-0005-0000-0000-00004F000000}"/>
    <cellStyle name="Comma 13" xfId="61" xr:uid="{00000000-0005-0000-0000-000050000000}"/>
    <cellStyle name="Comma 14" xfId="62" xr:uid="{00000000-0005-0000-0000-000051000000}"/>
    <cellStyle name="Comma 14 2" xfId="876" xr:uid="{00000000-0005-0000-0000-000052000000}"/>
    <cellStyle name="Comma 14 2 2" xfId="1664" xr:uid="{00000000-0005-0000-0000-000053000000}"/>
    <cellStyle name="Comma 14 2 2 2" xfId="3908" xr:uid="{00000000-0005-0000-0000-000054000000}"/>
    <cellStyle name="Comma 14 2 3" xfId="2388" xr:uid="{00000000-0005-0000-0000-000055000000}"/>
    <cellStyle name="Comma 14 2 3 2" xfId="4632" xr:uid="{00000000-0005-0000-0000-000056000000}"/>
    <cellStyle name="Comma 14 2 4" xfId="3122" xr:uid="{00000000-0005-0000-0000-000057000000}"/>
    <cellStyle name="Comma 14 3" xfId="1129" xr:uid="{00000000-0005-0000-0000-000058000000}"/>
    <cellStyle name="Comma 14 3 2" xfId="1916" xr:uid="{00000000-0005-0000-0000-000059000000}"/>
    <cellStyle name="Comma 14 3 2 2" xfId="4160" xr:uid="{00000000-0005-0000-0000-00005A000000}"/>
    <cellStyle name="Comma 14 3 3" xfId="2640" xr:uid="{00000000-0005-0000-0000-00005B000000}"/>
    <cellStyle name="Comma 14 3 3 2" xfId="4884" xr:uid="{00000000-0005-0000-0000-00005C000000}"/>
    <cellStyle name="Comma 14 3 4" xfId="3374" xr:uid="{00000000-0005-0000-0000-00005D000000}"/>
    <cellStyle name="Comma 14 4" xfId="1344" xr:uid="{00000000-0005-0000-0000-00005E000000}"/>
    <cellStyle name="Comma 14 4 2" xfId="3588" xr:uid="{00000000-0005-0000-0000-00005F000000}"/>
    <cellStyle name="Comma 14 5" xfId="2130" xr:uid="{00000000-0005-0000-0000-000060000000}"/>
    <cellStyle name="Comma 14 5 2" xfId="4374" xr:uid="{00000000-0005-0000-0000-000061000000}"/>
    <cellStyle name="Comma 14 6" xfId="2854" xr:uid="{00000000-0005-0000-0000-000062000000}"/>
    <cellStyle name="Comma 15" xfId="63" xr:uid="{00000000-0005-0000-0000-000063000000}"/>
    <cellStyle name="Comma 15 2" xfId="877" xr:uid="{00000000-0005-0000-0000-000064000000}"/>
    <cellStyle name="Comma 15 2 2" xfId="1665" xr:uid="{00000000-0005-0000-0000-000065000000}"/>
    <cellStyle name="Comma 15 2 2 2" xfId="3909" xr:uid="{00000000-0005-0000-0000-000066000000}"/>
    <cellStyle name="Comma 15 2 3" xfId="2389" xr:uid="{00000000-0005-0000-0000-000067000000}"/>
    <cellStyle name="Comma 15 2 3 2" xfId="4633" xr:uid="{00000000-0005-0000-0000-000068000000}"/>
    <cellStyle name="Comma 15 2 4" xfId="3123" xr:uid="{00000000-0005-0000-0000-000069000000}"/>
    <cellStyle name="Comma 15 3" xfId="1130" xr:uid="{00000000-0005-0000-0000-00006A000000}"/>
    <cellStyle name="Comma 15 3 2" xfId="1917" xr:uid="{00000000-0005-0000-0000-00006B000000}"/>
    <cellStyle name="Comma 15 3 2 2" xfId="4161" xr:uid="{00000000-0005-0000-0000-00006C000000}"/>
    <cellStyle name="Comma 15 3 3" xfId="2641" xr:uid="{00000000-0005-0000-0000-00006D000000}"/>
    <cellStyle name="Comma 15 3 3 2" xfId="4885" xr:uid="{00000000-0005-0000-0000-00006E000000}"/>
    <cellStyle name="Comma 15 3 4" xfId="3375" xr:uid="{00000000-0005-0000-0000-00006F000000}"/>
    <cellStyle name="Comma 15 4" xfId="1345" xr:uid="{00000000-0005-0000-0000-000070000000}"/>
    <cellStyle name="Comma 15 4 2" xfId="3589" xr:uid="{00000000-0005-0000-0000-000071000000}"/>
    <cellStyle name="Comma 15 5" xfId="2131" xr:uid="{00000000-0005-0000-0000-000072000000}"/>
    <cellStyle name="Comma 15 5 2" xfId="4375" xr:uid="{00000000-0005-0000-0000-000073000000}"/>
    <cellStyle name="Comma 15 6" xfId="2855" xr:uid="{00000000-0005-0000-0000-000074000000}"/>
    <cellStyle name="Comma 16" xfId="64" xr:uid="{00000000-0005-0000-0000-000075000000}"/>
    <cellStyle name="Comma 16 2" xfId="878" xr:uid="{00000000-0005-0000-0000-000076000000}"/>
    <cellStyle name="Comma 16 2 2" xfId="1666" xr:uid="{00000000-0005-0000-0000-000077000000}"/>
    <cellStyle name="Comma 16 2 2 2" xfId="3910" xr:uid="{00000000-0005-0000-0000-000078000000}"/>
    <cellStyle name="Comma 16 2 3" xfId="2390" xr:uid="{00000000-0005-0000-0000-000079000000}"/>
    <cellStyle name="Comma 16 2 3 2" xfId="4634" xr:uid="{00000000-0005-0000-0000-00007A000000}"/>
    <cellStyle name="Comma 16 2 4" xfId="3124" xr:uid="{00000000-0005-0000-0000-00007B000000}"/>
    <cellStyle name="Comma 16 3" xfId="1131" xr:uid="{00000000-0005-0000-0000-00007C000000}"/>
    <cellStyle name="Comma 16 3 2" xfId="1918" xr:uid="{00000000-0005-0000-0000-00007D000000}"/>
    <cellStyle name="Comma 16 3 2 2" xfId="4162" xr:uid="{00000000-0005-0000-0000-00007E000000}"/>
    <cellStyle name="Comma 16 3 3" xfId="2642" xr:uid="{00000000-0005-0000-0000-00007F000000}"/>
    <cellStyle name="Comma 16 3 3 2" xfId="4886" xr:uid="{00000000-0005-0000-0000-000080000000}"/>
    <cellStyle name="Comma 16 3 4" xfId="3376" xr:uid="{00000000-0005-0000-0000-000081000000}"/>
    <cellStyle name="Comma 16 4" xfId="1346" xr:uid="{00000000-0005-0000-0000-000082000000}"/>
    <cellStyle name="Comma 16 4 2" xfId="3590" xr:uid="{00000000-0005-0000-0000-000083000000}"/>
    <cellStyle name="Comma 16 5" xfId="2132" xr:uid="{00000000-0005-0000-0000-000084000000}"/>
    <cellStyle name="Comma 16 5 2" xfId="4376" xr:uid="{00000000-0005-0000-0000-000085000000}"/>
    <cellStyle name="Comma 16 6" xfId="2856" xr:uid="{00000000-0005-0000-0000-000086000000}"/>
    <cellStyle name="Comma 17" xfId="65" xr:uid="{00000000-0005-0000-0000-000087000000}"/>
    <cellStyle name="Comma 17 2" xfId="879" xr:uid="{00000000-0005-0000-0000-000088000000}"/>
    <cellStyle name="Comma 17 2 2" xfId="1667" xr:uid="{00000000-0005-0000-0000-000089000000}"/>
    <cellStyle name="Comma 17 2 2 2" xfId="3911" xr:uid="{00000000-0005-0000-0000-00008A000000}"/>
    <cellStyle name="Comma 17 2 3" xfId="2391" xr:uid="{00000000-0005-0000-0000-00008B000000}"/>
    <cellStyle name="Comma 17 2 3 2" xfId="4635" xr:uid="{00000000-0005-0000-0000-00008C000000}"/>
    <cellStyle name="Comma 17 2 4" xfId="3125" xr:uid="{00000000-0005-0000-0000-00008D000000}"/>
    <cellStyle name="Comma 17 3" xfId="1132" xr:uid="{00000000-0005-0000-0000-00008E000000}"/>
    <cellStyle name="Comma 17 3 2" xfId="1919" xr:uid="{00000000-0005-0000-0000-00008F000000}"/>
    <cellStyle name="Comma 17 3 2 2" xfId="4163" xr:uid="{00000000-0005-0000-0000-000090000000}"/>
    <cellStyle name="Comma 17 3 3" xfId="2643" xr:uid="{00000000-0005-0000-0000-000091000000}"/>
    <cellStyle name="Comma 17 3 3 2" xfId="4887" xr:uid="{00000000-0005-0000-0000-000092000000}"/>
    <cellStyle name="Comma 17 3 4" xfId="3377" xr:uid="{00000000-0005-0000-0000-000093000000}"/>
    <cellStyle name="Comma 17 4" xfId="1347" xr:uid="{00000000-0005-0000-0000-000094000000}"/>
    <cellStyle name="Comma 17 4 2" xfId="3591" xr:uid="{00000000-0005-0000-0000-000095000000}"/>
    <cellStyle name="Comma 17 5" xfId="2133" xr:uid="{00000000-0005-0000-0000-000096000000}"/>
    <cellStyle name="Comma 17 5 2" xfId="4377" xr:uid="{00000000-0005-0000-0000-000097000000}"/>
    <cellStyle name="Comma 17 6" xfId="2857" xr:uid="{00000000-0005-0000-0000-000098000000}"/>
    <cellStyle name="Comma 18" xfId="66" xr:uid="{00000000-0005-0000-0000-000099000000}"/>
    <cellStyle name="Comma 18 2" xfId="880" xr:uid="{00000000-0005-0000-0000-00009A000000}"/>
    <cellStyle name="Comma 18 2 2" xfId="1668" xr:uid="{00000000-0005-0000-0000-00009B000000}"/>
    <cellStyle name="Comma 18 2 2 2" xfId="3912" xr:uid="{00000000-0005-0000-0000-00009C000000}"/>
    <cellStyle name="Comma 18 2 3" xfId="2392" xr:uid="{00000000-0005-0000-0000-00009D000000}"/>
    <cellStyle name="Comma 18 2 3 2" xfId="4636" xr:uid="{00000000-0005-0000-0000-00009E000000}"/>
    <cellStyle name="Comma 18 2 4" xfId="3126" xr:uid="{00000000-0005-0000-0000-00009F000000}"/>
    <cellStyle name="Comma 18 3" xfId="1133" xr:uid="{00000000-0005-0000-0000-0000A0000000}"/>
    <cellStyle name="Comma 18 3 2" xfId="1920" xr:uid="{00000000-0005-0000-0000-0000A1000000}"/>
    <cellStyle name="Comma 18 3 2 2" xfId="4164" xr:uid="{00000000-0005-0000-0000-0000A2000000}"/>
    <cellStyle name="Comma 18 3 3" xfId="2644" xr:uid="{00000000-0005-0000-0000-0000A3000000}"/>
    <cellStyle name="Comma 18 3 3 2" xfId="4888" xr:uid="{00000000-0005-0000-0000-0000A4000000}"/>
    <cellStyle name="Comma 18 3 4" xfId="3378" xr:uid="{00000000-0005-0000-0000-0000A5000000}"/>
    <cellStyle name="Comma 18 4" xfId="1348" xr:uid="{00000000-0005-0000-0000-0000A6000000}"/>
    <cellStyle name="Comma 18 4 2" xfId="3592" xr:uid="{00000000-0005-0000-0000-0000A7000000}"/>
    <cellStyle name="Comma 18 5" xfId="2134" xr:uid="{00000000-0005-0000-0000-0000A8000000}"/>
    <cellStyle name="Comma 18 5 2" xfId="4378" xr:uid="{00000000-0005-0000-0000-0000A9000000}"/>
    <cellStyle name="Comma 18 6" xfId="2858" xr:uid="{00000000-0005-0000-0000-0000AA000000}"/>
    <cellStyle name="Comma 19" xfId="67" xr:uid="{00000000-0005-0000-0000-0000AB000000}"/>
    <cellStyle name="Comma 19 2" xfId="881" xr:uid="{00000000-0005-0000-0000-0000AC000000}"/>
    <cellStyle name="Comma 19 2 2" xfId="1669" xr:uid="{00000000-0005-0000-0000-0000AD000000}"/>
    <cellStyle name="Comma 19 2 2 2" xfId="3913" xr:uid="{00000000-0005-0000-0000-0000AE000000}"/>
    <cellStyle name="Comma 19 2 3" xfId="2393" xr:uid="{00000000-0005-0000-0000-0000AF000000}"/>
    <cellStyle name="Comma 19 2 3 2" xfId="4637" xr:uid="{00000000-0005-0000-0000-0000B0000000}"/>
    <cellStyle name="Comma 19 2 4" xfId="3127" xr:uid="{00000000-0005-0000-0000-0000B1000000}"/>
    <cellStyle name="Comma 19 3" xfId="1134" xr:uid="{00000000-0005-0000-0000-0000B2000000}"/>
    <cellStyle name="Comma 19 3 2" xfId="1921" xr:uid="{00000000-0005-0000-0000-0000B3000000}"/>
    <cellStyle name="Comma 19 3 2 2" xfId="4165" xr:uid="{00000000-0005-0000-0000-0000B4000000}"/>
    <cellStyle name="Comma 19 3 3" xfId="2645" xr:uid="{00000000-0005-0000-0000-0000B5000000}"/>
    <cellStyle name="Comma 19 3 3 2" xfId="4889" xr:uid="{00000000-0005-0000-0000-0000B6000000}"/>
    <cellStyle name="Comma 19 3 4" xfId="3379" xr:uid="{00000000-0005-0000-0000-0000B7000000}"/>
    <cellStyle name="Comma 19 4" xfId="1349" xr:uid="{00000000-0005-0000-0000-0000B8000000}"/>
    <cellStyle name="Comma 19 4 2" xfId="3593" xr:uid="{00000000-0005-0000-0000-0000B9000000}"/>
    <cellStyle name="Comma 19 5" xfId="2135" xr:uid="{00000000-0005-0000-0000-0000BA000000}"/>
    <cellStyle name="Comma 19 5 2" xfId="4379" xr:uid="{00000000-0005-0000-0000-0000BB000000}"/>
    <cellStyle name="Comma 19 6" xfId="2859" xr:uid="{00000000-0005-0000-0000-0000BC000000}"/>
    <cellStyle name="Comma 2" xfId="7" xr:uid="{00000000-0005-0000-0000-0000BD000000}"/>
    <cellStyle name="Comma 2 10" xfId="68" xr:uid="{00000000-0005-0000-0000-0000BE000000}"/>
    <cellStyle name="Comma 2 10 2" xfId="882" xr:uid="{00000000-0005-0000-0000-0000BF000000}"/>
    <cellStyle name="Comma 2 10 2 2" xfId="1670" xr:uid="{00000000-0005-0000-0000-0000C0000000}"/>
    <cellStyle name="Comma 2 10 2 2 2" xfId="3914" xr:uid="{00000000-0005-0000-0000-0000C1000000}"/>
    <cellStyle name="Comma 2 10 2 3" xfId="2394" xr:uid="{00000000-0005-0000-0000-0000C2000000}"/>
    <cellStyle name="Comma 2 10 2 3 2" xfId="4638" xr:uid="{00000000-0005-0000-0000-0000C3000000}"/>
    <cellStyle name="Comma 2 10 2 4" xfId="3128" xr:uid="{00000000-0005-0000-0000-0000C4000000}"/>
    <cellStyle name="Comma 2 10 3" xfId="1135" xr:uid="{00000000-0005-0000-0000-0000C5000000}"/>
    <cellStyle name="Comma 2 10 3 2" xfId="1922" xr:uid="{00000000-0005-0000-0000-0000C6000000}"/>
    <cellStyle name="Comma 2 10 3 2 2" xfId="4166" xr:uid="{00000000-0005-0000-0000-0000C7000000}"/>
    <cellStyle name="Comma 2 10 3 3" xfId="2646" xr:uid="{00000000-0005-0000-0000-0000C8000000}"/>
    <cellStyle name="Comma 2 10 3 3 2" xfId="4890" xr:uid="{00000000-0005-0000-0000-0000C9000000}"/>
    <cellStyle name="Comma 2 10 3 4" xfId="3380" xr:uid="{00000000-0005-0000-0000-0000CA000000}"/>
    <cellStyle name="Comma 2 10 4" xfId="1350" xr:uid="{00000000-0005-0000-0000-0000CB000000}"/>
    <cellStyle name="Comma 2 10 4 2" xfId="3594" xr:uid="{00000000-0005-0000-0000-0000CC000000}"/>
    <cellStyle name="Comma 2 10 5" xfId="2136" xr:uid="{00000000-0005-0000-0000-0000CD000000}"/>
    <cellStyle name="Comma 2 10 5 2" xfId="4380" xr:uid="{00000000-0005-0000-0000-0000CE000000}"/>
    <cellStyle name="Comma 2 10 6" xfId="2829" xr:uid="{00000000-0005-0000-0000-0000CF000000}"/>
    <cellStyle name="Comma 2 10 7" xfId="2860" xr:uid="{00000000-0005-0000-0000-0000D0000000}"/>
    <cellStyle name="Comma 2 11" xfId="69" xr:uid="{00000000-0005-0000-0000-0000D1000000}"/>
    <cellStyle name="Comma 2 11 2" xfId="883" xr:uid="{00000000-0005-0000-0000-0000D2000000}"/>
    <cellStyle name="Comma 2 11 2 2" xfId="1671" xr:uid="{00000000-0005-0000-0000-0000D3000000}"/>
    <cellStyle name="Comma 2 11 2 2 2" xfId="3915" xr:uid="{00000000-0005-0000-0000-0000D4000000}"/>
    <cellStyle name="Comma 2 11 2 3" xfId="2395" xr:uid="{00000000-0005-0000-0000-0000D5000000}"/>
    <cellStyle name="Comma 2 11 2 3 2" xfId="4639" xr:uid="{00000000-0005-0000-0000-0000D6000000}"/>
    <cellStyle name="Comma 2 11 2 4" xfId="3129" xr:uid="{00000000-0005-0000-0000-0000D7000000}"/>
    <cellStyle name="Comma 2 11 3" xfId="1136" xr:uid="{00000000-0005-0000-0000-0000D8000000}"/>
    <cellStyle name="Comma 2 11 3 2" xfId="1923" xr:uid="{00000000-0005-0000-0000-0000D9000000}"/>
    <cellStyle name="Comma 2 11 3 2 2" xfId="4167" xr:uid="{00000000-0005-0000-0000-0000DA000000}"/>
    <cellStyle name="Comma 2 11 3 3" xfId="2647" xr:uid="{00000000-0005-0000-0000-0000DB000000}"/>
    <cellStyle name="Comma 2 11 3 3 2" xfId="4891" xr:uid="{00000000-0005-0000-0000-0000DC000000}"/>
    <cellStyle name="Comma 2 11 3 4" xfId="3381" xr:uid="{00000000-0005-0000-0000-0000DD000000}"/>
    <cellStyle name="Comma 2 11 4" xfId="1351" xr:uid="{00000000-0005-0000-0000-0000DE000000}"/>
    <cellStyle name="Comma 2 11 4 2" xfId="3595" xr:uid="{00000000-0005-0000-0000-0000DF000000}"/>
    <cellStyle name="Comma 2 11 5" xfId="2137" xr:uid="{00000000-0005-0000-0000-0000E0000000}"/>
    <cellStyle name="Comma 2 11 5 2" xfId="4381" xr:uid="{00000000-0005-0000-0000-0000E1000000}"/>
    <cellStyle name="Comma 2 11 6" xfId="2861" xr:uid="{00000000-0005-0000-0000-0000E2000000}"/>
    <cellStyle name="Comma 2 12" xfId="70" xr:uid="{00000000-0005-0000-0000-0000E3000000}"/>
    <cellStyle name="Comma 2 12 2" xfId="884" xr:uid="{00000000-0005-0000-0000-0000E4000000}"/>
    <cellStyle name="Comma 2 12 2 2" xfId="1672" xr:uid="{00000000-0005-0000-0000-0000E5000000}"/>
    <cellStyle name="Comma 2 12 2 2 2" xfId="3916" xr:uid="{00000000-0005-0000-0000-0000E6000000}"/>
    <cellStyle name="Comma 2 12 2 3" xfId="2396" xr:uid="{00000000-0005-0000-0000-0000E7000000}"/>
    <cellStyle name="Comma 2 12 2 3 2" xfId="4640" xr:uid="{00000000-0005-0000-0000-0000E8000000}"/>
    <cellStyle name="Comma 2 12 2 4" xfId="3130" xr:uid="{00000000-0005-0000-0000-0000E9000000}"/>
    <cellStyle name="Comma 2 12 3" xfId="1137" xr:uid="{00000000-0005-0000-0000-0000EA000000}"/>
    <cellStyle name="Comma 2 12 3 2" xfId="1924" xr:uid="{00000000-0005-0000-0000-0000EB000000}"/>
    <cellStyle name="Comma 2 12 3 2 2" xfId="4168" xr:uid="{00000000-0005-0000-0000-0000EC000000}"/>
    <cellStyle name="Comma 2 12 3 3" xfId="2648" xr:uid="{00000000-0005-0000-0000-0000ED000000}"/>
    <cellStyle name="Comma 2 12 3 3 2" xfId="4892" xr:uid="{00000000-0005-0000-0000-0000EE000000}"/>
    <cellStyle name="Comma 2 12 3 4" xfId="3382" xr:uid="{00000000-0005-0000-0000-0000EF000000}"/>
    <cellStyle name="Comma 2 12 4" xfId="1352" xr:uid="{00000000-0005-0000-0000-0000F0000000}"/>
    <cellStyle name="Comma 2 12 4 2" xfId="3596" xr:uid="{00000000-0005-0000-0000-0000F1000000}"/>
    <cellStyle name="Comma 2 12 5" xfId="2138" xr:uid="{00000000-0005-0000-0000-0000F2000000}"/>
    <cellStyle name="Comma 2 12 5 2" xfId="4382" xr:uid="{00000000-0005-0000-0000-0000F3000000}"/>
    <cellStyle name="Comma 2 12 6" xfId="2862" xr:uid="{00000000-0005-0000-0000-0000F4000000}"/>
    <cellStyle name="Comma 2 13" xfId="71" xr:uid="{00000000-0005-0000-0000-0000F5000000}"/>
    <cellStyle name="Comma 2 13 2" xfId="885" xr:uid="{00000000-0005-0000-0000-0000F6000000}"/>
    <cellStyle name="Comma 2 13 2 2" xfId="1673" xr:uid="{00000000-0005-0000-0000-0000F7000000}"/>
    <cellStyle name="Comma 2 13 2 2 2" xfId="3917" xr:uid="{00000000-0005-0000-0000-0000F8000000}"/>
    <cellStyle name="Comma 2 13 2 3" xfId="2397" xr:uid="{00000000-0005-0000-0000-0000F9000000}"/>
    <cellStyle name="Comma 2 13 2 3 2" xfId="4641" xr:uid="{00000000-0005-0000-0000-0000FA000000}"/>
    <cellStyle name="Comma 2 13 2 4" xfId="3131" xr:uid="{00000000-0005-0000-0000-0000FB000000}"/>
    <cellStyle name="Comma 2 13 3" xfId="1138" xr:uid="{00000000-0005-0000-0000-0000FC000000}"/>
    <cellStyle name="Comma 2 13 3 2" xfId="1925" xr:uid="{00000000-0005-0000-0000-0000FD000000}"/>
    <cellStyle name="Comma 2 13 3 2 2" xfId="4169" xr:uid="{00000000-0005-0000-0000-0000FE000000}"/>
    <cellStyle name="Comma 2 13 3 3" xfId="2649" xr:uid="{00000000-0005-0000-0000-0000FF000000}"/>
    <cellStyle name="Comma 2 13 3 3 2" xfId="4893" xr:uid="{00000000-0005-0000-0000-000000010000}"/>
    <cellStyle name="Comma 2 13 3 4" xfId="3383" xr:uid="{00000000-0005-0000-0000-000001010000}"/>
    <cellStyle name="Comma 2 13 4" xfId="1353" xr:uid="{00000000-0005-0000-0000-000002010000}"/>
    <cellStyle name="Comma 2 13 4 2" xfId="3597" xr:uid="{00000000-0005-0000-0000-000003010000}"/>
    <cellStyle name="Comma 2 13 5" xfId="2139" xr:uid="{00000000-0005-0000-0000-000004010000}"/>
    <cellStyle name="Comma 2 13 5 2" xfId="4383" xr:uid="{00000000-0005-0000-0000-000005010000}"/>
    <cellStyle name="Comma 2 13 6" xfId="2863" xr:uid="{00000000-0005-0000-0000-000006010000}"/>
    <cellStyle name="Comma 2 14" xfId="72" xr:uid="{00000000-0005-0000-0000-000007010000}"/>
    <cellStyle name="Comma 2 14 2" xfId="886" xr:uid="{00000000-0005-0000-0000-000008010000}"/>
    <cellStyle name="Comma 2 14 2 2" xfId="1674" xr:uid="{00000000-0005-0000-0000-000009010000}"/>
    <cellStyle name="Comma 2 14 2 2 2" xfId="3918" xr:uid="{00000000-0005-0000-0000-00000A010000}"/>
    <cellStyle name="Comma 2 14 2 3" xfId="2398" xr:uid="{00000000-0005-0000-0000-00000B010000}"/>
    <cellStyle name="Comma 2 14 2 3 2" xfId="4642" xr:uid="{00000000-0005-0000-0000-00000C010000}"/>
    <cellStyle name="Comma 2 14 2 4" xfId="3132" xr:uid="{00000000-0005-0000-0000-00000D010000}"/>
    <cellStyle name="Comma 2 14 3" xfId="1139" xr:uid="{00000000-0005-0000-0000-00000E010000}"/>
    <cellStyle name="Comma 2 14 3 2" xfId="1926" xr:uid="{00000000-0005-0000-0000-00000F010000}"/>
    <cellStyle name="Comma 2 14 3 2 2" xfId="4170" xr:uid="{00000000-0005-0000-0000-000010010000}"/>
    <cellStyle name="Comma 2 14 3 3" xfId="2650" xr:uid="{00000000-0005-0000-0000-000011010000}"/>
    <cellStyle name="Comma 2 14 3 3 2" xfId="4894" xr:uid="{00000000-0005-0000-0000-000012010000}"/>
    <cellStyle name="Comma 2 14 3 4" xfId="3384" xr:uid="{00000000-0005-0000-0000-000013010000}"/>
    <cellStyle name="Comma 2 14 4" xfId="1354" xr:uid="{00000000-0005-0000-0000-000014010000}"/>
    <cellStyle name="Comma 2 14 4 2" xfId="3598" xr:uid="{00000000-0005-0000-0000-000015010000}"/>
    <cellStyle name="Comma 2 14 5" xfId="2140" xr:uid="{00000000-0005-0000-0000-000016010000}"/>
    <cellStyle name="Comma 2 14 5 2" xfId="4384" xr:uid="{00000000-0005-0000-0000-000017010000}"/>
    <cellStyle name="Comma 2 14 6" xfId="2864" xr:uid="{00000000-0005-0000-0000-000018010000}"/>
    <cellStyle name="Comma 2 15" xfId="73" xr:uid="{00000000-0005-0000-0000-000019010000}"/>
    <cellStyle name="Comma 2 15 2" xfId="887" xr:uid="{00000000-0005-0000-0000-00001A010000}"/>
    <cellStyle name="Comma 2 15 2 2" xfId="1675" xr:uid="{00000000-0005-0000-0000-00001B010000}"/>
    <cellStyle name="Comma 2 15 2 2 2" xfId="3919" xr:uid="{00000000-0005-0000-0000-00001C010000}"/>
    <cellStyle name="Comma 2 15 2 3" xfId="2399" xr:uid="{00000000-0005-0000-0000-00001D010000}"/>
    <cellStyle name="Comma 2 15 2 3 2" xfId="4643" xr:uid="{00000000-0005-0000-0000-00001E010000}"/>
    <cellStyle name="Comma 2 15 2 4" xfId="3133" xr:uid="{00000000-0005-0000-0000-00001F010000}"/>
    <cellStyle name="Comma 2 15 3" xfId="1140" xr:uid="{00000000-0005-0000-0000-000020010000}"/>
    <cellStyle name="Comma 2 15 3 2" xfId="1927" xr:uid="{00000000-0005-0000-0000-000021010000}"/>
    <cellStyle name="Comma 2 15 3 2 2" xfId="4171" xr:uid="{00000000-0005-0000-0000-000022010000}"/>
    <cellStyle name="Comma 2 15 3 3" xfId="2651" xr:uid="{00000000-0005-0000-0000-000023010000}"/>
    <cellStyle name="Comma 2 15 3 3 2" xfId="4895" xr:uid="{00000000-0005-0000-0000-000024010000}"/>
    <cellStyle name="Comma 2 15 3 4" xfId="3385" xr:uid="{00000000-0005-0000-0000-000025010000}"/>
    <cellStyle name="Comma 2 15 4" xfId="1355" xr:uid="{00000000-0005-0000-0000-000026010000}"/>
    <cellStyle name="Comma 2 15 4 2" xfId="3599" xr:uid="{00000000-0005-0000-0000-000027010000}"/>
    <cellStyle name="Comma 2 15 5" xfId="2141" xr:uid="{00000000-0005-0000-0000-000028010000}"/>
    <cellStyle name="Comma 2 15 5 2" xfId="4385" xr:uid="{00000000-0005-0000-0000-000029010000}"/>
    <cellStyle name="Comma 2 15 6" xfId="2865" xr:uid="{00000000-0005-0000-0000-00002A010000}"/>
    <cellStyle name="Comma 2 16" xfId="74" xr:uid="{00000000-0005-0000-0000-00002B010000}"/>
    <cellStyle name="Comma 2 16 2" xfId="888" xr:uid="{00000000-0005-0000-0000-00002C010000}"/>
    <cellStyle name="Comma 2 16 2 2" xfId="1676" xr:uid="{00000000-0005-0000-0000-00002D010000}"/>
    <cellStyle name="Comma 2 16 2 2 2" xfId="3920" xr:uid="{00000000-0005-0000-0000-00002E010000}"/>
    <cellStyle name="Comma 2 16 2 3" xfId="2400" xr:uid="{00000000-0005-0000-0000-00002F010000}"/>
    <cellStyle name="Comma 2 16 2 3 2" xfId="4644" xr:uid="{00000000-0005-0000-0000-000030010000}"/>
    <cellStyle name="Comma 2 16 2 4" xfId="3134" xr:uid="{00000000-0005-0000-0000-000031010000}"/>
    <cellStyle name="Comma 2 16 3" xfId="1141" xr:uid="{00000000-0005-0000-0000-000032010000}"/>
    <cellStyle name="Comma 2 16 3 2" xfId="1928" xr:uid="{00000000-0005-0000-0000-000033010000}"/>
    <cellStyle name="Comma 2 16 3 2 2" xfId="4172" xr:uid="{00000000-0005-0000-0000-000034010000}"/>
    <cellStyle name="Comma 2 16 3 3" xfId="2652" xr:uid="{00000000-0005-0000-0000-000035010000}"/>
    <cellStyle name="Comma 2 16 3 3 2" xfId="4896" xr:uid="{00000000-0005-0000-0000-000036010000}"/>
    <cellStyle name="Comma 2 16 3 4" xfId="3386" xr:uid="{00000000-0005-0000-0000-000037010000}"/>
    <cellStyle name="Comma 2 16 4" xfId="1356" xr:uid="{00000000-0005-0000-0000-000038010000}"/>
    <cellStyle name="Comma 2 16 4 2" xfId="3600" xr:uid="{00000000-0005-0000-0000-000039010000}"/>
    <cellStyle name="Comma 2 16 5" xfId="2142" xr:uid="{00000000-0005-0000-0000-00003A010000}"/>
    <cellStyle name="Comma 2 16 5 2" xfId="4386" xr:uid="{00000000-0005-0000-0000-00003B010000}"/>
    <cellStyle name="Comma 2 16 6" xfId="2866" xr:uid="{00000000-0005-0000-0000-00003C010000}"/>
    <cellStyle name="Comma 2 17" xfId="75" xr:uid="{00000000-0005-0000-0000-00003D010000}"/>
    <cellStyle name="Comma 2 17 2" xfId="889" xr:uid="{00000000-0005-0000-0000-00003E010000}"/>
    <cellStyle name="Comma 2 17 2 2" xfId="1677" xr:uid="{00000000-0005-0000-0000-00003F010000}"/>
    <cellStyle name="Comma 2 17 2 2 2" xfId="3921" xr:uid="{00000000-0005-0000-0000-000040010000}"/>
    <cellStyle name="Comma 2 17 2 3" xfId="2401" xr:uid="{00000000-0005-0000-0000-000041010000}"/>
    <cellStyle name="Comma 2 17 2 3 2" xfId="4645" xr:uid="{00000000-0005-0000-0000-000042010000}"/>
    <cellStyle name="Comma 2 17 2 4" xfId="3135" xr:uid="{00000000-0005-0000-0000-000043010000}"/>
    <cellStyle name="Comma 2 17 3" xfId="1142" xr:uid="{00000000-0005-0000-0000-000044010000}"/>
    <cellStyle name="Comma 2 17 3 2" xfId="1929" xr:uid="{00000000-0005-0000-0000-000045010000}"/>
    <cellStyle name="Comma 2 17 3 2 2" xfId="4173" xr:uid="{00000000-0005-0000-0000-000046010000}"/>
    <cellStyle name="Comma 2 17 3 3" xfId="2653" xr:uid="{00000000-0005-0000-0000-000047010000}"/>
    <cellStyle name="Comma 2 17 3 3 2" xfId="4897" xr:uid="{00000000-0005-0000-0000-000048010000}"/>
    <cellStyle name="Comma 2 17 3 4" xfId="3387" xr:uid="{00000000-0005-0000-0000-000049010000}"/>
    <cellStyle name="Comma 2 17 4" xfId="1357" xr:uid="{00000000-0005-0000-0000-00004A010000}"/>
    <cellStyle name="Comma 2 17 4 2" xfId="3601" xr:uid="{00000000-0005-0000-0000-00004B010000}"/>
    <cellStyle name="Comma 2 17 5" xfId="2143" xr:uid="{00000000-0005-0000-0000-00004C010000}"/>
    <cellStyle name="Comma 2 17 5 2" xfId="4387" xr:uid="{00000000-0005-0000-0000-00004D010000}"/>
    <cellStyle name="Comma 2 17 6" xfId="2867" xr:uid="{00000000-0005-0000-0000-00004E010000}"/>
    <cellStyle name="Comma 2 18" xfId="76" xr:uid="{00000000-0005-0000-0000-00004F010000}"/>
    <cellStyle name="Comma 2 18 2" xfId="890" xr:uid="{00000000-0005-0000-0000-000050010000}"/>
    <cellStyle name="Comma 2 18 2 2" xfId="1678" xr:uid="{00000000-0005-0000-0000-000051010000}"/>
    <cellStyle name="Comma 2 18 2 2 2" xfId="3922" xr:uid="{00000000-0005-0000-0000-000052010000}"/>
    <cellStyle name="Comma 2 18 2 3" xfId="2402" xr:uid="{00000000-0005-0000-0000-000053010000}"/>
    <cellStyle name="Comma 2 18 2 3 2" xfId="4646" xr:uid="{00000000-0005-0000-0000-000054010000}"/>
    <cellStyle name="Comma 2 18 2 4" xfId="3136" xr:uid="{00000000-0005-0000-0000-000055010000}"/>
    <cellStyle name="Comma 2 18 3" xfId="1143" xr:uid="{00000000-0005-0000-0000-000056010000}"/>
    <cellStyle name="Comma 2 18 3 2" xfId="1930" xr:uid="{00000000-0005-0000-0000-000057010000}"/>
    <cellStyle name="Comma 2 18 3 2 2" xfId="4174" xr:uid="{00000000-0005-0000-0000-000058010000}"/>
    <cellStyle name="Comma 2 18 3 3" xfId="2654" xr:uid="{00000000-0005-0000-0000-000059010000}"/>
    <cellStyle name="Comma 2 18 3 3 2" xfId="4898" xr:uid="{00000000-0005-0000-0000-00005A010000}"/>
    <cellStyle name="Comma 2 18 3 4" xfId="3388" xr:uid="{00000000-0005-0000-0000-00005B010000}"/>
    <cellStyle name="Comma 2 18 4" xfId="1358" xr:uid="{00000000-0005-0000-0000-00005C010000}"/>
    <cellStyle name="Comma 2 18 4 2" xfId="3602" xr:uid="{00000000-0005-0000-0000-00005D010000}"/>
    <cellStyle name="Comma 2 18 5" xfId="2144" xr:uid="{00000000-0005-0000-0000-00005E010000}"/>
    <cellStyle name="Comma 2 18 5 2" xfId="4388" xr:uid="{00000000-0005-0000-0000-00005F010000}"/>
    <cellStyle name="Comma 2 18 6" xfId="2868" xr:uid="{00000000-0005-0000-0000-000060010000}"/>
    <cellStyle name="Comma 2 19" xfId="77" xr:uid="{00000000-0005-0000-0000-000061010000}"/>
    <cellStyle name="Comma 2 19 2" xfId="891" xr:uid="{00000000-0005-0000-0000-000062010000}"/>
    <cellStyle name="Comma 2 19 2 2" xfId="1679" xr:uid="{00000000-0005-0000-0000-000063010000}"/>
    <cellStyle name="Comma 2 19 2 2 2" xfId="3923" xr:uid="{00000000-0005-0000-0000-000064010000}"/>
    <cellStyle name="Comma 2 19 2 3" xfId="2403" xr:uid="{00000000-0005-0000-0000-000065010000}"/>
    <cellStyle name="Comma 2 19 2 3 2" xfId="4647" xr:uid="{00000000-0005-0000-0000-000066010000}"/>
    <cellStyle name="Comma 2 19 2 4" xfId="3137" xr:uid="{00000000-0005-0000-0000-000067010000}"/>
    <cellStyle name="Comma 2 19 3" xfId="1144" xr:uid="{00000000-0005-0000-0000-000068010000}"/>
    <cellStyle name="Comma 2 19 3 2" xfId="1931" xr:uid="{00000000-0005-0000-0000-000069010000}"/>
    <cellStyle name="Comma 2 19 3 2 2" xfId="4175" xr:uid="{00000000-0005-0000-0000-00006A010000}"/>
    <cellStyle name="Comma 2 19 3 3" xfId="2655" xr:uid="{00000000-0005-0000-0000-00006B010000}"/>
    <cellStyle name="Comma 2 19 3 3 2" xfId="4899" xr:uid="{00000000-0005-0000-0000-00006C010000}"/>
    <cellStyle name="Comma 2 19 3 4" xfId="3389" xr:uid="{00000000-0005-0000-0000-00006D010000}"/>
    <cellStyle name="Comma 2 19 4" xfId="1359" xr:uid="{00000000-0005-0000-0000-00006E010000}"/>
    <cellStyle name="Comma 2 19 4 2" xfId="3603" xr:uid="{00000000-0005-0000-0000-00006F010000}"/>
    <cellStyle name="Comma 2 19 5" xfId="2145" xr:uid="{00000000-0005-0000-0000-000070010000}"/>
    <cellStyle name="Comma 2 19 5 2" xfId="4389" xr:uid="{00000000-0005-0000-0000-000071010000}"/>
    <cellStyle name="Comma 2 19 6" xfId="2869" xr:uid="{00000000-0005-0000-0000-000072010000}"/>
    <cellStyle name="Comma 2 2" xfId="12" xr:uid="{00000000-0005-0000-0000-000073010000}"/>
    <cellStyle name="Comma 2 2 10" xfId="2838" xr:uid="{00000000-0005-0000-0000-000074010000}"/>
    <cellStyle name="Comma 2 2 11" xfId="5080" xr:uid="{00000000-0005-0000-0000-000075010000}"/>
    <cellStyle name="Comma 2 2 2" xfId="21" xr:uid="{00000000-0005-0000-0000-000076010000}"/>
    <cellStyle name="Comma 2 2 2 2" xfId="78" xr:uid="{00000000-0005-0000-0000-000077010000}"/>
    <cellStyle name="Comma 2 2 2 3" xfId="868" xr:uid="{00000000-0005-0000-0000-000078010000}"/>
    <cellStyle name="Comma 2 2 2 3 2" xfId="1656" xr:uid="{00000000-0005-0000-0000-000079010000}"/>
    <cellStyle name="Comma 2 2 2 3 2 2" xfId="3900" xr:uid="{00000000-0005-0000-0000-00007A010000}"/>
    <cellStyle name="Comma 2 2 2 3 3" xfId="2380" xr:uid="{00000000-0005-0000-0000-00007B010000}"/>
    <cellStyle name="Comma 2 2 2 3 3 2" xfId="4624" xr:uid="{00000000-0005-0000-0000-00007C010000}"/>
    <cellStyle name="Comma 2 2 2 3 4" xfId="3114" xr:uid="{00000000-0005-0000-0000-00007D010000}"/>
    <cellStyle name="Comma 2 2 2 4" xfId="1098" xr:uid="{00000000-0005-0000-0000-00007E010000}"/>
    <cellStyle name="Comma 2 2 2 4 2" xfId="1885" xr:uid="{00000000-0005-0000-0000-00007F010000}"/>
    <cellStyle name="Comma 2 2 2 4 2 2" xfId="4129" xr:uid="{00000000-0005-0000-0000-000080010000}"/>
    <cellStyle name="Comma 2 2 2 4 3" xfId="2609" xr:uid="{00000000-0005-0000-0000-000081010000}"/>
    <cellStyle name="Comma 2 2 2 4 3 2" xfId="4853" xr:uid="{00000000-0005-0000-0000-000082010000}"/>
    <cellStyle name="Comma 2 2 2 4 4" xfId="3343" xr:uid="{00000000-0005-0000-0000-000083010000}"/>
    <cellStyle name="Comma 2 2 2 5" xfId="1120" xr:uid="{00000000-0005-0000-0000-000084010000}"/>
    <cellStyle name="Comma 2 2 2 5 2" xfId="1907" xr:uid="{00000000-0005-0000-0000-000085010000}"/>
    <cellStyle name="Comma 2 2 2 5 2 2" xfId="4151" xr:uid="{00000000-0005-0000-0000-000086010000}"/>
    <cellStyle name="Comma 2 2 2 5 3" xfId="2631" xr:uid="{00000000-0005-0000-0000-000087010000}"/>
    <cellStyle name="Comma 2 2 2 5 3 2" xfId="4875" xr:uid="{00000000-0005-0000-0000-000088010000}"/>
    <cellStyle name="Comma 2 2 2 5 4" xfId="3365" xr:uid="{00000000-0005-0000-0000-000089010000}"/>
    <cellStyle name="Comma 2 2 2 6" xfId="1336" xr:uid="{00000000-0005-0000-0000-00008A010000}"/>
    <cellStyle name="Comma 2 2 2 6 2" xfId="3580" xr:uid="{00000000-0005-0000-0000-00008B010000}"/>
    <cellStyle name="Comma 2 2 2 7" xfId="2122" xr:uid="{00000000-0005-0000-0000-00008C010000}"/>
    <cellStyle name="Comma 2 2 2 7 2" xfId="4366" xr:uid="{00000000-0005-0000-0000-00008D010000}"/>
    <cellStyle name="Comma 2 2 2 8" xfId="2846" xr:uid="{00000000-0005-0000-0000-00008E010000}"/>
    <cellStyle name="Comma 2 2 2 9" xfId="5088" xr:uid="{00000000-0005-0000-0000-00008F010000}"/>
    <cellStyle name="Comma 2 2 3" xfId="79" xr:uid="{00000000-0005-0000-0000-000090010000}"/>
    <cellStyle name="Comma 2 2 4" xfId="859" xr:uid="{00000000-0005-0000-0000-000091010000}"/>
    <cellStyle name="Comma 2 2 4 2" xfId="1647" xr:uid="{00000000-0005-0000-0000-000092010000}"/>
    <cellStyle name="Comma 2 2 4 2 2" xfId="3891" xr:uid="{00000000-0005-0000-0000-000093010000}"/>
    <cellStyle name="Comma 2 2 4 3" xfId="2371" xr:uid="{00000000-0005-0000-0000-000094010000}"/>
    <cellStyle name="Comma 2 2 4 3 2" xfId="4615" xr:uid="{00000000-0005-0000-0000-000095010000}"/>
    <cellStyle name="Comma 2 2 4 4" xfId="3105" xr:uid="{00000000-0005-0000-0000-000096010000}"/>
    <cellStyle name="Comma 2 2 5" xfId="1076" xr:uid="{00000000-0005-0000-0000-000097010000}"/>
    <cellStyle name="Comma 2 2 5 2" xfId="1863" xr:uid="{00000000-0005-0000-0000-000098010000}"/>
    <cellStyle name="Comma 2 2 5 2 2" xfId="4107" xr:uid="{00000000-0005-0000-0000-000099010000}"/>
    <cellStyle name="Comma 2 2 5 3" xfId="2587" xr:uid="{00000000-0005-0000-0000-00009A010000}"/>
    <cellStyle name="Comma 2 2 5 3 2" xfId="4831" xr:uid="{00000000-0005-0000-0000-00009B010000}"/>
    <cellStyle name="Comma 2 2 5 4" xfId="3321" xr:uid="{00000000-0005-0000-0000-00009C010000}"/>
    <cellStyle name="Comma 2 2 6" xfId="1090" xr:uid="{00000000-0005-0000-0000-00009D010000}"/>
    <cellStyle name="Comma 2 2 6 2" xfId="1877" xr:uid="{00000000-0005-0000-0000-00009E010000}"/>
    <cellStyle name="Comma 2 2 6 2 2" xfId="4121" xr:uid="{00000000-0005-0000-0000-00009F010000}"/>
    <cellStyle name="Comma 2 2 6 3" xfId="2601" xr:uid="{00000000-0005-0000-0000-0000A0010000}"/>
    <cellStyle name="Comma 2 2 6 3 2" xfId="4845" xr:uid="{00000000-0005-0000-0000-0000A1010000}"/>
    <cellStyle name="Comma 2 2 6 4" xfId="3335" xr:uid="{00000000-0005-0000-0000-0000A2010000}"/>
    <cellStyle name="Comma 2 2 7" xfId="1112" xr:uid="{00000000-0005-0000-0000-0000A3010000}"/>
    <cellStyle name="Comma 2 2 7 2" xfId="1899" xr:uid="{00000000-0005-0000-0000-0000A4010000}"/>
    <cellStyle name="Comma 2 2 7 2 2" xfId="4143" xr:uid="{00000000-0005-0000-0000-0000A5010000}"/>
    <cellStyle name="Comma 2 2 7 3" xfId="2623" xr:uid="{00000000-0005-0000-0000-0000A6010000}"/>
    <cellStyle name="Comma 2 2 7 3 2" xfId="4867" xr:uid="{00000000-0005-0000-0000-0000A7010000}"/>
    <cellStyle name="Comma 2 2 7 4" xfId="3357" xr:uid="{00000000-0005-0000-0000-0000A8010000}"/>
    <cellStyle name="Comma 2 2 8" xfId="1328" xr:uid="{00000000-0005-0000-0000-0000A9010000}"/>
    <cellStyle name="Comma 2 2 8 2" xfId="3572" xr:uid="{00000000-0005-0000-0000-0000AA010000}"/>
    <cellStyle name="Comma 2 2 9" xfId="2114" xr:uid="{00000000-0005-0000-0000-0000AB010000}"/>
    <cellStyle name="Comma 2 2 9 2" xfId="4358" xr:uid="{00000000-0005-0000-0000-0000AC010000}"/>
    <cellStyle name="Comma 2 20" xfId="80" xr:uid="{00000000-0005-0000-0000-0000AD010000}"/>
    <cellStyle name="Comma 2 20 2" xfId="892" xr:uid="{00000000-0005-0000-0000-0000AE010000}"/>
    <cellStyle name="Comma 2 20 2 2" xfId="1680" xr:uid="{00000000-0005-0000-0000-0000AF010000}"/>
    <cellStyle name="Comma 2 20 2 2 2" xfId="3924" xr:uid="{00000000-0005-0000-0000-0000B0010000}"/>
    <cellStyle name="Comma 2 20 2 3" xfId="2404" xr:uid="{00000000-0005-0000-0000-0000B1010000}"/>
    <cellStyle name="Comma 2 20 2 3 2" xfId="4648" xr:uid="{00000000-0005-0000-0000-0000B2010000}"/>
    <cellStyle name="Comma 2 20 2 4" xfId="3138" xr:uid="{00000000-0005-0000-0000-0000B3010000}"/>
    <cellStyle name="Comma 2 20 3" xfId="1145" xr:uid="{00000000-0005-0000-0000-0000B4010000}"/>
    <cellStyle name="Comma 2 20 3 2" xfId="1932" xr:uid="{00000000-0005-0000-0000-0000B5010000}"/>
    <cellStyle name="Comma 2 20 3 2 2" xfId="4176" xr:uid="{00000000-0005-0000-0000-0000B6010000}"/>
    <cellStyle name="Comma 2 20 3 3" xfId="2656" xr:uid="{00000000-0005-0000-0000-0000B7010000}"/>
    <cellStyle name="Comma 2 20 3 3 2" xfId="4900" xr:uid="{00000000-0005-0000-0000-0000B8010000}"/>
    <cellStyle name="Comma 2 20 3 4" xfId="3390" xr:uid="{00000000-0005-0000-0000-0000B9010000}"/>
    <cellStyle name="Comma 2 20 4" xfId="1360" xr:uid="{00000000-0005-0000-0000-0000BA010000}"/>
    <cellStyle name="Comma 2 20 4 2" xfId="3604" xr:uid="{00000000-0005-0000-0000-0000BB010000}"/>
    <cellStyle name="Comma 2 20 5" xfId="2146" xr:uid="{00000000-0005-0000-0000-0000BC010000}"/>
    <cellStyle name="Comma 2 20 5 2" xfId="4390" xr:uid="{00000000-0005-0000-0000-0000BD010000}"/>
    <cellStyle name="Comma 2 20 6" xfId="2870" xr:uid="{00000000-0005-0000-0000-0000BE010000}"/>
    <cellStyle name="Comma 2 21" xfId="81" xr:uid="{00000000-0005-0000-0000-0000BF010000}"/>
    <cellStyle name="Comma 2 21 2" xfId="893" xr:uid="{00000000-0005-0000-0000-0000C0010000}"/>
    <cellStyle name="Comma 2 21 2 2" xfId="1681" xr:uid="{00000000-0005-0000-0000-0000C1010000}"/>
    <cellStyle name="Comma 2 21 2 2 2" xfId="3925" xr:uid="{00000000-0005-0000-0000-0000C2010000}"/>
    <cellStyle name="Comma 2 21 2 3" xfId="2405" xr:uid="{00000000-0005-0000-0000-0000C3010000}"/>
    <cellStyle name="Comma 2 21 2 3 2" xfId="4649" xr:uid="{00000000-0005-0000-0000-0000C4010000}"/>
    <cellStyle name="Comma 2 21 2 4" xfId="3139" xr:uid="{00000000-0005-0000-0000-0000C5010000}"/>
    <cellStyle name="Comma 2 21 3" xfId="1146" xr:uid="{00000000-0005-0000-0000-0000C6010000}"/>
    <cellStyle name="Comma 2 21 3 2" xfId="1933" xr:uid="{00000000-0005-0000-0000-0000C7010000}"/>
    <cellStyle name="Comma 2 21 3 2 2" xfId="4177" xr:uid="{00000000-0005-0000-0000-0000C8010000}"/>
    <cellStyle name="Comma 2 21 3 3" xfId="2657" xr:uid="{00000000-0005-0000-0000-0000C9010000}"/>
    <cellStyle name="Comma 2 21 3 3 2" xfId="4901" xr:uid="{00000000-0005-0000-0000-0000CA010000}"/>
    <cellStyle name="Comma 2 21 3 4" xfId="3391" xr:uid="{00000000-0005-0000-0000-0000CB010000}"/>
    <cellStyle name="Comma 2 21 4" xfId="1361" xr:uid="{00000000-0005-0000-0000-0000CC010000}"/>
    <cellStyle name="Comma 2 21 4 2" xfId="3605" xr:uid="{00000000-0005-0000-0000-0000CD010000}"/>
    <cellStyle name="Comma 2 21 5" xfId="2147" xr:uid="{00000000-0005-0000-0000-0000CE010000}"/>
    <cellStyle name="Comma 2 21 5 2" xfId="4391" xr:uid="{00000000-0005-0000-0000-0000CF010000}"/>
    <cellStyle name="Comma 2 21 6" xfId="2871" xr:uid="{00000000-0005-0000-0000-0000D0010000}"/>
    <cellStyle name="Comma 2 22" xfId="82" xr:uid="{00000000-0005-0000-0000-0000D1010000}"/>
    <cellStyle name="Comma 2 22 2" xfId="894" xr:uid="{00000000-0005-0000-0000-0000D2010000}"/>
    <cellStyle name="Comma 2 22 2 2" xfId="1682" xr:uid="{00000000-0005-0000-0000-0000D3010000}"/>
    <cellStyle name="Comma 2 22 2 2 2" xfId="3926" xr:uid="{00000000-0005-0000-0000-0000D4010000}"/>
    <cellStyle name="Comma 2 22 2 3" xfId="2406" xr:uid="{00000000-0005-0000-0000-0000D5010000}"/>
    <cellStyle name="Comma 2 22 2 3 2" xfId="4650" xr:uid="{00000000-0005-0000-0000-0000D6010000}"/>
    <cellStyle name="Comma 2 22 2 4" xfId="3140" xr:uid="{00000000-0005-0000-0000-0000D7010000}"/>
    <cellStyle name="Comma 2 22 3" xfId="1147" xr:uid="{00000000-0005-0000-0000-0000D8010000}"/>
    <cellStyle name="Comma 2 22 3 2" xfId="1934" xr:uid="{00000000-0005-0000-0000-0000D9010000}"/>
    <cellStyle name="Comma 2 22 3 2 2" xfId="4178" xr:uid="{00000000-0005-0000-0000-0000DA010000}"/>
    <cellStyle name="Comma 2 22 3 3" xfId="2658" xr:uid="{00000000-0005-0000-0000-0000DB010000}"/>
    <cellStyle name="Comma 2 22 3 3 2" xfId="4902" xr:uid="{00000000-0005-0000-0000-0000DC010000}"/>
    <cellStyle name="Comma 2 22 3 4" xfId="3392" xr:uid="{00000000-0005-0000-0000-0000DD010000}"/>
    <cellStyle name="Comma 2 22 4" xfId="1362" xr:uid="{00000000-0005-0000-0000-0000DE010000}"/>
    <cellStyle name="Comma 2 22 4 2" xfId="3606" xr:uid="{00000000-0005-0000-0000-0000DF010000}"/>
    <cellStyle name="Comma 2 22 5" xfId="2148" xr:uid="{00000000-0005-0000-0000-0000E0010000}"/>
    <cellStyle name="Comma 2 22 5 2" xfId="4392" xr:uid="{00000000-0005-0000-0000-0000E1010000}"/>
    <cellStyle name="Comma 2 22 6" xfId="2872" xr:uid="{00000000-0005-0000-0000-0000E2010000}"/>
    <cellStyle name="Comma 2 23" xfId="83" xr:uid="{00000000-0005-0000-0000-0000E3010000}"/>
    <cellStyle name="Comma 2 23 2" xfId="895" xr:uid="{00000000-0005-0000-0000-0000E4010000}"/>
    <cellStyle name="Comma 2 23 2 2" xfId="1683" xr:uid="{00000000-0005-0000-0000-0000E5010000}"/>
    <cellStyle name="Comma 2 23 2 2 2" xfId="3927" xr:uid="{00000000-0005-0000-0000-0000E6010000}"/>
    <cellStyle name="Comma 2 23 2 3" xfId="2407" xr:uid="{00000000-0005-0000-0000-0000E7010000}"/>
    <cellStyle name="Comma 2 23 2 3 2" xfId="4651" xr:uid="{00000000-0005-0000-0000-0000E8010000}"/>
    <cellStyle name="Comma 2 23 2 4" xfId="3141" xr:uid="{00000000-0005-0000-0000-0000E9010000}"/>
    <cellStyle name="Comma 2 23 3" xfId="1148" xr:uid="{00000000-0005-0000-0000-0000EA010000}"/>
    <cellStyle name="Comma 2 23 3 2" xfId="1935" xr:uid="{00000000-0005-0000-0000-0000EB010000}"/>
    <cellStyle name="Comma 2 23 3 2 2" xfId="4179" xr:uid="{00000000-0005-0000-0000-0000EC010000}"/>
    <cellStyle name="Comma 2 23 3 3" xfId="2659" xr:uid="{00000000-0005-0000-0000-0000ED010000}"/>
    <cellStyle name="Comma 2 23 3 3 2" xfId="4903" xr:uid="{00000000-0005-0000-0000-0000EE010000}"/>
    <cellStyle name="Comma 2 23 3 4" xfId="3393" xr:uid="{00000000-0005-0000-0000-0000EF010000}"/>
    <cellStyle name="Comma 2 23 4" xfId="1363" xr:uid="{00000000-0005-0000-0000-0000F0010000}"/>
    <cellStyle name="Comma 2 23 4 2" xfId="3607" xr:uid="{00000000-0005-0000-0000-0000F1010000}"/>
    <cellStyle name="Comma 2 23 5" xfId="2149" xr:uid="{00000000-0005-0000-0000-0000F2010000}"/>
    <cellStyle name="Comma 2 23 5 2" xfId="4393" xr:uid="{00000000-0005-0000-0000-0000F3010000}"/>
    <cellStyle name="Comma 2 23 6" xfId="2873" xr:uid="{00000000-0005-0000-0000-0000F4010000}"/>
    <cellStyle name="Comma 2 24" xfId="84" xr:uid="{00000000-0005-0000-0000-0000F5010000}"/>
    <cellStyle name="Comma 2 24 2" xfId="896" xr:uid="{00000000-0005-0000-0000-0000F6010000}"/>
    <cellStyle name="Comma 2 24 2 2" xfId="1684" xr:uid="{00000000-0005-0000-0000-0000F7010000}"/>
    <cellStyle name="Comma 2 24 2 2 2" xfId="3928" xr:uid="{00000000-0005-0000-0000-0000F8010000}"/>
    <cellStyle name="Comma 2 24 2 3" xfId="2408" xr:uid="{00000000-0005-0000-0000-0000F9010000}"/>
    <cellStyle name="Comma 2 24 2 3 2" xfId="4652" xr:uid="{00000000-0005-0000-0000-0000FA010000}"/>
    <cellStyle name="Comma 2 24 2 4" xfId="3142" xr:uid="{00000000-0005-0000-0000-0000FB010000}"/>
    <cellStyle name="Comma 2 24 3" xfId="1149" xr:uid="{00000000-0005-0000-0000-0000FC010000}"/>
    <cellStyle name="Comma 2 24 3 2" xfId="1936" xr:uid="{00000000-0005-0000-0000-0000FD010000}"/>
    <cellStyle name="Comma 2 24 3 2 2" xfId="4180" xr:uid="{00000000-0005-0000-0000-0000FE010000}"/>
    <cellStyle name="Comma 2 24 3 3" xfId="2660" xr:uid="{00000000-0005-0000-0000-0000FF010000}"/>
    <cellStyle name="Comma 2 24 3 3 2" xfId="4904" xr:uid="{00000000-0005-0000-0000-000000020000}"/>
    <cellStyle name="Comma 2 24 3 4" xfId="3394" xr:uid="{00000000-0005-0000-0000-000001020000}"/>
    <cellStyle name="Comma 2 24 4" xfId="1364" xr:uid="{00000000-0005-0000-0000-000002020000}"/>
    <cellStyle name="Comma 2 24 4 2" xfId="3608" xr:uid="{00000000-0005-0000-0000-000003020000}"/>
    <cellStyle name="Comma 2 24 5" xfId="2150" xr:uid="{00000000-0005-0000-0000-000004020000}"/>
    <cellStyle name="Comma 2 24 5 2" xfId="4394" xr:uid="{00000000-0005-0000-0000-000005020000}"/>
    <cellStyle name="Comma 2 24 6" xfId="2874" xr:uid="{00000000-0005-0000-0000-000006020000}"/>
    <cellStyle name="Comma 2 25" xfId="85" xr:uid="{00000000-0005-0000-0000-000007020000}"/>
    <cellStyle name="Comma 2 25 2" xfId="897" xr:uid="{00000000-0005-0000-0000-000008020000}"/>
    <cellStyle name="Comma 2 25 2 2" xfId="1685" xr:uid="{00000000-0005-0000-0000-000009020000}"/>
    <cellStyle name="Comma 2 25 2 2 2" xfId="3929" xr:uid="{00000000-0005-0000-0000-00000A020000}"/>
    <cellStyle name="Comma 2 25 2 3" xfId="2409" xr:uid="{00000000-0005-0000-0000-00000B020000}"/>
    <cellStyle name="Comma 2 25 2 3 2" xfId="4653" xr:uid="{00000000-0005-0000-0000-00000C020000}"/>
    <cellStyle name="Comma 2 25 2 4" xfId="3143" xr:uid="{00000000-0005-0000-0000-00000D020000}"/>
    <cellStyle name="Comma 2 25 3" xfId="1150" xr:uid="{00000000-0005-0000-0000-00000E020000}"/>
    <cellStyle name="Comma 2 25 3 2" xfId="1937" xr:uid="{00000000-0005-0000-0000-00000F020000}"/>
    <cellStyle name="Comma 2 25 3 2 2" xfId="4181" xr:uid="{00000000-0005-0000-0000-000010020000}"/>
    <cellStyle name="Comma 2 25 3 3" xfId="2661" xr:uid="{00000000-0005-0000-0000-000011020000}"/>
    <cellStyle name="Comma 2 25 3 3 2" xfId="4905" xr:uid="{00000000-0005-0000-0000-000012020000}"/>
    <cellStyle name="Comma 2 25 3 4" xfId="3395" xr:uid="{00000000-0005-0000-0000-000013020000}"/>
    <cellStyle name="Comma 2 25 4" xfId="1365" xr:uid="{00000000-0005-0000-0000-000014020000}"/>
    <cellStyle name="Comma 2 25 4 2" xfId="3609" xr:uid="{00000000-0005-0000-0000-000015020000}"/>
    <cellStyle name="Comma 2 25 5" xfId="2151" xr:uid="{00000000-0005-0000-0000-000016020000}"/>
    <cellStyle name="Comma 2 25 5 2" xfId="4395" xr:uid="{00000000-0005-0000-0000-000017020000}"/>
    <cellStyle name="Comma 2 25 6" xfId="2875" xr:uid="{00000000-0005-0000-0000-000018020000}"/>
    <cellStyle name="Comma 2 26" xfId="86" xr:uid="{00000000-0005-0000-0000-000019020000}"/>
    <cellStyle name="Comma 2 26 2" xfId="898" xr:uid="{00000000-0005-0000-0000-00001A020000}"/>
    <cellStyle name="Comma 2 26 2 2" xfId="1686" xr:uid="{00000000-0005-0000-0000-00001B020000}"/>
    <cellStyle name="Comma 2 26 2 2 2" xfId="3930" xr:uid="{00000000-0005-0000-0000-00001C020000}"/>
    <cellStyle name="Comma 2 26 2 3" xfId="2410" xr:uid="{00000000-0005-0000-0000-00001D020000}"/>
    <cellStyle name="Comma 2 26 2 3 2" xfId="4654" xr:uid="{00000000-0005-0000-0000-00001E020000}"/>
    <cellStyle name="Comma 2 26 2 4" xfId="3144" xr:uid="{00000000-0005-0000-0000-00001F020000}"/>
    <cellStyle name="Comma 2 26 3" xfId="1151" xr:uid="{00000000-0005-0000-0000-000020020000}"/>
    <cellStyle name="Comma 2 26 3 2" xfId="1938" xr:uid="{00000000-0005-0000-0000-000021020000}"/>
    <cellStyle name="Comma 2 26 3 2 2" xfId="4182" xr:uid="{00000000-0005-0000-0000-000022020000}"/>
    <cellStyle name="Comma 2 26 3 3" xfId="2662" xr:uid="{00000000-0005-0000-0000-000023020000}"/>
    <cellStyle name="Comma 2 26 3 3 2" xfId="4906" xr:uid="{00000000-0005-0000-0000-000024020000}"/>
    <cellStyle name="Comma 2 26 3 4" xfId="3396" xr:uid="{00000000-0005-0000-0000-000025020000}"/>
    <cellStyle name="Comma 2 26 4" xfId="1366" xr:uid="{00000000-0005-0000-0000-000026020000}"/>
    <cellStyle name="Comma 2 26 4 2" xfId="3610" xr:uid="{00000000-0005-0000-0000-000027020000}"/>
    <cellStyle name="Comma 2 26 5" xfId="2152" xr:uid="{00000000-0005-0000-0000-000028020000}"/>
    <cellStyle name="Comma 2 26 5 2" xfId="4396" xr:uid="{00000000-0005-0000-0000-000029020000}"/>
    <cellStyle name="Comma 2 26 6" xfId="2876" xr:uid="{00000000-0005-0000-0000-00002A020000}"/>
    <cellStyle name="Comma 2 27" xfId="87" xr:uid="{00000000-0005-0000-0000-00002B020000}"/>
    <cellStyle name="Comma 2 27 2" xfId="899" xr:uid="{00000000-0005-0000-0000-00002C020000}"/>
    <cellStyle name="Comma 2 27 2 2" xfId="1687" xr:uid="{00000000-0005-0000-0000-00002D020000}"/>
    <cellStyle name="Comma 2 27 2 2 2" xfId="3931" xr:uid="{00000000-0005-0000-0000-00002E020000}"/>
    <cellStyle name="Comma 2 27 2 3" xfId="2411" xr:uid="{00000000-0005-0000-0000-00002F020000}"/>
    <cellStyle name="Comma 2 27 2 3 2" xfId="4655" xr:uid="{00000000-0005-0000-0000-000030020000}"/>
    <cellStyle name="Comma 2 27 2 4" xfId="3145" xr:uid="{00000000-0005-0000-0000-000031020000}"/>
    <cellStyle name="Comma 2 27 3" xfId="1152" xr:uid="{00000000-0005-0000-0000-000032020000}"/>
    <cellStyle name="Comma 2 27 3 2" xfId="1939" xr:uid="{00000000-0005-0000-0000-000033020000}"/>
    <cellStyle name="Comma 2 27 3 2 2" xfId="4183" xr:uid="{00000000-0005-0000-0000-000034020000}"/>
    <cellStyle name="Comma 2 27 3 3" xfId="2663" xr:uid="{00000000-0005-0000-0000-000035020000}"/>
    <cellStyle name="Comma 2 27 3 3 2" xfId="4907" xr:uid="{00000000-0005-0000-0000-000036020000}"/>
    <cellStyle name="Comma 2 27 3 4" xfId="3397" xr:uid="{00000000-0005-0000-0000-000037020000}"/>
    <cellStyle name="Comma 2 27 4" xfId="1367" xr:uid="{00000000-0005-0000-0000-000038020000}"/>
    <cellStyle name="Comma 2 27 4 2" xfId="3611" xr:uid="{00000000-0005-0000-0000-000039020000}"/>
    <cellStyle name="Comma 2 27 5" xfId="2153" xr:uid="{00000000-0005-0000-0000-00003A020000}"/>
    <cellStyle name="Comma 2 27 5 2" xfId="4397" xr:uid="{00000000-0005-0000-0000-00003B020000}"/>
    <cellStyle name="Comma 2 27 6" xfId="2877" xr:uid="{00000000-0005-0000-0000-00003C020000}"/>
    <cellStyle name="Comma 2 28" xfId="855" xr:uid="{00000000-0005-0000-0000-00003D020000}"/>
    <cellStyle name="Comma 2 28 2" xfId="1643" xr:uid="{00000000-0005-0000-0000-00003E020000}"/>
    <cellStyle name="Comma 2 28 2 2" xfId="3887" xr:uid="{00000000-0005-0000-0000-00003F020000}"/>
    <cellStyle name="Comma 2 28 3" xfId="2367" xr:uid="{00000000-0005-0000-0000-000040020000}"/>
    <cellStyle name="Comma 2 28 3 2" xfId="4611" xr:uid="{00000000-0005-0000-0000-000041020000}"/>
    <cellStyle name="Comma 2 28 4" xfId="3101" xr:uid="{00000000-0005-0000-0000-000042020000}"/>
    <cellStyle name="Comma 2 29" xfId="1072" xr:uid="{00000000-0005-0000-0000-000043020000}"/>
    <cellStyle name="Comma 2 29 2" xfId="1859" xr:uid="{00000000-0005-0000-0000-000044020000}"/>
    <cellStyle name="Comma 2 29 2 2" xfId="4103" xr:uid="{00000000-0005-0000-0000-000045020000}"/>
    <cellStyle name="Comma 2 29 3" xfId="2583" xr:uid="{00000000-0005-0000-0000-000046020000}"/>
    <cellStyle name="Comma 2 29 3 2" xfId="4827" xr:uid="{00000000-0005-0000-0000-000047020000}"/>
    <cellStyle name="Comma 2 29 4" xfId="3317" xr:uid="{00000000-0005-0000-0000-000048020000}"/>
    <cellStyle name="Comma 2 3" xfId="26" xr:uid="{00000000-0005-0000-0000-000049020000}"/>
    <cellStyle name="Comma 2 3 10" xfId="2125" xr:uid="{00000000-0005-0000-0000-00004A020000}"/>
    <cellStyle name="Comma 2 3 10 2" xfId="4369" xr:uid="{00000000-0005-0000-0000-00004B020000}"/>
    <cellStyle name="Comma 2 3 11" xfId="2849" xr:uid="{00000000-0005-0000-0000-00004C020000}"/>
    <cellStyle name="Comma 2 3 12" xfId="5091" xr:uid="{00000000-0005-0000-0000-00004D020000}"/>
    <cellStyle name="Comma 2 3 2" xfId="89" xr:uid="{00000000-0005-0000-0000-00004E020000}"/>
    <cellStyle name="Comma 2 3 2 2" xfId="901" xr:uid="{00000000-0005-0000-0000-00004F020000}"/>
    <cellStyle name="Comma 2 3 2 2 2" xfId="1689" xr:uid="{00000000-0005-0000-0000-000050020000}"/>
    <cellStyle name="Comma 2 3 2 2 2 2" xfId="3933" xr:uid="{00000000-0005-0000-0000-000051020000}"/>
    <cellStyle name="Comma 2 3 2 2 3" xfId="2413" xr:uid="{00000000-0005-0000-0000-000052020000}"/>
    <cellStyle name="Comma 2 3 2 2 3 2" xfId="4657" xr:uid="{00000000-0005-0000-0000-000053020000}"/>
    <cellStyle name="Comma 2 3 2 2 4" xfId="3147" xr:uid="{00000000-0005-0000-0000-000054020000}"/>
    <cellStyle name="Comma 2 3 2 3" xfId="1154" xr:uid="{00000000-0005-0000-0000-000055020000}"/>
    <cellStyle name="Comma 2 3 2 3 2" xfId="1941" xr:uid="{00000000-0005-0000-0000-000056020000}"/>
    <cellStyle name="Comma 2 3 2 3 2 2" xfId="4185" xr:uid="{00000000-0005-0000-0000-000057020000}"/>
    <cellStyle name="Comma 2 3 2 3 3" xfId="2665" xr:uid="{00000000-0005-0000-0000-000058020000}"/>
    <cellStyle name="Comma 2 3 2 3 3 2" xfId="4909" xr:uid="{00000000-0005-0000-0000-000059020000}"/>
    <cellStyle name="Comma 2 3 2 3 4" xfId="3399" xr:uid="{00000000-0005-0000-0000-00005A020000}"/>
    <cellStyle name="Comma 2 3 2 4" xfId="1369" xr:uid="{00000000-0005-0000-0000-00005B020000}"/>
    <cellStyle name="Comma 2 3 2 4 2" xfId="3613" xr:uid="{00000000-0005-0000-0000-00005C020000}"/>
    <cellStyle name="Comma 2 3 2 5" xfId="2155" xr:uid="{00000000-0005-0000-0000-00005D020000}"/>
    <cellStyle name="Comma 2 3 2 5 2" xfId="4399" xr:uid="{00000000-0005-0000-0000-00005E020000}"/>
    <cellStyle name="Comma 2 3 2 6" xfId="2879" xr:uid="{00000000-0005-0000-0000-00005F020000}"/>
    <cellStyle name="Comma 2 3 3" xfId="90" xr:uid="{00000000-0005-0000-0000-000060020000}"/>
    <cellStyle name="Comma 2 3 3 2" xfId="902" xr:uid="{00000000-0005-0000-0000-000061020000}"/>
    <cellStyle name="Comma 2 3 3 2 2" xfId="1690" xr:uid="{00000000-0005-0000-0000-000062020000}"/>
    <cellStyle name="Comma 2 3 3 2 2 2" xfId="3934" xr:uid="{00000000-0005-0000-0000-000063020000}"/>
    <cellStyle name="Comma 2 3 3 2 3" xfId="2414" xr:uid="{00000000-0005-0000-0000-000064020000}"/>
    <cellStyle name="Comma 2 3 3 2 3 2" xfId="4658" xr:uid="{00000000-0005-0000-0000-000065020000}"/>
    <cellStyle name="Comma 2 3 3 2 4" xfId="3148" xr:uid="{00000000-0005-0000-0000-000066020000}"/>
    <cellStyle name="Comma 2 3 3 3" xfId="1155" xr:uid="{00000000-0005-0000-0000-000067020000}"/>
    <cellStyle name="Comma 2 3 3 3 2" xfId="1942" xr:uid="{00000000-0005-0000-0000-000068020000}"/>
    <cellStyle name="Comma 2 3 3 3 2 2" xfId="4186" xr:uid="{00000000-0005-0000-0000-000069020000}"/>
    <cellStyle name="Comma 2 3 3 3 3" xfId="2666" xr:uid="{00000000-0005-0000-0000-00006A020000}"/>
    <cellStyle name="Comma 2 3 3 3 3 2" xfId="4910" xr:uid="{00000000-0005-0000-0000-00006B020000}"/>
    <cellStyle name="Comma 2 3 3 3 4" xfId="3400" xr:uid="{00000000-0005-0000-0000-00006C020000}"/>
    <cellStyle name="Comma 2 3 3 4" xfId="1370" xr:uid="{00000000-0005-0000-0000-00006D020000}"/>
    <cellStyle name="Comma 2 3 3 4 2" xfId="3614" xr:uid="{00000000-0005-0000-0000-00006E020000}"/>
    <cellStyle name="Comma 2 3 3 5" xfId="2156" xr:uid="{00000000-0005-0000-0000-00006F020000}"/>
    <cellStyle name="Comma 2 3 3 5 2" xfId="4400" xr:uid="{00000000-0005-0000-0000-000070020000}"/>
    <cellStyle name="Comma 2 3 3 6" xfId="2880" xr:uid="{00000000-0005-0000-0000-000071020000}"/>
    <cellStyle name="Comma 2 3 4" xfId="88" xr:uid="{00000000-0005-0000-0000-000072020000}"/>
    <cellStyle name="Comma 2 3 4 2" xfId="900" xr:uid="{00000000-0005-0000-0000-000073020000}"/>
    <cellStyle name="Comma 2 3 4 2 2" xfId="1688" xr:uid="{00000000-0005-0000-0000-000074020000}"/>
    <cellStyle name="Comma 2 3 4 2 2 2" xfId="3932" xr:uid="{00000000-0005-0000-0000-000075020000}"/>
    <cellStyle name="Comma 2 3 4 2 3" xfId="2412" xr:uid="{00000000-0005-0000-0000-000076020000}"/>
    <cellStyle name="Comma 2 3 4 2 3 2" xfId="4656" xr:uid="{00000000-0005-0000-0000-000077020000}"/>
    <cellStyle name="Comma 2 3 4 2 4" xfId="3146" xr:uid="{00000000-0005-0000-0000-000078020000}"/>
    <cellStyle name="Comma 2 3 4 3" xfId="1153" xr:uid="{00000000-0005-0000-0000-000079020000}"/>
    <cellStyle name="Comma 2 3 4 3 2" xfId="1940" xr:uid="{00000000-0005-0000-0000-00007A020000}"/>
    <cellStyle name="Comma 2 3 4 3 2 2" xfId="4184" xr:uid="{00000000-0005-0000-0000-00007B020000}"/>
    <cellStyle name="Comma 2 3 4 3 3" xfId="2664" xr:uid="{00000000-0005-0000-0000-00007C020000}"/>
    <cellStyle name="Comma 2 3 4 3 3 2" xfId="4908" xr:uid="{00000000-0005-0000-0000-00007D020000}"/>
    <cellStyle name="Comma 2 3 4 3 4" xfId="3398" xr:uid="{00000000-0005-0000-0000-00007E020000}"/>
    <cellStyle name="Comma 2 3 4 4" xfId="1368" xr:uid="{00000000-0005-0000-0000-00007F020000}"/>
    <cellStyle name="Comma 2 3 4 4 2" xfId="3612" xr:uid="{00000000-0005-0000-0000-000080020000}"/>
    <cellStyle name="Comma 2 3 4 5" xfId="2154" xr:uid="{00000000-0005-0000-0000-000081020000}"/>
    <cellStyle name="Comma 2 3 4 5 2" xfId="4398" xr:uid="{00000000-0005-0000-0000-000082020000}"/>
    <cellStyle name="Comma 2 3 4 6" xfId="2878" xr:uid="{00000000-0005-0000-0000-000083020000}"/>
    <cellStyle name="Comma 2 3 5" xfId="871" xr:uid="{00000000-0005-0000-0000-000084020000}"/>
    <cellStyle name="Comma 2 3 5 2" xfId="1659" xr:uid="{00000000-0005-0000-0000-000085020000}"/>
    <cellStyle name="Comma 2 3 5 2 2" xfId="3903" xr:uid="{00000000-0005-0000-0000-000086020000}"/>
    <cellStyle name="Comma 2 3 5 3" xfId="2383" xr:uid="{00000000-0005-0000-0000-000087020000}"/>
    <cellStyle name="Comma 2 3 5 3 2" xfId="4627" xr:uid="{00000000-0005-0000-0000-000088020000}"/>
    <cellStyle name="Comma 2 3 5 4" xfId="3117" xr:uid="{00000000-0005-0000-0000-000089020000}"/>
    <cellStyle name="Comma 2 3 6" xfId="1079" xr:uid="{00000000-0005-0000-0000-00008A020000}"/>
    <cellStyle name="Comma 2 3 6 2" xfId="1866" xr:uid="{00000000-0005-0000-0000-00008B020000}"/>
    <cellStyle name="Comma 2 3 6 2 2" xfId="4110" xr:uid="{00000000-0005-0000-0000-00008C020000}"/>
    <cellStyle name="Comma 2 3 6 3" xfId="2590" xr:uid="{00000000-0005-0000-0000-00008D020000}"/>
    <cellStyle name="Comma 2 3 6 3 2" xfId="4834" xr:uid="{00000000-0005-0000-0000-00008E020000}"/>
    <cellStyle name="Comma 2 3 6 4" xfId="3324" xr:uid="{00000000-0005-0000-0000-00008F020000}"/>
    <cellStyle name="Comma 2 3 7" xfId="1101" xr:uid="{00000000-0005-0000-0000-000090020000}"/>
    <cellStyle name="Comma 2 3 7 2" xfId="1888" xr:uid="{00000000-0005-0000-0000-000091020000}"/>
    <cellStyle name="Comma 2 3 7 2 2" xfId="4132" xr:uid="{00000000-0005-0000-0000-000092020000}"/>
    <cellStyle name="Comma 2 3 7 3" xfId="2612" xr:uid="{00000000-0005-0000-0000-000093020000}"/>
    <cellStyle name="Comma 2 3 7 3 2" xfId="4856" xr:uid="{00000000-0005-0000-0000-000094020000}"/>
    <cellStyle name="Comma 2 3 7 4" xfId="3346" xr:uid="{00000000-0005-0000-0000-000095020000}"/>
    <cellStyle name="Comma 2 3 8" xfId="1123" xr:uid="{00000000-0005-0000-0000-000096020000}"/>
    <cellStyle name="Comma 2 3 8 2" xfId="1910" xr:uid="{00000000-0005-0000-0000-000097020000}"/>
    <cellStyle name="Comma 2 3 8 2 2" xfId="4154" xr:uid="{00000000-0005-0000-0000-000098020000}"/>
    <cellStyle name="Comma 2 3 8 3" xfId="2634" xr:uid="{00000000-0005-0000-0000-000099020000}"/>
    <cellStyle name="Comma 2 3 8 3 2" xfId="4878" xr:uid="{00000000-0005-0000-0000-00009A020000}"/>
    <cellStyle name="Comma 2 3 8 4" xfId="3368" xr:uid="{00000000-0005-0000-0000-00009B020000}"/>
    <cellStyle name="Comma 2 3 9" xfId="1339" xr:uid="{00000000-0005-0000-0000-00009C020000}"/>
    <cellStyle name="Comma 2 3 9 2" xfId="3583" xr:uid="{00000000-0005-0000-0000-00009D020000}"/>
    <cellStyle name="Comma 2 30" xfId="1086" xr:uid="{00000000-0005-0000-0000-00009E020000}"/>
    <cellStyle name="Comma 2 30 2" xfId="1873" xr:uid="{00000000-0005-0000-0000-00009F020000}"/>
    <cellStyle name="Comma 2 30 2 2" xfId="4117" xr:uid="{00000000-0005-0000-0000-0000A0020000}"/>
    <cellStyle name="Comma 2 30 3" xfId="2597" xr:uid="{00000000-0005-0000-0000-0000A1020000}"/>
    <cellStyle name="Comma 2 30 3 2" xfId="4841" xr:uid="{00000000-0005-0000-0000-0000A2020000}"/>
    <cellStyle name="Comma 2 30 4" xfId="3331" xr:uid="{00000000-0005-0000-0000-0000A3020000}"/>
    <cellStyle name="Comma 2 31" xfId="1107" xr:uid="{00000000-0005-0000-0000-0000A4020000}"/>
    <cellStyle name="Comma 2 31 2" xfId="1894" xr:uid="{00000000-0005-0000-0000-0000A5020000}"/>
    <cellStyle name="Comma 2 31 2 2" xfId="4138" xr:uid="{00000000-0005-0000-0000-0000A6020000}"/>
    <cellStyle name="Comma 2 31 3" xfId="2618" xr:uid="{00000000-0005-0000-0000-0000A7020000}"/>
    <cellStyle name="Comma 2 31 3 2" xfId="4862" xr:uid="{00000000-0005-0000-0000-0000A8020000}"/>
    <cellStyle name="Comma 2 31 4" xfId="3352" xr:uid="{00000000-0005-0000-0000-0000A9020000}"/>
    <cellStyle name="Comma 2 32" xfId="1324" xr:uid="{00000000-0005-0000-0000-0000AA020000}"/>
    <cellStyle name="Comma 2 32 2" xfId="3568" xr:uid="{00000000-0005-0000-0000-0000AB020000}"/>
    <cellStyle name="Comma 2 33" xfId="2110" xr:uid="{00000000-0005-0000-0000-0000AC020000}"/>
    <cellStyle name="Comma 2 33 2" xfId="4354" xr:uid="{00000000-0005-0000-0000-0000AD020000}"/>
    <cellStyle name="Comma 2 34" xfId="2834" xr:uid="{00000000-0005-0000-0000-0000AE020000}"/>
    <cellStyle name="Comma 2 35" xfId="5076" xr:uid="{00000000-0005-0000-0000-0000AF020000}"/>
    <cellStyle name="Comma 2 36" xfId="5095" xr:uid="{00000000-0005-0000-0000-0000B0020000}"/>
    <cellStyle name="Comma 2 37" xfId="5102" xr:uid="{00000000-0005-0000-0000-0000B1020000}"/>
    <cellStyle name="Comma 2 4" xfId="17" xr:uid="{00000000-0005-0000-0000-0000B2020000}"/>
    <cellStyle name="Comma 2 4 2" xfId="91" xr:uid="{00000000-0005-0000-0000-0000B3020000}"/>
    <cellStyle name="Comma 2 4 2 2" xfId="903" xr:uid="{00000000-0005-0000-0000-0000B4020000}"/>
    <cellStyle name="Comma 2 4 2 2 2" xfId="1691" xr:uid="{00000000-0005-0000-0000-0000B5020000}"/>
    <cellStyle name="Comma 2 4 2 2 2 2" xfId="3935" xr:uid="{00000000-0005-0000-0000-0000B6020000}"/>
    <cellStyle name="Comma 2 4 2 2 3" xfId="2415" xr:uid="{00000000-0005-0000-0000-0000B7020000}"/>
    <cellStyle name="Comma 2 4 2 2 3 2" xfId="4659" xr:uid="{00000000-0005-0000-0000-0000B8020000}"/>
    <cellStyle name="Comma 2 4 2 2 4" xfId="3149" xr:uid="{00000000-0005-0000-0000-0000B9020000}"/>
    <cellStyle name="Comma 2 4 2 3" xfId="1156" xr:uid="{00000000-0005-0000-0000-0000BA020000}"/>
    <cellStyle name="Comma 2 4 2 3 2" xfId="1943" xr:uid="{00000000-0005-0000-0000-0000BB020000}"/>
    <cellStyle name="Comma 2 4 2 3 2 2" xfId="4187" xr:uid="{00000000-0005-0000-0000-0000BC020000}"/>
    <cellStyle name="Comma 2 4 2 3 3" xfId="2667" xr:uid="{00000000-0005-0000-0000-0000BD020000}"/>
    <cellStyle name="Comma 2 4 2 3 3 2" xfId="4911" xr:uid="{00000000-0005-0000-0000-0000BE020000}"/>
    <cellStyle name="Comma 2 4 2 3 4" xfId="3401" xr:uid="{00000000-0005-0000-0000-0000BF020000}"/>
    <cellStyle name="Comma 2 4 2 4" xfId="1371" xr:uid="{00000000-0005-0000-0000-0000C0020000}"/>
    <cellStyle name="Comma 2 4 2 4 2" xfId="3615" xr:uid="{00000000-0005-0000-0000-0000C1020000}"/>
    <cellStyle name="Comma 2 4 2 5" xfId="2157" xr:uid="{00000000-0005-0000-0000-0000C2020000}"/>
    <cellStyle name="Comma 2 4 2 5 2" xfId="4401" xr:uid="{00000000-0005-0000-0000-0000C3020000}"/>
    <cellStyle name="Comma 2 4 2 6" xfId="2881" xr:uid="{00000000-0005-0000-0000-0000C4020000}"/>
    <cellStyle name="Comma 2 4 3" xfId="864" xr:uid="{00000000-0005-0000-0000-0000C5020000}"/>
    <cellStyle name="Comma 2 4 3 2" xfId="1652" xr:uid="{00000000-0005-0000-0000-0000C6020000}"/>
    <cellStyle name="Comma 2 4 3 2 2" xfId="3896" xr:uid="{00000000-0005-0000-0000-0000C7020000}"/>
    <cellStyle name="Comma 2 4 3 3" xfId="2376" xr:uid="{00000000-0005-0000-0000-0000C8020000}"/>
    <cellStyle name="Comma 2 4 3 3 2" xfId="4620" xr:uid="{00000000-0005-0000-0000-0000C9020000}"/>
    <cellStyle name="Comma 2 4 3 4" xfId="3110" xr:uid="{00000000-0005-0000-0000-0000CA020000}"/>
    <cellStyle name="Comma 2 4 4" xfId="1094" xr:uid="{00000000-0005-0000-0000-0000CB020000}"/>
    <cellStyle name="Comma 2 4 4 2" xfId="1881" xr:uid="{00000000-0005-0000-0000-0000CC020000}"/>
    <cellStyle name="Comma 2 4 4 2 2" xfId="4125" xr:uid="{00000000-0005-0000-0000-0000CD020000}"/>
    <cellStyle name="Comma 2 4 4 3" xfId="2605" xr:uid="{00000000-0005-0000-0000-0000CE020000}"/>
    <cellStyle name="Comma 2 4 4 3 2" xfId="4849" xr:uid="{00000000-0005-0000-0000-0000CF020000}"/>
    <cellStyle name="Comma 2 4 4 4" xfId="3339" xr:uid="{00000000-0005-0000-0000-0000D0020000}"/>
    <cellStyle name="Comma 2 4 5" xfId="1116" xr:uid="{00000000-0005-0000-0000-0000D1020000}"/>
    <cellStyle name="Comma 2 4 5 2" xfId="1903" xr:uid="{00000000-0005-0000-0000-0000D2020000}"/>
    <cellStyle name="Comma 2 4 5 2 2" xfId="4147" xr:uid="{00000000-0005-0000-0000-0000D3020000}"/>
    <cellStyle name="Comma 2 4 5 3" xfId="2627" xr:uid="{00000000-0005-0000-0000-0000D4020000}"/>
    <cellStyle name="Comma 2 4 5 3 2" xfId="4871" xr:uid="{00000000-0005-0000-0000-0000D5020000}"/>
    <cellStyle name="Comma 2 4 5 4" xfId="3361" xr:uid="{00000000-0005-0000-0000-0000D6020000}"/>
    <cellStyle name="Comma 2 4 6" xfId="1332" xr:uid="{00000000-0005-0000-0000-0000D7020000}"/>
    <cellStyle name="Comma 2 4 6 2" xfId="3576" xr:uid="{00000000-0005-0000-0000-0000D8020000}"/>
    <cellStyle name="Comma 2 4 7" xfId="2118" xr:uid="{00000000-0005-0000-0000-0000D9020000}"/>
    <cellStyle name="Comma 2 4 7 2" xfId="4362" xr:uid="{00000000-0005-0000-0000-0000DA020000}"/>
    <cellStyle name="Comma 2 4 8" xfId="2842" xr:uid="{00000000-0005-0000-0000-0000DB020000}"/>
    <cellStyle name="Comma 2 4 9" xfId="5084" xr:uid="{00000000-0005-0000-0000-0000DC020000}"/>
    <cellStyle name="Comma 2 5" xfId="92" xr:uid="{00000000-0005-0000-0000-0000DD020000}"/>
    <cellStyle name="Comma 2 5 2" xfId="904" xr:uid="{00000000-0005-0000-0000-0000DE020000}"/>
    <cellStyle name="Comma 2 5 2 2" xfId="1692" xr:uid="{00000000-0005-0000-0000-0000DF020000}"/>
    <cellStyle name="Comma 2 5 2 2 2" xfId="3936" xr:uid="{00000000-0005-0000-0000-0000E0020000}"/>
    <cellStyle name="Comma 2 5 2 3" xfId="2416" xr:uid="{00000000-0005-0000-0000-0000E1020000}"/>
    <cellStyle name="Comma 2 5 2 3 2" xfId="4660" xr:uid="{00000000-0005-0000-0000-0000E2020000}"/>
    <cellStyle name="Comma 2 5 2 4" xfId="3150" xr:uid="{00000000-0005-0000-0000-0000E3020000}"/>
    <cellStyle name="Comma 2 5 3" xfId="1157" xr:uid="{00000000-0005-0000-0000-0000E4020000}"/>
    <cellStyle name="Comma 2 5 3 2" xfId="1944" xr:uid="{00000000-0005-0000-0000-0000E5020000}"/>
    <cellStyle name="Comma 2 5 3 2 2" xfId="4188" xr:uid="{00000000-0005-0000-0000-0000E6020000}"/>
    <cellStyle name="Comma 2 5 3 3" xfId="2668" xr:uid="{00000000-0005-0000-0000-0000E7020000}"/>
    <cellStyle name="Comma 2 5 3 3 2" xfId="4912" xr:uid="{00000000-0005-0000-0000-0000E8020000}"/>
    <cellStyle name="Comma 2 5 3 4" xfId="3402" xr:uid="{00000000-0005-0000-0000-0000E9020000}"/>
    <cellStyle name="Comma 2 5 4" xfId="1372" xr:uid="{00000000-0005-0000-0000-0000EA020000}"/>
    <cellStyle name="Comma 2 5 4 2" xfId="3616" xr:uid="{00000000-0005-0000-0000-0000EB020000}"/>
    <cellStyle name="Comma 2 5 5" xfId="2158" xr:uid="{00000000-0005-0000-0000-0000EC020000}"/>
    <cellStyle name="Comma 2 5 5 2" xfId="4402" xr:uid="{00000000-0005-0000-0000-0000ED020000}"/>
    <cellStyle name="Comma 2 5 6" xfId="2882" xr:uid="{00000000-0005-0000-0000-0000EE020000}"/>
    <cellStyle name="Comma 2 6" xfId="93" xr:uid="{00000000-0005-0000-0000-0000EF020000}"/>
    <cellStyle name="Comma 2 6 2" xfId="905" xr:uid="{00000000-0005-0000-0000-0000F0020000}"/>
    <cellStyle name="Comma 2 6 2 2" xfId="1693" xr:uid="{00000000-0005-0000-0000-0000F1020000}"/>
    <cellStyle name="Comma 2 6 2 2 2" xfId="3937" xr:uid="{00000000-0005-0000-0000-0000F2020000}"/>
    <cellStyle name="Comma 2 6 2 3" xfId="2417" xr:uid="{00000000-0005-0000-0000-0000F3020000}"/>
    <cellStyle name="Comma 2 6 2 3 2" xfId="4661" xr:uid="{00000000-0005-0000-0000-0000F4020000}"/>
    <cellStyle name="Comma 2 6 2 4" xfId="3151" xr:uid="{00000000-0005-0000-0000-0000F5020000}"/>
    <cellStyle name="Comma 2 6 3" xfId="1158" xr:uid="{00000000-0005-0000-0000-0000F6020000}"/>
    <cellStyle name="Comma 2 6 3 2" xfId="1945" xr:uid="{00000000-0005-0000-0000-0000F7020000}"/>
    <cellStyle name="Comma 2 6 3 2 2" xfId="4189" xr:uid="{00000000-0005-0000-0000-0000F8020000}"/>
    <cellStyle name="Comma 2 6 3 3" xfId="2669" xr:uid="{00000000-0005-0000-0000-0000F9020000}"/>
    <cellStyle name="Comma 2 6 3 3 2" xfId="4913" xr:uid="{00000000-0005-0000-0000-0000FA020000}"/>
    <cellStyle name="Comma 2 6 3 4" xfId="3403" xr:uid="{00000000-0005-0000-0000-0000FB020000}"/>
    <cellStyle name="Comma 2 6 4" xfId="1373" xr:uid="{00000000-0005-0000-0000-0000FC020000}"/>
    <cellStyle name="Comma 2 6 4 2" xfId="3617" xr:uid="{00000000-0005-0000-0000-0000FD020000}"/>
    <cellStyle name="Comma 2 6 5" xfId="2159" xr:uid="{00000000-0005-0000-0000-0000FE020000}"/>
    <cellStyle name="Comma 2 6 5 2" xfId="4403" xr:uid="{00000000-0005-0000-0000-0000FF020000}"/>
    <cellStyle name="Comma 2 6 6" xfId="2883" xr:uid="{00000000-0005-0000-0000-000000030000}"/>
    <cellStyle name="Comma 2 7" xfId="94" xr:uid="{00000000-0005-0000-0000-000001030000}"/>
    <cellStyle name="Comma 2 7 2" xfId="906" xr:uid="{00000000-0005-0000-0000-000002030000}"/>
    <cellStyle name="Comma 2 7 2 2" xfId="1694" xr:uid="{00000000-0005-0000-0000-000003030000}"/>
    <cellStyle name="Comma 2 7 2 2 2" xfId="3938" xr:uid="{00000000-0005-0000-0000-000004030000}"/>
    <cellStyle name="Comma 2 7 2 3" xfId="2418" xr:uid="{00000000-0005-0000-0000-000005030000}"/>
    <cellStyle name="Comma 2 7 2 3 2" xfId="4662" xr:uid="{00000000-0005-0000-0000-000006030000}"/>
    <cellStyle name="Comma 2 7 2 4" xfId="3152" xr:uid="{00000000-0005-0000-0000-000007030000}"/>
    <cellStyle name="Comma 2 7 3" xfId="1159" xr:uid="{00000000-0005-0000-0000-000008030000}"/>
    <cellStyle name="Comma 2 7 3 2" xfId="1946" xr:uid="{00000000-0005-0000-0000-000009030000}"/>
    <cellStyle name="Comma 2 7 3 2 2" xfId="4190" xr:uid="{00000000-0005-0000-0000-00000A030000}"/>
    <cellStyle name="Comma 2 7 3 3" xfId="2670" xr:uid="{00000000-0005-0000-0000-00000B030000}"/>
    <cellStyle name="Comma 2 7 3 3 2" xfId="4914" xr:uid="{00000000-0005-0000-0000-00000C030000}"/>
    <cellStyle name="Comma 2 7 3 4" xfId="3404" xr:uid="{00000000-0005-0000-0000-00000D030000}"/>
    <cellStyle name="Comma 2 7 4" xfId="1374" xr:uid="{00000000-0005-0000-0000-00000E030000}"/>
    <cellStyle name="Comma 2 7 4 2" xfId="3618" xr:uid="{00000000-0005-0000-0000-00000F030000}"/>
    <cellStyle name="Comma 2 7 5" xfId="2160" xr:uid="{00000000-0005-0000-0000-000010030000}"/>
    <cellStyle name="Comma 2 7 5 2" xfId="4404" xr:uid="{00000000-0005-0000-0000-000011030000}"/>
    <cellStyle name="Comma 2 7 6" xfId="2884" xr:uid="{00000000-0005-0000-0000-000012030000}"/>
    <cellStyle name="Comma 2 8" xfId="95" xr:uid="{00000000-0005-0000-0000-000013030000}"/>
    <cellStyle name="Comma 2 8 2" xfId="907" xr:uid="{00000000-0005-0000-0000-000014030000}"/>
    <cellStyle name="Comma 2 8 2 2" xfId="1695" xr:uid="{00000000-0005-0000-0000-000015030000}"/>
    <cellStyle name="Comma 2 8 2 2 2" xfId="3939" xr:uid="{00000000-0005-0000-0000-000016030000}"/>
    <cellStyle name="Comma 2 8 2 3" xfId="2419" xr:uid="{00000000-0005-0000-0000-000017030000}"/>
    <cellStyle name="Comma 2 8 2 3 2" xfId="4663" xr:uid="{00000000-0005-0000-0000-000018030000}"/>
    <cellStyle name="Comma 2 8 2 4" xfId="3153" xr:uid="{00000000-0005-0000-0000-000019030000}"/>
    <cellStyle name="Comma 2 8 3" xfId="1160" xr:uid="{00000000-0005-0000-0000-00001A030000}"/>
    <cellStyle name="Comma 2 8 3 2" xfId="1947" xr:uid="{00000000-0005-0000-0000-00001B030000}"/>
    <cellStyle name="Comma 2 8 3 2 2" xfId="4191" xr:uid="{00000000-0005-0000-0000-00001C030000}"/>
    <cellStyle name="Comma 2 8 3 3" xfId="2671" xr:uid="{00000000-0005-0000-0000-00001D030000}"/>
    <cellStyle name="Comma 2 8 3 3 2" xfId="4915" xr:uid="{00000000-0005-0000-0000-00001E030000}"/>
    <cellStyle name="Comma 2 8 3 4" xfId="3405" xr:uid="{00000000-0005-0000-0000-00001F030000}"/>
    <cellStyle name="Comma 2 8 4" xfId="1375" xr:uid="{00000000-0005-0000-0000-000020030000}"/>
    <cellStyle name="Comma 2 8 4 2" xfId="3619" xr:uid="{00000000-0005-0000-0000-000021030000}"/>
    <cellStyle name="Comma 2 8 5" xfId="2161" xr:uid="{00000000-0005-0000-0000-000022030000}"/>
    <cellStyle name="Comma 2 8 5 2" xfId="4405" xr:uid="{00000000-0005-0000-0000-000023030000}"/>
    <cellStyle name="Comma 2 8 6" xfId="2885" xr:uid="{00000000-0005-0000-0000-000024030000}"/>
    <cellStyle name="Comma 2 9" xfId="96" xr:uid="{00000000-0005-0000-0000-000025030000}"/>
    <cellStyle name="Comma 2 9 2" xfId="908" xr:uid="{00000000-0005-0000-0000-000026030000}"/>
    <cellStyle name="Comma 2 9 2 2" xfId="1696" xr:uid="{00000000-0005-0000-0000-000027030000}"/>
    <cellStyle name="Comma 2 9 2 2 2" xfId="3940" xr:uid="{00000000-0005-0000-0000-000028030000}"/>
    <cellStyle name="Comma 2 9 2 3" xfId="2420" xr:uid="{00000000-0005-0000-0000-000029030000}"/>
    <cellStyle name="Comma 2 9 2 3 2" xfId="4664" xr:uid="{00000000-0005-0000-0000-00002A030000}"/>
    <cellStyle name="Comma 2 9 2 4" xfId="3154" xr:uid="{00000000-0005-0000-0000-00002B030000}"/>
    <cellStyle name="Comma 2 9 3" xfId="1161" xr:uid="{00000000-0005-0000-0000-00002C030000}"/>
    <cellStyle name="Comma 2 9 3 2" xfId="1948" xr:uid="{00000000-0005-0000-0000-00002D030000}"/>
    <cellStyle name="Comma 2 9 3 2 2" xfId="4192" xr:uid="{00000000-0005-0000-0000-00002E030000}"/>
    <cellStyle name="Comma 2 9 3 3" xfId="2672" xr:uid="{00000000-0005-0000-0000-00002F030000}"/>
    <cellStyle name="Comma 2 9 3 3 2" xfId="4916" xr:uid="{00000000-0005-0000-0000-000030030000}"/>
    <cellStyle name="Comma 2 9 3 4" xfId="3406" xr:uid="{00000000-0005-0000-0000-000031030000}"/>
    <cellStyle name="Comma 2 9 4" xfId="1376" xr:uid="{00000000-0005-0000-0000-000032030000}"/>
    <cellStyle name="Comma 2 9 4 2" xfId="3620" xr:uid="{00000000-0005-0000-0000-000033030000}"/>
    <cellStyle name="Comma 2 9 5" xfId="2162" xr:uid="{00000000-0005-0000-0000-000034030000}"/>
    <cellStyle name="Comma 2 9 5 2" xfId="4406" xr:uid="{00000000-0005-0000-0000-000035030000}"/>
    <cellStyle name="Comma 2 9 6" xfId="2886" xr:uid="{00000000-0005-0000-0000-000036030000}"/>
    <cellStyle name="Comma 20" xfId="97" xr:uid="{00000000-0005-0000-0000-000037030000}"/>
    <cellStyle name="Comma 20 2" xfId="909" xr:uid="{00000000-0005-0000-0000-000038030000}"/>
    <cellStyle name="Comma 20 2 2" xfId="1697" xr:uid="{00000000-0005-0000-0000-000039030000}"/>
    <cellStyle name="Comma 20 2 2 2" xfId="3941" xr:uid="{00000000-0005-0000-0000-00003A030000}"/>
    <cellStyle name="Comma 20 2 3" xfId="2421" xr:uid="{00000000-0005-0000-0000-00003B030000}"/>
    <cellStyle name="Comma 20 2 3 2" xfId="4665" xr:uid="{00000000-0005-0000-0000-00003C030000}"/>
    <cellStyle name="Comma 20 2 4" xfId="3155" xr:uid="{00000000-0005-0000-0000-00003D030000}"/>
    <cellStyle name="Comma 20 3" xfId="1162" xr:uid="{00000000-0005-0000-0000-00003E030000}"/>
    <cellStyle name="Comma 20 3 2" xfId="1949" xr:uid="{00000000-0005-0000-0000-00003F030000}"/>
    <cellStyle name="Comma 20 3 2 2" xfId="4193" xr:uid="{00000000-0005-0000-0000-000040030000}"/>
    <cellStyle name="Comma 20 3 3" xfId="2673" xr:uid="{00000000-0005-0000-0000-000041030000}"/>
    <cellStyle name="Comma 20 3 3 2" xfId="4917" xr:uid="{00000000-0005-0000-0000-000042030000}"/>
    <cellStyle name="Comma 20 3 4" xfId="3407" xr:uid="{00000000-0005-0000-0000-000043030000}"/>
    <cellStyle name="Comma 20 4" xfId="1377" xr:uid="{00000000-0005-0000-0000-000044030000}"/>
    <cellStyle name="Comma 20 4 2" xfId="3621" xr:uid="{00000000-0005-0000-0000-000045030000}"/>
    <cellStyle name="Comma 20 5" xfId="2163" xr:uid="{00000000-0005-0000-0000-000046030000}"/>
    <cellStyle name="Comma 20 5 2" xfId="4407" xr:uid="{00000000-0005-0000-0000-000047030000}"/>
    <cellStyle name="Comma 20 6" xfId="2887" xr:uid="{00000000-0005-0000-0000-000048030000}"/>
    <cellStyle name="Comma 21" xfId="98" xr:uid="{00000000-0005-0000-0000-000049030000}"/>
    <cellStyle name="Comma 21 2" xfId="910" xr:uid="{00000000-0005-0000-0000-00004A030000}"/>
    <cellStyle name="Comma 21 2 2" xfId="1698" xr:uid="{00000000-0005-0000-0000-00004B030000}"/>
    <cellStyle name="Comma 21 2 2 2" xfId="3942" xr:uid="{00000000-0005-0000-0000-00004C030000}"/>
    <cellStyle name="Comma 21 2 3" xfId="2422" xr:uid="{00000000-0005-0000-0000-00004D030000}"/>
    <cellStyle name="Comma 21 2 3 2" xfId="4666" xr:uid="{00000000-0005-0000-0000-00004E030000}"/>
    <cellStyle name="Comma 21 2 4" xfId="3156" xr:uid="{00000000-0005-0000-0000-00004F030000}"/>
    <cellStyle name="Comma 21 3" xfId="1163" xr:uid="{00000000-0005-0000-0000-000050030000}"/>
    <cellStyle name="Comma 21 3 2" xfId="1950" xr:uid="{00000000-0005-0000-0000-000051030000}"/>
    <cellStyle name="Comma 21 3 2 2" xfId="4194" xr:uid="{00000000-0005-0000-0000-000052030000}"/>
    <cellStyle name="Comma 21 3 3" xfId="2674" xr:uid="{00000000-0005-0000-0000-000053030000}"/>
    <cellStyle name="Comma 21 3 3 2" xfId="4918" xr:uid="{00000000-0005-0000-0000-000054030000}"/>
    <cellStyle name="Comma 21 3 4" xfId="3408" xr:uid="{00000000-0005-0000-0000-000055030000}"/>
    <cellStyle name="Comma 21 4" xfId="1378" xr:uid="{00000000-0005-0000-0000-000056030000}"/>
    <cellStyle name="Comma 21 4 2" xfId="3622" xr:uid="{00000000-0005-0000-0000-000057030000}"/>
    <cellStyle name="Comma 21 5" xfId="2164" xr:uid="{00000000-0005-0000-0000-000058030000}"/>
    <cellStyle name="Comma 21 5 2" xfId="4408" xr:uid="{00000000-0005-0000-0000-000059030000}"/>
    <cellStyle name="Comma 21 6" xfId="2888" xr:uid="{00000000-0005-0000-0000-00005A030000}"/>
    <cellStyle name="Comma 22" xfId="723" xr:uid="{00000000-0005-0000-0000-00005B030000}"/>
    <cellStyle name="Comma 22 2" xfId="1038" xr:uid="{00000000-0005-0000-0000-00005C030000}"/>
    <cellStyle name="Comma 22 2 2" xfId="1826" xr:uid="{00000000-0005-0000-0000-00005D030000}"/>
    <cellStyle name="Comma 22 2 2 2" xfId="4070" xr:uid="{00000000-0005-0000-0000-00005E030000}"/>
    <cellStyle name="Comma 22 2 3" xfId="2550" xr:uid="{00000000-0005-0000-0000-00005F030000}"/>
    <cellStyle name="Comma 22 2 3 2" xfId="4794" xr:uid="{00000000-0005-0000-0000-000060030000}"/>
    <cellStyle name="Comma 22 2 4" xfId="3284" xr:uid="{00000000-0005-0000-0000-000061030000}"/>
    <cellStyle name="Comma 22 3" xfId="1291" xr:uid="{00000000-0005-0000-0000-000062030000}"/>
    <cellStyle name="Comma 22 3 2" xfId="2078" xr:uid="{00000000-0005-0000-0000-000063030000}"/>
    <cellStyle name="Comma 22 3 2 2" xfId="4322" xr:uid="{00000000-0005-0000-0000-000064030000}"/>
    <cellStyle name="Comma 22 3 3" xfId="2801" xr:uid="{00000000-0005-0000-0000-000065030000}"/>
    <cellStyle name="Comma 22 3 3 2" xfId="5045" xr:uid="{00000000-0005-0000-0000-000066030000}"/>
    <cellStyle name="Comma 22 3 4" xfId="3536" xr:uid="{00000000-0005-0000-0000-000067030000}"/>
    <cellStyle name="Comma 22 4" xfId="1558" xr:uid="{00000000-0005-0000-0000-000068030000}"/>
    <cellStyle name="Comma 22 4 2" xfId="3802" xr:uid="{00000000-0005-0000-0000-000069030000}"/>
    <cellStyle name="Comma 22 5" xfId="2336" xr:uid="{00000000-0005-0000-0000-00006A030000}"/>
    <cellStyle name="Comma 22 5 2" xfId="4580" xr:uid="{00000000-0005-0000-0000-00006B030000}"/>
    <cellStyle name="Comma 22 6" xfId="3016" xr:uid="{00000000-0005-0000-0000-00006C030000}"/>
    <cellStyle name="Comma 23" xfId="815" xr:uid="{00000000-0005-0000-0000-00006D030000}"/>
    <cellStyle name="Comma 23 2" xfId="1049" xr:uid="{00000000-0005-0000-0000-00006E030000}"/>
    <cellStyle name="Comma 23 2 2" xfId="1837" xr:uid="{00000000-0005-0000-0000-00006F030000}"/>
    <cellStyle name="Comma 23 2 2 2" xfId="4081" xr:uid="{00000000-0005-0000-0000-000070030000}"/>
    <cellStyle name="Comma 23 2 3" xfId="2561" xr:uid="{00000000-0005-0000-0000-000071030000}"/>
    <cellStyle name="Comma 23 2 3 2" xfId="4805" xr:uid="{00000000-0005-0000-0000-000072030000}"/>
    <cellStyle name="Comma 23 2 4" xfId="3295" xr:uid="{00000000-0005-0000-0000-000073030000}"/>
    <cellStyle name="Comma 23 3" xfId="1303" xr:uid="{00000000-0005-0000-0000-000074030000}"/>
    <cellStyle name="Comma 23 3 2" xfId="2090" xr:uid="{00000000-0005-0000-0000-000075030000}"/>
    <cellStyle name="Comma 23 3 2 2" xfId="4334" xr:uid="{00000000-0005-0000-0000-000076030000}"/>
    <cellStyle name="Comma 23 3 3" xfId="2812" xr:uid="{00000000-0005-0000-0000-000077030000}"/>
    <cellStyle name="Comma 23 3 3 2" xfId="5056" xr:uid="{00000000-0005-0000-0000-000078030000}"/>
    <cellStyle name="Comma 23 3 4" xfId="3548" xr:uid="{00000000-0005-0000-0000-000079030000}"/>
    <cellStyle name="Comma 23 4" xfId="1623" xr:uid="{00000000-0005-0000-0000-00007A030000}"/>
    <cellStyle name="Comma 23 4 2" xfId="3867" xr:uid="{00000000-0005-0000-0000-00007B030000}"/>
    <cellStyle name="Comma 23 5" xfId="2347" xr:uid="{00000000-0005-0000-0000-00007C030000}"/>
    <cellStyle name="Comma 23 5 2" xfId="4591" xr:uid="{00000000-0005-0000-0000-00007D030000}"/>
    <cellStyle name="Comma 23 6" xfId="3081" xr:uid="{00000000-0005-0000-0000-00007E030000}"/>
    <cellStyle name="Comma 24" xfId="99" xr:uid="{00000000-0005-0000-0000-00007F030000}"/>
    <cellStyle name="Comma 24 2" xfId="911" xr:uid="{00000000-0005-0000-0000-000080030000}"/>
    <cellStyle name="Comma 24 2 2" xfId="1699" xr:uid="{00000000-0005-0000-0000-000081030000}"/>
    <cellStyle name="Comma 24 2 2 2" xfId="3943" xr:uid="{00000000-0005-0000-0000-000082030000}"/>
    <cellStyle name="Comma 24 2 3" xfId="2423" xr:uid="{00000000-0005-0000-0000-000083030000}"/>
    <cellStyle name="Comma 24 2 3 2" xfId="4667" xr:uid="{00000000-0005-0000-0000-000084030000}"/>
    <cellStyle name="Comma 24 2 4" xfId="3157" xr:uid="{00000000-0005-0000-0000-000085030000}"/>
    <cellStyle name="Comma 24 3" xfId="1164" xr:uid="{00000000-0005-0000-0000-000086030000}"/>
    <cellStyle name="Comma 24 3 2" xfId="1951" xr:uid="{00000000-0005-0000-0000-000087030000}"/>
    <cellStyle name="Comma 24 3 2 2" xfId="4195" xr:uid="{00000000-0005-0000-0000-000088030000}"/>
    <cellStyle name="Comma 24 3 3" xfId="2675" xr:uid="{00000000-0005-0000-0000-000089030000}"/>
    <cellStyle name="Comma 24 3 3 2" xfId="4919" xr:uid="{00000000-0005-0000-0000-00008A030000}"/>
    <cellStyle name="Comma 24 3 4" xfId="3409" xr:uid="{00000000-0005-0000-0000-00008B030000}"/>
    <cellStyle name="Comma 24 4" xfId="1379" xr:uid="{00000000-0005-0000-0000-00008C030000}"/>
    <cellStyle name="Comma 24 4 2" xfId="3623" xr:uid="{00000000-0005-0000-0000-00008D030000}"/>
    <cellStyle name="Comma 24 5" xfId="2165" xr:uid="{00000000-0005-0000-0000-00008E030000}"/>
    <cellStyle name="Comma 24 5 2" xfId="4409" xr:uid="{00000000-0005-0000-0000-00008F030000}"/>
    <cellStyle name="Comma 24 6" xfId="2889" xr:uid="{00000000-0005-0000-0000-000090030000}"/>
    <cellStyle name="Comma 25" xfId="100" xr:uid="{00000000-0005-0000-0000-000091030000}"/>
    <cellStyle name="Comma 25 2" xfId="912" xr:uid="{00000000-0005-0000-0000-000092030000}"/>
    <cellStyle name="Comma 25 2 2" xfId="1700" xr:uid="{00000000-0005-0000-0000-000093030000}"/>
    <cellStyle name="Comma 25 2 2 2" xfId="3944" xr:uid="{00000000-0005-0000-0000-000094030000}"/>
    <cellStyle name="Comma 25 2 3" xfId="2424" xr:uid="{00000000-0005-0000-0000-000095030000}"/>
    <cellStyle name="Comma 25 2 3 2" xfId="4668" xr:uid="{00000000-0005-0000-0000-000096030000}"/>
    <cellStyle name="Comma 25 2 4" xfId="3158" xr:uid="{00000000-0005-0000-0000-000097030000}"/>
    <cellStyle name="Comma 25 3" xfId="1165" xr:uid="{00000000-0005-0000-0000-000098030000}"/>
    <cellStyle name="Comma 25 3 2" xfId="1952" xr:uid="{00000000-0005-0000-0000-000099030000}"/>
    <cellStyle name="Comma 25 3 2 2" xfId="4196" xr:uid="{00000000-0005-0000-0000-00009A030000}"/>
    <cellStyle name="Comma 25 3 3" xfId="2676" xr:uid="{00000000-0005-0000-0000-00009B030000}"/>
    <cellStyle name="Comma 25 3 3 2" xfId="4920" xr:uid="{00000000-0005-0000-0000-00009C030000}"/>
    <cellStyle name="Comma 25 3 4" xfId="3410" xr:uid="{00000000-0005-0000-0000-00009D030000}"/>
    <cellStyle name="Comma 25 4" xfId="1380" xr:uid="{00000000-0005-0000-0000-00009E030000}"/>
    <cellStyle name="Comma 25 4 2" xfId="3624" xr:uid="{00000000-0005-0000-0000-00009F030000}"/>
    <cellStyle name="Comma 25 5" xfId="2166" xr:uid="{00000000-0005-0000-0000-0000A0030000}"/>
    <cellStyle name="Comma 25 5 2" xfId="4410" xr:uid="{00000000-0005-0000-0000-0000A1030000}"/>
    <cellStyle name="Comma 25 6" xfId="2890" xr:uid="{00000000-0005-0000-0000-0000A2030000}"/>
    <cellStyle name="Comma 26" xfId="2" xr:uid="{00000000-0005-0000-0000-0000A3030000}"/>
    <cellStyle name="Comma 26 10" xfId="2108" xr:uid="{00000000-0005-0000-0000-0000A4030000}"/>
    <cellStyle name="Comma 26 10 2" xfId="4352" xr:uid="{00000000-0005-0000-0000-0000A5030000}"/>
    <cellStyle name="Comma 26 11" xfId="2832" xr:uid="{00000000-0005-0000-0000-0000A6030000}"/>
    <cellStyle name="Comma 26 12" xfId="5074" xr:uid="{00000000-0005-0000-0000-0000A7030000}"/>
    <cellStyle name="Comma 26 2" xfId="5" xr:uid="{00000000-0005-0000-0000-0000A8030000}"/>
    <cellStyle name="Comma 26 2 10" xfId="2833" xr:uid="{00000000-0005-0000-0000-0000A9030000}"/>
    <cellStyle name="Comma 26 2 11" xfId="5075" xr:uid="{00000000-0005-0000-0000-0000AA030000}"/>
    <cellStyle name="Comma 26 2 2" xfId="10" xr:uid="{00000000-0005-0000-0000-0000AB030000}"/>
    <cellStyle name="Comma 26 2 2 10" xfId="5079" xr:uid="{00000000-0005-0000-0000-0000AC030000}"/>
    <cellStyle name="Comma 26 2 2 2" xfId="20" xr:uid="{00000000-0005-0000-0000-0000AD030000}"/>
    <cellStyle name="Comma 26 2 2 2 2" xfId="867" xr:uid="{00000000-0005-0000-0000-0000AE030000}"/>
    <cellStyle name="Comma 26 2 2 2 2 2" xfId="1655" xr:uid="{00000000-0005-0000-0000-0000AF030000}"/>
    <cellStyle name="Comma 26 2 2 2 2 2 2" xfId="3899" xr:uid="{00000000-0005-0000-0000-0000B0030000}"/>
    <cellStyle name="Comma 26 2 2 2 2 3" xfId="2379" xr:uid="{00000000-0005-0000-0000-0000B1030000}"/>
    <cellStyle name="Comma 26 2 2 2 2 3 2" xfId="4623" xr:uid="{00000000-0005-0000-0000-0000B2030000}"/>
    <cellStyle name="Comma 26 2 2 2 2 4" xfId="3113" xr:uid="{00000000-0005-0000-0000-0000B3030000}"/>
    <cellStyle name="Comma 26 2 2 2 3" xfId="1097" xr:uid="{00000000-0005-0000-0000-0000B4030000}"/>
    <cellStyle name="Comma 26 2 2 2 3 2" xfId="1884" xr:uid="{00000000-0005-0000-0000-0000B5030000}"/>
    <cellStyle name="Comma 26 2 2 2 3 2 2" xfId="4128" xr:uid="{00000000-0005-0000-0000-0000B6030000}"/>
    <cellStyle name="Comma 26 2 2 2 3 3" xfId="2608" xr:uid="{00000000-0005-0000-0000-0000B7030000}"/>
    <cellStyle name="Comma 26 2 2 2 3 3 2" xfId="4852" xr:uid="{00000000-0005-0000-0000-0000B8030000}"/>
    <cellStyle name="Comma 26 2 2 2 3 4" xfId="3342" xr:uid="{00000000-0005-0000-0000-0000B9030000}"/>
    <cellStyle name="Comma 26 2 2 2 4" xfId="1119" xr:uid="{00000000-0005-0000-0000-0000BA030000}"/>
    <cellStyle name="Comma 26 2 2 2 4 2" xfId="1906" xr:uid="{00000000-0005-0000-0000-0000BB030000}"/>
    <cellStyle name="Comma 26 2 2 2 4 2 2" xfId="4150" xr:uid="{00000000-0005-0000-0000-0000BC030000}"/>
    <cellStyle name="Comma 26 2 2 2 4 3" xfId="2630" xr:uid="{00000000-0005-0000-0000-0000BD030000}"/>
    <cellStyle name="Comma 26 2 2 2 4 3 2" xfId="4874" xr:uid="{00000000-0005-0000-0000-0000BE030000}"/>
    <cellStyle name="Comma 26 2 2 2 4 4" xfId="3364" xr:uid="{00000000-0005-0000-0000-0000BF030000}"/>
    <cellStyle name="Comma 26 2 2 2 5" xfId="1335" xr:uid="{00000000-0005-0000-0000-0000C0030000}"/>
    <cellStyle name="Comma 26 2 2 2 5 2" xfId="3579" xr:uid="{00000000-0005-0000-0000-0000C1030000}"/>
    <cellStyle name="Comma 26 2 2 2 6" xfId="2121" xr:uid="{00000000-0005-0000-0000-0000C2030000}"/>
    <cellStyle name="Comma 26 2 2 2 6 2" xfId="4365" xr:uid="{00000000-0005-0000-0000-0000C3030000}"/>
    <cellStyle name="Comma 26 2 2 2 7" xfId="2845" xr:uid="{00000000-0005-0000-0000-0000C4030000}"/>
    <cellStyle name="Comma 26 2 2 2 8" xfId="5087" xr:uid="{00000000-0005-0000-0000-0000C5030000}"/>
    <cellStyle name="Comma 26 2 2 3" xfId="858" xr:uid="{00000000-0005-0000-0000-0000C6030000}"/>
    <cellStyle name="Comma 26 2 2 3 2" xfId="1646" xr:uid="{00000000-0005-0000-0000-0000C7030000}"/>
    <cellStyle name="Comma 26 2 2 3 2 2" xfId="3890" xr:uid="{00000000-0005-0000-0000-0000C8030000}"/>
    <cellStyle name="Comma 26 2 2 3 3" xfId="2370" xr:uid="{00000000-0005-0000-0000-0000C9030000}"/>
    <cellStyle name="Comma 26 2 2 3 3 2" xfId="4614" xr:uid="{00000000-0005-0000-0000-0000CA030000}"/>
    <cellStyle name="Comma 26 2 2 3 4" xfId="3104" xr:uid="{00000000-0005-0000-0000-0000CB030000}"/>
    <cellStyle name="Comma 26 2 2 4" xfId="1075" xr:uid="{00000000-0005-0000-0000-0000CC030000}"/>
    <cellStyle name="Comma 26 2 2 4 2" xfId="1862" xr:uid="{00000000-0005-0000-0000-0000CD030000}"/>
    <cellStyle name="Comma 26 2 2 4 2 2" xfId="4106" xr:uid="{00000000-0005-0000-0000-0000CE030000}"/>
    <cellStyle name="Comma 26 2 2 4 3" xfId="2586" xr:uid="{00000000-0005-0000-0000-0000CF030000}"/>
    <cellStyle name="Comma 26 2 2 4 3 2" xfId="4830" xr:uid="{00000000-0005-0000-0000-0000D0030000}"/>
    <cellStyle name="Comma 26 2 2 4 4" xfId="3320" xr:uid="{00000000-0005-0000-0000-0000D1030000}"/>
    <cellStyle name="Comma 26 2 2 5" xfId="1089" xr:uid="{00000000-0005-0000-0000-0000D2030000}"/>
    <cellStyle name="Comma 26 2 2 5 2" xfId="1876" xr:uid="{00000000-0005-0000-0000-0000D3030000}"/>
    <cellStyle name="Comma 26 2 2 5 2 2" xfId="4120" xr:uid="{00000000-0005-0000-0000-0000D4030000}"/>
    <cellStyle name="Comma 26 2 2 5 3" xfId="2600" xr:uid="{00000000-0005-0000-0000-0000D5030000}"/>
    <cellStyle name="Comma 26 2 2 5 3 2" xfId="4844" xr:uid="{00000000-0005-0000-0000-0000D6030000}"/>
    <cellStyle name="Comma 26 2 2 5 4" xfId="3334" xr:uid="{00000000-0005-0000-0000-0000D7030000}"/>
    <cellStyle name="Comma 26 2 2 6" xfId="1110" xr:uid="{00000000-0005-0000-0000-0000D8030000}"/>
    <cellStyle name="Comma 26 2 2 6 2" xfId="1897" xr:uid="{00000000-0005-0000-0000-0000D9030000}"/>
    <cellStyle name="Comma 26 2 2 6 2 2" xfId="4141" xr:uid="{00000000-0005-0000-0000-0000DA030000}"/>
    <cellStyle name="Comma 26 2 2 6 3" xfId="2621" xr:uid="{00000000-0005-0000-0000-0000DB030000}"/>
    <cellStyle name="Comma 26 2 2 6 3 2" xfId="4865" xr:uid="{00000000-0005-0000-0000-0000DC030000}"/>
    <cellStyle name="Comma 26 2 2 6 4" xfId="3355" xr:uid="{00000000-0005-0000-0000-0000DD030000}"/>
    <cellStyle name="Comma 26 2 2 7" xfId="1327" xr:uid="{00000000-0005-0000-0000-0000DE030000}"/>
    <cellStyle name="Comma 26 2 2 7 2" xfId="3571" xr:uid="{00000000-0005-0000-0000-0000DF030000}"/>
    <cellStyle name="Comma 26 2 2 8" xfId="2113" xr:uid="{00000000-0005-0000-0000-0000E0030000}"/>
    <cellStyle name="Comma 26 2 2 8 2" xfId="4357" xr:uid="{00000000-0005-0000-0000-0000E1030000}"/>
    <cellStyle name="Comma 26 2 2 9" xfId="2837" xr:uid="{00000000-0005-0000-0000-0000E2030000}"/>
    <cellStyle name="Comma 26 2 3" xfId="16" xr:uid="{00000000-0005-0000-0000-0000E3030000}"/>
    <cellStyle name="Comma 26 2 3 2" xfId="863" xr:uid="{00000000-0005-0000-0000-0000E4030000}"/>
    <cellStyle name="Comma 26 2 3 2 2" xfId="1651" xr:uid="{00000000-0005-0000-0000-0000E5030000}"/>
    <cellStyle name="Comma 26 2 3 2 2 2" xfId="3895" xr:uid="{00000000-0005-0000-0000-0000E6030000}"/>
    <cellStyle name="Comma 26 2 3 2 3" xfId="2375" xr:uid="{00000000-0005-0000-0000-0000E7030000}"/>
    <cellStyle name="Comma 26 2 3 2 3 2" xfId="4619" xr:uid="{00000000-0005-0000-0000-0000E8030000}"/>
    <cellStyle name="Comma 26 2 3 2 4" xfId="3109" xr:uid="{00000000-0005-0000-0000-0000E9030000}"/>
    <cellStyle name="Comma 26 2 3 3" xfId="1093" xr:uid="{00000000-0005-0000-0000-0000EA030000}"/>
    <cellStyle name="Comma 26 2 3 3 2" xfId="1880" xr:uid="{00000000-0005-0000-0000-0000EB030000}"/>
    <cellStyle name="Comma 26 2 3 3 2 2" xfId="4124" xr:uid="{00000000-0005-0000-0000-0000EC030000}"/>
    <cellStyle name="Comma 26 2 3 3 3" xfId="2604" xr:uid="{00000000-0005-0000-0000-0000ED030000}"/>
    <cellStyle name="Comma 26 2 3 3 3 2" xfId="4848" xr:uid="{00000000-0005-0000-0000-0000EE030000}"/>
    <cellStyle name="Comma 26 2 3 3 4" xfId="3338" xr:uid="{00000000-0005-0000-0000-0000EF030000}"/>
    <cellStyle name="Comma 26 2 3 4" xfId="1115" xr:uid="{00000000-0005-0000-0000-0000F0030000}"/>
    <cellStyle name="Comma 26 2 3 4 2" xfId="1902" xr:uid="{00000000-0005-0000-0000-0000F1030000}"/>
    <cellStyle name="Comma 26 2 3 4 2 2" xfId="4146" xr:uid="{00000000-0005-0000-0000-0000F2030000}"/>
    <cellStyle name="Comma 26 2 3 4 3" xfId="2626" xr:uid="{00000000-0005-0000-0000-0000F3030000}"/>
    <cellStyle name="Comma 26 2 3 4 3 2" xfId="4870" xr:uid="{00000000-0005-0000-0000-0000F4030000}"/>
    <cellStyle name="Comma 26 2 3 4 4" xfId="3360" xr:uid="{00000000-0005-0000-0000-0000F5030000}"/>
    <cellStyle name="Comma 26 2 3 5" xfId="1331" xr:uid="{00000000-0005-0000-0000-0000F6030000}"/>
    <cellStyle name="Comma 26 2 3 5 2" xfId="3575" xr:uid="{00000000-0005-0000-0000-0000F7030000}"/>
    <cellStyle name="Comma 26 2 3 6" xfId="2117" xr:uid="{00000000-0005-0000-0000-0000F8030000}"/>
    <cellStyle name="Comma 26 2 3 6 2" xfId="4361" xr:uid="{00000000-0005-0000-0000-0000F9030000}"/>
    <cellStyle name="Comma 26 2 3 7" xfId="2841" xr:uid="{00000000-0005-0000-0000-0000FA030000}"/>
    <cellStyle name="Comma 26 2 3 8" xfId="5083" xr:uid="{00000000-0005-0000-0000-0000FB030000}"/>
    <cellStyle name="Comma 26 2 4" xfId="854" xr:uid="{00000000-0005-0000-0000-0000FC030000}"/>
    <cellStyle name="Comma 26 2 4 2" xfId="1642" xr:uid="{00000000-0005-0000-0000-0000FD030000}"/>
    <cellStyle name="Comma 26 2 4 2 2" xfId="3886" xr:uid="{00000000-0005-0000-0000-0000FE030000}"/>
    <cellStyle name="Comma 26 2 4 3" xfId="2366" xr:uid="{00000000-0005-0000-0000-0000FF030000}"/>
    <cellStyle name="Comma 26 2 4 3 2" xfId="4610" xr:uid="{00000000-0005-0000-0000-000000040000}"/>
    <cellStyle name="Comma 26 2 4 4" xfId="3100" xr:uid="{00000000-0005-0000-0000-000001040000}"/>
    <cellStyle name="Comma 26 2 5" xfId="1071" xr:uid="{00000000-0005-0000-0000-000002040000}"/>
    <cellStyle name="Comma 26 2 5 2" xfId="1858" xr:uid="{00000000-0005-0000-0000-000003040000}"/>
    <cellStyle name="Comma 26 2 5 2 2" xfId="4102" xr:uid="{00000000-0005-0000-0000-000004040000}"/>
    <cellStyle name="Comma 26 2 5 3" xfId="2582" xr:uid="{00000000-0005-0000-0000-000005040000}"/>
    <cellStyle name="Comma 26 2 5 3 2" xfId="4826" xr:uid="{00000000-0005-0000-0000-000006040000}"/>
    <cellStyle name="Comma 26 2 5 4" xfId="3316" xr:uid="{00000000-0005-0000-0000-000007040000}"/>
    <cellStyle name="Comma 26 2 6" xfId="1085" xr:uid="{00000000-0005-0000-0000-000008040000}"/>
    <cellStyle name="Comma 26 2 6 2" xfId="1872" xr:uid="{00000000-0005-0000-0000-000009040000}"/>
    <cellStyle name="Comma 26 2 6 2 2" xfId="4116" xr:uid="{00000000-0005-0000-0000-00000A040000}"/>
    <cellStyle name="Comma 26 2 6 3" xfId="2596" xr:uid="{00000000-0005-0000-0000-00000B040000}"/>
    <cellStyle name="Comma 26 2 6 3 2" xfId="4840" xr:uid="{00000000-0005-0000-0000-00000C040000}"/>
    <cellStyle name="Comma 26 2 6 4" xfId="3330" xr:uid="{00000000-0005-0000-0000-00000D040000}"/>
    <cellStyle name="Comma 26 2 7" xfId="1106" xr:uid="{00000000-0005-0000-0000-00000E040000}"/>
    <cellStyle name="Comma 26 2 7 2" xfId="1893" xr:uid="{00000000-0005-0000-0000-00000F040000}"/>
    <cellStyle name="Comma 26 2 7 2 2" xfId="4137" xr:uid="{00000000-0005-0000-0000-000010040000}"/>
    <cellStyle name="Comma 26 2 7 3" xfId="2617" xr:uid="{00000000-0005-0000-0000-000011040000}"/>
    <cellStyle name="Comma 26 2 7 3 2" xfId="4861" xr:uid="{00000000-0005-0000-0000-000012040000}"/>
    <cellStyle name="Comma 26 2 7 4" xfId="3351" xr:uid="{00000000-0005-0000-0000-000013040000}"/>
    <cellStyle name="Comma 26 2 8" xfId="1323" xr:uid="{00000000-0005-0000-0000-000014040000}"/>
    <cellStyle name="Comma 26 2 8 2" xfId="3567" xr:uid="{00000000-0005-0000-0000-000015040000}"/>
    <cellStyle name="Comma 26 2 9" xfId="2109" xr:uid="{00000000-0005-0000-0000-000016040000}"/>
    <cellStyle name="Comma 26 2 9 2" xfId="4353" xr:uid="{00000000-0005-0000-0000-000017040000}"/>
    <cellStyle name="Comma 26 3" xfId="8" xr:uid="{00000000-0005-0000-0000-000018040000}"/>
    <cellStyle name="Comma 26 3 10" xfId="5077" xr:uid="{00000000-0005-0000-0000-000019040000}"/>
    <cellStyle name="Comma 26 3 2" xfId="18" xr:uid="{00000000-0005-0000-0000-00001A040000}"/>
    <cellStyle name="Comma 26 3 2 2" xfId="865" xr:uid="{00000000-0005-0000-0000-00001B040000}"/>
    <cellStyle name="Comma 26 3 2 2 2" xfId="1653" xr:uid="{00000000-0005-0000-0000-00001C040000}"/>
    <cellStyle name="Comma 26 3 2 2 2 2" xfId="3897" xr:uid="{00000000-0005-0000-0000-00001D040000}"/>
    <cellStyle name="Comma 26 3 2 2 3" xfId="2377" xr:uid="{00000000-0005-0000-0000-00001E040000}"/>
    <cellStyle name="Comma 26 3 2 2 3 2" xfId="4621" xr:uid="{00000000-0005-0000-0000-00001F040000}"/>
    <cellStyle name="Comma 26 3 2 2 4" xfId="3111" xr:uid="{00000000-0005-0000-0000-000020040000}"/>
    <cellStyle name="Comma 26 3 2 3" xfId="1095" xr:uid="{00000000-0005-0000-0000-000021040000}"/>
    <cellStyle name="Comma 26 3 2 3 2" xfId="1882" xr:uid="{00000000-0005-0000-0000-000022040000}"/>
    <cellStyle name="Comma 26 3 2 3 2 2" xfId="4126" xr:uid="{00000000-0005-0000-0000-000023040000}"/>
    <cellStyle name="Comma 26 3 2 3 3" xfId="2606" xr:uid="{00000000-0005-0000-0000-000024040000}"/>
    <cellStyle name="Comma 26 3 2 3 3 2" xfId="4850" xr:uid="{00000000-0005-0000-0000-000025040000}"/>
    <cellStyle name="Comma 26 3 2 3 4" xfId="3340" xr:uid="{00000000-0005-0000-0000-000026040000}"/>
    <cellStyle name="Comma 26 3 2 4" xfId="1117" xr:uid="{00000000-0005-0000-0000-000027040000}"/>
    <cellStyle name="Comma 26 3 2 4 2" xfId="1904" xr:uid="{00000000-0005-0000-0000-000028040000}"/>
    <cellStyle name="Comma 26 3 2 4 2 2" xfId="4148" xr:uid="{00000000-0005-0000-0000-000029040000}"/>
    <cellStyle name="Comma 26 3 2 4 3" xfId="2628" xr:uid="{00000000-0005-0000-0000-00002A040000}"/>
    <cellStyle name="Comma 26 3 2 4 3 2" xfId="4872" xr:uid="{00000000-0005-0000-0000-00002B040000}"/>
    <cellStyle name="Comma 26 3 2 4 4" xfId="3362" xr:uid="{00000000-0005-0000-0000-00002C040000}"/>
    <cellStyle name="Comma 26 3 2 5" xfId="1333" xr:uid="{00000000-0005-0000-0000-00002D040000}"/>
    <cellStyle name="Comma 26 3 2 5 2" xfId="3577" xr:uid="{00000000-0005-0000-0000-00002E040000}"/>
    <cellStyle name="Comma 26 3 2 6" xfId="2119" xr:uid="{00000000-0005-0000-0000-00002F040000}"/>
    <cellStyle name="Comma 26 3 2 6 2" xfId="4363" xr:uid="{00000000-0005-0000-0000-000030040000}"/>
    <cellStyle name="Comma 26 3 2 7" xfId="2843" xr:uid="{00000000-0005-0000-0000-000031040000}"/>
    <cellStyle name="Comma 26 3 2 8" xfId="5085" xr:uid="{00000000-0005-0000-0000-000032040000}"/>
    <cellStyle name="Comma 26 3 3" xfId="856" xr:uid="{00000000-0005-0000-0000-000033040000}"/>
    <cellStyle name="Comma 26 3 3 2" xfId="1644" xr:uid="{00000000-0005-0000-0000-000034040000}"/>
    <cellStyle name="Comma 26 3 3 2 2" xfId="3888" xr:uid="{00000000-0005-0000-0000-000035040000}"/>
    <cellStyle name="Comma 26 3 3 3" xfId="2368" xr:uid="{00000000-0005-0000-0000-000036040000}"/>
    <cellStyle name="Comma 26 3 3 3 2" xfId="4612" xr:uid="{00000000-0005-0000-0000-000037040000}"/>
    <cellStyle name="Comma 26 3 3 4" xfId="3102" xr:uid="{00000000-0005-0000-0000-000038040000}"/>
    <cellStyle name="Comma 26 3 4" xfId="1073" xr:uid="{00000000-0005-0000-0000-000039040000}"/>
    <cellStyle name="Comma 26 3 4 2" xfId="1860" xr:uid="{00000000-0005-0000-0000-00003A040000}"/>
    <cellStyle name="Comma 26 3 4 2 2" xfId="4104" xr:uid="{00000000-0005-0000-0000-00003B040000}"/>
    <cellStyle name="Comma 26 3 4 3" xfId="2584" xr:uid="{00000000-0005-0000-0000-00003C040000}"/>
    <cellStyle name="Comma 26 3 4 3 2" xfId="4828" xr:uid="{00000000-0005-0000-0000-00003D040000}"/>
    <cellStyle name="Comma 26 3 4 4" xfId="3318" xr:uid="{00000000-0005-0000-0000-00003E040000}"/>
    <cellStyle name="Comma 26 3 5" xfId="1087" xr:uid="{00000000-0005-0000-0000-00003F040000}"/>
    <cellStyle name="Comma 26 3 5 2" xfId="1874" xr:uid="{00000000-0005-0000-0000-000040040000}"/>
    <cellStyle name="Comma 26 3 5 2 2" xfId="4118" xr:uid="{00000000-0005-0000-0000-000041040000}"/>
    <cellStyle name="Comma 26 3 5 3" xfId="2598" xr:uid="{00000000-0005-0000-0000-000042040000}"/>
    <cellStyle name="Comma 26 3 5 3 2" xfId="4842" xr:uid="{00000000-0005-0000-0000-000043040000}"/>
    <cellStyle name="Comma 26 3 5 4" xfId="3332" xr:uid="{00000000-0005-0000-0000-000044040000}"/>
    <cellStyle name="Comma 26 3 6" xfId="1108" xr:uid="{00000000-0005-0000-0000-000045040000}"/>
    <cellStyle name="Comma 26 3 6 2" xfId="1895" xr:uid="{00000000-0005-0000-0000-000046040000}"/>
    <cellStyle name="Comma 26 3 6 2 2" xfId="4139" xr:uid="{00000000-0005-0000-0000-000047040000}"/>
    <cellStyle name="Comma 26 3 6 3" xfId="2619" xr:uid="{00000000-0005-0000-0000-000048040000}"/>
    <cellStyle name="Comma 26 3 6 3 2" xfId="4863" xr:uid="{00000000-0005-0000-0000-000049040000}"/>
    <cellStyle name="Comma 26 3 6 4" xfId="3353" xr:uid="{00000000-0005-0000-0000-00004A040000}"/>
    <cellStyle name="Comma 26 3 7" xfId="1325" xr:uid="{00000000-0005-0000-0000-00004B040000}"/>
    <cellStyle name="Comma 26 3 7 2" xfId="3569" xr:uid="{00000000-0005-0000-0000-00004C040000}"/>
    <cellStyle name="Comma 26 3 8" xfId="2111" xr:uid="{00000000-0005-0000-0000-00004D040000}"/>
    <cellStyle name="Comma 26 3 8 2" xfId="4355" xr:uid="{00000000-0005-0000-0000-00004E040000}"/>
    <cellStyle name="Comma 26 3 9" xfId="2835" xr:uid="{00000000-0005-0000-0000-00004F040000}"/>
    <cellStyle name="Comma 26 4" xfId="15" xr:uid="{00000000-0005-0000-0000-000050040000}"/>
    <cellStyle name="Comma 26 4 2" xfId="862" xr:uid="{00000000-0005-0000-0000-000051040000}"/>
    <cellStyle name="Comma 26 4 2 2" xfId="1650" xr:uid="{00000000-0005-0000-0000-000052040000}"/>
    <cellStyle name="Comma 26 4 2 2 2" xfId="3894" xr:uid="{00000000-0005-0000-0000-000053040000}"/>
    <cellStyle name="Comma 26 4 2 3" xfId="2374" xr:uid="{00000000-0005-0000-0000-000054040000}"/>
    <cellStyle name="Comma 26 4 2 3 2" xfId="4618" xr:uid="{00000000-0005-0000-0000-000055040000}"/>
    <cellStyle name="Comma 26 4 2 4" xfId="3108" xr:uid="{00000000-0005-0000-0000-000056040000}"/>
    <cellStyle name="Comma 26 4 3" xfId="1092" xr:uid="{00000000-0005-0000-0000-000057040000}"/>
    <cellStyle name="Comma 26 4 3 2" xfId="1879" xr:uid="{00000000-0005-0000-0000-000058040000}"/>
    <cellStyle name="Comma 26 4 3 2 2" xfId="4123" xr:uid="{00000000-0005-0000-0000-000059040000}"/>
    <cellStyle name="Comma 26 4 3 3" xfId="2603" xr:uid="{00000000-0005-0000-0000-00005A040000}"/>
    <cellStyle name="Comma 26 4 3 3 2" xfId="4847" xr:uid="{00000000-0005-0000-0000-00005B040000}"/>
    <cellStyle name="Comma 26 4 3 4" xfId="3337" xr:uid="{00000000-0005-0000-0000-00005C040000}"/>
    <cellStyle name="Comma 26 4 4" xfId="1114" xr:uid="{00000000-0005-0000-0000-00005D040000}"/>
    <cellStyle name="Comma 26 4 4 2" xfId="1901" xr:uid="{00000000-0005-0000-0000-00005E040000}"/>
    <cellStyle name="Comma 26 4 4 2 2" xfId="4145" xr:uid="{00000000-0005-0000-0000-00005F040000}"/>
    <cellStyle name="Comma 26 4 4 3" xfId="2625" xr:uid="{00000000-0005-0000-0000-000060040000}"/>
    <cellStyle name="Comma 26 4 4 3 2" xfId="4869" xr:uid="{00000000-0005-0000-0000-000061040000}"/>
    <cellStyle name="Comma 26 4 4 4" xfId="3359" xr:uid="{00000000-0005-0000-0000-000062040000}"/>
    <cellStyle name="Comma 26 4 5" xfId="1330" xr:uid="{00000000-0005-0000-0000-000063040000}"/>
    <cellStyle name="Comma 26 4 5 2" xfId="3574" xr:uid="{00000000-0005-0000-0000-000064040000}"/>
    <cellStyle name="Comma 26 4 6" xfId="2116" xr:uid="{00000000-0005-0000-0000-000065040000}"/>
    <cellStyle name="Comma 26 4 6 2" xfId="4360" xr:uid="{00000000-0005-0000-0000-000066040000}"/>
    <cellStyle name="Comma 26 4 7" xfId="2840" xr:uid="{00000000-0005-0000-0000-000067040000}"/>
    <cellStyle name="Comma 26 4 8" xfId="5082" xr:uid="{00000000-0005-0000-0000-000068040000}"/>
    <cellStyle name="Comma 26 5" xfId="853" xr:uid="{00000000-0005-0000-0000-000069040000}"/>
    <cellStyle name="Comma 26 5 2" xfId="1641" xr:uid="{00000000-0005-0000-0000-00006A040000}"/>
    <cellStyle name="Comma 26 5 2 2" xfId="3885" xr:uid="{00000000-0005-0000-0000-00006B040000}"/>
    <cellStyle name="Comma 26 5 3" xfId="2365" xr:uid="{00000000-0005-0000-0000-00006C040000}"/>
    <cellStyle name="Comma 26 5 3 2" xfId="4609" xr:uid="{00000000-0005-0000-0000-00006D040000}"/>
    <cellStyle name="Comma 26 5 4" xfId="3099" xr:uid="{00000000-0005-0000-0000-00006E040000}"/>
    <cellStyle name="Comma 26 6" xfId="1070" xr:uid="{00000000-0005-0000-0000-00006F040000}"/>
    <cellStyle name="Comma 26 6 2" xfId="1857" xr:uid="{00000000-0005-0000-0000-000070040000}"/>
    <cellStyle name="Comma 26 6 2 2" xfId="4101" xr:uid="{00000000-0005-0000-0000-000071040000}"/>
    <cellStyle name="Comma 26 6 3" xfId="2581" xr:uid="{00000000-0005-0000-0000-000072040000}"/>
    <cellStyle name="Comma 26 6 3 2" xfId="4825" xr:uid="{00000000-0005-0000-0000-000073040000}"/>
    <cellStyle name="Comma 26 6 4" xfId="3315" xr:uid="{00000000-0005-0000-0000-000074040000}"/>
    <cellStyle name="Comma 26 7" xfId="1083" xr:uid="{00000000-0005-0000-0000-000075040000}"/>
    <cellStyle name="Comma 26 7 2" xfId="1870" xr:uid="{00000000-0005-0000-0000-000076040000}"/>
    <cellStyle name="Comma 26 7 2 2" xfId="4114" xr:uid="{00000000-0005-0000-0000-000077040000}"/>
    <cellStyle name="Comma 26 7 3" xfId="2594" xr:uid="{00000000-0005-0000-0000-000078040000}"/>
    <cellStyle name="Comma 26 7 3 2" xfId="4838" xr:uid="{00000000-0005-0000-0000-000079040000}"/>
    <cellStyle name="Comma 26 7 4" xfId="3328" xr:uid="{00000000-0005-0000-0000-00007A040000}"/>
    <cellStyle name="Comma 26 8" xfId="1104" xr:uid="{00000000-0005-0000-0000-00007B040000}"/>
    <cellStyle name="Comma 26 8 2" xfId="1891" xr:uid="{00000000-0005-0000-0000-00007C040000}"/>
    <cellStyle name="Comma 26 8 2 2" xfId="4135" xr:uid="{00000000-0005-0000-0000-00007D040000}"/>
    <cellStyle name="Comma 26 8 3" xfId="2615" xr:uid="{00000000-0005-0000-0000-00007E040000}"/>
    <cellStyle name="Comma 26 8 3 2" xfId="4859" xr:uid="{00000000-0005-0000-0000-00007F040000}"/>
    <cellStyle name="Comma 26 8 4" xfId="3349" xr:uid="{00000000-0005-0000-0000-000080040000}"/>
    <cellStyle name="Comma 26 9" xfId="1322" xr:uid="{00000000-0005-0000-0000-000081040000}"/>
    <cellStyle name="Comma 26 9 2" xfId="3566" xr:uid="{00000000-0005-0000-0000-000082040000}"/>
    <cellStyle name="Comma 27" xfId="724" xr:uid="{00000000-0005-0000-0000-000083040000}"/>
    <cellStyle name="Comma 27 2" xfId="1039" xr:uid="{00000000-0005-0000-0000-000084040000}"/>
    <cellStyle name="Comma 27 2 2" xfId="1827" xr:uid="{00000000-0005-0000-0000-000085040000}"/>
    <cellStyle name="Comma 27 2 2 2" xfId="4071" xr:uid="{00000000-0005-0000-0000-000086040000}"/>
    <cellStyle name="Comma 27 2 3" xfId="2551" xr:uid="{00000000-0005-0000-0000-000087040000}"/>
    <cellStyle name="Comma 27 2 3 2" xfId="4795" xr:uid="{00000000-0005-0000-0000-000088040000}"/>
    <cellStyle name="Comma 27 2 4" xfId="3285" xr:uid="{00000000-0005-0000-0000-000089040000}"/>
    <cellStyle name="Comma 27 3" xfId="1292" xr:uid="{00000000-0005-0000-0000-00008A040000}"/>
    <cellStyle name="Comma 27 3 2" xfId="2079" xr:uid="{00000000-0005-0000-0000-00008B040000}"/>
    <cellStyle name="Comma 27 3 2 2" xfId="4323" xr:uid="{00000000-0005-0000-0000-00008C040000}"/>
    <cellStyle name="Comma 27 3 3" xfId="2802" xr:uid="{00000000-0005-0000-0000-00008D040000}"/>
    <cellStyle name="Comma 27 3 3 2" xfId="5046" xr:uid="{00000000-0005-0000-0000-00008E040000}"/>
    <cellStyle name="Comma 27 3 4" xfId="3537" xr:uid="{00000000-0005-0000-0000-00008F040000}"/>
    <cellStyle name="Comma 27 4" xfId="1559" xr:uid="{00000000-0005-0000-0000-000090040000}"/>
    <cellStyle name="Comma 27 4 2" xfId="3803" xr:uid="{00000000-0005-0000-0000-000091040000}"/>
    <cellStyle name="Comma 27 5" xfId="2337" xr:uid="{00000000-0005-0000-0000-000092040000}"/>
    <cellStyle name="Comma 27 5 2" xfId="4581" xr:uid="{00000000-0005-0000-0000-000093040000}"/>
    <cellStyle name="Comma 27 6" xfId="3017" xr:uid="{00000000-0005-0000-0000-000094040000}"/>
    <cellStyle name="Comma 28" xfId="816" xr:uid="{00000000-0005-0000-0000-000095040000}"/>
    <cellStyle name="Comma 28 2" xfId="1050" xr:uid="{00000000-0005-0000-0000-000096040000}"/>
    <cellStyle name="Comma 28 2 2" xfId="1838" xr:uid="{00000000-0005-0000-0000-000097040000}"/>
    <cellStyle name="Comma 28 2 2 2" xfId="4082" xr:uid="{00000000-0005-0000-0000-000098040000}"/>
    <cellStyle name="Comma 28 2 3" xfId="2562" xr:uid="{00000000-0005-0000-0000-000099040000}"/>
    <cellStyle name="Comma 28 2 3 2" xfId="4806" xr:uid="{00000000-0005-0000-0000-00009A040000}"/>
    <cellStyle name="Comma 28 2 4" xfId="3296" xr:uid="{00000000-0005-0000-0000-00009B040000}"/>
    <cellStyle name="Comma 28 3" xfId="1304" xr:uid="{00000000-0005-0000-0000-00009C040000}"/>
    <cellStyle name="Comma 28 3 2" xfId="2091" xr:uid="{00000000-0005-0000-0000-00009D040000}"/>
    <cellStyle name="Comma 28 3 2 2" xfId="4335" xr:uid="{00000000-0005-0000-0000-00009E040000}"/>
    <cellStyle name="Comma 28 3 3" xfId="2813" xr:uid="{00000000-0005-0000-0000-00009F040000}"/>
    <cellStyle name="Comma 28 3 3 2" xfId="5057" xr:uid="{00000000-0005-0000-0000-0000A0040000}"/>
    <cellStyle name="Comma 28 3 4" xfId="3549" xr:uid="{00000000-0005-0000-0000-0000A1040000}"/>
    <cellStyle name="Comma 28 4" xfId="1624" xr:uid="{00000000-0005-0000-0000-0000A2040000}"/>
    <cellStyle name="Comma 28 4 2" xfId="3868" xr:uid="{00000000-0005-0000-0000-0000A3040000}"/>
    <cellStyle name="Comma 28 5" xfId="2348" xr:uid="{00000000-0005-0000-0000-0000A4040000}"/>
    <cellStyle name="Comma 28 5 2" xfId="4592" xr:uid="{00000000-0005-0000-0000-0000A5040000}"/>
    <cellStyle name="Comma 28 6" xfId="3082" xr:uid="{00000000-0005-0000-0000-0000A6040000}"/>
    <cellStyle name="Comma 29" xfId="821" xr:uid="{00000000-0005-0000-0000-0000A7040000}"/>
    <cellStyle name="Comma 29 2" xfId="1052" xr:uid="{00000000-0005-0000-0000-0000A8040000}"/>
    <cellStyle name="Comma 29 2 2" xfId="1840" xr:uid="{00000000-0005-0000-0000-0000A9040000}"/>
    <cellStyle name="Comma 29 2 2 2" xfId="4084" xr:uid="{00000000-0005-0000-0000-0000AA040000}"/>
    <cellStyle name="Comma 29 2 3" xfId="2564" xr:uid="{00000000-0005-0000-0000-0000AB040000}"/>
    <cellStyle name="Comma 29 2 3 2" xfId="4808" xr:uid="{00000000-0005-0000-0000-0000AC040000}"/>
    <cellStyle name="Comma 29 2 4" xfId="3298" xr:uid="{00000000-0005-0000-0000-0000AD040000}"/>
    <cellStyle name="Comma 29 3" xfId="1306" xr:uid="{00000000-0005-0000-0000-0000AE040000}"/>
    <cellStyle name="Comma 29 3 2" xfId="2093" xr:uid="{00000000-0005-0000-0000-0000AF040000}"/>
    <cellStyle name="Comma 29 3 2 2" xfId="4337" xr:uid="{00000000-0005-0000-0000-0000B0040000}"/>
    <cellStyle name="Comma 29 3 3" xfId="2815" xr:uid="{00000000-0005-0000-0000-0000B1040000}"/>
    <cellStyle name="Comma 29 3 3 2" xfId="5059" xr:uid="{00000000-0005-0000-0000-0000B2040000}"/>
    <cellStyle name="Comma 29 3 4" xfId="3551" xr:uid="{00000000-0005-0000-0000-0000B3040000}"/>
    <cellStyle name="Comma 29 4" xfId="1626" xr:uid="{00000000-0005-0000-0000-0000B4040000}"/>
    <cellStyle name="Comma 29 4 2" xfId="3870" xr:uid="{00000000-0005-0000-0000-0000B5040000}"/>
    <cellStyle name="Comma 29 5" xfId="2350" xr:uid="{00000000-0005-0000-0000-0000B6040000}"/>
    <cellStyle name="Comma 29 5 2" xfId="4594" xr:uid="{00000000-0005-0000-0000-0000B7040000}"/>
    <cellStyle name="Comma 29 6" xfId="3084" xr:uid="{00000000-0005-0000-0000-0000B8040000}"/>
    <cellStyle name="Comma 3" xfId="22" xr:uid="{00000000-0005-0000-0000-0000B9040000}"/>
    <cellStyle name="Comma 3 10" xfId="102" xr:uid="{00000000-0005-0000-0000-0000BA040000}"/>
    <cellStyle name="Comma 3 10 2" xfId="914" xr:uid="{00000000-0005-0000-0000-0000BB040000}"/>
    <cellStyle name="Comma 3 10 2 2" xfId="1702" xr:uid="{00000000-0005-0000-0000-0000BC040000}"/>
    <cellStyle name="Comma 3 10 2 2 2" xfId="3946" xr:uid="{00000000-0005-0000-0000-0000BD040000}"/>
    <cellStyle name="Comma 3 10 2 3" xfId="2426" xr:uid="{00000000-0005-0000-0000-0000BE040000}"/>
    <cellStyle name="Comma 3 10 2 3 2" xfId="4670" xr:uid="{00000000-0005-0000-0000-0000BF040000}"/>
    <cellStyle name="Comma 3 10 2 4" xfId="3160" xr:uid="{00000000-0005-0000-0000-0000C0040000}"/>
    <cellStyle name="Comma 3 10 3" xfId="1167" xr:uid="{00000000-0005-0000-0000-0000C1040000}"/>
    <cellStyle name="Comma 3 10 3 2" xfId="1954" xr:uid="{00000000-0005-0000-0000-0000C2040000}"/>
    <cellStyle name="Comma 3 10 3 2 2" xfId="4198" xr:uid="{00000000-0005-0000-0000-0000C3040000}"/>
    <cellStyle name="Comma 3 10 3 3" xfId="2678" xr:uid="{00000000-0005-0000-0000-0000C4040000}"/>
    <cellStyle name="Comma 3 10 3 3 2" xfId="4922" xr:uid="{00000000-0005-0000-0000-0000C5040000}"/>
    <cellStyle name="Comma 3 10 3 4" xfId="3412" xr:uid="{00000000-0005-0000-0000-0000C6040000}"/>
    <cellStyle name="Comma 3 10 4" xfId="1382" xr:uid="{00000000-0005-0000-0000-0000C7040000}"/>
    <cellStyle name="Comma 3 10 4 2" xfId="3626" xr:uid="{00000000-0005-0000-0000-0000C8040000}"/>
    <cellStyle name="Comma 3 10 5" xfId="2168" xr:uid="{00000000-0005-0000-0000-0000C9040000}"/>
    <cellStyle name="Comma 3 10 5 2" xfId="4412" xr:uid="{00000000-0005-0000-0000-0000CA040000}"/>
    <cellStyle name="Comma 3 10 6" xfId="2892" xr:uid="{00000000-0005-0000-0000-0000CB040000}"/>
    <cellStyle name="Comma 3 11" xfId="103" xr:uid="{00000000-0005-0000-0000-0000CC040000}"/>
    <cellStyle name="Comma 3 11 2" xfId="915" xr:uid="{00000000-0005-0000-0000-0000CD040000}"/>
    <cellStyle name="Comma 3 11 2 2" xfId="1703" xr:uid="{00000000-0005-0000-0000-0000CE040000}"/>
    <cellStyle name="Comma 3 11 2 2 2" xfId="3947" xr:uid="{00000000-0005-0000-0000-0000CF040000}"/>
    <cellStyle name="Comma 3 11 2 3" xfId="2427" xr:uid="{00000000-0005-0000-0000-0000D0040000}"/>
    <cellStyle name="Comma 3 11 2 3 2" xfId="4671" xr:uid="{00000000-0005-0000-0000-0000D1040000}"/>
    <cellStyle name="Comma 3 11 2 4" xfId="3161" xr:uid="{00000000-0005-0000-0000-0000D2040000}"/>
    <cellStyle name="Comma 3 11 3" xfId="1168" xr:uid="{00000000-0005-0000-0000-0000D3040000}"/>
    <cellStyle name="Comma 3 11 3 2" xfId="1955" xr:uid="{00000000-0005-0000-0000-0000D4040000}"/>
    <cellStyle name="Comma 3 11 3 2 2" xfId="4199" xr:uid="{00000000-0005-0000-0000-0000D5040000}"/>
    <cellStyle name="Comma 3 11 3 3" xfId="2679" xr:uid="{00000000-0005-0000-0000-0000D6040000}"/>
    <cellStyle name="Comma 3 11 3 3 2" xfId="4923" xr:uid="{00000000-0005-0000-0000-0000D7040000}"/>
    <cellStyle name="Comma 3 11 3 4" xfId="3413" xr:uid="{00000000-0005-0000-0000-0000D8040000}"/>
    <cellStyle name="Comma 3 11 4" xfId="1383" xr:uid="{00000000-0005-0000-0000-0000D9040000}"/>
    <cellStyle name="Comma 3 11 4 2" xfId="3627" xr:uid="{00000000-0005-0000-0000-0000DA040000}"/>
    <cellStyle name="Comma 3 11 5" xfId="2169" xr:uid="{00000000-0005-0000-0000-0000DB040000}"/>
    <cellStyle name="Comma 3 11 5 2" xfId="4413" xr:uid="{00000000-0005-0000-0000-0000DC040000}"/>
    <cellStyle name="Comma 3 11 6" xfId="2893" xr:uid="{00000000-0005-0000-0000-0000DD040000}"/>
    <cellStyle name="Comma 3 12" xfId="104" xr:uid="{00000000-0005-0000-0000-0000DE040000}"/>
    <cellStyle name="Comma 3 12 2" xfId="916" xr:uid="{00000000-0005-0000-0000-0000DF040000}"/>
    <cellStyle name="Comma 3 12 2 2" xfId="1704" xr:uid="{00000000-0005-0000-0000-0000E0040000}"/>
    <cellStyle name="Comma 3 12 2 2 2" xfId="3948" xr:uid="{00000000-0005-0000-0000-0000E1040000}"/>
    <cellStyle name="Comma 3 12 2 3" xfId="2428" xr:uid="{00000000-0005-0000-0000-0000E2040000}"/>
    <cellStyle name="Comma 3 12 2 3 2" xfId="4672" xr:uid="{00000000-0005-0000-0000-0000E3040000}"/>
    <cellStyle name="Comma 3 12 2 4" xfId="3162" xr:uid="{00000000-0005-0000-0000-0000E4040000}"/>
    <cellStyle name="Comma 3 12 3" xfId="1169" xr:uid="{00000000-0005-0000-0000-0000E5040000}"/>
    <cellStyle name="Comma 3 12 3 2" xfId="1956" xr:uid="{00000000-0005-0000-0000-0000E6040000}"/>
    <cellStyle name="Comma 3 12 3 2 2" xfId="4200" xr:uid="{00000000-0005-0000-0000-0000E7040000}"/>
    <cellStyle name="Comma 3 12 3 3" xfId="2680" xr:uid="{00000000-0005-0000-0000-0000E8040000}"/>
    <cellStyle name="Comma 3 12 3 3 2" xfId="4924" xr:uid="{00000000-0005-0000-0000-0000E9040000}"/>
    <cellStyle name="Comma 3 12 3 4" xfId="3414" xr:uid="{00000000-0005-0000-0000-0000EA040000}"/>
    <cellStyle name="Comma 3 12 4" xfId="1384" xr:uid="{00000000-0005-0000-0000-0000EB040000}"/>
    <cellStyle name="Comma 3 12 4 2" xfId="3628" xr:uid="{00000000-0005-0000-0000-0000EC040000}"/>
    <cellStyle name="Comma 3 12 5" xfId="2170" xr:uid="{00000000-0005-0000-0000-0000ED040000}"/>
    <cellStyle name="Comma 3 12 5 2" xfId="4414" xr:uid="{00000000-0005-0000-0000-0000EE040000}"/>
    <cellStyle name="Comma 3 12 6" xfId="2894" xr:uid="{00000000-0005-0000-0000-0000EF040000}"/>
    <cellStyle name="Comma 3 13" xfId="105" xr:uid="{00000000-0005-0000-0000-0000F0040000}"/>
    <cellStyle name="Comma 3 13 2" xfId="917" xr:uid="{00000000-0005-0000-0000-0000F1040000}"/>
    <cellStyle name="Comma 3 13 2 2" xfId="1705" xr:uid="{00000000-0005-0000-0000-0000F2040000}"/>
    <cellStyle name="Comma 3 13 2 2 2" xfId="3949" xr:uid="{00000000-0005-0000-0000-0000F3040000}"/>
    <cellStyle name="Comma 3 13 2 3" xfId="2429" xr:uid="{00000000-0005-0000-0000-0000F4040000}"/>
    <cellStyle name="Comma 3 13 2 3 2" xfId="4673" xr:uid="{00000000-0005-0000-0000-0000F5040000}"/>
    <cellStyle name="Comma 3 13 2 4" xfId="3163" xr:uid="{00000000-0005-0000-0000-0000F6040000}"/>
    <cellStyle name="Comma 3 13 3" xfId="1170" xr:uid="{00000000-0005-0000-0000-0000F7040000}"/>
    <cellStyle name="Comma 3 13 3 2" xfId="1957" xr:uid="{00000000-0005-0000-0000-0000F8040000}"/>
    <cellStyle name="Comma 3 13 3 2 2" xfId="4201" xr:uid="{00000000-0005-0000-0000-0000F9040000}"/>
    <cellStyle name="Comma 3 13 3 3" xfId="2681" xr:uid="{00000000-0005-0000-0000-0000FA040000}"/>
    <cellStyle name="Comma 3 13 3 3 2" xfId="4925" xr:uid="{00000000-0005-0000-0000-0000FB040000}"/>
    <cellStyle name="Comma 3 13 3 4" xfId="3415" xr:uid="{00000000-0005-0000-0000-0000FC040000}"/>
    <cellStyle name="Comma 3 13 4" xfId="1385" xr:uid="{00000000-0005-0000-0000-0000FD040000}"/>
    <cellStyle name="Comma 3 13 4 2" xfId="3629" xr:uid="{00000000-0005-0000-0000-0000FE040000}"/>
    <cellStyle name="Comma 3 13 5" xfId="2171" xr:uid="{00000000-0005-0000-0000-0000FF040000}"/>
    <cellStyle name="Comma 3 13 5 2" xfId="4415" xr:uid="{00000000-0005-0000-0000-000000050000}"/>
    <cellStyle name="Comma 3 13 6" xfId="2895" xr:uid="{00000000-0005-0000-0000-000001050000}"/>
    <cellStyle name="Comma 3 14" xfId="106" xr:uid="{00000000-0005-0000-0000-000002050000}"/>
    <cellStyle name="Comma 3 14 2" xfId="918" xr:uid="{00000000-0005-0000-0000-000003050000}"/>
    <cellStyle name="Comma 3 14 2 2" xfId="1706" xr:uid="{00000000-0005-0000-0000-000004050000}"/>
    <cellStyle name="Comma 3 14 2 2 2" xfId="3950" xr:uid="{00000000-0005-0000-0000-000005050000}"/>
    <cellStyle name="Comma 3 14 2 3" xfId="2430" xr:uid="{00000000-0005-0000-0000-000006050000}"/>
    <cellStyle name="Comma 3 14 2 3 2" xfId="4674" xr:uid="{00000000-0005-0000-0000-000007050000}"/>
    <cellStyle name="Comma 3 14 2 4" xfId="3164" xr:uid="{00000000-0005-0000-0000-000008050000}"/>
    <cellStyle name="Comma 3 14 3" xfId="1171" xr:uid="{00000000-0005-0000-0000-000009050000}"/>
    <cellStyle name="Comma 3 14 3 2" xfId="1958" xr:uid="{00000000-0005-0000-0000-00000A050000}"/>
    <cellStyle name="Comma 3 14 3 2 2" xfId="4202" xr:uid="{00000000-0005-0000-0000-00000B050000}"/>
    <cellStyle name="Comma 3 14 3 3" xfId="2682" xr:uid="{00000000-0005-0000-0000-00000C050000}"/>
    <cellStyle name="Comma 3 14 3 3 2" xfId="4926" xr:uid="{00000000-0005-0000-0000-00000D050000}"/>
    <cellStyle name="Comma 3 14 3 4" xfId="3416" xr:uid="{00000000-0005-0000-0000-00000E050000}"/>
    <cellStyle name="Comma 3 14 4" xfId="1386" xr:uid="{00000000-0005-0000-0000-00000F050000}"/>
    <cellStyle name="Comma 3 14 4 2" xfId="3630" xr:uid="{00000000-0005-0000-0000-000010050000}"/>
    <cellStyle name="Comma 3 14 5" xfId="2172" xr:uid="{00000000-0005-0000-0000-000011050000}"/>
    <cellStyle name="Comma 3 14 5 2" xfId="4416" xr:uid="{00000000-0005-0000-0000-000012050000}"/>
    <cellStyle name="Comma 3 14 6" xfId="2896" xr:uid="{00000000-0005-0000-0000-000013050000}"/>
    <cellStyle name="Comma 3 15" xfId="107" xr:uid="{00000000-0005-0000-0000-000014050000}"/>
    <cellStyle name="Comma 3 15 2" xfId="919" xr:uid="{00000000-0005-0000-0000-000015050000}"/>
    <cellStyle name="Comma 3 15 2 2" xfId="1707" xr:uid="{00000000-0005-0000-0000-000016050000}"/>
    <cellStyle name="Comma 3 15 2 2 2" xfId="3951" xr:uid="{00000000-0005-0000-0000-000017050000}"/>
    <cellStyle name="Comma 3 15 2 3" xfId="2431" xr:uid="{00000000-0005-0000-0000-000018050000}"/>
    <cellStyle name="Comma 3 15 2 3 2" xfId="4675" xr:uid="{00000000-0005-0000-0000-000019050000}"/>
    <cellStyle name="Comma 3 15 2 4" xfId="3165" xr:uid="{00000000-0005-0000-0000-00001A050000}"/>
    <cellStyle name="Comma 3 15 3" xfId="1172" xr:uid="{00000000-0005-0000-0000-00001B050000}"/>
    <cellStyle name="Comma 3 15 3 2" xfId="1959" xr:uid="{00000000-0005-0000-0000-00001C050000}"/>
    <cellStyle name="Comma 3 15 3 2 2" xfId="4203" xr:uid="{00000000-0005-0000-0000-00001D050000}"/>
    <cellStyle name="Comma 3 15 3 3" xfId="2683" xr:uid="{00000000-0005-0000-0000-00001E050000}"/>
    <cellStyle name="Comma 3 15 3 3 2" xfId="4927" xr:uid="{00000000-0005-0000-0000-00001F050000}"/>
    <cellStyle name="Comma 3 15 3 4" xfId="3417" xr:uid="{00000000-0005-0000-0000-000020050000}"/>
    <cellStyle name="Comma 3 15 4" xfId="1387" xr:uid="{00000000-0005-0000-0000-000021050000}"/>
    <cellStyle name="Comma 3 15 4 2" xfId="3631" xr:uid="{00000000-0005-0000-0000-000022050000}"/>
    <cellStyle name="Comma 3 15 5" xfId="2173" xr:uid="{00000000-0005-0000-0000-000023050000}"/>
    <cellStyle name="Comma 3 15 5 2" xfId="4417" xr:uid="{00000000-0005-0000-0000-000024050000}"/>
    <cellStyle name="Comma 3 15 6" xfId="2897" xr:uid="{00000000-0005-0000-0000-000025050000}"/>
    <cellStyle name="Comma 3 16" xfId="108" xr:uid="{00000000-0005-0000-0000-000026050000}"/>
    <cellStyle name="Comma 3 16 2" xfId="920" xr:uid="{00000000-0005-0000-0000-000027050000}"/>
    <cellStyle name="Comma 3 16 2 2" xfId="1708" xr:uid="{00000000-0005-0000-0000-000028050000}"/>
    <cellStyle name="Comma 3 16 2 2 2" xfId="3952" xr:uid="{00000000-0005-0000-0000-000029050000}"/>
    <cellStyle name="Comma 3 16 2 3" xfId="2432" xr:uid="{00000000-0005-0000-0000-00002A050000}"/>
    <cellStyle name="Comma 3 16 2 3 2" xfId="4676" xr:uid="{00000000-0005-0000-0000-00002B050000}"/>
    <cellStyle name="Comma 3 16 2 4" xfId="3166" xr:uid="{00000000-0005-0000-0000-00002C050000}"/>
    <cellStyle name="Comma 3 16 3" xfId="1173" xr:uid="{00000000-0005-0000-0000-00002D050000}"/>
    <cellStyle name="Comma 3 16 3 2" xfId="1960" xr:uid="{00000000-0005-0000-0000-00002E050000}"/>
    <cellStyle name="Comma 3 16 3 2 2" xfId="4204" xr:uid="{00000000-0005-0000-0000-00002F050000}"/>
    <cellStyle name="Comma 3 16 3 3" xfId="2684" xr:uid="{00000000-0005-0000-0000-000030050000}"/>
    <cellStyle name="Comma 3 16 3 3 2" xfId="4928" xr:uid="{00000000-0005-0000-0000-000031050000}"/>
    <cellStyle name="Comma 3 16 3 4" xfId="3418" xr:uid="{00000000-0005-0000-0000-000032050000}"/>
    <cellStyle name="Comma 3 16 4" xfId="1388" xr:uid="{00000000-0005-0000-0000-000033050000}"/>
    <cellStyle name="Comma 3 16 4 2" xfId="3632" xr:uid="{00000000-0005-0000-0000-000034050000}"/>
    <cellStyle name="Comma 3 16 5" xfId="2174" xr:uid="{00000000-0005-0000-0000-000035050000}"/>
    <cellStyle name="Comma 3 16 5 2" xfId="4418" xr:uid="{00000000-0005-0000-0000-000036050000}"/>
    <cellStyle name="Comma 3 16 6" xfId="2898" xr:uid="{00000000-0005-0000-0000-000037050000}"/>
    <cellStyle name="Comma 3 17" xfId="109" xr:uid="{00000000-0005-0000-0000-000038050000}"/>
    <cellStyle name="Comma 3 17 2" xfId="921" xr:uid="{00000000-0005-0000-0000-000039050000}"/>
    <cellStyle name="Comma 3 17 2 2" xfId="1709" xr:uid="{00000000-0005-0000-0000-00003A050000}"/>
    <cellStyle name="Comma 3 17 2 2 2" xfId="3953" xr:uid="{00000000-0005-0000-0000-00003B050000}"/>
    <cellStyle name="Comma 3 17 2 3" xfId="2433" xr:uid="{00000000-0005-0000-0000-00003C050000}"/>
    <cellStyle name="Comma 3 17 2 3 2" xfId="4677" xr:uid="{00000000-0005-0000-0000-00003D050000}"/>
    <cellStyle name="Comma 3 17 2 4" xfId="3167" xr:uid="{00000000-0005-0000-0000-00003E050000}"/>
    <cellStyle name="Comma 3 17 3" xfId="1174" xr:uid="{00000000-0005-0000-0000-00003F050000}"/>
    <cellStyle name="Comma 3 17 3 2" xfId="1961" xr:uid="{00000000-0005-0000-0000-000040050000}"/>
    <cellStyle name="Comma 3 17 3 2 2" xfId="4205" xr:uid="{00000000-0005-0000-0000-000041050000}"/>
    <cellStyle name="Comma 3 17 3 3" xfId="2685" xr:uid="{00000000-0005-0000-0000-000042050000}"/>
    <cellStyle name="Comma 3 17 3 3 2" xfId="4929" xr:uid="{00000000-0005-0000-0000-000043050000}"/>
    <cellStyle name="Comma 3 17 3 4" xfId="3419" xr:uid="{00000000-0005-0000-0000-000044050000}"/>
    <cellStyle name="Comma 3 17 4" xfId="1389" xr:uid="{00000000-0005-0000-0000-000045050000}"/>
    <cellStyle name="Comma 3 17 4 2" xfId="3633" xr:uid="{00000000-0005-0000-0000-000046050000}"/>
    <cellStyle name="Comma 3 17 5" xfId="2175" xr:uid="{00000000-0005-0000-0000-000047050000}"/>
    <cellStyle name="Comma 3 17 5 2" xfId="4419" xr:uid="{00000000-0005-0000-0000-000048050000}"/>
    <cellStyle name="Comma 3 17 6" xfId="2899" xr:uid="{00000000-0005-0000-0000-000049050000}"/>
    <cellStyle name="Comma 3 18" xfId="110" xr:uid="{00000000-0005-0000-0000-00004A050000}"/>
    <cellStyle name="Comma 3 18 2" xfId="922" xr:uid="{00000000-0005-0000-0000-00004B050000}"/>
    <cellStyle name="Comma 3 18 2 2" xfId="1710" xr:uid="{00000000-0005-0000-0000-00004C050000}"/>
    <cellStyle name="Comma 3 18 2 2 2" xfId="3954" xr:uid="{00000000-0005-0000-0000-00004D050000}"/>
    <cellStyle name="Comma 3 18 2 3" xfId="2434" xr:uid="{00000000-0005-0000-0000-00004E050000}"/>
    <cellStyle name="Comma 3 18 2 3 2" xfId="4678" xr:uid="{00000000-0005-0000-0000-00004F050000}"/>
    <cellStyle name="Comma 3 18 2 4" xfId="3168" xr:uid="{00000000-0005-0000-0000-000050050000}"/>
    <cellStyle name="Comma 3 18 3" xfId="1175" xr:uid="{00000000-0005-0000-0000-000051050000}"/>
    <cellStyle name="Comma 3 18 3 2" xfId="1962" xr:uid="{00000000-0005-0000-0000-000052050000}"/>
    <cellStyle name="Comma 3 18 3 2 2" xfId="4206" xr:uid="{00000000-0005-0000-0000-000053050000}"/>
    <cellStyle name="Comma 3 18 3 3" xfId="2686" xr:uid="{00000000-0005-0000-0000-000054050000}"/>
    <cellStyle name="Comma 3 18 3 3 2" xfId="4930" xr:uid="{00000000-0005-0000-0000-000055050000}"/>
    <cellStyle name="Comma 3 18 3 4" xfId="3420" xr:uid="{00000000-0005-0000-0000-000056050000}"/>
    <cellStyle name="Comma 3 18 4" xfId="1390" xr:uid="{00000000-0005-0000-0000-000057050000}"/>
    <cellStyle name="Comma 3 18 4 2" xfId="3634" xr:uid="{00000000-0005-0000-0000-000058050000}"/>
    <cellStyle name="Comma 3 18 5" xfId="2176" xr:uid="{00000000-0005-0000-0000-000059050000}"/>
    <cellStyle name="Comma 3 18 5 2" xfId="4420" xr:uid="{00000000-0005-0000-0000-00005A050000}"/>
    <cellStyle name="Comma 3 18 6" xfId="2900" xr:uid="{00000000-0005-0000-0000-00005B050000}"/>
    <cellStyle name="Comma 3 19" xfId="111" xr:uid="{00000000-0005-0000-0000-00005C050000}"/>
    <cellStyle name="Comma 3 19 2" xfId="923" xr:uid="{00000000-0005-0000-0000-00005D050000}"/>
    <cellStyle name="Comma 3 19 2 2" xfId="1711" xr:uid="{00000000-0005-0000-0000-00005E050000}"/>
    <cellStyle name="Comma 3 19 2 2 2" xfId="3955" xr:uid="{00000000-0005-0000-0000-00005F050000}"/>
    <cellStyle name="Comma 3 19 2 3" xfId="2435" xr:uid="{00000000-0005-0000-0000-000060050000}"/>
    <cellStyle name="Comma 3 19 2 3 2" xfId="4679" xr:uid="{00000000-0005-0000-0000-000061050000}"/>
    <cellStyle name="Comma 3 19 2 4" xfId="3169" xr:uid="{00000000-0005-0000-0000-000062050000}"/>
    <cellStyle name="Comma 3 19 3" xfId="1176" xr:uid="{00000000-0005-0000-0000-000063050000}"/>
    <cellStyle name="Comma 3 19 3 2" xfId="1963" xr:uid="{00000000-0005-0000-0000-000064050000}"/>
    <cellStyle name="Comma 3 19 3 2 2" xfId="4207" xr:uid="{00000000-0005-0000-0000-000065050000}"/>
    <cellStyle name="Comma 3 19 3 3" xfId="2687" xr:uid="{00000000-0005-0000-0000-000066050000}"/>
    <cellStyle name="Comma 3 19 3 3 2" xfId="4931" xr:uid="{00000000-0005-0000-0000-000067050000}"/>
    <cellStyle name="Comma 3 19 3 4" xfId="3421" xr:uid="{00000000-0005-0000-0000-000068050000}"/>
    <cellStyle name="Comma 3 19 4" xfId="1391" xr:uid="{00000000-0005-0000-0000-000069050000}"/>
    <cellStyle name="Comma 3 19 4 2" xfId="3635" xr:uid="{00000000-0005-0000-0000-00006A050000}"/>
    <cellStyle name="Comma 3 19 5" xfId="2177" xr:uid="{00000000-0005-0000-0000-00006B050000}"/>
    <cellStyle name="Comma 3 19 5 2" xfId="4421" xr:uid="{00000000-0005-0000-0000-00006C050000}"/>
    <cellStyle name="Comma 3 19 6" xfId="2901" xr:uid="{00000000-0005-0000-0000-00006D050000}"/>
    <cellStyle name="Comma 3 2" xfId="112" xr:uid="{00000000-0005-0000-0000-00006E050000}"/>
    <cellStyle name="Comma 3 2 2" xfId="924" xr:uid="{00000000-0005-0000-0000-00006F050000}"/>
    <cellStyle name="Comma 3 2 2 2" xfId="1712" xr:uid="{00000000-0005-0000-0000-000070050000}"/>
    <cellStyle name="Comma 3 2 2 2 2" xfId="3956" xr:uid="{00000000-0005-0000-0000-000071050000}"/>
    <cellStyle name="Comma 3 2 2 3" xfId="2436" xr:uid="{00000000-0005-0000-0000-000072050000}"/>
    <cellStyle name="Comma 3 2 2 3 2" xfId="4680" xr:uid="{00000000-0005-0000-0000-000073050000}"/>
    <cellStyle name="Comma 3 2 2 4" xfId="3170" xr:uid="{00000000-0005-0000-0000-000074050000}"/>
    <cellStyle name="Comma 3 2 3" xfId="1177" xr:uid="{00000000-0005-0000-0000-000075050000}"/>
    <cellStyle name="Comma 3 2 3 2" xfId="1964" xr:uid="{00000000-0005-0000-0000-000076050000}"/>
    <cellStyle name="Comma 3 2 3 2 2" xfId="4208" xr:uid="{00000000-0005-0000-0000-000077050000}"/>
    <cellStyle name="Comma 3 2 3 3" xfId="2688" xr:uid="{00000000-0005-0000-0000-000078050000}"/>
    <cellStyle name="Comma 3 2 3 3 2" xfId="4932" xr:uid="{00000000-0005-0000-0000-000079050000}"/>
    <cellStyle name="Comma 3 2 3 4" xfId="3422" xr:uid="{00000000-0005-0000-0000-00007A050000}"/>
    <cellStyle name="Comma 3 2 4" xfId="1392" xr:uid="{00000000-0005-0000-0000-00007B050000}"/>
    <cellStyle name="Comma 3 2 4 2" xfId="3636" xr:uid="{00000000-0005-0000-0000-00007C050000}"/>
    <cellStyle name="Comma 3 2 5" xfId="2178" xr:uid="{00000000-0005-0000-0000-00007D050000}"/>
    <cellStyle name="Comma 3 2 5 2" xfId="4422" xr:uid="{00000000-0005-0000-0000-00007E050000}"/>
    <cellStyle name="Comma 3 2 6" xfId="2902" xr:uid="{00000000-0005-0000-0000-00007F050000}"/>
    <cellStyle name="Comma 3 20" xfId="113" xr:uid="{00000000-0005-0000-0000-000080050000}"/>
    <cellStyle name="Comma 3 20 2" xfId="925" xr:uid="{00000000-0005-0000-0000-000081050000}"/>
    <cellStyle name="Comma 3 20 2 2" xfId="1713" xr:uid="{00000000-0005-0000-0000-000082050000}"/>
    <cellStyle name="Comma 3 20 2 2 2" xfId="3957" xr:uid="{00000000-0005-0000-0000-000083050000}"/>
    <cellStyle name="Comma 3 20 2 3" xfId="2437" xr:uid="{00000000-0005-0000-0000-000084050000}"/>
    <cellStyle name="Comma 3 20 2 3 2" xfId="4681" xr:uid="{00000000-0005-0000-0000-000085050000}"/>
    <cellStyle name="Comma 3 20 2 4" xfId="3171" xr:uid="{00000000-0005-0000-0000-000086050000}"/>
    <cellStyle name="Comma 3 20 3" xfId="1178" xr:uid="{00000000-0005-0000-0000-000087050000}"/>
    <cellStyle name="Comma 3 20 3 2" xfId="1965" xr:uid="{00000000-0005-0000-0000-000088050000}"/>
    <cellStyle name="Comma 3 20 3 2 2" xfId="4209" xr:uid="{00000000-0005-0000-0000-000089050000}"/>
    <cellStyle name="Comma 3 20 3 3" xfId="2689" xr:uid="{00000000-0005-0000-0000-00008A050000}"/>
    <cellStyle name="Comma 3 20 3 3 2" xfId="4933" xr:uid="{00000000-0005-0000-0000-00008B050000}"/>
    <cellStyle name="Comma 3 20 3 4" xfId="3423" xr:uid="{00000000-0005-0000-0000-00008C050000}"/>
    <cellStyle name="Comma 3 20 4" xfId="1393" xr:uid="{00000000-0005-0000-0000-00008D050000}"/>
    <cellStyle name="Comma 3 20 4 2" xfId="3637" xr:uid="{00000000-0005-0000-0000-00008E050000}"/>
    <cellStyle name="Comma 3 20 5" xfId="2179" xr:uid="{00000000-0005-0000-0000-00008F050000}"/>
    <cellStyle name="Comma 3 20 5 2" xfId="4423" xr:uid="{00000000-0005-0000-0000-000090050000}"/>
    <cellStyle name="Comma 3 20 6" xfId="2903" xr:uid="{00000000-0005-0000-0000-000091050000}"/>
    <cellStyle name="Comma 3 21" xfId="114" xr:uid="{00000000-0005-0000-0000-000092050000}"/>
    <cellStyle name="Comma 3 21 2" xfId="926" xr:uid="{00000000-0005-0000-0000-000093050000}"/>
    <cellStyle name="Comma 3 21 2 2" xfId="1714" xr:uid="{00000000-0005-0000-0000-000094050000}"/>
    <cellStyle name="Comma 3 21 2 2 2" xfId="3958" xr:uid="{00000000-0005-0000-0000-000095050000}"/>
    <cellStyle name="Comma 3 21 2 3" xfId="2438" xr:uid="{00000000-0005-0000-0000-000096050000}"/>
    <cellStyle name="Comma 3 21 2 3 2" xfId="4682" xr:uid="{00000000-0005-0000-0000-000097050000}"/>
    <cellStyle name="Comma 3 21 2 4" xfId="3172" xr:uid="{00000000-0005-0000-0000-000098050000}"/>
    <cellStyle name="Comma 3 21 3" xfId="1179" xr:uid="{00000000-0005-0000-0000-000099050000}"/>
    <cellStyle name="Comma 3 21 3 2" xfId="1966" xr:uid="{00000000-0005-0000-0000-00009A050000}"/>
    <cellStyle name="Comma 3 21 3 2 2" xfId="4210" xr:uid="{00000000-0005-0000-0000-00009B050000}"/>
    <cellStyle name="Comma 3 21 3 3" xfId="2690" xr:uid="{00000000-0005-0000-0000-00009C050000}"/>
    <cellStyle name="Comma 3 21 3 3 2" xfId="4934" xr:uid="{00000000-0005-0000-0000-00009D050000}"/>
    <cellStyle name="Comma 3 21 3 4" xfId="3424" xr:uid="{00000000-0005-0000-0000-00009E050000}"/>
    <cellStyle name="Comma 3 21 4" xfId="1394" xr:uid="{00000000-0005-0000-0000-00009F050000}"/>
    <cellStyle name="Comma 3 21 4 2" xfId="3638" xr:uid="{00000000-0005-0000-0000-0000A0050000}"/>
    <cellStyle name="Comma 3 21 5" xfId="2180" xr:uid="{00000000-0005-0000-0000-0000A1050000}"/>
    <cellStyle name="Comma 3 21 5 2" xfId="4424" xr:uid="{00000000-0005-0000-0000-0000A2050000}"/>
    <cellStyle name="Comma 3 21 6" xfId="2904" xr:uid="{00000000-0005-0000-0000-0000A3050000}"/>
    <cellStyle name="Comma 3 22" xfId="115" xr:uid="{00000000-0005-0000-0000-0000A4050000}"/>
    <cellStyle name="Comma 3 22 2" xfId="927" xr:uid="{00000000-0005-0000-0000-0000A5050000}"/>
    <cellStyle name="Comma 3 22 2 2" xfId="1715" xr:uid="{00000000-0005-0000-0000-0000A6050000}"/>
    <cellStyle name="Comma 3 22 2 2 2" xfId="3959" xr:uid="{00000000-0005-0000-0000-0000A7050000}"/>
    <cellStyle name="Comma 3 22 2 3" xfId="2439" xr:uid="{00000000-0005-0000-0000-0000A8050000}"/>
    <cellStyle name="Comma 3 22 2 3 2" xfId="4683" xr:uid="{00000000-0005-0000-0000-0000A9050000}"/>
    <cellStyle name="Comma 3 22 2 4" xfId="3173" xr:uid="{00000000-0005-0000-0000-0000AA050000}"/>
    <cellStyle name="Comma 3 22 3" xfId="1180" xr:uid="{00000000-0005-0000-0000-0000AB050000}"/>
    <cellStyle name="Comma 3 22 3 2" xfId="1967" xr:uid="{00000000-0005-0000-0000-0000AC050000}"/>
    <cellStyle name="Comma 3 22 3 2 2" xfId="4211" xr:uid="{00000000-0005-0000-0000-0000AD050000}"/>
    <cellStyle name="Comma 3 22 3 3" xfId="2691" xr:uid="{00000000-0005-0000-0000-0000AE050000}"/>
    <cellStyle name="Comma 3 22 3 3 2" xfId="4935" xr:uid="{00000000-0005-0000-0000-0000AF050000}"/>
    <cellStyle name="Comma 3 22 3 4" xfId="3425" xr:uid="{00000000-0005-0000-0000-0000B0050000}"/>
    <cellStyle name="Comma 3 22 4" xfId="1395" xr:uid="{00000000-0005-0000-0000-0000B1050000}"/>
    <cellStyle name="Comma 3 22 4 2" xfId="3639" xr:uid="{00000000-0005-0000-0000-0000B2050000}"/>
    <cellStyle name="Comma 3 22 5" xfId="2181" xr:uid="{00000000-0005-0000-0000-0000B3050000}"/>
    <cellStyle name="Comma 3 22 5 2" xfId="4425" xr:uid="{00000000-0005-0000-0000-0000B4050000}"/>
    <cellStyle name="Comma 3 22 6" xfId="2905" xr:uid="{00000000-0005-0000-0000-0000B5050000}"/>
    <cellStyle name="Comma 3 23" xfId="116" xr:uid="{00000000-0005-0000-0000-0000B6050000}"/>
    <cellStyle name="Comma 3 23 2" xfId="928" xr:uid="{00000000-0005-0000-0000-0000B7050000}"/>
    <cellStyle name="Comma 3 23 2 2" xfId="1716" xr:uid="{00000000-0005-0000-0000-0000B8050000}"/>
    <cellStyle name="Comma 3 23 2 2 2" xfId="3960" xr:uid="{00000000-0005-0000-0000-0000B9050000}"/>
    <cellStyle name="Comma 3 23 2 3" xfId="2440" xr:uid="{00000000-0005-0000-0000-0000BA050000}"/>
    <cellStyle name="Comma 3 23 2 3 2" xfId="4684" xr:uid="{00000000-0005-0000-0000-0000BB050000}"/>
    <cellStyle name="Comma 3 23 2 4" xfId="3174" xr:uid="{00000000-0005-0000-0000-0000BC050000}"/>
    <cellStyle name="Comma 3 23 3" xfId="1181" xr:uid="{00000000-0005-0000-0000-0000BD050000}"/>
    <cellStyle name="Comma 3 23 3 2" xfId="1968" xr:uid="{00000000-0005-0000-0000-0000BE050000}"/>
    <cellStyle name="Comma 3 23 3 2 2" xfId="4212" xr:uid="{00000000-0005-0000-0000-0000BF050000}"/>
    <cellStyle name="Comma 3 23 3 3" xfId="2692" xr:uid="{00000000-0005-0000-0000-0000C0050000}"/>
    <cellStyle name="Comma 3 23 3 3 2" xfId="4936" xr:uid="{00000000-0005-0000-0000-0000C1050000}"/>
    <cellStyle name="Comma 3 23 3 4" xfId="3426" xr:uid="{00000000-0005-0000-0000-0000C2050000}"/>
    <cellStyle name="Comma 3 23 4" xfId="1396" xr:uid="{00000000-0005-0000-0000-0000C3050000}"/>
    <cellStyle name="Comma 3 23 4 2" xfId="3640" xr:uid="{00000000-0005-0000-0000-0000C4050000}"/>
    <cellStyle name="Comma 3 23 5" xfId="2182" xr:uid="{00000000-0005-0000-0000-0000C5050000}"/>
    <cellStyle name="Comma 3 23 5 2" xfId="4426" xr:uid="{00000000-0005-0000-0000-0000C6050000}"/>
    <cellStyle name="Comma 3 23 6" xfId="2906" xr:uid="{00000000-0005-0000-0000-0000C7050000}"/>
    <cellStyle name="Comma 3 24" xfId="117" xr:uid="{00000000-0005-0000-0000-0000C8050000}"/>
    <cellStyle name="Comma 3 24 2" xfId="929" xr:uid="{00000000-0005-0000-0000-0000C9050000}"/>
    <cellStyle name="Comma 3 24 2 2" xfId="1717" xr:uid="{00000000-0005-0000-0000-0000CA050000}"/>
    <cellStyle name="Comma 3 24 2 2 2" xfId="3961" xr:uid="{00000000-0005-0000-0000-0000CB050000}"/>
    <cellStyle name="Comma 3 24 2 3" xfId="2441" xr:uid="{00000000-0005-0000-0000-0000CC050000}"/>
    <cellStyle name="Comma 3 24 2 3 2" xfId="4685" xr:uid="{00000000-0005-0000-0000-0000CD050000}"/>
    <cellStyle name="Comma 3 24 2 4" xfId="3175" xr:uid="{00000000-0005-0000-0000-0000CE050000}"/>
    <cellStyle name="Comma 3 24 3" xfId="1182" xr:uid="{00000000-0005-0000-0000-0000CF050000}"/>
    <cellStyle name="Comma 3 24 3 2" xfId="1969" xr:uid="{00000000-0005-0000-0000-0000D0050000}"/>
    <cellStyle name="Comma 3 24 3 2 2" xfId="4213" xr:uid="{00000000-0005-0000-0000-0000D1050000}"/>
    <cellStyle name="Comma 3 24 3 3" xfId="2693" xr:uid="{00000000-0005-0000-0000-0000D2050000}"/>
    <cellStyle name="Comma 3 24 3 3 2" xfId="4937" xr:uid="{00000000-0005-0000-0000-0000D3050000}"/>
    <cellStyle name="Comma 3 24 3 4" xfId="3427" xr:uid="{00000000-0005-0000-0000-0000D4050000}"/>
    <cellStyle name="Comma 3 24 4" xfId="1397" xr:uid="{00000000-0005-0000-0000-0000D5050000}"/>
    <cellStyle name="Comma 3 24 4 2" xfId="3641" xr:uid="{00000000-0005-0000-0000-0000D6050000}"/>
    <cellStyle name="Comma 3 24 5" xfId="2183" xr:uid="{00000000-0005-0000-0000-0000D7050000}"/>
    <cellStyle name="Comma 3 24 5 2" xfId="4427" xr:uid="{00000000-0005-0000-0000-0000D8050000}"/>
    <cellStyle name="Comma 3 24 6" xfId="2907" xr:uid="{00000000-0005-0000-0000-0000D9050000}"/>
    <cellStyle name="Comma 3 25" xfId="118" xr:uid="{00000000-0005-0000-0000-0000DA050000}"/>
    <cellStyle name="Comma 3 25 2" xfId="930" xr:uid="{00000000-0005-0000-0000-0000DB050000}"/>
    <cellStyle name="Comma 3 25 2 2" xfId="1718" xr:uid="{00000000-0005-0000-0000-0000DC050000}"/>
    <cellStyle name="Comma 3 25 2 2 2" xfId="3962" xr:uid="{00000000-0005-0000-0000-0000DD050000}"/>
    <cellStyle name="Comma 3 25 2 3" xfId="2442" xr:uid="{00000000-0005-0000-0000-0000DE050000}"/>
    <cellStyle name="Comma 3 25 2 3 2" xfId="4686" xr:uid="{00000000-0005-0000-0000-0000DF050000}"/>
    <cellStyle name="Comma 3 25 2 4" xfId="3176" xr:uid="{00000000-0005-0000-0000-0000E0050000}"/>
    <cellStyle name="Comma 3 25 3" xfId="1183" xr:uid="{00000000-0005-0000-0000-0000E1050000}"/>
    <cellStyle name="Comma 3 25 3 2" xfId="1970" xr:uid="{00000000-0005-0000-0000-0000E2050000}"/>
    <cellStyle name="Comma 3 25 3 2 2" xfId="4214" xr:uid="{00000000-0005-0000-0000-0000E3050000}"/>
    <cellStyle name="Comma 3 25 3 3" xfId="2694" xr:uid="{00000000-0005-0000-0000-0000E4050000}"/>
    <cellStyle name="Comma 3 25 3 3 2" xfId="4938" xr:uid="{00000000-0005-0000-0000-0000E5050000}"/>
    <cellStyle name="Comma 3 25 3 4" xfId="3428" xr:uid="{00000000-0005-0000-0000-0000E6050000}"/>
    <cellStyle name="Comma 3 25 4" xfId="1398" xr:uid="{00000000-0005-0000-0000-0000E7050000}"/>
    <cellStyle name="Comma 3 25 4 2" xfId="3642" xr:uid="{00000000-0005-0000-0000-0000E8050000}"/>
    <cellStyle name="Comma 3 25 5" xfId="2184" xr:uid="{00000000-0005-0000-0000-0000E9050000}"/>
    <cellStyle name="Comma 3 25 5 2" xfId="4428" xr:uid="{00000000-0005-0000-0000-0000EA050000}"/>
    <cellStyle name="Comma 3 25 6" xfId="2908" xr:uid="{00000000-0005-0000-0000-0000EB050000}"/>
    <cellStyle name="Comma 3 26" xfId="119" xr:uid="{00000000-0005-0000-0000-0000EC050000}"/>
    <cellStyle name="Comma 3 26 2" xfId="931" xr:uid="{00000000-0005-0000-0000-0000ED050000}"/>
    <cellStyle name="Comma 3 26 2 2" xfId="1719" xr:uid="{00000000-0005-0000-0000-0000EE050000}"/>
    <cellStyle name="Comma 3 26 2 2 2" xfId="3963" xr:uid="{00000000-0005-0000-0000-0000EF050000}"/>
    <cellStyle name="Comma 3 26 2 3" xfId="2443" xr:uid="{00000000-0005-0000-0000-0000F0050000}"/>
    <cellStyle name="Comma 3 26 2 3 2" xfId="4687" xr:uid="{00000000-0005-0000-0000-0000F1050000}"/>
    <cellStyle name="Comma 3 26 2 4" xfId="3177" xr:uid="{00000000-0005-0000-0000-0000F2050000}"/>
    <cellStyle name="Comma 3 26 3" xfId="1184" xr:uid="{00000000-0005-0000-0000-0000F3050000}"/>
    <cellStyle name="Comma 3 26 3 2" xfId="1971" xr:uid="{00000000-0005-0000-0000-0000F4050000}"/>
    <cellStyle name="Comma 3 26 3 2 2" xfId="4215" xr:uid="{00000000-0005-0000-0000-0000F5050000}"/>
    <cellStyle name="Comma 3 26 3 3" xfId="2695" xr:uid="{00000000-0005-0000-0000-0000F6050000}"/>
    <cellStyle name="Comma 3 26 3 3 2" xfId="4939" xr:uid="{00000000-0005-0000-0000-0000F7050000}"/>
    <cellStyle name="Comma 3 26 3 4" xfId="3429" xr:uid="{00000000-0005-0000-0000-0000F8050000}"/>
    <cellStyle name="Comma 3 26 4" xfId="1399" xr:uid="{00000000-0005-0000-0000-0000F9050000}"/>
    <cellStyle name="Comma 3 26 4 2" xfId="3643" xr:uid="{00000000-0005-0000-0000-0000FA050000}"/>
    <cellStyle name="Comma 3 26 5" xfId="2185" xr:uid="{00000000-0005-0000-0000-0000FB050000}"/>
    <cellStyle name="Comma 3 26 5 2" xfId="4429" xr:uid="{00000000-0005-0000-0000-0000FC050000}"/>
    <cellStyle name="Comma 3 26 6" xfId="2909" xr:uid="{00000000-0005-0000-0000-0000FD050000}"/>
    <cellStyle name="Comma 3 27" xfId="120" xr:uid="{00000000-0005-0000-0000-0000FE050000}"/>
    <cellStyle name="Comma 3 27 2" xfId="932" xr:uid="{00000000-0005-0000-0000-0000FF050000}"/>
    <cellStyle name="Comma 3 27 2 2" xfId="1720" xr:uid="{00000000-0005-0000-0000-000000060000}"/>
    <cellStyle name="Comma 3 27 2 2 2" xfId="3964" xr:uid="{00000000-0005-0000-0000-000001060000}"/>
    <cellStyle name="Comma 3 27 2 3" xfId="2444" xr:uid="{00000000-0005-0000-0000-000002060000}"/>
    <cellStyle name="Comma 3 27 2 3 2" xfId="4688" xr:uid="{00000000-0005-0000-0000-000003060000}"/>
    <cellStyle name="Comma 3 27 2 4" xfId="3178" xr:uid="{00000000-0005-0000-0000-000004060000}"/>
    <cellStyle name="Comma 3 27 3" xfId="1185" xr:uid="{00000000-0005-0000-0000-000005060000}"/>
    <cellStyle name="Comma 3 27 3 2" xfId="1972" xr:uid="{00000000-0005-0000-0000-000006060000}"/>
    <cellStyle name="Comma 3 27 3 2 2" xfId="4216" xr:uid="{00000000-0005-0000-0000-000007060000}"/>
    <cellStyle name="Comma 3 27 3 3" xfId="2696" xr:uid="{00000000-0005-0000-0000-000008060000}"/>
    <cellStyle name="Comma 3 27 3 3 2" xfId="4940" xr:uid="{00000000-0005-0000-0000-000009060000}"/>
    <cellStyle name="Comma 3 27 3 4" xfId="3430" xr:uid="{00000000-0005-0000-0000-00000A060000}"/>
    <cellStyle name="Comma 3 27 4" xfId="1400" xr:uid="{00000000-0005-0000-0000-00000B060000}"/>
    <cellStyle name="Comma 3 27 4 2" xfId="3644" xr:uid="{00000000-0005-0000-0000-00000C060000}"/>
    <cellStyle name="Comma 3 27 5" xfId="2186" xr:uid="{00000000-0005-0000-0000-00000D060000}"/>
    <cellStyle name="Comma 3 27 5 2" xfId="4430" xr:uid="{00000000-0005-0000-0000-00000E060000}"/>
    <cellStyle name="Comma 3 27 6" xfId="2910" xr:uid="{00000000-0005-0000-0000-00000F060000}"/>
    <cellStyle name="Comma 3 28" xfId="121" xr:uid="{00000000-0005-0000-0000-000010060000}"/>
    <cellStyle name="Comma 3 28 2" xfId="933" xr:uid="{00000000-0005-0000-0000-000011060000}"/>
    <cellStyle name="Comma 3 28 2 2" xfId="1721" xr:uid="{00000000-0005-0000-0000-000012060000}"/>
    <cellStyle name="Comma 3 28 2 2 2" xfId="3965" xr:uid="{00000000-0005-0000-0000-000013060000}"/>
    <cellStyle name="Comma 3 28 2 3" xfId="2445" xr:uid="{00000000-0005-0000-0000-000014060000}"/>
    <cellStyle name="Comma 3 28 2 3 2" xfId="4689" xr:uid="{00000000-0005-0000-0000-000015060000}"/>
    <cellStyle name="Comma 3 28 2 4" xfId="3179" xr:uid="{00000000-0005-0000-0000-000016060000}"/>
    <cellStyle name="Comma 3 28 3" xfId="1186" xr:uid="{00000000-0005-0000-0000-000017060000}"/>
    <cellStyle name="Comma 3 28 3 2" xfId="1973" xr:uid="{00000000-0005-0000-0000-000018060000}"/>
    <cellStyle name="Comma 3 28 3 2 2" xfId="4217" xr:uid="{00000000-0005-0000-0000-000019060000}"/>
    <cellStyle name="Comma 3 28 3 3" xfId="2697" xr:uid="{00000000-0005-0000-0000-00001A060000}"/>
    <cellStyle name="Comma 3 28 3 3 2" xfId="4941" xr:uid="{00000000-0005-0000-0000-00001B060000}"/>
    <cellStyle name="Comma 3 28 3 4" xfId="3431" xr:uid="{00000000-0005-0000-0000-00001C060000}"/>
    <cellStyle name="Comma 3 28 4" xfId="1401" xr:uid="{00000000-0005-0000-0000-00001D060000}"/>
    <cellStyle name="Comma 3 28 4 2" xfId="3645" xr:uid="{00000000-0005-0000-0000-00001E060000}"/>
    <cellStyle name="Comma 3 28 5" xfId="2187" xr:uid="{00000000-0005-0000-0000-00001F060000}"/>
    <cellStyle name="Comma 3 28 5 2" xfId="4431" xr:uid="{00000000-0005-0000-0000-000020060000}"/>
    <cellStyle name="Comma 3 28 6" xfId="2911" xr:uid="{00000000-0005-0000-0000-000021060000}"/>
    <cellStyle name="Comma 3 29" xfId="122" xr:uid="{00000000-0005-0000-0000-000022060000}"/>
    <cellStyle name="Comma 3 29 2" xfId="934" xr:uid="{00000000-0005-0000-0000-000023060000}"/>
    <cellStyle name="Comma 3 29 2 2" xfId="1722" xr:uid="{00000000-0005-0000-0000-000024060000}"/>
    <cellStyle name="Comma 3 29 2 2 2" xfId="3966" xr:uid="{00000000-0005-0000-0000-000025060000}"/>
    <cellStyle name="Comma 3 29 2 3" xfId="2446" xr:uid="{00000000-0005-0000-0000-000026060000}"/>
    <cellStyle name="Comma 3 29 2 3 2" xfId="4690" xr:uid="{00000000-0005-0000-0000-000027060000}"/>
    <cellStyle name="Comma 3 29 2 4" xfId="3180" xr:uid="{00000000-0005-0000-0000-000028060000}"/>
    <cellStyle name="Comma 3 29 3" xfId="1187" xr:uid="{00000000-0005-0000-0000-000029060000}"/>
    <cellStyle name="Comma 3 29 3 2" xfId="1974" xr:uid="{00000000-0005-0000-0000-00002A060000}"/>
    <cellStyle name="Comma 3 29 3 2 2" xfId="4218" xr:uid="{00000000-0005-0000-0000-00002B060000}"/>
    <cellStyle name="Comma 3 29 3 3" xfId="2698" xr:uid="{00000000-0005-0000-0000-00002C060000}"/>
    <cellStyle name="Comma 3 29 3 3 2" xfId="4942" xr:uid="{00000000-0005-0000-0000-00002D060000}"/>
    <cellStyle name="Comma 3 29 3 4" xfId="3432" xr:uid="{00000000-0005-0000-0000-00002E060000}"/>
    <cellStyle name="Comma 3 29 4" xfId="1402" xr:uid="{00000000-0005-0000-0000-00002F060000}"/>
    <cellStyle name="Comma 3 29 4 2" xfId="3646" xr:uid="{00000000-0005-0000-0000-000030060000}"/>
    <cellStyle name="Comma 3 29 5" xfId="2188" xr:uid="{00000000-0005-0000-0000-000031060000}"/>
    <cellStyle name="Comma 3 29 5 2" xfId="4432" xr:uid="{00000000-0005-0000-0000-000032060000}"/>
    <cellStyle name="Comma 3 29 6" xfId="2912" xr:uid="{00000000-0005-0000-0000-000033060000}"/>
    <cellStyle name="Comma 3 3" xfId="123" xr:uid="{00000000-0005-0000-0000-000034060000}"/>
    <cellStyle name="Comma 3 3 2" xfId="935" xr:uid="{00000000-0005-0000-0000-000035060000}"/>
    <cellStyle name="Comma 3 3 2 2" xfId="1723" xr:uid="{00000000-0005-0000-0000-000036060000}"/>
    <cellStyle name="Comma 3 3 2 2 2" xfId="3967" xr:uid="{00000000-0005-0000-0000-000037060000}"/>
    <cellStyle name="Comma 3 3 2 3" xfId="2447" xr:uid="{00000000-0005-0000-0000-000038060000}"/>
    <cellStyle name="Comma 3 3 2 3 2" xfId="4691" xr:uid="{00000000-0005-0000-0000-000039060000}"/>
    <cellStyle name="Comma 3 3 2 4" xfId="3181" xr:uid="{00000000-0005-0000-0000-00003A060000}"/>
    <cellStyle name="Comma 3 3 3" xfId="1188" xr:uid="{00000000-0005-0000-0000-00003B060000}"/>
    <cellStyle name="Comma 3 3 3 2" xfId="1975" xr:uid="{00000000-0005-0000-0000-00003C060000}"/>
    <cellStyle name="Comma 3 3 3 2 2" xfId="4219" xr:uid="{00000000-0005-0000-0000-00003D060000}"/>
    <cellStyle name="Comma 3 3 3 3" xfId="2699" xr:uid="{00000000-0005-0000-0000-00003E060000}"/>
    <cellStyle name="Comma 3 3 3 3 2" xfId="4943" xr:uid="{00000000-0005-0000-0000-00003F060000}"/>
    <cellStyle name="Comma 3 3 3 4" xfId="3433" xr:uid="{00000000-0005-0000-0000-000040060000}"/>
    <cellStyle name="Comma 3 3 4" xfId="1403" xr:uid="{00000000-0005-0000-0000-000041060000}"/>
    <cellStyle name="Comma 3 3 4 2" xfId="3647" xr:uid="{00000000-0005-0000-0000-000042060000}"/>
    <cellStyle name="Comma 3 3 5" xfId="2189" xr:uid="{00000000-0005-0000-0000-000043060000}"/>
    <cellStyle name="Comma 3 3 5 2" xfId="4433" xr:uid="{00000000-0005-0000-0000-000044060000}"/>
    <cellStyle name="Comma 3 3 6" xfId="2913" xr:uid="{00000000-0005-0000-0000-000045060000}"/>
    <cellStyle name="Comma 3 30" xfId="124" xr:uid="{00000000-0005-0000-0000-000046060000}"/>
    <cellStyle name="Comma 3 30 2" xfId="936" xr:uid="{00000000-0005-0000-0000-000047060000}"/>
    <cellStyle name="Comma 3 30 2 2" xfId="1724" xr:uid="{00000000-0005-0000-0000-000048060000}"/>
    <cellStyle name="Comma 3 30 2 2 2" xfId="3968" xr:uid="{00000000-0005-0000-0000-000049060000}"/>
    <cellStyle name="Comma 3 30 2 3" xfId="2448" xr:uid="{00000000-0005-0000-0000-00004A060000}"/>
    <cellStyle name="Comma 3 30 2 3 2" xfId="4692" xr:uid="{00000000-0005-0000-0000-00004B060000}"/>
    <cellStyle name="Comma 3 30 2 4" xfId="3182" xr:uid="{00000000-0005-0000-0000-00004C060000}"/>
    <cellStyle name="Comma 3 30 3" xfId="1189" xr:uid="{00000000-0005-0000-0000-00004D060000}"/>
    <cellStyle name="Comma 3 30 3 2" xfId="1976" xr:uid="{00000000-0005-0000-0000-00004E060000}"/>
    <cellStyle name="Comma 3 30 3 2 2" xfId="4220" xr:uid="{00000000-0005-0000-0000-00004F060000}"/>
    <cellStyle name="Comma 3 30 3 3" xfId="2700" xr:uid="{00000000-0005-0000-0000-000050060000}"/>
    <cellStyle name="Comma 3 30 3 3 2" xfId="4944" xr:uid="{00000000-0005-0000-0000-000051060000}"/>
    <cellStyle name="Comma 3 30 3 4" xfId="3434" xr:uid="{00000000-0005-0000-0000-000052060000}"/>
    <cellStyle name="Comma 3 30 4" xfId="1404" xr:uid="{00000000-0005-0000-0000-000053060000}"/>
    <cellStyle name="Comma 3 30 4 2" xfId="3648" xr:uid="{00000000-0005-0000-0000-000054060000}"/>
    <cellStyle name="Comma 3 30 5" xfId="2190" xr:uid="{00000000-0005-0000-0000-000055060000}"/>
    <cellStyle name="Comma 3 30 5 2" xfId="4434" xr:uid="{00000000-0005-0000-0000-000056060000}"/>
    <cellStyle name="Comma 3 30 6" xfId="2914" xr:uid="{00000000-0005-0000-0000-000057060000}"/>
    <cellStyle name="Comma 3 31" xfId="125" xr:uid="{00000000-0005-0000-0000-000058060000}"/>
    <cellStyle name="Comma 3 31 2" xfId="937" xr:uid="{00000000-0005-0000-0000-000059060000}"/>
    <cellStyle name="Comma 3 31 2 2" xfId="1725" xr:uid="{00000000-0005-0000-0000-00005A060000}"/>
    <cellStyle name="Comma 3 31 2 2 2" xfId="3969" xr:uid="{00000000-0005-0000-0000-00005B060000}"/>
    <cellStyle name="Comma 3 31 2 3" xfId="2449" xr:uid="{00000000-0005-0000-0000-00005C060000}"/>
    <cellStyle name="Comma 3 31 2 3 2" xfId="4693" xr:uid="{00000000-0005-0000-0000-00005D060000}"/>
    <cellStyle name="Comma 3 31 2 4" xfId="3183" xr:uid="{00000000-0005-0000-0000-00005E060000}"/>
    <cellStyle name="Comma 3 31 3" xfId="1190" xr:uid="{00000000-0005-0000-0000-00005F060000}"/>
    <cellStyle name="Comma 3 31 3 2" xfId="1977" xr:uid="{00000000-0005-0000-0000-000060060000}"/>
    <cellStyle name="Comma 3 31 3 2 2" xfId="4221" xr:uid="{00000000-0005-0000-0000-000061060000}"/>
    <cellStyle name="Comma 3 31 3 3" xfId="2701" xr:uid="{00000000-0005-0000-0000-000062060000}"/>
    <cellStyle name="Comma 3 31 3 3 2" xfId="4945" xr:uid="{00000000-0005-0000-0000-000063060000}"/>
    <cellStyle name="Comma 3 31 3 4" xfId="3435" xr:uid="{00000000-0005-0000-0000-000064060000}"/>
    <cellStyle name="Comma 3 31 4" xfId="1405" xr:uid="{00000000-0005-0000-0000-000065060000}"/>
    <cellStyle name="Comma 3 31 4 2" xfId="3649" xr:uid="{00000000-0005-0000-0000-000066060000}"/>
    <cellStyle name="Comma 3 31 5" xfId="2191" xr:uid="{00000000-0005-0000-0000-000067060000}"/>
    <cellStyle name="Comma 3 31 5 2" xfId="4435" xr:uid="{00000000-0005-0000-0000-000068060000}"/>
    <cellStyle name="Comma 3 31 6" xfId="2915" xr:uid="{00000000-0005-0000-0000-000069060000}"/>
    <cellStyle name="Comma 3 32" xfId="126" xr:uid="{00000000-0005-0000-0000-00006A060000}"/>
    <cellStyle name="Comma 3 32 2" xfId="938" xr:uid="{00000000-0005-0000-0000-00006B060000}"/>
    <cellStyle name="Comma 3 32 2 2" xfId="1726" xr:uid="{00000000-0005-0000-0000-00006C060000}"/>
    <cellStyle name="Comma 3 32 2 2 2" xfId="3970" xr:uid="{00000000-0005-0000-0000-00006D060000}"/>
    <cellStyle name="Comma 3 32 2 3" xfId="2450" xr:uid="{00000000-0005-0000-0000-00006E060000}"/>
    <cellStyle name="Comma 3 32 2 3 2" xfId="4694" xr:uid="{00000000-0005-0000-0000-00006F060000}"/>
    <cellStyle name="Comma 3 32 2 4" xfId="3184" xr:uid="{00000000-0005-0000-0000-000070060000}"/>
    <cellStyle name="Comma 3 32 3" xfId="1191" xr:uid="{00000000-0005-0000-0000-000071060000}"/>
    <cellStyle name="Comma 3 32 3 2" xfId="1978" xr:uid="{00000000-0005-0000-0000-000072060000}"/>
    <cellStyle name="Comma 3 32 3 2 2" xfId="4222" xr:uid="{00000000-0005-0000-0000-000073060000}"/>
    <cellStyle name="Comma 3 32 3 3" xfId="2702" xr:uid="{00000000-0005-0000-0000-000074060000}"/>
    <cellStyle name="Comma 3 32 3 3 2" xfId="4946" xr:uid="{00000000-0005-0000-0000-000075060000}"/>
    <cellStyle name="Comma 3 32 3 4" xfId="3436" xr:uid="{00000000-0005-0000-0000-000076060000}"/>
    <cellStyle name="Comma 3 32 4" xfId="1406" xr:uid="{00000000-0005-0000-0000-000077060000}"/>
    <cellStyle name="Comma 3 32 4 2" xfId="3650" xr:uid="{00000000-0005-0000-0000-000078060000}"/>
    <cellStyle name="Comma 3 32 5" xfId="2192" xr:uid="{00000000-0005-0000-0000-000079060000}"/>
    <cellStyle name="Comma 3 32 5 2" xfId="4436" xr:uid="{00000000-0005-0000-0000-00007A060000}"/>
    <cellStyle name="Comma 3 32 6" xfId="2916" xr:uid="{00000000-0005-0000-0000-00007B060000}"/>
    <cellStyle name="Comma 3 33" xfId="127" xr:uid="{00000000-0005-0000-0000-00007C060000}"/>
    <cellStyle name="Comma 3 33 2" xfId="939" xr:uid="{00000000-0005-0000-0000-00007D060000}"/>
    <cellStyle name="Comma 3 33 2 2" xfId="1727" xr:uid="{00000000-0005-0000-0000-00007E060000}"/>
    <cellStyle name="Comma 3 33 2 2 2" xfId="3971" xr:uid="{00000000-0005-0000-0000-00007F060000}"/>
    <cellStyle name="Comma 3 33 2 3" xfId="2451" xr:uid="{00000000-0005-0000-0000-000080060000}"/>
    <cellStyle name="Comma 3 33 2 3 2" xfId="4695" xr:uid="{00000000-0005-0000-0000-000081060000}"/>
    <cellStyle name="Comma 3 33 2 4" xfId="3185" xr:uid="{00000000-0005-0000-0000-000082060000}"/>
    <cellStyle name="Comma 3 33 3" xfId="1192" xr:uid="{00000000-0005-0000-0000-000083060000}"/>
    <cellStyle name="Comma 3 33 3 2" xfId="1979" xr:uid="{00000000-0005-0000-0000-000084060000}"/>
    <cellStyle name="Comma 3 33 3 2 2" xfId="4223" xr:uid="{00000000-0005-0000-0000-000085060000}"/>
    <cellStyle name="Comma 3 33 3 3" xfId="2703" xr:uid="{00000000-0005-0000-0000-000086060000}"/>
    <cellStyle name="Comma 3 33 3 3 2" xfId="4947" xr:uid="{00000000-0005-0000-0000-000087060000}"/>
    <cellStyle name="Comma 3 33 3 4" xfId="3437" xr:uid="{00000000-0005-0000-0000-000088060000}"/>
    <cellStyle name="Comma 3 33 4" xfId="1407" xr:uid="{00000000-0005-0000-0000-000089060000}"/>
    <cellStyle name="Comma 3 33 4 2" xfId="3651" xr:uid="{00000000-0005-0000-0000-00008A060000}"/>
    <cellStyle name="Comma 3 33 5" xfId="2193" xr:uid="{00000000-0005-0000-0000-00008B060000}"/>
    <cellStyle name="Comma 3 33 5 2" xfId="4437" xr:uid="{00000000-0005-0000-0000-00008C060000}"/>
    <cellStyle name="Comma 3 33 6" xfId="2917" xr:uid="{00000000-0005-0000-0000-00008D060000}"/>
    <cellStyle name="Comma 3 34" xfId="128" xr:uid="{00000000-0005-0000-0000-00008E060000}"/>
    <cellStyle name="Comma 3 34 2" xfId="940" xr:uid="{00000000-0005-0000-0000-00008F060000}"/>
    <cellStyle name="Comma 3 34 2 2" xfId="1728" xr:uid="{00000000-0005-0000-0000-000090060000}"/>
    <cellStyle name="Comma 3 34 2 2 2" xfId="3972" xr:uid="{00000000-0005-0000-0000-000091060000}"/>
    <cellStyle name="Comma 3 34 2 3" xfId="2452" xr:uid="{00000000-0005-0000-0000-000092060000}"/>
    <cellStyle name="Comma 3 34 2 3 2" xfId="4696" xr:uid="{00000000-0005-0000-0000-000093060000}"/>
    <cellStyle name="Comma 3 34 2 4" xfId="3186" xr:uid="{00000000-0005-0000-0000-000094060000}"/>
    <cellStyle name="Comma 3 34 3" xfId="1193" xr:uid="{00000000-0005-0000-0000-000095060000}"/>
    <cellStyle name="Comma 3 34 3 2" xfId="1980" xr:uid="{00000000-0005-0000-0000-000096060000}"/>
    <cellStyle name="Comma 3 34 3 2 2" xfId="4224" xr:uid="{00000000-0005-0000-0000-000097060000}"/>
    <cellStyle name="Comma 3 34 3 3" xfId="2704" xr:uid="{00000000-0005-0000-0000-000098060000}"/>
    <cellStyle name="Comma 3 34 3 3 2" xfId="4948" xr:uid="{00000000-0005-0000-0000-000099060000}"/>
    <cellStyle name="Comma 3 34 3 4" xfId="3438" xr:uid="{00000000-0005-0000-0000-00009A060000}"/>
    <cellStyle name="Comma 3 34 4" xfId="1408" xr:uid="{00000000-0005-0000-0000-00009B060000}"/>
    <cellStyle name="Comma 3 34 4 2" xfId="3652" xr:uid="{00000000-0005-0000-0000-00009C060000}"/>
    <cellStyle name="Comma 3 34 5" xfId="2194" xr:uid="{00000000-0005-0000-0000-00009D060000}"/>
    <cellStyle name="Comma 3 34 5 2" xfId="4438" xr:uid="{00000000-0005-0000-0000-00009E060000}"/>
    <cellStyle name="Comma 3 34 6" xfId="2918" xr:uid="{00000000-0005-0000-0000-00009F060000}"/>
    <cellStyle name="Comma 3 35" xfId="129" xr:uid="{00000000-0005-0000-0000-0000A0060000}"/>
    <cellStyle name="Comma 3 35 2" xfId="941" xr:uid="{00000000-0005-0000-0000-0000A1060000}"/>
    <cellStyle name="Comma 3 35 2 2" xfId="1729" xr:uid="{00000000-0005-0000-0000-0000A2060000}"/>
    <cellStyle name="Comma 3 35 2 2 2" xfId="3973" xr:uid="{00000000-0005-0000-0000-0000A3060000}"/>
    <cellStyle name="Comma 3 35 2 3" xfId="2453" xr:uid="{00000000-0005-0000-0000-0000A4060000}"/>
    <cellStyle name="Comma 3 35 2 3 2" xfId="4697" xr:uid="{00000000-0005-0000-0000-0000A5060000}"/>
    <cellStyle name="Comma 3 35 2 4" xfId="3187" xr:uid="{00000000-0005-0000-0000-0000A6060000}"/>
    <cellStyle name="Comma 3 35 3" xfId="1194" xr:uid="{00000000-0005-0000-0000-0000A7060000}"/>
    <cellStyle name="Comma 3 35 3 2" xfId="1981" xr:uid="{00000000-0005-0000-0000-0000A8060000}"/>
    <cellStyle name="Comma 3 35 3 2 2" xfId="4225" xr:uid="{00000000-0005-0000-0000-0000A9060000}"/>
    <cellStyle name="Comma 3 35 3 3" xfId="2705" xr:uid="{00000000-0005-0000-0000-0000AA060000}"/>
    <cellStyle name="Comma 3 35 3 3 2" xfId="4949" xr:uid="{00000000-0005-0000-0000-0000AB060000}"/>
    <cellStyle name="Comma 3 35 3 4" xfId="3439" xr:uid="{00000000-0005-0000-0000-0000AC060000}"/>
    <cellStyle name="Comma 3 35 4" xfId="1409" xr:uid="{00000000-0005-0000-0000-0000AD060000}"/>
    <cellStyle name="Comma 3 35 4 2" xfId="3653" xr:uid="{00000000-0005-0000-0000-0000AE060000}"/>
    <cellStyle name="Comma 3 35 5" xfId="2195" xr:uid="{00000000-0005-0000-0000-0000AF060000}"/>
    <cellStyle name="Comma 3 35 5 2" xfId="4439" xr:uid="{00000000-0005-0000-0000-0000B0060000}"/>
    <cellStyle name="Comma 3 35 6" xfId="2919" xr:uid="{00000000-0005-0000-0000-0000B1060000}"/>
    <cellStyle name="Comma 3 36" xfId="130" xr:uid="{00000000-0005-0000-0000-0000B2060000}"/>
    <cellStyle name="Comma 3 36 2" xfId="942" xr:uid="{00000000-0005-0000-0000-0000B3060000}"/>
    <cellStyle name="Comma 3 36 2 2" xfId="1730" xr:uid="{00000000-0005-0000-0000-0000B4060000}"/>
    <cellStyle name="Comma 3 36 2 2 2" xfId="3974" xr:uid="{00000000-0005-0000-0000-0000B5060000}"/>
    <cellStyle name="Comma 3 36 2 3" xfId="2454" xr:uid="{00000000-0005-0000-0000-0000B6060000}"/>
    <cellStyle name="Comma 3 36 2 3 2" xfId="4698" xr:uid="{00000000-0005-0000-0000-0000B7060000}"/>
    <cellStyle name="Comma 3 36 2 4" xfId="3188" xr:uid="{00000000-0005-0000-0000-0000B8060000}"/>
    <cellStyle name="Comma 3 36 3" xfId="1195" xr:uid="{00000000-0005-0000-0000-0000B9060000}"/>
    <cellStyle name="Comma 3 36 3 2" xfId="1982" xr:uid="{00000000-0005-0000-0000-0000BA060000}"/>
    <cellStyle name="Comma 3 36 3 2 2" xfId="4226" xr:uid="{00000000-0005-0000-0000-0000BB060000}"/>
    <cellStyle name="Comma 3 36 3 3" xfId="2706" xr:uid="{00000000-0005-0000-0000-0000BC060000}"/>
    <cellStyle name="Comma 3 36 3 3 2" xfId="4950" xr:uid="{00000000-0005-0000-0000-0000BD060000}"/>
    <cellStyle name="Comma 3 36 3 4" xfId="3440" xr:uid="{00000000-0005-0000-0000-0000BE060000}"/>
    <cellStyle name="Comma 3 36 4" xfId="1410" xr:uid="{00000000-0005-0000-0000-0000BF060000}"/>
    <cellStyle name="Comma 3 36 4 2" xfId="3654" xr:uid="{00000000-0005-0000-0000-0000C0060000}"/>
    <cellStyle name="Comma 3 36 5" xfId="2196" xr:uid="{00000000-0005-0000-0000-0000C1060000}"/>
    <cellStyle name="Comma 3 36 5 2" xfId="4440" xr:uid="{00000000-0005-0000-0000-0000C2060000}"/>
    <cellStyle name="Comma 3 36 6" xfId="2920" xr:uid="{00000000-0005-0000-0000-0000C3060000}"/>
    <cellStyle name="Comma 3 37" xfId="131" xr:uid="{00000000-0005-0000-0000-0000C4060000}"/>
    <cellStyle name="Comma 3 37 2" xfId="943" xr:uid="{00000000-0005-0000-0000-0000C5060000}"/>
    <cellStyle name="Comma 3 37 2 2" xfId="1731" xr:uid="{00000000-0005-0000-0000-0000C6060000}"/>
    <cellStyle name="Comma 3 37 2 2 2" xfId="3975" xr:uid="{00000000-0005-0000-0000-0000C7060000}"/>
    <cellStyle name="Comma 3 37 2 3" xfId="2455" xr:uid="{00000000-0005-0000-0000-0000C8060000}"/>
    <cellStyle name="Comma 3 37 2 3 2" xfId="4699" xr:uid="{00000000-0005-0000-0000-0000C9060000}"/>
    <cellStyle name="Comma 3 37 2 4" xfId="3189" xr:uid="{00000000-0005-0000-0000-0000CA060000}"/>
    <cellStyle name="Comma 3 37 3" xfId="1196" xr:uid="{00000000-0005-0000-0000-0000CB060000}"/>
    <cellStyle name="Comma 3 37 3 2" xfId="1983" xr:uid="{00000000-0005-0000-0000-0000CC060000}"/>
    <cellStyle name="Comma 3 37 3 2 2" xfId="4227" xr:uid="{00000000-0005-0000-0000-0000CD060000}"/>
    <cellStyle name="Comma 3 37 3 3" xfId="2707" xr:uid="{00000000-0005-0000-0000-0000CE060000}"/>
    <cellStyle name="Comma 3 37 3 3 2" xfId="4951" xr:uid="{00000000-0005-0000-0000-0000CF060000}"/>
    <cellStyle name="Comma 3 37 3 4" xfId="3441" xr:uid="{00000000-0005-0000-0000-0000D0060000}"/>
    <cellStyle name="Comma 3 37 4" xfId="1411" xr:uid="{00000000-0005-0000-0000-0000D1060000}"/>
    <cellStyle name="Comma 3 37 4 2" xfId="3655" xr:uid="{00000000-0005-0000-0000-0000D2060000}"/>
    <cellStyle name="Comma 3 37 5" xfId="2197" xr:uid="{00000000-0005-0000-0000-0000D3060000}"/>
    <cellStyle name="Comma 3 37 5 2" xfId="4441" xr:uid="{00000000-0005-0000-0000-0000D4060000}"/>
    <cellStyle name="Comma 3 37 6" xfId="2921" xr:uid="{00000000-0005-0000-0000-0000D5060000}"/>
    <cellStyle name="Comma 3 38" xfId="132" xr:uid="{00000000-0005-0000-0000-0000D6060000}"/>
    <cellStyle name="Comma 3 38 2" xfId="944" xr:uid="{00000000-0005-0000-0000-0000D7060000}"/>
    <cellStyle name="Comma 3 38 2 2" xfId="1732" xr:uid="{00000000-0005-0000-0000-0000D8060000}"/>
    <cellStyle name="Comma 3 38 2 2 2" xfId="3976" xr:uid="{00000000-0005-0000-0000-0000D9060000}"/>
    <cellStyle name="Comma 3 38 2 3" xfId="2456" xr:uid="{00000000-0005-0000-0000-0000DA060000}"/>
    <cellStyle name="Comma 3 38 2 3 2" xfId="4700" xr:uid="{00000000-0005-0000-0000-0000DB060000}"/>
    <cellStyle name="Comma 3 38 2 4" xfId="3190" xr:uid="{00000000-0005-0000-0000-0000DC060000}"/>
    <cellStyle name="Comma 3 38 3" xfId="1197" xr:uid="{00000000-0005-0000-0000-0000DD060000}"/>
    <cellStyle name="Comma 3 38 3 2" xfId="1984" xr:uid="{00000000-0005-0000-0000-0000DE060000}"/>
    <cellStyle name="Comma 3 38 3 2 2" xfId="4228" xr:uid="{00000000-0005-0000-0000-0000DF060000}"/>
    <cellStyle name="Comma 3 38 3 3" xfId="2708" xr:uid="{00000000-0005-0000-0000-0000E0060000}"/>
    <cellStyle name="Comma 3 38 3 3 2" xfId="4952" xr:uid="{00000000-0005-0000-0000-0000E1060000}"/>
    <cellStyle name="Comma 3 38 3 4" xfId="3442" xr:uid="{00000000-0005-0000-0000-0000E2060000}"/>
    <cellStyle name="Comma 3 38 4" xfId="1412" xr:uid="{00000000-0005-0000-0000-0000E3060000}"/>
    <cellStyle name="Comma 3 38 4 2" xfId="3656" xr:uid="{00000000-0005-0000-0000-0000E4060000}"/>
    <cellStyle name="Comma 3 38 5" xfId="2198" xr:uid="{00000000-0005-0000-0000-0000E5060000}"/>
    <cellStyle name="Comma 3 38 5 2" xfId="4442" xr:uid="{00000000-0005-0000-0000-0000E6060000}"/>
    <cellStyle name="Comma 3 38 6" xfId="2922" xr:uid="{00000000-0005-0000-0000-0000E7060000}"/>
    <cellStyle name="Comma 3 39" xfId="133" xr:uid="{00000000-0005-0000-0000-0000E8060000}"/>
    <cellStyle name="Comma 3 39 2" xfId="945" xr:uid="{00000000-0005-0000-0000-0000E9060000}"/>
    <cellStyle name="Comma 3 39 2 2" xfId="1733" xr:uid="{00000000-0005-0000-0000-0000EA060000}"/>
    <cellStyle name="Comma 3 39 2 2 2" xfId="3977" xr:uid="{00000000-0005-0000-0000-0000EB060000}"/>
    <cellStyle name="Comma 3 39 2 3" xfId="2457" xr:uid="{00000000-0005-0000-0000-0000EC060000}"/>
    <cellStyle name="Comma 3 39 2 3 2" xfId="4701" xr:uid="{00000000-0005-0000-0000-0000ED060000}"/>
    <cellStyle name="Comma 3 39 2 4" xfId="3191" xr:uid="{00000000-0005-0000-0000-0000EE060000}"/>
    <cellStyle name="Comma 3 39 3" xfId="1198" xr:uid="{00000000-0005-0000-0000-0000EF060000}"/>
    <cellStyle name="Comma 3 39 3 2" xfId="1985" xr:uid="{00000000-0005-0000-0000-0000F0060000}"/>
    <cellStyle name="Comma 3 39 3 2 2" xfId="4229" xr:uid="{00000000-0005-0000-0000-0000F1060000}"/>
    <cellStyle name="Comma 3 39 3 3" xfId="2709" xr:uid="{00000000-0005-0000-0000-0000F2060000}"/>
    <cellStyle name="Comma 3 39 3 3 2" xfId="4953" xr:uid="{00000000-0005-0000-0000-0000F3060000}"/>
    <cellStyle name="Comma 3 39 3 4" xfId="3443" xr:uid="{00000000-0005-0000-0000-0000F4060000}"/>
    <cellStyle name="Comma 3 39 4" xfId="1413" xr:uid="{00000000-0005-0000-0000-0000F5060000}"/>
    <cellStyle name="Comma 3 39 4 2" xfId="3657" xr:uid="{00000000-0005-0000-0000-0000F6060000}"/>
    <cellStyle name="Comma 3 39 5" xfId="2199" xr:uid="{00000000-0005-0000-0000-0000F7060000}"/>
    <cellStyle name="Comma 3 39 5 2" xfId="4443" xr:uid="{00000000-0005-0000-0000-0000F8060000}"/>
    <cellStyle name="Comma 3 39 6" xfId="2923" xr:uid="{00000000-0005-0000-0000-0000F9060000}"/>
    <cellStyle name="Comma 3 4" xfId="134" xr:uid="{00000000-0005-0000-0000-0000FA060000}"/>
    <cellStyle name="Comma 3 4 2" xfId="946" xr:uid="{00000000-0005-0000-0000-0000FB060000}"/>
    <cellStyle name="Comma 3 4 2 2" xfId="1734" xr:uid="{00000000-0005-0000-0000-0000FC060000}"/>
    <cellStyle name="Comma 3 4 2 2 2" xfId="3978" xr:uid="{00000000-0005-0000-0000-0000FD060000}"/>
    <cellStyle name="Comma 3 4 2 3" xfId="2458" xr:uid="{00000000-0005-0000-0000-0000FE060000}"/>
    <cellStyle name="Comma 3 4 2 3 2" xfId="4702" xr:uid="{00000000-0005-0000-0000-0000FF060000}"/>
    <cellStyle name="Comma 3 4 2 4" xfId="3192" xr:uid="{00000000-0005-0000-0000-000000070000}"/>
    <cellStyle name="Comma 3 4 3" xfId="1199" xr:uid="{00000000-0005-0000-0000-000001070000}"/>
    <cellStyle name="Comma 3 4 3 2" xfId="1986" xr:uid="{00000000-0005-0000-0000-000002070000}"/>
    <cellStyle name="Comma 3 4 3 2 2" xfId="4230" xr:uid="{00000000-0005-0000-0000-000003070000}"/>
    <cellStyle name="Comma 3 4 3 3" xfId="2710" xr:uid="{00000000-0005-0000-0000-000004070000}"/>
    <cellStyle name="Comma 3 4 3 3 2" xfId="4954" xr:uid="{00000000-0005-0000-0000-000005070000}"/>
    <cellStyle name="Comma 3 4 3 4" xfId="3444" xr:uid="{00000000-0005-0000-0000-000006070000}"/>
    <cellStyle name="Comma 3 4 4" xfId="1414" xr:uid="{00000000-0005-0000-0000-000007070000}"/>
    <cellStyle name="Comma 3 4 4 2" xfId="3658" xr:uid="{00000000-0005-0000-0000-000008070000}"/>
    <cellStyle name="Comma 3 4 5" xfId="2200" xr:uid="{00000000-0005-0000-0000-000009070000}"/>
    <cellStyle name="Comma 3 4 5 2" xfId="4444" xr:uid="{00000000-0005-0000-0000-00000A070000}"/>
    <cellStyle name="Comma 3 4 6" xfId="2924" xr:uid="{00000000-0005-0000-0000-00000B070000}"/>
    <cellStyle name="Comma 3 40" xfId="135" xr:uid="{00000000-0005-0000-0000-00000C070000}"/>
    <cellStyle name="Comma 3 40 2" xfId="947" xr:uid="{00000000-0005-0000-0000-00000D070000}"/>
    <cellStyle name="Comma 3 40 2 2" xfId="1735" xr:uid="{00000000-0005-0000-0000-00000E070000}"/>
    <cellStyle name="Comma 3 40 2 2 2" xfId="3979" xr:uid="{00000000-0005-0000-0000-00000F070000}"/>
    <cellStyle name="Comma 3 40 2 3" xfId="2459" xr:uid="{00000000-0005-0000-0000-000010070000}"/>
    <cellStyle name="Comma 3 40 2 3 2" xfId="4703" xr:uid="{00000000-0005-0000-0000-000011070000}"/>
    <cellStyle name="Comma 3 40 2 4" xfId="3193" xr:uid="{00000000-0005-0000-0000-000012070000}"/>
    <cellStyle name="Comma 3 40 3" xfId="1200" xr:uid="{00000000-0005-0000-0000-000013070000}"/>
    <cellStyle name="Comma 3 40 3 2" xfId="1987" xr:uid="{00000000-0005-0000-0000-000014070000}"/>
    <cellStyle name="Comma 3 40 3 2 2" xfId="4231" xr:uid="{00000000-0005-0000-0000-000015070000}"/>
    <cellStyle name="Comma 3 40 3 3" xfId="2711" xr:uid="{00000000-0005-0000-0000-000016070000}"/>
    <cellStyle name="Comma 3 40 3 3 2" xfId="4955" xr:uid="{00000000-0005-0000-0000-000017070000}"/>
    <cellStyle name="Comma 3 40 3 4" xfId="3445" xr:uid="{00000000-0005-0000-0000-000018070000}"/>
    <cellStyle name="Comma 3 40 4" xfId="1415" xr:uid="{00000000-0005-0000-0000-000019070000}"/>
    <cellStyle name="Comma 3 40 4 2" xfId="3659" xr:uid="{00000000-0005-0000-0000-00001A070000}"/>
    <cellStyle name="Comma 3 40 5" xfId="2201" xr:uid="{00000000-0005-0000-0000-00001B070000}"/>
    <cellStyle name="Comma 3 40 5 2" xfId="4445" xr:uid="{00000000-0005-0000-0000-00001C070000}"/>
    <cellStyle name="Comma 3 40 6" xfId="2925" xr:uid="{00000000-0005-0000-0000-00001D070000}"/>
    <cellStyle name="Comma 3 41" xfId="136" xr:uid="{00000000-0005-0000-0000-00001E070000}"/>
    <cellStyle name="Comma 3 41 2" xfId="948" xr:uid="{00000000-0005-0000-0000-00001F070000}"/>
    <cellStyle name="Comma 3 41 2 2" xfId="1736" xr:uid="{00000000-0005-0000-0000-000020070000}"/>
    <cellStyle name="Comma 3 41 2 2 2" xfId="3980" xr:uid="{00000000-0005-0000-0000-000021070000}"/>
    <cellStyle name="Comma 3 41 2 3" xfId="2460" xr:uid="{00000000-0005-0000-0000-000022070000}"/>
    <cellStyle name="Comma 3 41 2 3 2" xfId="4704" xr:uid="{00000000-0005-0000-0000-000023070000}"/>
    <cellStyle name="Comma 3 41 2 4" xfId="3194" xr:uid="{00000000-0005-0000-0000-000024070000}"/>
    <cellStyle name="Comma 3 41 3" xfId="1201" xr:uid="{00000000-0005-0000-0000-000025070000}"/>
    <cellStyle name="Comma 3 41 3 2" xfId="1988" xr:uid="{00000000-0005-0000-0000-000026070000}"/>
    <cellStyle name="Comma 3 41 3 2 2" xfId="4232" xr:uid="{00000000-0005-0000-0000-000027070000}"/>
    <cellStyle name="Comma 3 41 3 3" xfId="2712" xr:uid="{00000000-0005-0000-0000-000028070000}"/>
    <cellStyle name="Comma 3 41 3 3 2" xfId="4956" xr:uid="{00000000-0005-0000-0000-000029070000}"/>
    <cellStyle name="Comma 3 41 3 4" xfId="3446" xr:uid="{00000000-0005-0000-0000-00002A070000}"/>
    <cellStyle name="Comma 3 41 4" xfId="1416" xr:uid="{00000000-0005-0000-0000-00002B070000}"/>
    <cellStyle name="Comma 3 41 4 2" xfId="3660" xr:uid="{00000000-0005-0000-0000-00002C070000}"/>
    <cellStyle name="Comma 3 41 5" xfId="2202" xr:uid="{00000000-0005-0000-0000-00002D070000}"/>
    <cellStyle name="Comma 3 41 5 2" xfId="4446" xr:uid="{00000000-0005-0000-0000-00002E070000}"/>
    <cellStyle name="Comma 3 41 6" xfId="2926" xr:uid="{00000000-0005-0000-0000-00002F070000}"/>
    <cellStyle name="Comma 3 42" xfId="137" xr:uid="{00000000-0005-0000-0000-000030070000}"/>
    <cellStyle name="Comma 3 42 2" xfId="949" xr:uid="{00000000-0005-0000-0000-000031070000}"/>
    <cellStyle name="Comma 3 42 2 2" xfId="1737" xr:uid="{00000000-0005-0000-0000-000032070000}"/>
    <cellStyle name="Comma 3 42 2 2 2" xfId="3981" xr:uid="{00000000-0005-0000-0000-000033070000}"/>
    <cellStyle name="Comma 3 42 2 3" xfId="2461" xr:uid="{00000000-0005-0000-0000-000034070000}"/>
    <cellStyle name="Comma 3 42 2 3 2" xfId="4705" xr:uid="{00000000-0005-0000-0000-000035070000}"/>
    <cellStyle name="Comma 3 42 2 4" xfId="3195" xr:uid="{00000000-0005-0000-0000-000036070000}"/>
    <cellStyle name="Comma 3 42 3" xfId="1202" xr:uid="{00000000-0005-0000-0000-000037070000}"/>
    <cellStyle name="Comma 3 42 3 2" xfId="1989" xr:uid="{00000000-0005-0000-0000-000038070000}"/>
    <cellStyle name="Comma 3 42 3 2 2" xfId="4233" xr:uid="{00000000-0005-0000-0000-000039070000}"/>
    <cellStyle name="Comma 3 42 3 3" xfId="2713" xr:uid="{00000000-0005-0000-0000-00003A070000}"/>
    <cellStyle name="Comma 3 42 3 3 2" xfId="4957" xr:uid="{00000000-0005-0000-0000-00003B070000}"/>
    <cellStyle name="Comma 3 42 3 4" xfId="3447" xr:uid="{00000000-0005-0000-0000-00003C070000}"/>
    <cellStyle name="Comma 3 42 4" xfId="1417" xr:uid="{00000000-0005-0000-0000-00003D070000}"/>
    <cellStyle name="Comma 3 42 4 2" xfId="3661" xr:uid="{00000000-0005-0000-0000-00003E070000}"/>
    <cellStyle name="Comma 3 42 5" xfId="2203" xr:uid="{00000000-0005-0000-0000-00003F070000}"/>
    <cellStyle name="Comma 3 42 5 2" xfId="4447" xr:uid="{00000000-0005-0000-0000-000040070000}"/>
    <cellStyle name="Comma 3 42 6" xfId="2927" xr:uid="{00000000-0005-0000-0000-000041070000}"/>
    <cellStyle name="Comma 3 43" xfId="138" xr:uid="{00000000-0005-0000-0000-000042070000}"/>
    <cellStyle name="Comma 3 43 2" xfId="950" xr:uid="{00000000-0005-0000-0000-000043070000}"/>
    <cellStyle name="Comma 3 43 2 2" xfId="1738" xr:uid="{00000000-0005-0000-0000-000044070000}"/>
    <cellStyle name="Comma 3 43 2 2 2" xfId="3982" xr:uid="{00000000-0005-0000-0000-000045070000}"/>
    <cellStyle name="Comma 3 43 2 3" xfId="2462" xr:uid="{00000000-0005-0000-0000-000046070000}"/>
    <cellStyle name="Comma 3 43 2 3 2" xfId="4706" xr:uid="{00000000-0005-0000-0000-000047070000}"/>
    <cellStyle name="Comma 3 43 2 4" xfId="3196" xr:uid="{00000000-0005-0000-0000-000048070000}"/>
    <cellStyle name="Comma 3 43 3" xfId="1203" xr:uid="{00000000-0005-0000-0000-000049070000}"/>
    <cellStyle name="Comma 3 43 3 2" xfId="1990" xr:uid="{00000000-0005-0000-0000-00004A070000}"/>
    <cellStyle name="Comma 3 43 3 2 2" xfId="4234" xr:uid="{00000000-0005-0000-0000-00004B070000}"/>
    <cellStyle name="Comma 3 43 3 3" xfId="2714" xr:uid="{00000000-0005-0000-0000-00004C070000}"/>
    <cellStyle name="Comma 3 43 3 3 2" xfId="4958" xr:uid="{00000000-0005-0000-0000-00004D070000}"/>
    <cellStyle name="Comma 3 43 3 4" xfId="3448" xr:uid="{00000000-0005-0000-0000-00004E070000}"/>
    <cellStyle name="Comma 3 43 4" xfId="1418" xr:uid="{00000000-0005-0000-0000-00004F070000}"/>
    <cellStyle name="Comma 3 43 4 2" xfId="3662" xr:uid="{00000000-0005-0000-0000-000050070000}"/>
    <cellStyle name="Comma 3 43 5" xfId="2204" xr:uid="{00000000-0005-0000-0000-000051070000}"/>
    <cellStyle name="Comma 3 43 5 2" xfId="4448" xr:uid="{00000000-0005-0000-0000-000052070000}"/>
    <cellStyle name="Comma 3 43 6" xfId="2928" xr:uid="{00000000-0005-0000-0000-000053070000}"/>
    <cellStyle name="Comma 3 44" xfId="139" xr:uid="{00000000-0005-0000-0000-000054070000}"/>
    <cellStyle name="Comma 3 44 2" xfId="951" xr:uid="{00000000-0005-0000-0000-000055070000}"/>
    <cellStyle name="Comma 3 44 2 2" xfId="1739" xr:uid="{00000000-0005-0000-0000-000056070000}"/>
    <cellStyle name="Comma 3 44 2 2 2" xfId="3983" xr:uid="{00000000-0005-0000-0000-000057070000}"/>
    <cellStyle name="Comma 3 44 2 3" xfId="2463" xr:uid="{00000000-0005-0000-0000-000058070000}"/>
    <cellStyle name="Comma 3 44 2 3 2" xfId="4707" xr:uid="{00000000-0005-0000-0000-000059070000}"/>
    <cellStyle name="Comma 3 44 2 4" xfId="3197" xr:uid="{00000000-0005-0000-0000-00005A070000}"/>
    <cellStyle name="Comma 3 44 3" xfId="1204" xr:uid="{00000000-0005-0000-0000-00005B070000}"/>
    <cellStyle name="Comma 3 44 3 2" xfId="1991" xr:uid="{00000000-0005-0000-0000-00005C070000}"/>
    <cellStyle name="Comma 3 44 3 2 2" xfId="4235" xr:uid="{00000000-0005-0000-0000-00005D070000}"/>
    <cellStyle name="Comma 3 44 3 3" xfId="2715" xr:uid="{00000000-0005-0000-0000-00005E070000}"/>
    <cellStyle name="Comma 3 44 3 3 2" xfId="4959" xr:uid="{00000000-0005-0000-0000-00005F070000}"/>
    <cellStyle name="Comma 3 44 3 4" xfId="3449" xr:uid="{00000000-0005-0000-0000-000060070000}"/>
    <cellStyle name="Comma 3 44 4" xfId="1419" xr:uid="{00000000-0005-0000-0000-000061070000}"/>
    <cellStyle name="Comma 3 44 4 2" xfId="3663" xr:uid="{00000000-0005-0000-0000-000062070000}"/>
    <cellStyle name="Comma 3 44 5" xfId="2205" xr:uid="{00000000-0005-0000-0000-000063070000}"/>
    <cellStyle name="Comma 3 44 5 2" xfId="4449" xr:uid="{00000000-0005-0000-0000-000064070000}"/>
    <cellStyle name="Comma 3 44 6" xfId="2929" xr:uid="{00000000-0005-0000-0000-000065070000}"/>
    <cellStyle name="Comma 3 45" xfId="140" xr:uid="{00000000-0005-0000-0000-000066070000}"/>
    <cellStyle name="Comma 3 45 2" xfId="952" xr:uid="{00000000-0005-0000-0000-000067070000}"/>
    <cellStyle name="Comma 3 45 2 2" xfId="1740" xr:uid="{00000000-0005-0000-0000-000068070000}"/>
    <cellStyle name="Comma 3 45 2 2 2" xfId="3984" xr:uid="{00000000-0005-0000-0000-000069070000}"/>
    <cellStyle name="Comma 3 45 2 3" xfId="2464" xr:uid="{00000000-0005-0000-0000-00006A070000}"/>
    <cellStyle name="Comma 3 45 2 3 2" xfId="4708" xr:uid="{00000000-0005-0000-0000-00006B070000}"/>
    <cellStyle name="Comma 3 45 2 4" xfId="3198" xr:uid="{00000000-0005-0000-0000-00006C070000}"/>
    <cellStyle name="Comma 3 45 3" xfId="1205" xr:uid="{00000000-0005-0000-0000-00006D070000}"/>
    <cellStyle name="Comma 3 45 3 2" xfId="1992" xr:uid="{00000000-0005-0000-0000-00006E070000}"/>
    <cellStyle name="Comma 3 45 3 2 2" xfId="4236" xr:uid="{00000000-0005-0000-0000-00006F070000}"/>
    <cellStyle name="Comma 3 45 3 3" xfId="2716" xr:uid="{00000000-0005-0000-0000-000070070000}"/>
    <cellStyle name="Comma 3 45 3 3 2" xfId="4960" xr:uid="{00000000-0005-0000-0000-000071070000}"/>
    <cellStyle name="Comma 3 45 3 4" xfId="3450" xr:uid="{00000000-0005-0000-0000-000072070000}"/>
    <cellStyle name="Comma 3 45 4" xfId="1420" xr:uid="{00000000-0005-0000-0000-000073070000}"/>
    <cellStyle name="Comma 3 45 4 2" xfId="3664" xr:uid="{00000000-0005-0000-0000-000074070000}"/>
    <cellStyle name="Comma 3 45 5" xfId="2206" xr:uid="{00000000-0005-0000-0000-000075070000}"/>
    <cellStyle name="Comma 3 45 5 2" xfId="4450" xr:uid="{00000000-0005-0000-0000-000076070000}"/>
    <cellStyle name="Comma 3 45 6" xfId="2930" xr:uid="{00000000-0005-0000-0000-000077070000}"/>
    <cellStyle name="Comma 3 46" xfId="141" xr:uid="{00000000-0005-0000-0000-000078070000}"/>
    <cellStyle name="Comma 3 46 2" xfId="953" xr:uid="{00000000-0005-0000-0000-000079070000}"/>
    <cellStyle name="Comma 3 46 2 2" xfId="1741" xr:uid="{00000000-0005-0000-0000-00007A070000}"/>
    <cellStyle name="Comma 3 46 2 2 2" xfId="3985" xr:uid="{00000000-0005-0000-0000-00007B070000}"/>
    <cellStyle name="Comma 3 46 2 3" xfId="2465" xr:uid="{00000000-0005-0000-0000-00007C070000}"/>
    <cellStyle name="Comma 3 46 2 3 2" xfId="4709" xr:uid="{00000000-0005-0000-0000-00007D070000}"/>
    <cellStyle name="Comma 3 46 2 4" xfId="3199" xr:uid="{00000000-0005-0000-0000-00007E070000}"/>
    <cellStyle name="Comma 3 46 3" xfId="1206" xr:uid="{00000000-0005-0000-0000-00007F070000}"/>
    <cellStyle name="Comma 3 46 3 2" xfId="1993" xr:uid="{00000000-0005-0000-0000-000080070000}"/>
    <cellStyle name="Comma 3 46 3 2 2" xfId="4237" xr:uid="{00000000-0005-0000-0000-000081070000}"/>
    <cellStyle name="Comma 3 46 3 3" xfId="2717" xr:uid="{00000000-0005-0000-0000-000082070000}"/>
    <cellStyle name="Comma 3 46 3 3 2" xfId="4961" xr:uid="{00000000-0005-0000-0000-000083070000}"/>
    <cellStyle name="Comma 3 46 3 4" xfId="3451" xr:uid="{00000000-0005-0000-0000-000084070000}"/>
    <cellStyle name="Comma 3 46 4" xfId="1421" xr:uid="{00000000-0005-0000-0000-000085070000}"/>
    <cellStyle name="Comma 3 46 4 2" xfId="3665" xr:uid="{00000000-0005-0000-0000-000086070000}"/>
    <cellStyle name="Comma 3 46 5" xfId="2207" xr:uid="{00000000-0005-0000-0000-000087070000}"/>
    <cellStyle name="Comma 3 46 5 2" xfId="4451" xr:uid="{00000000-0005-0000-0000-000088070000}"/>
    <cellStyle name="Comma 3 46 6" xfId="2931" xr:uid="{00000000-0005-0000-0000-000089070000}"/>
    <cellStyle name="Comma 3 47" xfId="142" xr:uid="{00000000-0005-0000-0000-00008A070000}"/>
    <cellStyle name="Comma 3 47 2" xfId="954" xr:uid="{00000000-0005-0000-0000-00008B070000}"/>
    <cellStyle name="Comma 3 47 2 2" xfId="1742" xr:uid="{00000000-0005-0000-0000-00008C070000}"/>
    <cellStyle name="Comma 3 47 2 2 2" xfId="3986" xr:uid="{00000000-0005-0000-0000-00008D070000}"/>
    <cellStyle name="Comma 3 47 2 3" xfId="2466" xr:uid="{00000000-0005-0000-0000-00008E070000}"/>
    <cellStyle name="Comma 3 47 2 3 2" xfId="4710" xr:uid="{00000000-0005-0000-0000-00008F070000}"/>
    <cellStyle name="Comma 3 47 2 4" xfId="3200" xr:uid="{00000000-0005-0000-0000-000090070000}"/>
    <cellStyle name="Comma 3 47 3" xfId="1207" xr:uid="{00000000-0005-0000-0000-000091070000}"/>
    <cellStyle name="Comma 3 47 3 2" xfId="1994" xr:uid="{00000000-0005-0000-0000-000092070000}"/>
    <cellStyle name="Comma 3 47 3 2 2" xfId="4238" xr:uid="{00000000-0005-0000-0000-000093070000}"/>
    <cellStyle name="Comma 3 47 3 3" xfId="2718" xr:uid="{00000000-0005-0000-0000-000094070000}"/>
    <cellStyle name="Comma 3 47 3 3 2" xfId="4962" xr:uid="{00000000-0005-0000-0000-000095070000}"/>
    <cellStyle name="Comma 3 47 3 4" xfId="3452" xr:uid="{00000000-0005-0000-0000-000096070000}"/>
    <cellStyle name="Comma 3 47 4" xfId="1422" xr:uid="{00000000-0005-0000-0000-000097070000}"/>
    <cellStyle name="Comma 3 47 4 2" xfId="3666" xr:uid="{00000000-0005-0000-0000-000098070000}"/>
    <cellStyle name="Comma 3 47 5" xfId="2208" xr:uid="{00000000-0005-0000-0000-000099070000}"/>
    <cellStyle name="Comma 3 47 5 2" xfId="4452" xr:uid="{00000000-0005-0000-0000-00009A070000}"/>
    <cellStyle name="Comma 3 47 6" xfId="2932" xr:uid="{00000000-0005-0000-0000-00009B070000}"/>
    <cellStyle name="Comma 3 48" xfId="143" xr:uid="{00000000-0005-0000-0000-00009C070000}"/>
    <cellStyle name="Comma 3 48 2" xfId="955" xr:uid="{00000000-0005-0000-0000-00009D070000}"/>
    <cellStyle name="Comma 3 48 2 2" xfId="1743" xr:uid="{00000000-0005-0000-0000-00009E070000}"/>
    <cellStyle name="Comma 3 48 2 2 2" xfId="3987" xr:uid="{00000000-0005-0000-0000-00009F070000}"/>
    <cellStyle name="Comma 3 48 2 3" xfId="2467" xr:uid="{00000000-0005-0000-0000-0000A0070000}"/>
    <cellStyle name="Comma 3 48 2 3 2" xfId="4711" xr:uid="{00000000-0005-0000-0000-0000A1070000}"/>
    <cellStyle name="Comma 3 48 2 4" xfId="3201" xr:uid="{00000000-0005-0000-0000-0000A2070000}"/>
    <cellStyle name="Comma 3 48 3" xfId="1208" xr:uid="{00000000-0005-0000-0000-0000A3070000}"/>
    <cellStyle name="Comma 3 48 3 2" xfId="1995" xr:uid="{00000000-0005-0000-0000-0000A4070000}"/>
    <cellStyle name="Comma 3 48 3 2 2" xfId="4239" xr:uid="{00000000-0005-0000-0000-0000A5070000}"/>
    <cellStyle name="Comma 3 48 3 3" xfId="2719" xr:uid="{00000000-0005-0000-0000-0000A6070000}"/>
    <cellStyle name="Comma 3 48 3 3 2" xfId="4963" xr:uid="{00000000-0005-0000-0000-0000A7070000}"/>
    <cellStyle name="Comma 3 48 3 4" xfId="3453" xr:uid="{00000000-0005-0000-0000-0000A8070000}"/>
    <cellStyle name="Comma 3 48 4" xfId="1423" xr:uid="{00000000-0005-0000-0000-0000A9070000}"/>
    <cellStyle name="Comma 3 48 4 2" xfId="3667" xr:uid="{00000000-0005-0000-0000-0000AA070000}"/>
    <cellStyle name="Comma 3 48 5" xfId="2209" xr:uid="{00000000-0005-0000-0000-0000AB070000}"/>
    <cellStyle name="Comma 3 48 5 2" xfId="4453" xr:uid="{00000000-0005-0000-0000-0000AC070000}"/>
    <cellStyle name="Comma 3 48 6" xfId="2933" xr:uid="{00000000-0005-0000-0000-0000AD070000}"/>
    <cellStyle name="Comma 3 49" xfId="144" xr:uid="{00000000-0005-0000-0000-0000AE070000}"/>
    <cellStyle name="Comma 3 49 2" xfId="956" xr:uid="{00000000-0005-0000-0000-0000AF070000}"/>
    <cellStyle name="Comma 3 49 2 2" xfId="1744" xr:uid="{00000000-0005-0000-0000-0000B0070000}"/>
    <cellStyle name="Comma 3 49 2 2 2" xfId="3988" xr:uid="{00000000-0005-0000-0000-0000B1070000}"/>
    <cellStyle name="Comma 3 49 2 3" xfId="2468" xr:uid="{00000000-0005-0000-0000-0000B2070000}"/>
    <cellStyle name="Comma 3 49 2 3 2" xfId="4712" xr:uid="{00000000-0005-0000-0000-0000B3070000}"/>
    <cellStyle name="Comma 3 49 2 4" xfId="3202" xr:uid="{00000000-0005-0000-0000-0000B4070000}"/>
    <cellStyle name="Comma 3 49 3" xfId="1209" xr:uid="{00000000-0005-0000-0000-0000B5070000}"/>
    <cellStyle name="Comma 3 49 3 2" xfId="1996" xr:uid="{00000000-0005-0000-0000-0000B6070000}"/>
    <cellStyle name="Comma 3 49 3 2 2" xfId="4240" xr:uid="{00000000-0005-0000-0000-0000B7070000}"/>
    <cellStyle name="Comma 3 49 3 3" xfId="2720" xr:uid="{00000000-0005-0000-0000-0000B8070000}"/>
    <cellStyle name="Comma 3 49 3 3 2" xfId="4964" xr:uid="{00000000-0005-0000-0000-0000B9070000}"/>
    <cellStyle name="Comma 3 49 3 4" xfId="3454" xr:uid="{00000000-0005-0000-0000-0000BA070000}"/>
    <cellStyle name="Comma 3 49 4" xfId="1424" xr:uid="{00000000-0005-0000-0000-0000BB070000}"/>
    <cellStyle name="Comma 3 49 4 2" xfId="3668" xr:uid="{00000000-0005-0000-0000-0000BC070000}"/>
    <cellStyle name="Comma 3 49 5" xfId="2210" xr:uid="{00000000-0005-0000-0000-0000BD070000}"/>
    <cellStyle name="Comma 3 49 5 2" xfId="4454" xr:uid="{00000000-0005-0000-0000-0000BE070000}"/>
    <cellStyle name="Comma 3 49 6" xfId="2934" xr:uid="{00000000-0005-0000-0000-0000BF070000}"/>
    <cellStyle name="Comma 3 5" xfId="145" xr:uid="{00000000-0005-0000-0000-0000C0070000}"/>
    <cellStyle name="Comma 3 5 2" xfId="957" xr:uid="{00000000-0005-0000-0000-0000C1070000}"/>
    <cellStyle name="Comma 3 5 2 2" xfId="1745" xr:uid="{00000000-0005-0000-0000-0000C2070000}"/>
    <cellStyle name="Comma 3 5 2 2 2" xfId="3989" xr:uid="{00000000-0005-0000-0000-0000C3070000}"/>
    <cellStyle name="Comma 3 5 2 3" xfId="2469" xr:uid="{00000000-0005-0000-0000-0000C4070000}"/>
    <cellStyle name="Comma 3 5 2 3 2" xfId="4713" xr:uid="{00000000-0005-0000-0000-0000C5070000}"/>
    <cellStyle name="Comma 3 5 2 4" xfId="3203" xr:uid="{00000000-0005-0000-0000-0000C6070000}"/>
    <cellStyle name="Comma 3 5 3" xfId="1210" xr:uid="{00000000-0005-0000-0000-0000C7070000}"/>
    <cellStyle name="Comma 3 5 3 2" xfId="1997" xr:uid="{00000000-0005-0000-0000-0000C8070000}"/>
    <cellStyle name="Comma 3 5 3 2 2" xfId="4241" xr:uid="{00000000-0005-0000-0000-0000C9070000}"/>
    <cellStyle name="Comma 3 5 3 3" xfId="2721" xr:uid="{00000000-0005-0000-0000-0000CA070000}"/>
    <cellStyle name="Comma 3 5 3 3 2" xfId="4965" xr:uid="{00000000-0005-0000-0000-0000CB070000}"/>
    <cellStyle name="Comma 3 5 3 4" xfId="3455" xr:uid="{00000000-0005-0000-0000-0000CC070000}"/>
    <cellStyle name="Comma 3 5 4" xfId="1425" xr:uid="{00000000-0005-0000-0000-0000CD070000}"/>
    <cellStyle name="Comma 3 5 4 2" xfId="3669" xr:uid="{00000000-0005-0000-0000-0000CE070000}"/>
    <cellStyle name="Comma 3 5 5" xfId="2211" xr:uid="{00000000-0005-0000-0000-0000CF070000}"/>
    <cellStyle name="Comma 3 5 5 2" xfId="4455" xr:uid="{00000000-0005-0000-0000-0000D0070000}"/>
    <cellStyle name="Comma 3 5 6" xfId="2935" xr:uid="{00000000-0005-0000-0000-0000D1070000}"/>
    <cellStyle name="Comma 3 50" xfId="146" xr:uid="{00000000-0005-0000-0000-0000D2070000}"/>
    <cellStyle name="Comma 3 50 2" xfId="958" xr:uid="{00000000-0005-0000-0000-0000D3070000}"/>
    <cellStyle name="Comma 3 50 2 2" xfId="1746" xr:uid="{00000000-0005-0000-0000-0000D4070000}"/>
    <cellStyle name="Comma 3 50 2 2 2" xfId="3990" xr:uid="{00000000-0005-0000-0000-0000D5070000}"/>
    <cellStyle name="Comma 3 50 2 3" xfId="2470" xr:uid="{00000000-0005-0000-0000-0000D6070000}"/>
    <cellStyle name="Comma 3 50 2 3 2" xfId="4714" xr:uid="{00000000-0005-0000-0000-0000D7070000}"/>
    <cellStyle name="Comma 3 50 2 4" xfId="3204" xr:uid="{00000000-0005-0000-0000-0000D8070000}"/>
    <cellStyle name="Comma 3 50 3" xfId="1211" xr:uid="{00000000-0005-0000-0000-0000D9070000}"/>
    <cellStyle name="Comma 3 50 3 2" xfId="1998" xr:uid="{00000000-0005-0000-0000-0000DA070000}"/>
    <cellStyle name="Comma 3 50 3 2 2" xfId="4242" xr:uid="{00000000-0005-0000-0000-0000DB070000}"/>
    <cellStyle name="Comma 3 50 3 3" xfId="2722" xr:uid="{00000000-0005-0000-0000-0000DC070000}"/>
    <cellStyle name="Comma 3 50 3 3 2" xfId="4966" xr:uid="{00000000-0005-0000-0000-0000DD070000}"/>
    <cellStyle name="Comma 3 50 3 4" xfId="3456" xr:uid="{00000000-0005-0000-0000-0000DE070000}"/>
    <cellStyle name="Comma 3 50 4" xfId="1426" xr:uid="{00000000-0005-0000-0000-0000DF070000}"/>
    <cellStyle name="Comma 3 50 4 2" xfId="3670" xr:uid="{00000000-0005-0000-0000-0000E0070000}"/>
    <cellStyle name="Comma 3 50 5" xfId="2212" xr:uid="{00000000-0005-0000-0000-0000E1070000}"/>
    <cellStyle name="Comma 3 50 5 2" xfId="4456" xr:uid="{00000000-0005-0000-0000-0000E2070000}"/>
    <cellStyle name="Comma 3 50 6" xfId="2936" xr:uid="{00000000-0005-0000-0000-0000E3070000}"/>
    <cellStyle name="Comma 3 51" xfId="147" xr:uid="{00000000-0005-0000-0000-0000E4070000}"/>
    <cellStyle name="Comma 3 51 2" xfId="959" xr:uid="{00000000-0005-0000-0000-0000E5070000}"/>
    <cellStyle name="Comma 3 51 2 2" xfId="1747" xr:uid="{00000000-0005-0000-0000-0000E6070000}"/>
    <cellStyle name="Comma 3 51 2 2 2" xfId="3991" xr:uid="{00000000-0005-0000-0000-0000E7070000}"/>
    <cellStyle name="Comma 3 51 2 3" xfId="2471" xr:uid="{00000000-0005-0000-0000-0000E8070000}"/>
    <cellStyle name="Comma 3 51 2 3 2" xfId="4715" xr:uid="{00000000-0005-0000-0000-0000E9070000}"/>
    <cellStyle name="Comma 3 51 2 4" xfId="3205" xr:uid="{00000000-0005-0000-0000-0000EA070000}"/>
    <cellStyle name="Comma 3 51 3" xfId="1212" xr:uid="{00000000-0005-0000-0000-0000EB070000}"/>
    <cellStyle name="Comma 3 51 3 2" xfId="1999" xr:uid="{00000000-0005-0000-0000-0000EC070000}"/>
    <cellStyle name="Comma 3 51 3 2 2" xfId="4243" xr:uid="{00000000-0005-0000-0000-0000ED070000}"/>
    <cellStyle name="Comma 3 51 3 3" xfId="2723" xr:uid="{00000000-0005-0000-0000-0000EE070000}"/>
    <cellStyle name="Comma 3 51 3 3 2" xfId="4967" xr:uid="{00000000-0005-0000-0000-0000EF070000}"/>
    <cellStyle name="Comma 3 51 3 4" xfId="3457" xr:uid="{00000000-0005-0000-0000-0000F0070000}"/>
    <cellStyle name="Comma 3 51 4" xfId="1427" xr:uid="{00000000-0005-0000-0000-0000F1070000}"/>
    <cellStyle name="Comma 3 51 4 2" xfId="3671" xr:uid="{00000000-0005-0000-0000-0000F2070000}"/>
    <cellStyle name="Comma 3 51 5" xfId="2213" xr:uid="{00000000-0005-0000-0000-0000F3070000}"/>
    <cellStyle name="Comma 3 51 5 2" xfId="4457" xr:uid="{00000000-0005-0000-0000-0000F4070000}"/>
    <cellStyle name="Comma 3 51 6" xfId="2937" xr:uid="{00000000-0005-0000-0000-0000F5070000}"/>
    <cellStyle name="Comma 3 52" xfId="148" xr:uid="{00000000-0005-0000-0000-0000F6070000}"/>
    <cellStyle name="Comma 3 52 2" xfId="960" xr:uid="{00000000-0005-0000-0000-0000F7070000}"/>
    <cellStyle name="Comma 3 52 2 2" xfId="1748" xr:uid="{00000000-0005-0000-0000-0000F8070000}"/>
    <cellStyle name="Comma 3 52 2 2 2" xfId="3992" xr:uid="{00000000-0005-0000-0000-0000F9070000}"/>
    <cellStyle name="Comma 3 52 2 3" xfId="2472" xr:uid="{00000000-0005-0000-0000-0000FA070000}"/>
    <cellStyle name="Comma 3 52 2 3 2" xfId="4716" xr:uid="{00000000-0005-0000-0000-0000FB070000}"/>
    <cellStyle name="Comma 3 52 2 4" xfId="3206" xr:uid="{00000000-0005-0000-0000-0000FC070000}"/>
    <cellStyle name="Comma 3 52 3" xfId="1213" xr:uid="{00000000-0005-0000-0000-0000FD070000}"/>
    <cellStyle name="Comma 3 52 3 2" xfId="2000" xr:uid="{00000000-0005-0000-0000-0000FE070000}"/>
    <cellStyle name="Comma 3 52 3 2 2" xfId="4244" xr:uid="{00000000-0005-0000-0000-0000FF070000}"/>
    <cellStyle name="Comma 3 52 3 3" xfId="2724" xr:uid="{00000000-0005-0000-0000-000000080000}"/>
    <cellStyle name="Comma 3 52 3 3 2" xfId="4968" xr:uid="{00000000-0005-0000-0000-000001080000}"/>
    <cellStyle name="Comma 3 52 3 4" xfId="3458" xr:uid="{00000000-0005-0000-0000-000002080000}"/>
    <cellStyle name="Comma 3 52 4" xfId="1428" xr:uid="{00000000-0005-0000-0000-000003080000}"/>
    <cellStyle name="Comma 3 52 4 2" xfId="3672" xr:uid="{00000000-0005-0000-0000-000004080000}"/>
    <cellStyle name="Comma 3 52 5" xfId="2214" xr:uid="{00000000-0005-0000-0000-000005080000}"/>
    <cellStyle name="Comma 3 52 5 2" xfId="4458" xr:uid="{00000000-0005-0000-0000-000006080000}"/>
    <cellStyle name="Comma 3 52 6" xfId="2938" xr:uid="{00000000-0005-0000-0000-000007080000}"/>
    <cellStyle name="Comma 3 53" xfId="149" xr:uid="{00000000-0005-0000-0000-000008080000}"/>
    <cellStyle name="Comma 3 53 2" xfId="961" xr:uid="{00000000-0005-0000-0000-000009080000}"/>
    <cellStyle name="Comma 3 53 2 2" xfId="1749" xr:uid="{00000000-0005-0000-0000-00000A080000}"/>
    <cellStyle name="Comma 3 53 2 2 2" xfId="3993" xr:uid="{00000000-0005-0000-0000-00000B080000}"/>
    <cellStyle name="Comma 3 53 2 3" xfId="2473" xr:uid="{00000000-0005-0000-0000-00000C080000}"/>
    <cellStyle name="Comma 3 53 2 3 2" xfId="4717" xr:uid="{00000000-0005-0000-0000-00000D080000}"/>
    <cellStyle name="Comma 3 53 2 4" xfId="3207" xr:uid="{00000000-0005-0000-0000-00000E080000}"/>
    <cellStyle name="Comma 3 53 3" xfId="1214" xr:uid="{00000000-0005-0000-0000-00000F080000}"/>
    <cellStyle name="Comma 3 53 3 2" xfId="2001" xr:uid="{00000000-0005-0000-0000-000010080000}"/>
    <cellStyle name="Comma 3 53 3 2 2" xfId="4245" xr:uid="{00000000-0005-0000-0000-000011080000}"/>
    <cellStyle name="Comma 3 53 3 3" xfId="2725" xr:uid="{00000000-0005-0000-0000-000012080000}"/>
    <cellStyle name="Comma 3 53 3 3 2" xfId="4969" xr:uid="{00000000-0005-0000-0000-000013080000}"/>
    <cellStyle name="Comma 3 53 3 4" xfId="3459" xr:uid="{00000000-0005-0000-0000-000014080000}"/>
    <cellStyle name="Comma 3 53 4" xfId="1429" xr:uid="{00000000-0005-0000-0000-000015080000}"/>
    <cellStyle name="Comma 3 53 4 2" xfId="3673" xr:uid="{00000000-0005-0000-0000-000016080000}"/>
    <cellStyle name="Comma 3 53 5" xfId="2215" xr:uid="{00000000-0005-0000-0000-000017080000}"/>
    <cellStyle name="Comma 3 53 5 2" xfId="4459" xr:uid="{00000000-0005-0000-0000-000018080000}"/>
    <cellStyle name="Comma 3 53 6" xfId="2939" xr:uid="{00000000-0005-0000-0000-000019080000}"/>
    <cellStyle name="Comma 3 54" xfId="101" xr:uid="{00000000-0005-0000-0000-00001A080000}"/>
    <cellStyle name="Comma 3 54 2" xfId="913" xr:uid="{00000000-0005-0000-0000-00001B080000}"/>
    <cellStyle name="Comma 3 54 2 2" xfId="1701" xr:uid="{00000000-0005-0000-0000-00001C080000}"/>
    <cellStyle name="Comma 3 54 2 2 2" xfId="3945" xr:uid="{00000000-0005-0000-0000-00001D080000}"/>
    <cellStyle name="Comma 3 54 2 3" xfId="2425" xr:uid="{00000000-0005-0000-0000-00001E080000}"/>
    <cellStyle name="Comma 3 54 2 3 2" xfId="4669" xr:uid="{00000000-0005-0000-0000-00001F080000}"/>
    <cellStyle name="Comma 3 54 2 4" xfId="3159" xr:uid="{00000000-0005-0000-0000-000020080000}"/>
    <cellStyle name="Comma 3 54 3" xfId="1166" xr:uid="{00000000-0005-0000-0000-000021080000}"/>
    <cellStyle name="Comma 3 54 3 2" xfId="1953" xr:uid="{00000000-0005-0000-0000-000022080000}"/>
    <cellStyle name="Comma 3 54 3 2 2" xfId="4197" xr:uid="{00000000-0005-0000-0000-000023080000}"/>
    <cellStyle name="Comma 3 54 3 3" xfId="2677" xr:uid="{00000000-0005-0000-0000-000024080000}"/>
    <cellStyle name="Comma 3 54 3 3 2" xfId="4921" xr:uid="{00000000-0005-0000-0000-000025080000}"/>
    <cellStyle name="Comma 3 54 3 4" xfId="3411" xr:uid="{00000000-0005-0000-0000-000026080000}"/>
    <cellStyle name="Comma 3 54 4" xfId="1381" xr:uid="{00000000-0005-0000-0000-000027080000}"/>
    <cellStyle name="Comma 3 54 4 2" xfId="3625" xr:uid="{00000000-0005-0000-0000-000028080000}"/>
    <cellStyle name="Comma 3 54 5" xfId="2167" xr:uid="{00000000-0005-0000-0000-000029080000}"/>
    <cellStyle name="Comma 3 54 5 2" xfId="4411" xr:uid="{00000000-0005-0000-0000-00002A080000}"/>
    <cellStyle name="Comma 3 54 6" xfId="2891" xr:uid="{00000000-0005-0000-0000-00002B080000}"/>
    <cellStyle name="Comma 3 55" xfId="869" xr:uid="{00000000-0005-0000-0000-00002C080000}"/>
    <cellStyle name="Comma 3 55 2" xfId="1657" xr:uid="{00000000-0005-0000-0000-00002D080000}"/>
    <cellStyle name="Comma 3 55 2 2" xfId="3901" xr:uid="{00000000-0005-0000-0000-00002E080000}"/>
    <cellStyle name="Comma 3 55 3" xfId="2381" xr:uid="{00000000-0005-0000-0000-00002F080000}"/>
    <cellStyle name="Comma 3 55 3 2" xfId="4625" xr:uid="{00000000-0005-0000-0000-000030080000}"/>
    <cellStyle name="Comma 3 55 4" xfId="3115" xr:uid="{00000000-0005-0000-0000-000031080000}"/>
    <cellStyle name="Comma 3 56" xfId="1077" xr:uid="{00000000-0005-0000-0000-000032080000}"/>
    <cellStyle name="Comma 3 56 2" xfId="1864" xr:uid="{00000000-0005-0000-0000-000033080000}"/>
    <cellStyle name="Comma 3 56 2 2" xfId="4108" xr:uid="{00000000-0005-0000-0000-000034080000}"/>
    <cellStyle name="Comma 3 56 3" xfId="2588" xr:uid="{00000000-0005-0000-0000-000035080000}"/>
    <cellStyle name="Comma 3 56 3 2" xfId="4832" xr:uid="{00000000-0005-0000-0000-000036080000}"/>
    <cellStyle name="Comma 3 56 4" xfId="3322" xr:uid="{00000000-0005-0000-0000-000037080000}"/>
    <cellStyle name="Comma 3 57" xfId="1099" xr:uid="{00000000-0005-0000-0000-000038080000}"/>
    <cellStyle name="Comma 3 57 2" xfId="1886" xr:uid="{00000000-0005-0000-0000-000039080000}"/>
    <cellStyle name="Comma 3 57 2 2" xfId="4130" xr:uid="{00000000-0005-0000-0000-00003A080000}"/>
    <cellStyle name="Comma 3 57 3" xfId="2610" xr:uid="{00000000-0005-0000-0000-00003B080000}"/>
    <cellStyle name="Comma 3 57 3 2" xfId="4854" xr:uid="{00000000-0005-0000-0000-00003C080000}"/>
    <cellStyle name="Comma 3 57 4" xfId="3344" xr:uid="{00000000-0005-0000-0000-00003D080000}"/>
    <cellStyle name="Comma 3 58" xfId="1121" xr:uid="{00000000-0005-0000-0000-00003E080000}"/>
    <cellStyle name="Comma 3 58 2" xfId="1908" xr:uid="{00000000-0005-0000-0000-00003F080000}"/>
    <cellStyle name="Comma 3 58 2 2" xfId="4152" xr:uid="{00000000-0005-0000-0000-000040080000}"/>
    <cellStyle name="Comma 3 58 3" xfId="2632" xr:uid="{00000000-0005-0000-0000-000041080000}"/>
    <cellStyle name="Comma 3 58 3 2" xfId="4876" xr:uid="{00000000-0005-0000-0000-000042080000}"/>
    <cellStyle name="Comma 3 58 4" xfId="3366" xr:uid="{00000000-0005-0000-0000-000043080000}"/>
    <cellStyle name="Comma 3 59" xfId="1337" xr:uid="{00000000-0005-0000-0000-000044080000}"/>
    <cellStyle name="Comma 3 59 2" xfId="3581" xr:uid="{00000000-0005-0000-0000-000045080000}"/>
    <cellStyle name="Comma 3 6" xfId="150" xr:uid="{00000000-0005-0000-0000-000046080000}"/>
    <cellStyle name="Comma 3 6 2" xfId="962" xr:uid="{00000000-0005-0000-0000-000047080000}"/>
    <cellStyle name="Comma 3 6 2 2" xfId="1750" xr:uid="{00000000-0005-0000-0000-000048080000}"/>
    <cellStyle name="Comma 3 6 2 2 2" xfId="3994" xr:uid="{00000000-0005-0000-0000-000049080000}"/>
    <cellStyle name="Comma 3 6 2 3" xfId="2474" xr:uid="{00000000-0005-0000-0000-00004A080000}"/>
    <cellStyle name="Comma 3 6 2 3 2" xfId="4718" xr:uid="{00000000-0005-0000-0000-00004B080000}"/>
    <cellStyle name="Comma 3 6 2 4" xfId="3208" xr:uid="{00000000-0005-0000-0000-00004C080000}"/>
    <cellStyle name="Comma 3 6 3" xfId="1215" xr:uid="{00000000-0005-0000-0000-00004D080000}"/>
    <cellStyle name="Comma 3 6 3 2" xfId="2002" xr:uid="{00000000-0005-0000-0000-00004E080000}"/>
    <cellStyle name="Comma 3 6 3 2 2" xfId="4246" xr:uid="{00000000-0005-0000-0000-00004F080000}"/>
    <cellStyle name="Comma 3 6 3 3" xfId="2726" xr:uid="{00000000-0005-0000-0000-000050080000}"/>
    <cellStyle name="Comma 3 6 3 3 2" xfId="4970" xr:uid="{00000000-0005-0000-0000-000051080000}"/>
    <cellStyle name="Comma 3 6 3 4" xfId="3460" xr:uid="{00000000-0005-0000-0000-000052080000}"/>
    <cellStyle name="Comma 3 6 4" xfId="1430" xr:uid="{00000000-0005-0000-0000-000053080000}"/>
    <cellStyle name="Comma 3 6 4 2" xfId="3674" xr:uid="{00000000-0005-0000-0000-000054080000}"/>
    <cellStyle name="Comma 3 6 5" xfId="2216" xr:uid="{00000000-0005-0000-0000-000055080000}"/>
    <cellStyle name="Comma 3 6 5 2" xfId="4460" xr:uid="{00000000-0005-0000-0000-000056080000}"/>
    <cellStyle name="Comma 3 6 6" xfId="2940" xr:uid="{00000000-0005-0000-0000-000057080000}"/>
    <cellStyle name="Comma 3 60" xfId="2123" xr:uid="{00000000-0005-0000-0000-000058080000}"/>
    <cellStyle name="Comma 3 60 2" xfId="4367" xr:uid="{00000000-0005-0000-0000-000059080000}"/>
    <cellStyle name="Comma 3 61" xfId="2847" xr:uid="{00000000-0005-0000-0000-00005A080000}"/>
    <cellStyle name="Comma 3 62" xfId="5089" xr:uid="{00000000-0005-0000-0000-00005B080000}"/>
    <cellStyle name="Comma 3 63" xfId="5098" xr:uid="{00000000-0005-0000-0000-00005C080000}"/>
    <cellStyle name="Comma 3 64" xfId="5101" xr:uid="{00000000-0005-0000-0000-00005D080000}"/>
    <cellStyle name="Comma 3 7" xfId="151" xr:uid="{00000000-0005-0000-0000-00005E080000}"/>
    <cellStyle name="Comma 3 7 2" xfId="963" xr:uid="{00000000-0005-0000-0000-00005F080000}"/>
    <cellStyle name="Comma 3 7 2 2" xfId="1751" xr:uid="{00000000-0005-0000-0000-000060080000}"/>
    <cellStyle name="Comma 3 7 2 2 2" xfId="3995" xr:uid="{00000000-0005-0000-0000-000061080000}"/>
    <cellStyle name="Comma 3 7 2 3" xfId="2475" xr:uid="{00000000-0005-0000-0000-000062080000}"/>
    <cellStyle name="Comma 3 7 2 3 2" xfId="4719" xr:uid="{00000000-0005-0000-0000-000063080000}"/>
    <cellStyle name="Comma 3 7 2 4" xfId="3209" xr:uid="{00000000-0005-0000-0000-000064080000}"/>
    <cellStyle name="Comma 3 7 3" xfId="1216" xr:uid="{00000000-0005-0000-0000-000065080000}"/>
    <cellStyle name="Comma 3 7 3 2" xfId="2003" xr:uid="{00000000-0005-0000-0000-000066080000}"/>
    <cellStyle name="Comma 3 7 3 2 2" xfId="4247" xr:uid="{00000000-0005-0000-0000-000067080000}"/>
    <cellStyle name="Comma 3 7 3 3" xfId="2727" xr:uid="{00000000-0005-0000-0000-000068080000}"/>
    <cellStyle name="Comma 3 7 3 3 2" xfId="4971" xr:uid="{00000000-0005-0000-0000-000069080000}"/>
    <cellStyle name="Comma 3 7 3 4" xfId="3461" xr:uid="{00000000-0005-0000-0000-00006A080000}"/>
    <cellStyle name="Comma 3 7 4" xfId="1431" xr:uid="{00000000-0005-0000-0000-00006B080000}"/>
    <cellStyle name="Comma 3 7 4 2" xfId="3675" xr:uid="{00000000-0005-0000-0000-00006C080000}"/>
    <cellStyle name="Comma 3 7 5" xfId="2217" xr:uid="{00000000-0005-0000-0000-00006D080000}"/>
    <cellStyle name="Comma 3 7 5 2" xfId="4461" xr:uid="{00000000-0005-0000-0000-00006E080000}"/>
    <cellStyle name="Comma 3 7 6" xfId="2941" xr:uid="{00000000-0005-0000-0000-00006F080000}"/>
    <cellStyle name="Comma 3 8" xfId="152" xr:uid="{00000000-0005-0000-0000-000070080000}"/>
    <cellStyle name="Comma 3 8 2" xfId="964" xr:uid="{00000000-0005-0000-0000-000071080000}"/>
    <cellStyle name="Comma 3 8 2 2" xfId="1752" xr:uid="{00000000-0005-0000-0000-000072080000}"/>
    <cellStyle name="Comma 3 8 2 2 2" xfId="3996" xr:uid="{00000000-0005-0000-0000-000073080000}"/>
    <cellStyle name="Comma 3 8 2 3" xfId="2476" xr:uid="{00000000-0005-0000-0000-000074080000}"/>
    <cellStyle name="Comma 3 8 2 3 2" xfId="4720" xr:uid="{00000000-0005-0000-0000-000075080000}"/>
    <cellStyle name="Comma 3 8 2 4" xfId="3210" xr:uid="{00000000-0005-0000-0000-000076080000}"/>
    <cellStyle name="Comma 3 8 3" xfId="1217" xr:uid="{00000000-0005-0000-0000-000077080000}"/>
    <cellStyle name="Comma 3 8 3 2" xfId="2004" xr:uid="{00000000-0005-0000-0000-000078080000}"/>
    <cellStyle name="Comma 3 8 3 2 2" xfId="4248" xr:uid="{00000000-0005-0000-0000-000079080000}"/>
    <cellStyle name="Comma 3 8 3 3" xfId="2728" xr:uid="{00000000-0005-0000-0000-00007A080000}"/>
    <cellStyle name="Comma 3 8 3 3 2" xfId="4972" xr:uid="{00000000-0005-0000-0000-00007B080000}"/>
    <cellStyle name="Comma 3 8 3 4" xfId="3462" xr:uid="{00000000-0005-0000-0000-00007C080000}"/>
    <cellStyle name="Comma 3 8 4" xfId="1432" xr:uid="{00000000-0005-0000-0000-00007D080000}"/>
    <cellStyle name="Comma 3 8 4 2" xfId="3676" xr:uid="{00000000-0005-0000-0000-00007E080000}"/>
    <cellStyle name="Comma 3 8 5" xfId="2218" xr:uid="{00000000-0005-0000-0000-00007F080000}"/>
    <cellStyle name="Comma 3 8 5 2" xfId="4462" xr:uid="{00000000-0005-0000-0000-000080080000}"/>
    <cellStyle name="Comma 3 8 6" xfId="2942" xr:uid="{00000000-0005-0000-0000-000081080000}"/>
    <cellStyle name="Comma 3 9" xfId="153" xr:uid="{00000000-0005-0000-0000-000082080000}"/>
    <cellStyle name="Comma 3 9 2" xfId="965" xr:uid="{00000000-0005-0000-0000-000083080000}"/>
    <cellStyle name="Comma 3 9 2 2" xfId="1753" xr:uid="{00000000-0005-0000-0000-000084080000}"/>
    <cellStyle name="Comma 3 9 2 2 2" xfId="3997" xr:uid="{00000000-0005-0000-0000-000085080000}"/>
    <cellStyle name="Comma 3 9 2 3" xfId="2477" xr:uid="{00000000-0005-0000-0000-000086080000}"/>
    <cellStyle name="Comma 3 9 2 3 2" xfId="4721" xr:uid="{00000000-0005-0000-0000-000087080000}"/>
    <cellStyle name="Comma 3 9 2 4" xfId="3211" xr:uid="{00000000-0005-0000-0000-000088080000}"/>
    <cellStyle name="Comma 3 9 3" xfId="1218" xr:uid="{00000000-0005-0000-0000-000089080000}"/>
    <cellStyle name="Comma 3 9 3 2" xfId="2005" xr:uid="{00000000-0005-0000-0000-00008A080000}"/>
    <cellStyle name="Comma 3 9 3 2 2" xfId="4249" xr:uid="{00000000-0005-0000-0000-00008B080000}"/>
    <cellStyle name="Comma 3 9 3 3" xfId="2729" xr:uid="{00000000-0005-0000-0000-00008C080000}"/>
    <cellStyle name="Comma 3 9 3 3 2" xfId="4973" xr:uid="{00000000-0005-0000-0000-00008D080000}"/>
    <cellStyle name="Comma 3 9 3 4" xfId="3463" xr:uid="{00000000-0005-0000-0000-00008E080000}"/>
    <cellStyle name="Comma 3 9 4" xfId="1433" xr:uid="{00000000-0005-0000-0000-00008F080000}"/>
    <cellStyle name="Comma 3 9 4 2" xfId="3677" xr:uid="{00000000-0005-0000-0000-000090080000}"/>
    <cellStyle name="Comma 3 9 5" xfId="2219" xr:uid="{00000000-0005-0000-0000-000091080000}"/>
    <cellStyle name="Comma 3 9 5 2" xfId="4463" xr:uid="{00000000-0005-0000-0000-000092080000}"/>
    <cellStyle name="Comma 3 9 6" xfId="2943" xr:uid="{00000000-0005-0000-0000-000093080000}"/>
    <cellStyle name="Comma 30" xfId="817" xr:uid="{00000000-0005-0000-0000-000094080000}"/>
    <cellStyle name="Comma 30 2" xfId="1051" xr:uid="{00000000-0005-0000-0000-000095080000}"/>
    <cellStyle name="Comma 30 2 2" xfId="1839" xr:uid="{00000000-0005-0000-0000-000096080000}"/>
    <cellStyle name="Comma 30 2 2 2" xfId="4083" xr:uid="{00000000-0005-0000-0000-000097080000}"/>
    <cellStyle name="Comma 30 2 3" xfId="2563" xr:uid="{00000000-0005-0000-0000-000098080000}"/>
    <cellStyle name="Comma 30 2 3 2" xfId="4807" xr:uid="{00000000-0005-0000-0000-000099080000}"/>
    <cellStyle name="Comma 30 2 4" xfId="3297" xr:uid="{00000000-0005-0000-0000-00009A080000}"/>
    <cellStyle name="Comma 30 3" xfId="1305" xr:uid="{00000000-0005-0000-0000-00009B080000}"/>
    <cellStyle name="Comma 30 3 2" xfId="2092" xr:uid="{00000000-0005-0000-0000-00009C080000}"/>
    <cellStyle name="Comma 30 3 2 2" xfId="4336" xr:uid="{00000000-0005-0000-0000-00009D080000}"/>
    <cellStyle name="Comma 30 3 3" xfId="2814" xr:uid="{00000000-0005-0000-0000-00009E080000}"/>
    <cellStyle name="Comma 30 3 3 2" xfId="5058" xr:uid="{00000000-0005-0000-0000-00009F080000}"/>
    <cellStyle name="Comma 30 3 4" xfId="3550" xr:uid="{00000000-0005-0000-0000-0000A0080000}"/>
    <cellStyle name="Comma 30 4" xfId="1625" xr:uid="{00000000-0005-0000-0000-0000A1080000}"/>
    <cellStyle name="Comma 30 4 2" xfId="3869" xr:uid="{00000000-0005-0000-0000-0000A2080000}"/>
    <cellStyle name="Comma 30 5" xfId="2349" xr:uid="{00000000-0005-0000-0000-0000A3080000}"/>
    <cellStyle name="Comma 30 5 2" xfId="4593" xr:uid="{00000000-0005-0000-0000-0000A4080000}"/>
    <cellStyle name="Comma 30 6" xfId="3083" xr:uid="{00000000-0005-0000-0000-0000A5080000}"/>
    <cellStyle name="Comma 31" xfId="728" xr:uid="{00000000-0005-0000-0000-0000A6080000}"/>
    <cellStyle name="Comma 31 2" xfId="1041" xr:uid="{00000000-0005-0000-0000-0000A7080000}"/>
    <cellStyle name="Comma 31 2 2" xfId="1829" xr:uid="{00000000-0005-0000-0000-0000A8080000}"/>
    <cellStyle name="Comma 31 2 2 2" xfId="4073" xr:uid="{00000000-0005-0000-0000-0000A9080000}"/>
    <cellStyle name="Comma 31 2 3" xfId="2553" xr:uid="{00000000-0005-0000-0000-0000AA080000}"/>
    <cellStyle name="Comma 31 2 3 2" xfId="4797" xr:uid="{00000000-0005-0000-0000-0000AB080000}"/>
    <cellStyle name="Comma 31 2 4" xfId="3287" xr:uid="{00000000-0005-0000-0000-0000AC080000}"/>
    <cellStyle name="Comma 31 3" xfId="1294" xr:uid="{00000000-0005-0000-0000-0000AD080000}"/>
    <cellStyle name="Comma 31 3 2" xfId="2081" xr:uid="{00000000-0005-0000-0000-0000AE080000}"/>
    <cellStyle name="Comma 31 3 2 2" xfId="4325" xr:uid="{00000000-0005-0000-0000-0000AF080000}"/>
    <cellStyle name="Comma 31 3 3" xfId="2804" xr:uid="{00000000-0005-0000-0000-0000B0080000}"/>
    <cellStyle name="Comma 31 3 3 2" xfId="5048" xr:uid="{00000000-0005-0000-0000-0000B1080000}"/>
    <cellStyle name="Comma 31 3 4" xfId="3539" xr:uid="{00000000-0005-0000-0000-0000B2080000}"/>
    <cellStyle name="Comma 31 4" xfId="1561" xr:uid="{00000000-0005-0000-0000-0000B3080000}"/>
    <cellStyle name="Comma 31 4 2" xfId="3805" xr:uid="{00000000-0005-0000-0000-0000B4080000}"/>
    <cellStyle name="Comma 31 5" xfId="2339" xr:uid="{00000000-0005-0000-0000-0000B5080000}"/>
    <cellStyle name="Comma 31 5 2" xfId="4583" xr:uid="{00000000-0005-0000-0000-0000B6080000}"/>
    <cellStyle name="Comma 31 6" xfId="3019" xr:uid="{00000000-0005-0000-0000-0000B7080000}"/>
    <cellStyle name="Comma 32" xfId="825" xr:uid="{00000000-0005-0000-0000-0000B8080000}"/>
    <cellStyle name="Comma 32 2" xfId="1054" xr:uid="{00000000-0005-0000-0000-0000B9080000}"/>
    <cellStyle name="Comma 32 2 2" xfId="1842" xr:uid="{00000000-0005-0000-0000-0000BA080000}"/>
    <cellStyle name="Comma 32 2 2 2" xfId="4086" xr:uid="{00000000-0005-0000-0000-0000BB080000}"/>
    <cellStyle name="Comma 32 2 3" xfId="2566" xr:uid="{00000000-0005-0000-0000-0000BC080000}"/>
    <cellStyle name="Comma 32 2 3 2" xfId="4810" xr:uid="{00000000-0005-0000-0000-0000BD080000}"/>
    <cellStyle name="Comma 32 2 4" xfId="3300" xr:uid="{00000000-0005-0000-0000-0000BE080000}"/>
    <cellStyle name="Comma 32 3" xfId="1308" xr:uid="{00000000-0005-0000-0000-0000BF080000}"/>
    <cellStyle name="Comma 32 3 2" xfId="2095" xr:uid="{00000000-0005-0000-0000-0000C0080000}"/>
    <cellStyle name="Comma 32 3 2 2" xfId="4339" xr:uid="{00000000-0005-0000-0000-0000C1080000}"/>
    <cellStyle name="Comma 32 3 3" xfId="2817" xr:uid="{00000000-0005-0000-0000-0000C2080000}"/>
    <cellStyle name="Comma 32 3 3 2" xfId="5061" xr:uid="{00000000-0005-0000-0000-0000C3080000}"/>
    <cellStyle name="Comma 32 3 4" xfId="3553" xr:uid="{00000000-0005-0000-0000-0000C4080000}"/>
    <cellStyle name="Comma 32 4" xfId="1628" xr:uid="{00000000-0005-0000-0000-0000C5080000}"/>
    <cellStyle name="Comma 32 4 2" xfId="3872" xr:uid="{00000000-0005-0000-0000-0000C6080000}"/>
    <cellStyle name="Comma 32 5" xfId="2352" xr:uid="{00000000-0005-0000-0000-0000C7080000}"/>
    <cellStyle name="Comma 32 5 2" xfId="4596" xr:uid="{00000000-0005-0000-0000-0000C8080000}"/>
    <cellStyle name="Comma 32 6" xfId="3086" xr:uid="{00000000-0005-0000-0000-0000C9080000}"/>
    <cellStyle name="Comma 33" xfId="154" xr:uid="{00000000-0005-0000-0000-0000CA080000}"/>
    <cellStyle name="Comma 33 2" xfId="966" xr:uid="{00000000-0005-0000-0000-0000CB080000}"/>
    <cellStyle name="Comma 33 2 2" xfId="1754" xr:uid="{00000000-0005-0000-0000-0000CC080000}"/>
    <cellStyle name="Comma 33 2 2 2" xfId="3998" xr:uid="{00000000-0005-0000-0000-0000CD080000}"/>
    <cellStyle name="Comma 33 2 3" xfId="2478" xr:uid="{00000000-0005-0000-0000-0000CE080000}"/>
    <cellStyle name="Comma 33 2 3 2" xfId="4722" xr:uid="{00000000-0005-0000-0000-0000CF080000}"/>
    <cellStyle name="Comma 33 2 4" xfId="3212" xr:uid="{00000000-0005-0000-0000-0000D0080000}"/>
    <cellStyle name="Comma 33 3" xfId="1219" xr:uid="{00000000-0005-0000-0000-0000D1080000}"/>
    <cellStyle name="Comma 33 3 2" xfId="2006" xr:uid="{00000000-0005-0000-0000-0000D2080000}"/>
    <cellStyle name="Comma 33 3 2 2" xfId="4250" xr:uid="{00000000-0005-0000-0000-0000D3080000}"/>
    <cellStyle name="Comma 33 3 3" xfId="2730" xr:uid="{00000000-0005-0000-0000-0000D4080000}"/>
    <cellStyle name="Comma 33 3 3 2" xfId="4974" xr:uid="{00000000-0005-0000-0000-0000D5080000}"/>
    <cellStyle name="Comma 33 3 4" xfId="3464" xr:uid="{00000000-0005-0000-0000-0000D6080000}"/>
    <cellStyle name="Comma 33 4" xfId="1434" xr:uid="{00000000-0005-0000-0000-0000D7080000}"/>
    <cellStyle name="Comma 33 4 2" xfId="3678" xr:uid="{00000000-0005-0000-0000-0000D8080000}"/>
    <cellStyle name="Comma 33 5" xfId="2220" xr:uid="{00000000-0005-0000-0000-0000D9080000}"/>
    <cellStyle name="Comma 33 5 2" xfId="4464" xr:uid="{00000000-0005-0000-0000-0000DA080000}"/>
    <cellStyle name="Comma 33 6" xfId="2944" xr:uid="{00000000-0005-0000-0000-0000DB080000}"/>
    <cellStyle name="Comma 34" xfId="731" xr:uid="{00000000-0005-0000-0000-0000DC080000}"/>
    <cellStyle name="Comma 34 2" xfId="1044" xr:uid="{00000000-0005-0000-0000-0000DD080000}"/>
    <cellStyle name="Comma 34 2 2" xfId="1832" xr:uid="{00000000-0005-0000-0000-0000DE080000}"/>
    <cellStyle name="Comma 34 2 2 2" xfId="4076" xr:uid="{00000000-0005-0000-0000-0000DF080000}"/>
    <cellStyle name="Comma 34 2 3" xfId="2556" xr:uid="{00000000-0005-0000-0000-0000E0080000}"/>
    <cellStyle name="Comma 34 2 3 2" xfId="4800" xr:uid="{00000000-0005-0000-0000-0000E1080000}"/>
    <cellStyle name="Comma 34 2 4" xfId="3290" xr:uid="{00000000-0005-0000-0000-0000E2080000}"/>
    <cellStyle name="Comma 34 3" xfId="1297" xr:uid="{00000000-0005-0000-0000-0000E3080000}"/>
    <cellStyle name="Comma 34 3 2" xfId="2084" xr:uid="{00000000-0005-0000-0000-0000E4080000}"/>
    <cellStyle name="Comma 34 3 2 2" xfId="4328" xr:uid="{00000000-0005-0000-0000-0000E5080000}"/>
    <cellStyle name="Comma 34 3 3" xfId="2807" xr:uid="{00000000-0005-0000-0000-0000E6080000}"/>
    <cellStyle name="Comma 34 3 3 2" xfId="5051" xr:uid="{00000000-0005-0000-0000-0000E7080000}"/>
    <cellStyle name="Comma 34 3 4" xfId="3542" xr:uid="{00000000-0005-0000-0000-0000E8080000}"/>
    <cellStyle name="Comma 34 4" xfId="1564" xr:uid="{00000000-0005-0000-0000-0000E9080000}"/>
    <cellStyle name="Comma 34 4 2" xfId="3808" xr:uid="{00000000-0005-0000-0000-0000EA080000}"/>
    <cellStyle name="Comma 34 5" xfId="2342" xr:uid="{00000000-0005-0000-0000-0000EB080000}"/>
    <cellStyle name="Comma 34 5 2" xfId="4586" xr:uid="{00000000-0005-0000-0000-0000EC080000}"/>
    <cellStyle name="Comma 34 6" xfId="3022" xr:uid="{00000000-0005-0000-0000-0000ED080000}"/>
    <cellStyle name="Comma 35" xfId="824" xr:uid="{00000000-0005-0000-0000-0000EE080000}"/>
    <cellStyle name="Comma 35 2" xfId="1053" xr:uid="{00000000-0005-0000-0000-0000EF080000}"/>
    <cellStyle name="Comma 35 2 2" xfId="1841" xr:uid="{00000000-0005-0000-0000-0000F0080000}"/>
    <cellStyle name="Comma 35 2 2 2" xfId="4085" xr:uid="{00000000-0005-0000-0000-0000F1080000}"/>
    <cellStyle name="Comma 35 2 3" xfId="2565" xr:uid="{00000000-0005-0000-0000-0000F2080000}"/>
    <cellStyle name="Comma 35 2 3 2" xfId="4809" xr:uid="{00000000-0005-0000-0000-0000F3080000}"/>
    <cellStyle name="Comma 35 2 4" xfId="3299" xr:uid="{00000000-0005-0000-0000-0000F4080000}"/>
    <cellStyle name="Comma 35 3" xfId="1307" xr:uid="{00000000-0005-0000-0000-0000F5080000}"/>
    <cellStyle name="Comma 35 3 2" xfId="2094" xr:uid="{00000000-0005-0000-0000-0000F6080000}"/>
    <cellStyle name="Comma 35 3 2 2" xfId="4338" xr:uid="{00000000-0005-0000-0000-0000F7080000}"/>
    <cellStyle name="Comma 35 3 3" xfId="2816" xr:uid="{00000000-0005-0000-0000-0000F8080000}"/>
    <cellStyle name="Comma 35 3 3 2" xfId="5060" xr:uid="{00000000-0005-0000-0000-0000F9080000}"/>
    <cellStyle name="Comma 35 3 4" xfId="3552" xr:uid="{00000000-0005-0000-0000-0000FA080000}"/>
    <cellStyle name="Comma 35 4" xfId="1627" xr:uid="{00000000-0005-0000-0000-0000FB080000}"/>
    <cellStyle name="Comma 35 4 2" xfId="3871" xr:uid="{00000000-0005-0000-0000-0000FC080000}"/>
    <cellStyle name="Comma 35 5" xfId="2351" xr:uid="{00000000-0005-0000-0000-0000FD080000}"/>
    <cellStyle name="Comma 35 5 2" xfId="4595" xr:uid="{00000000-0005-0000-0000-0000FE080000}"/>
    <cellStyle name="Comma 35 6" xfId="3085" xr:uid="{00000000-0005-0000-0000-0000FF080000}"/>
    <cellStyle name="Comma 36" xfId="24" xr:uid="{00000000-0005-0000-0000-000000090000}"/>
    <cellStyle name="Comma 36 10" xfId="5090" xr:uid="{00000000-0005-0000-0000-000001090000}"/>
    <cellStyle name="Comma 36 2" xfId="27" xr:uid="{00000000-0005-0000-0000-000002090000}"/>
    <cellStyle name="Comma 36 2 2" xfId="872" xr:uid="{00000000-0005-0000-0000-000003090000}"/>
    <cellStyle name="Comma 36 2 2 2" xfId="1660" xr:uid="{00000000-0005-0000-0000-000004090000}"/>
    <cellStyle name="Comma 36 2 2 2 2" xfId="3904" xr:uid="{00000000-0005-0000-0000-000005090000}"/>
    <cellStyle name="Comma 36 2 2 3" xfId="2384" xr:uid="{00000000-0005-0000-0000-000006090000}"/>
    <cellStyle name="Comma 36 2 2 3 2" xfId="4628" xr:uid="{00000000-0005-0000-0000-000007090000}"/>
    <cellStyle name="Comma 36 2 2 4" xfId="3118" xr:uid="{00000000-0005-0000-0000-000008090000}"/>
    <cellStyle name="Comma 36 2 3" xfId="1080" xr:uid="{00000000-0005-0000-0000-000009090000}"/>
    <cellStyle name="Comma 36 2 3 2" xfId="1867" xr:uid="{00000000-0005-0000-0000-00000A090000}"/>
    <cellStyle name="Comma 36 2 3 2 2" xfId="4111" xr:uid="{00000000-0005-0000-0000-00000B090000}"/>
    <cellStyle name="Comma 36 2 3 3" xfId="2591" xr:uid="{00000000-0005-0000-0000-00000C090000}"/>
    <cellStyle name="Comma 36 2 3 3 2" xfId="4835" xr:uid="{00000000-0005-0000-0000-00000D090000}"/>
    <cellStyle name="Comma 36 2 3 4" xfId="3325" xr:uid="{00000000-0005-0000-0000-00000E090000}"/>
    <cellStyle name="Comma 36 2 4" xfId="1102" xr:uid="{00000000-0005-0000-0000-00000F090000}"/>
    <cellStyle name="Comma 36 2 4 2" xfId="1889" xr:uid="{00000000-0005-0000-0000-000010090000}"/>
    <cellStyle name="Comma 36 2 4 2 2" xfId="4133" xr:uid="{00000000-0005-0000-0000-000011090000}"/>
    <cellStyle name="Comma 36 2 4 3" xfId="2613" xr:uid="{00000000-0005-0000-0000-000012090000}"/>
    <cellStyle name="Comma 36 2 4 3 2" xfId="4857" xr:uid="{00000000-0005-0000-0000-000013090000}"/>
    <cellStyle name="Comma 36 2 4 4" xfId="3347" xr:uid="{00000000-0005-0000-0000-000014090000}"/>
    <cellStyle name="Comma 36 2 5" xfId="1124" xr:uid="{00000000-0005-0000-0000-000015090000}"/>
    <cellStyle name="Comma 36 2 5 2" xfId="1911" xr:uid="{00000000-0005-0000-0000-000016090000}"/>
    <cellStyle name="Comma 36 2 5 2 2" xfId="4155" xr:uid="{00000000-0005-0000-0000-000017090000}"/>
    <cellStyle name="Comma 36 2 5 3" xfId="2635" xr:uid="{00000000-0005-0000-0000-000018090000}"/>
    <cellStyle name="Comma 36 2 5 3 2" xfId="4879" xr:uid="{00000000-0005-0000-0000-000019090000}"/>
    <cellStyle name="Comma 36 2 5 4" xfId="3369" xr:uid="{00000000-0005-0000-0000-00001A090000}"/>
    <cellStyle name="Comma 36 2 6" xfId="1340" xr:uid="{00000000-0005-0000-0000-00001B090000}"/>
    <cellStyle name="Comma 36 2 6 2" xfId="3584" xr:uid="{00000000-0005-0000-0000-00001C090000}"/>
    <cellStyle name="Comma 36 2 7" xfId="2126" xr:uid="{00000000-0005-0000-0000-00001D090000}"/>
    <cellStyle name="Comma 36 2 7 2" xfId="4370" xr:uid="{00000000-0005-0000-0000-00001E090000}"/>
    <cellStyle name="Comma 36 2 8" xfId="2850" xr:uid="{00000000-0005-0000-0000-00001F090000}"/>
    <cellStyle name="Comma 36 2 9" xfId="5092" xr:uid="{00000000-0005-0000-0000-000020090000}"/>
    <cellStyle name="Comma 36 3" xfId="870" xr:uid="{00000000-0005-0000-0000-000021090000}"/>
    <cellStyle name="Comma 36 3 2" xfId="1658" xr:uid="{00000000-0005-0000-0000-000022090000}"/>
    <cellStyle name="Comma 36 3 2 2" xfId="3902" xr:uid="{00000000-0005-0000-0000-000023090000}"/>
    <cellStyle name="Comma 36 3 3" xfId="2382" xr:uid="{00000000-0005-0000-0000-000024090000}"/>
    <cellStyle name="Comma 36 3 3 2" xfId="4626" xr:uid="{00000000-0005-0000-0000-000025090000}"/>
    <cellStyle name="Comma 36 3 4" xfId="3116" xr:uid="{00000000-0005-0000-0000-000026090000}"/>
    <cellStyle name="Comma 36 4" xfId="1078" xr:uid="{00000000-0005-0000-0000-000027090000}"/>
    <cellStyle name="Comma 36 4 2" xfId="1865" xr:uid="{00000000-0005-0000-0000-000028090000}"/>
    <cellStyle name="Comma 36 4 2 2" xfId="4109" xr:uid="{00000000-0005-0000-0000-000029090000}"/>
    <cellStyle name="Comma 36 4 3" xfId="2589" xr:uid="{00000000-0005-0000-0000-00002A090000}"/>
    <cellStyle name="Comma 36 4 3 2" xfId="4833" xr:uid="{00000000-0005-0000-0000-00002B090000}"/>
    <cellStyle name="Comma 36 4 4" xfId="3323" xr:uid="{00000000-0005-0000-0000-00002C090000}"/>
    <cellStyle name="Comma 36 5" xfId="1100" xr:uid="{00000000-0005-0000-0000-00002D090000}"/>
    <cellStyle name="Comma 36 5 2" xfId="1887" xr:uid="{00000000-0005-0000-0000-00002E090000}"/>
    <cellStyle name="Comma 36 5 2 2" xfId="4131" xr:uid="{00000000-0005-0000-0000-00002F090000}"/>
    <cellStyle name="Comma 36 5 3" xfId="2611" xr:uid="{00000000-0005-0000-0000-000030090000}"/>
    <cellStyle name="Comma 36 5 3 2" xfId="4855" xr:uid="{00000000-0005-0000-0000-000031090000}"/>
    <cellStyle name="Comma 36 5 4" xfId="3345" xr:uid="{00000000-0005-0000-0000-000032090000}"/>
    <cellStyle name="Comma 36 6" xfId="1122" xr:uid="{00000000-0005-0000-0000-000033090000}"/>
    <cellStyle name="Comma 36 6 2" xfId="1909" xr:uid="{00000000-0005-0000-0000-000034090000}"/>
    <cellStyle name="Comma 36 6 2 2" xfId="4153" xr:uid="{00000000-0005-0000-0000-000035090000}"/>
    <cellStyle name="Comma 36 6 3" xfId="2633" xr:uid="{00000000-0005-0000-0000-000036090000}"/>
    <cellStyle name="Comma 36 6 3 2" xfId="4877" xr:uid="{00000000-0005-0000-0000-000037090000}"/>
    <cellStyle name="Comma 36 6 4" xfId="3367" xr:uid="{00000000-0005-0000-0000-000038090000}"/>
    <cellStyle name="Comma 36 7" xfId="1338" xr:uid="{00000000-0005-0000-0000-000039090000}"/>
    <cellStyle name="Comma 36 7 2" xfId="3582" xr:uid="{00000000-0005-0000-0000-00003A090000}"/>
    <cellStyle name="Comma 36 8" xfId="2124" xr:uid="{00000000-0005-0000-0000-00003B090000}"/>
    <cellStyle name="Comma 36 8 2" xfId="4368" xr:uid="{00000000-0005-0000-0000-00003C090000}"/>
    <cellStyle name="Comma 36 9" xfId="2848" xr:uid="{00000000-0005-0000-0000-00003D090000}"/>
    <cellStyle name="Comma 37" xfId="727" xr:uid="{00000000-0005-0000-0000-00003E090000}"/>
    <cellStyle name="Comma 37 2" xfId="1040" xr:uid="{00000000-0005-0000-0000-00003F090000}"/>
    <cellStyle name="Comma 37 2 2" xfId="1828" xr:uid="{00000000-0005-0000-0000-000040090000}"/>
    <cellStyle name="Comma 37 2 2 2" xfId="4072" xr:uid="{00000000-0005-0000-0000-000041090000}"/>
    <cellStyle name="Comma 37 2 3" xfId="2552" xr:uid="{00000000-0005-0000-0000-000042090000}"/>
    <cellStyle name="Comma 37 2 3 2" xfId="4796" xr:uid="{00000000-0005-0000-0000-000043090000}"/>
    <cellStyle name="Comma 37 2 4" xfId="3286" xr:uid="{00000000-0005-0000-0000-000044090000}"/>
    <cellStyle name="Comma 37 3" xfId="1293" xr:uid="{00000000-0005-0000-0000-000045090000}"/>
    <cellStyle name="Comma 37 3 2" xfId="2080" xr:uid="{00000000-0005-0000-0000-000046090000}"/>
    <cellStyle name="Comma 37 3 2 2" xfId="4324" xr:uid="{00000000-0005-0000-0000-000047090000}"/>
    <cellStyle name="Comma 37 3 3" xfId="2803" xr:uid="{00000000-0005-0000-0000-000048090000}"/>
    <cellStyle name="Comma 37 3 3 2" xfId="5047" xr:uid="{00000000-0005-0000-0000-000049090000}"/>
    <cellStyle name="Comma 37 3 4" xfId="3538" xr:uid="{00000000-0005-0000-0000-00004A090000}"/>
    <cellStyle name="Comma 37 4" xfId="1560" xr:uid="{00000000-0005-0000-0000-00004B090000}"/>
    <cellStyle name="Comma 37 4 2" xfId="3804" xr:uid="{00000000-0005-0000-0000-00004C090000}"/>
    <cellStyle name="Comma 37 5" xfId="2338" xr:uid="{00000000-0005-0000-0000-00004D090000}"/>
    <cellStyle name="Comma 37 5 2" xfId="4582" xr:uid="{00000000-0005-0000-0000-00004E090000}"/>
    <cellStyle name="Comma 37 6" xfId="3018" xr:uid="{00000000-0005-0000-0000-00004F090000}"/>
    <cellStyle name="Comma 38" xfId="826" xr:uid="{00000000-0005-0000-0000-000050090000}"/>
    <cellStyle name="Comma 38 2" xfId="1055" xr:uid="{00000000-0005-0000-0000-000051090000}"/>
    <cellStyle name="Comma 38 2 2" xfId="1843" xr:uid="{00000000-0005-0000-0000-000052090000}"/>
    <cellStyle name="Comma 38 2 2 2" xfId="4087" xr:uid="{00000000-0005-0000-0000-000053090000}"/>
    <cellStyle name="Comma 38 2 3" xfId="2567" xr:uid="{00000000-0005-0000-0000-000054090000}"/>
    <cellStyle name="Comma 38 2 3 2" xfId="4811" xr:uid="{00000000-0005-0000-0000-000055090000}"/>
    <cellStyle name="Comma 38 2 4" xfId="3301" xr:uid="{00000000-0005-0000-0000-000056090000}"/>
    <cellStyle name="Comma 38 3" xfId="1309" xr:uid="{00000000-0005-0000-0000-000057090000}"/>
    <cellStyle name="Comma 38 3 2" xfId="2096" xr:uid="{00000000-0005-0000-0000-000058090000}"/>
    <cellStyle name="Comma 38 3 2 2" xfId="4340" xr:uid="{00000000-0005-0000-0000-000059090000}"/>
    <cellStyle name="Comma 38 3 3" xfId="2818" xr:uid="{00000000-0005-0000-0000-00005A090000}"/>
    <cellStyle name="Comma 38 3 3 2" xfId="5062" xr:uid="{00000000-0005-0000-0000-00005B090000}"/>
    <cellStyle name="Comma 38 3 4" xfId="3554" xr:uid="{00000000-0005-0000-0000-00005C090000}"/>
    <cellStyle name="Comma 38 4" xfId="1629" xr:uid="{00000000-0005-0000-0000-00005D090000}"/>
    <cellStyle name="Comma 38 4 2" xfId="3873" xr:uid="{00000000-0005-0000-0000-00005E090000}"/>
    <cellStyle name="Comma 38 5" xfId="2353" xr:uid="{00000000-0005-0000-0000-00005F090000}"/>
    <cellStyle name="Comma 38 5 2" xfId="4597" xr:uid="{00000000-0005-0000-0000-000060090000}"/>
    <cellStyle name="Comma 38 6" xfId="3087" xr:uid="{00000000-0005-0000-0000-000061090000}"/>
    <cellStyle name="Comma 39" xfId="730" xr:uid="{00000000-0005-0000-0000-000062090000}"/>
    <cellStyle name="Comma 39 2" xfId="1043" xr:uid="{00000000-0005-0000-0000-000063090000}"/>
    <cellStyle name="Comma 39 2 2" xfId="1831" xr:uid="{00000000-0005-0000-0000-000064090000}"/>
    <cellStyle name="Comma 39 2 2 2" xfId="4075" xr:uid="{00000000-0005-0000-0000-000065090000}"/>
    <cellStyle name="Comma 39 2 3" xfId="2555" xr:uid="{00000000-0005-0000-0000-000066090000}"/>
    <cellStyle name="Comma 39 2 3 2" xfId="4799" xr:uid="{00000000-0005-0000-0000-000067090000}"/>
    <cellStyle name="Comma 39 2 4" xfId="3289" xr:uid="{00000000-0005-0000-0000-000068090000}"/>
    <cellStyle name="Comma 39 3" xfId="1296" xr:uid="{00000000-0005-0000-0000-000069090000}"/>
    <cellStyle name="Comma 39 3 2" xfId="2083" xr:uid="{00000000-0005-0000-0000-00006A090000}"/>
    <cellStyle name="Comma 39 3 2 2" xfId="4327" xr:uid="{00000000-0005-0000-0000-00006B090000}"/>
    <cellStyle name="Comma 39 3 3" xfId="2806" xr:uid="{00000000-0005-0000-0000-00006C090000}"/>
    <cellStyle name="Comma 39 3 3 2" xfId="5050" xr:uid="{00000000-0005-0000-0000-00006D090000}"/>
    <cellStyle name="Comma 39 3 4" xfId="3541" xr:uid="{00000000-0005-0000-0000-00006E090000}"/>
    <cellStyle name="Comma 39 4" xfId="1563" xr:uid="{00000000-0005-0000-0000-00006F090000}"/>
    <cellStyle name="Comma 39 4 2" xfId="3807" xr:uid="{00000000-0005-0000-0000-000070090000}"/>
    <cellStyle name="Comma 39 5" xfId="2341" xr:uid="{00000000-0005-0000-0000-000071090000}"/>
    <cellStyle name="Comma 39 5 2" xfId="4585" xr:uid="{00000000-0005-0000-0000-000072090000}"/>
    <cellStyle name="Comma 39 6" xfId="3021" xr:uid="{00000000-0005-0000-0000-000073090000}"/>
    <cellStyle name="Comma 4" xfId="14" xr:uid="{00000000-0005-0000-0000-000074090000}"/>
    <cellStyle name="Comma 4 10" xfId="5081" xr:uid="{00000000-0005-0000-0000-000075090000}"/>
    <cellStyle name="Comma 4 2" xfId="156" xr:uid="{00000000-0005-0000-0000-000076090000}"/>
    <cellStyle name="Comma 4 2 2" xfId="968" xr:uid="{00000000-0005-0000-0000-000077090000}"/>
    <cellStyle name="Comma 4 2 2 2" xfId="1756" xr:uid="{00000000-0005-0000-0000-000078090000}"/>
    <cellStyle name="Comma 4 2 2 2 2" xfId="4000" xr:uid="{00000000-0005-0000-0000-000079090000}"/>
    <cellStyle name="Comma 4 2 2 3" xfId="2480" xr:uid="{00000000-0005-0000-0000-00007A090000}"/>
    <cellStyle name="Comma 4 2 2 3 2" xfId="4724" xr:uid="{00000000-0005-0000-0000-00007B090000}"/>
    <cellStyle name="Comma 4 2 2 4" xfId="3214" xr:uid="{00000000-0005-0000-0000-00007C090000}"/>
    <cellStyle name="Comma 4 2 3" xfId="1221" xr:uid="{00000000-0005-0000-0000-00007D090000}"/>
    <cellStyle name="Comma 4 2 3 2" xfId="2008" xr:uid="{00000000-0005-0000-0000-00007E090000}"/>
    <cellStyle name="Comma 4 2 3 2 2" xfId="4252" xr:uid="{00000000-0005-0000-0000-00007F090000}"/>
    <cellStyle name="Comma 4 2 3 3" xfId="2732" xr:uid="{00000000-0005-0000-0000-000080090000}"/>
    <cellStyle name="Comma 4 2 3 3 2" xfId="4976" xr:uid="{00000000-0005-0000-0000-000081090000}"/>
    <cellStyle name="Comma 4 2 3 4" xfId="3466" xr:uid="{00000000-0005-0000-0000-000082090000}"/>
    <cellStyle name="Comma 4 2 4" xfId="1436" xr:uid="{00000000-0005-0000-0000-000083090000}"/>
    <cellStyle name="Comma 4 2 4 2" xfId="3680" xr:uid="{00000000-0005-0000-0000-000084090000}"/>
    <cellStyle name="Comma 4 2 5" xfId="2222" xr:uid="{00000000-0005-0000-0000-000085090000}"/>
    <cellStyle name="Comma 4 2 5 2" xfId="4466" xr:uid="{00000000-0005-0000-0000-000086090000}"/>
    <cellStyle name="Comma 4 2 6" xfId="2946" xr:uid="{00000000-0005-0000-0000-000087090000}"/>
    <cellStyle name="Comma 4 3" xfId="155" xr:uid="{00000000-0005-0000-0000-000088090000}"/>
    <cellStyle name="Comma 4 3 2" xfId="967" xr:uid="{00000000-0005-0000-0000-000089090000}"/>
    <cellStyle name="Comma 4 3 2 2" xfId="1755" xr:uid="{00000000-0005-0000-0000-00008A090000}"/>
    <cellStyle name="Comma 4 3 2 2 2" xfId="3999" xr:uid="{00000000-0005-0000-0000-00008B090000}"/>
    <cellStyle name="Comma 4 3 2 3" xfId="2479" xr:uid="{00000000-0005-0000-0000-00008C090000}"/>
    <cellStyle name="Comma 4 3 2 3 2" xfId="4723" xr:uid="{00000000-0005-0000-0000-00008D090000}"/>
    <cellStyle name="Comma 4 3 2 4" xfId="3213" xr:uid="{00000000-0005-0000-0000-00008E090000}"/>
    <cellStyle name="Comma 4 3 3" xfId="1220" xr:uid="{00000000-0005-0000-0000-00008F090000}"/>
    <cellStyle name="Comma 4 3 3 2" xfId="2007" xr:uid="{00000000-0005-0000-0000-000090090000}"/>
    <cellStyle name="Comma 4 3 3 2 2" xfId="4251" xr:uid="{00000000-0005-0000-0000-000091090000}"/>
    <cellStyle name="Comma 4 3 3 3" xfId="2731" xr:uid="{00000000-0005-0000-0000-000092090000}"/>
    <cellStyle name="Comma 4 3 3 3 2" xfId="4975" xr:uid="{00000000-0005-0000-0000-000093090000}"/>
    <cellStyle name="Comma 4 3 3 4" xfId="3465" xr:uid="{00000000-0005-0000-0000-000094090000}"/>
    <cellStyle name="Comma 4 3 4" xfId="1435" xr:uid="{00000000-0005-0000-0000-000095090000}"/>
    <cellStyle name="Comma 4 3 4 2" xfId="3679" xr:uid="{00000000-0005-0000-0000-000096090000}"/>
    <cellStyle name="Comma 4 3 5" xfId="2221" xr:uid="{00000000-0005-0000-0000-000097090000}"/>
    <cellStyle name="Comma 4 3 5 2" xfId="4465" xr:uid="{00000000-0005-0000-0000-000098090000}"/>
    <cellStyle name="Comma 4 3 6" xfId="2945" xr:uid="{00000000-0005-0000-0000-000099090000}"/>
    <cellStyle name="Comma 4 4" xfId="861" xr:uid="{00000000-0005-0000-0000-00009A090000}"/>
    <cellStyle name="Comma 4 4 2" xfId="1649" xr:uid="{00000000-0005-0000-0000-00009B090000}"/>
    <cellStyle name="Comma 4 4 2 2" xfId="3893" xr:uid="{00000000-0005-0000-0000-00009C090000}"/>
    <cellStyle name="Comma 4 4 3" xfId="2373" xr:uid="{00000000-0005-0000-0000-00009D090000}"/>
    <cellStyle name="Comma 4 4 3 2" xfId="4617" xr:uid="{00000000-0005-0000-0000-00009E090000}"/>
    <cellStyle name="Comma 4 4 4" xfId="3107" xr:uid="{00000000-0005-0000-0000-00009F090000}"/>
    <cellStyle name="Comma 4 5" xfId="1091" xr:uid="{00000000-0005-0000-0000-0000A0090000}"/>
    <cellStyle name="Comma 4 5 2" xfId="1878" xr:uid="{00000000-0005-0000-0000-0000A1090000}"/>
    <cellStyle name="Comma 4 5 2 2" xfId="4122" xr:uid="{00000000-0005-0000-0000-0000A2090000}"/>
    <cellStyle name="Comma 4 5 3" xfId="2602" xr:uid="{00000000-0005-0000-0000-0000A3090000}"/>
    <cellStyle name="Comma 4 5 3 2" xfId="4846" xr:uid="{00000000-0005-0000-0000-0000A4090000}"/>
    <cellStyle name="Comma 4 5 4" xfId="3336" xr:uid="{00000000-0005-0000-0000-0000A5090000}"/>
    <cellStyle name="Comma 4 6" xfId="1113" xr:uid="{00000000-0005-0000-0000-0000A6090000}"/>
    <cellStyle name="Comma 4 6 2" xfId="1900" xr:uid="{00000000-0005-0000-0000-0000A7090000}"/>
    <cellStyle name="Comma 4 6 2 2" xfId="4144" xr:uid="{00000000-0005-0000-0000-0000A8090000}"/>
    <cellStyle name="Comma 4 6 3" xfId="2624" xr:uid="{00000000-0005-0000-0000-0000A9090000}"/>
    <cellStyle name="Comma 4 6 3 2" xfId="4868" xr:uid="{00000000-0005-0000-0000-0000AA090000}"/>
    <cellStyle name="Comma 4 6 4" xfId="3358" xr:uid="{00000000-0005-0000-0000-0000AB090000}"/>
    <cellStyle name="Comma 4 7" xfId="1329" xr:uid="{00000000-0005-0000-0000-0000AC090000}"/>
    <cellStyle name="Comma 4 7 2" xfId="3573" xr:uid="{00000000-0005-0000-0000-0000AD090000}"/>
    <cellStyle name="Comma 4 8" xfId="2115" xr:uid="{00000000-0005-0000-0000-0000AE090000}"/>
    <cellStyle name="Comma 4 8 2" xfId="4359" xr:uid="{00000000-0005-0000-0000-0000AF090000}"/>
    <cellStyle name="Comma 4 9" xfId="2839" xr:uid="{00000000-0005-0000-0000-0000B0090000}"/>
    <cellStyle name="Comma 40" xfId="827" xr:uid="{00000000-0005-0000-0000-0000B1090000}"/>
    <cellStyle name="Comma 40 2" xfId="1056" xr:uid="{00000000-0005-0000-0000-0000B2090000}"/>
    <cellStyle name="Comma 40 2 2" xfId="1844" xr:uid="{00000000-0005-0000-0000-0000B3090000}"/>
    <cellStyle name="Comma 40 2 2 2" xfId="4088" xr:uid="{00000000-0005-0000-0000-0000B4090000}"/>
    <cellStyle name="Comma 40 2 3" xfId="2568" xr:uid="{00000000-0005-0000-0000-0000B5090000}"/>
    <cellStyle name="Comma 40 2 3 2" xfId="4812" xr:uid="{00000000-0005-0000-0000-0000B6090000}"/>
    <cellStyle name="Comma 40 2 4" xfId="3302" xr:uid="{00000000-0005-0000-0000-0000B7090000}"/>
    <cellStyle name="Comma 40 3" xfId="1310" xr:uid="{00000000-0005-0000-0000-0000B8090000}"/>
    <cellStyle name="Comma 40 3 2" xfId="2097" xr:uid="{00000000-0005-0000-0000-0000B9090000}"/>
    <cellStyle name="Comma 40 3 2 2" xfId="4341" xr:uid="{00000000-0005-0000-0000-0000BA090000}"/>
    <cellStyle name="Comma 40 3 3" xfId="2819" xr:uid="{00000000-0005-0000-0000-0000BB090000}"/>
    <cellStyle name="Comma 40 3 3 2" xfId="5063" xr:uid="{00000000-0005-0000-0000-0000BC090000}"/>
    <cellStyle name="Comma 40 3 4" xfId="3555" xr:uid="{00000000-0005-0000-0000-0000BD090000}"/>
    <cellStyle name="Comma 40 4" xfId="1630" xr:uid="{00000000-0005-0000-0000-0000BE090000}"/>
    <cellStyle name="Comma 40 4 2" xfId="3874" xr:uid="{00000000-0005-0000-0000-0000BF090000}"/>
    <cellStyle name="Comma 40 5" xfId="2354" xr:uid="{00000000-0005-0000-0000-0000C0090000}"/>
    <cellStyle name="Comma 40 5 2" xfId="4598" xr:uid="{00000000-0005-0000-0000-0000C1090000}"/>
    <cellStyle name="Comma 40 6" xfId="3088" xr:uid="{00000000-0005-0000-0000-0000C2090000}"/>
    <cellStyle name="Comma 41" xfId="729" xr:uid="{00000000-0005-0000-0000-0000C3090000}"/>
    <cellStyle name="Comma 41 2" xfId="1042" xr:uid="{00000000-0005-0000-0000-0000C4090000}"/>
    <cellStyle name="Comma 41 2 2" xfId="1830" xr:uid="{00000000-0005-0000-0000-0000C5090000}"/>
    <cellStyle name="Comma 41 2 2 2" xfId="4074" xr:uid="{00000000-0005-0000-0000-0000C6090000}"/>
    <cellStyle name="Comma 41 2 3" xfId="2554" xr:uid="{00000000-0005-0000-0000-0000C7090000}"/>
    <cellStyle name="Comma 41 2 3 2" xfId="4798" xr:uid="{00000000-0005-0000-0000-0000C8090000}"/>
    <cellStyle name="Comma 41 2 4" xfId="3288" xr:uid="{00000000-0005-0000-0000-0000C9090000}"/>
    <cellStyle name="Comma 41 3" xfId="1295" xr:uid="{00000000-0005-0000-0000-0000CA090000}"/>
    <cellStyle name="Comma 41 3 2" xfId="2082" xr:uid="{00000000-0005-0000-0000-0000CB090000}"/>
    <cellStyle name="Comma 41 3 2 2" xfId="4326" xr:uid="{00000000-0005-0000-0000-0000CC090000}"/>
    <cellStyle name="Comma 41 3 3" xfId="2805" xr:uid="{00000000-0005-0000-0000-0000CD090000}"/>
    <cellStyle name="Comma 41 3 3 2" xfId="5049" xr:uid="{00000000-0005-0000-0000-0000CE090000}"/>
    <cellStyle name="Comma 41 3 4" xfId="3540" xr:uid="{00000000-0005-0000-0000-0000CF090000}"/>
    <cellStyle name="Comma 41 4" xfId="1562" xr:uid="{00000000-0005-0000-0000-0000D0090000}"/>
    <cellStyle name="Comma 41 4 2" xfId="3806" xr:uid="{00000000-0005-0000-0000-0000D1090000}"/>
    <cellStyle name="Comma 41 5" xfId="2340" xr:uid="{00000000-0005-0000-0000-0000D2090000}"/>
    <cellStyle name="Comma 41 5 2" xfId="4584" xr:uid="{00000000-0005-0000-0000-0000D3090000}"/>
    <cellStyle name="Comma 41 6" xfId="3020" xr:uid="{00000000-0005-0000-0000-0000D4090000}"/>
    <cellStyle name="Comma 42" xfId="828" xr:uid="{00000000-0005-0000-0000-0000D5090000}"/>
    <cellStyle name="Comma 42 2" xfId="1057" xr:uid="{00000000-0005-0000-0000-0000D6090000}"/>
    <cellStyle name="Comma 42 2 2" xfId="1845" xr:uid="{00000000-0005-0000-0000-0000D7090000}"/>
    <cellStyle name="Comma 42 2 2 2" xfId="4089" xr:uid="{00000000-0005-0000-0000-0000D8090000}"/>
    <cellStyle name="Comma 42 2 3" xfId="2569" xr:uid="{00000000-0005-0000-0000-0000D9090000}"/>
    <cellStyle name="Comma 42 2 3 2" xfId="4813" xr:uid="{00000000-0005-0000-0000-0000DA090000}"/>
    <cellStyle name="Comma 42 2 4" xfId="3303" xr:uid="{00000000-0005-0000-0000-0000DB090000}"/>
    <cellStyle name="Comma 42 3" xfId="1311" xr:uid="{00000000-0005-0000-0000-0000DC090000}"/>
    <cellStyle name="Comma 42 3 2" xfId="2098" xr:uid="{00000000-0005-0000-0000-0000DD090000}"/>
    <cellStyle name="Comma 42 3 2 2" xfId="4342" xr:uid="{00000000-0005-0000-0000-0000DE090000}"/>
    <cellStyle name="Comma 42 3 3" xfId="2820" xr:uid="{00000000-0005-0000-0000-0000DF090000}"/>
    <cellStyle name="Comma 42 3 3 2" xfId="5064" xr:uid="{00000000-0005-0000-0000-0000E0090000}"/>
    <cellStyle name="Comma 42 3 4" xfId="3556" xr:uid="{00000000-0005-0000-0000-0000E1090000}"/>
    <cellStyle name="Comma 42 4" xfId="1631" xr:uid="{00000000-0005-0000-0000-0000E2090000}"/>
    <cellStyle name="Comma 42 4 2" xfId="3875" xr:uid="{00000000-0005-0000-0000-0000E3090000}"/>
    <cellStyle name="Comma 42 5" xfId="2355" xr:uid="{00000000-0005-0000-0000-0000E4090000}"/>
    <cellStyle name="Comma 42 5 2" xfId="4599" xr:uid="{00000000-0005-0000-0000-0000E5090000}"/>
    <cellStyle name="Comma 42 6" xfId="3089" xr:uid="{00000000-0005-0000-0000-0000E6090000}"/>
    <cellStyle name="Comma 43" xfId="732" xr:uid="{00000000-0005-0000-0000-0000E7090000}"/>
    <cellStyle name="Comma 43 2" xfId="1045" xr:uid="{00000000-0005-0000-0000-0000E8090000}"/>
    <cellStyle name="Comma 43 2 2" xfId="1833" xr:uid="{00000000-0005-0000-0000-0000E9090000}"/>
    <cellStyle name="Comma 43 2 2 2" xfId="4077" xr:uid="{00000000-0005-0000-0000-0000EA090000}"/>
    <cellStyle name="Comma 43 2 3" xfId="2557" xr:uid="{00000000-0005-0000-0000-0000EB090000}"/>
    <cellStyle name="Comma 43 2 3 2" xfId="4801" xr:uid="{00000000-0005-0000-0000-0000EC090000}"/>
    <cellStyle name="Comma 43 2 4" xfId="3291" xr:uid="{00000000-0005-0000-0000-0000ED090000}"/>
    <cellStyle name="Comma 43 3" xfId="1298" xr:uid="{00000000-0005-0000-0000-0000EE090000}"/>
    <cellStyle name="Comma 43 3 2" xfId="2085" xr:uid="{00000000-0005-0000-0000-0000EF090000}"/>
    <cellStyle name="Comma 43 3 2 2" xfId="4329" xr:uid="{00000000-0005-0000-0000-0000F0090000}"/>
    <cellStyle name="Comma 43 3 3" xfId="2808" xr:uid="{00000000-0005-0000-0000-0000F1090000}"/>
    <cellStyle name="Comma 43 3 3 2" xfId="5052" xr:uid="{00000000-0005-0000-0000-0000F2090000}"/>
    <cellStyle name="Comma 43 3 4" xfId="3543" xr:uid="{00000000-0005-0000-0000-0000F3090000}"/>
    <cellStyle name="Comma 43 4" xfId="1565" xr:uid="{00000000-0005-0000-0000-0000F4090000}"/>
    <cellStyle name="Comma 43 4 2" xfId="3809" xr:uid="{00000000-0005-0000-0000-0000F5090000}"/>
    <cellStyle name="Comma 43 5" xfId="2343" xr:uid="{00000000-0005-0000-0000-0000F6090000}"/>
    <cellStyle name="Comma 43 5 2" xfId="4587" xr:uid="{00000000-0005-0000-0000-0000F7090000}"/>
    <cellStyle name="Comma 43 6" xfId="3023" xr:uid="{00000000-0005-0000-0000-0000F8090000}"/>
    <cellStyle name="Comma 44" xfId="157" xr:uid="{00000000-0005-0000-0000-0000F9090000}"/>
    <cellStyle name="Comma 44 2" xfId="969" xr:uid="{00000000-0005-0000-0000-0000FA090000}"/>
    <cellStyle name="Comma 44 2 2" xfId="1757" xr:uid="{00000000-0005-0000-0000-0000FB090000}"/>
    <cellStyle name="Comma 44 2 2 2" xfId="4001" xr:uid="{00000000-0005-0000-0000-0000FC090000}"/>
    <cellStyle name="Comma 44 2 3" xfId="2481" xr:uid="{00000000-0005-0000-0000-0000FD090000}"/>
    <cellStyle name="Comma 44 2 3 2" xfId="4725" xr:uid="{00000000-0005-0000-0000-0000FE090000}"/>
    <cellStyle name="Comma 44 2 4" xfId="3215" xr:uid="{00000000-0005-0000-0000-0000FF090000}"/>
    <cellStyle name="Comma 44 3" xfId="1222" xr:uid="{00000000-0005-0000-0000-0000000A0000}"/>
    <cellStyle name="Comma 44 3 2" xfId="2009" xr:uid="{00000000-0005-0000-0000-0000010A0000}"/>
    <cellStyle name="Comma 44 3 2 2" xfId="4253" xr:uid="{00000000-0005-0000-0000-0000020A0000}"/>
    <cellStyle name="Comma 44 3 3" xfId="2733" xr:uid="{00000000-0005-0000-0000-0000030A0000}"/>
    <cellStyle name="Comma 44 3 3 2" xfId="4977" xr:uid="{00000000-0005-0000-0000-0000040A0000}"/>
    <cellStyle name="Comma 44 3 4" xfId="3467" xr:uid="{00000000-0005-0000-0000-0000050A0000}"/>
    <cellStyle name="Comma 44 4" xfId="1437" xr:uid="{00000000-0005-0000-0000-0000060A0000}"/>
    <cellStyle name="Comma 44 4 2" xfId="3681" xr:uid="{00000000-0005-0000-0000-0000070A0000}"/>
    <cellStyle name="Comma 44 5" xfId="2223" xr:uid="{00000000-0005-0000-0000-0000080A0000}"/>
    <cellStyle name="Comma 44 5 2" xfId="4467" xr:uid="{00000000-0005-0000-0000-0000090A0000}"/>
    <cellStyle name="Comma 44 6" xfId="2947" xr:uid="{00000000-0005-0000-0000-00000A0A0000}"/>
    <cellStyle name="Comma 45" xfId="829" xr:uid="{00000000-0005-0000-0000-00000B0A0000}"/>
    <cellStyle name="Comma 45 2" xfId="1058" xr:uid="{00000000-0005-0000-0000-00000C0A0000}"/>
    <cellStyle name="Comma 45 2 2" xfId="1846" xr:uid="{00000000-0005-0000-0000-00000D0A0000}"/>
    <cellStyle name="Comma 45 2 2 2" xfId="4090" xr:uid="{00000000-0005-0000-0000-00000E0A0000}"/>
    <cellStyle name="Comma 45 2 3" xfId="2570" xr:uid="{00000000-0005-0000-0000-00000F0A0000}"/>
    <cellStyle name="Comma 45 2 3 2" xfId="4814" xr:uid="{00000000-0005-0000-0000-0000100A0000}"/>
    <cellStyle name="Comma 45 2 4" xfId="3304" xr:uid="{00000000-0005-0000-0000-0000110A0000}"/>
    <cellStyle name="Comma 45 3" xfId="1312" xr:uid="{00000000-0005-0000-0000-0000120A0000}"/>
    <cellStyle name="Comma 45 3 2" xfId="2099" xr:uid="{00000000-0005-0000-0000-0000130A0000}"/>
    <cellStyle name="Comma 45 3 2 2" xfId="4343" xr:uid="{00000000-0005-0000-0000-0000140A0000}"/>
    <cellStyle name="Comma 45 3 3" xfId="2821" xr:uid="{00000000-0005-0000-0000-0000150A0000}"/>
    <cellStyle name="Comma 45 3 3 2" xfId="5065" xr:uid="{00000000-0005-0000-0000-0000160A0000}"/>
    <cellStyle name="Comma 45 3 4" xfId="3557" xr:uid="{00000000-0005-0000-0000-0000170A0000}"/>
    <cellStyle name="Comma 45 4" xfId="1632" xr:uid="{00000000-0005-0000-0000-0000180A0000}"/>
    <cellStyle name="Comma 45 4 2" xfId="3876" xr:uid="{00000000-0005-0000-0000-0000190A0000}"/>
    <cellStyle name="Comma 45 5" xfId="2356" xr:uid="{00000000-0005-0000-0000-00001A0A0000}"/>
    <cellStyle name="Comma 45 5 2" xfId="4600" xr:uid="{00000000-0005-0000-0000-00001B0A0000}"/>
    <cellStyle name="Comma 45 6" xfId="3090" xr:uid="{00000000-0005-0000-0000-00001C0A0000}"/>
    <cellStyle name="Comma 46" xfId="841" xr:uid="{00000000-0005-0000-0000-00001D0A0000}"/>
    <cellStyle name="Comma 46 2" xfId="1060" xr:uid="{00000000-0005-0000-0000-00001E0A0000}"/>
    <cellStyle name="Comma 46 2 2" xfId="1848" xr:uid="{00000000-0005-0000-0000-00001F0A0000}"/>
    <cellStyle name="Comma 46 2 2 2" xfId="4092" xr:uid="{00000000-0005-0000-0000-0000200A0000}"/>
    <cellStyle name="Comma 46 2 3" xfId="2572" xr:uid="{00000000-0005-0000-0000-0000210A0000}"/>
    <cellStyle name="Comma 46 2 3 2" xfId="4816" xr:uid="{00000000-0005-0000-0000-0000220A0000}"/>
    <cellStyle name="Comma 46 2 4" xfId="3306" xr:uid="{00000000-0005-0000-0000-0000230A0000}"/>
    <cellStyle name="Comma 46 3" xfId="1314" xr:uid="{00000000-0005-0000-0000-0000240A0000}"/>
    <cellStyle name="Comma 46 3 2" xfId="2101" xr:uid="{00000000-0005-0000-0000-0000250A0000}"/>
    <cellStyle name="Comma 46 3 2 2" xfId="4345" xr:uid="{00000000-0005-0000-0000-0000260A0000}"/>
    <cellStyle name="Comma 46 3 3" xfId="2823" xr:uid="{00000000-0005-0000-0000-0000270A0000}"/>
    <cellStyle name="Comma 46 3 3 2" xfId="5067" xr:uid="{00000000-0005-0000-0000-0000280A0000}"/>
    <cellStyle name="Comma 46 3 4" xfId="3559" xr:uid="{00000000-0005-0000-0000-0000290A0000}"/>
    <cellStyle name="Comma 46 4" xfId="1634" xr:uid="{00000000-0005-0000-0000-00002A0A0000}"/>
    <cellStyle name="Comma 46 4 2" xfId="3878" xr:uid="{00000000-0005-0000-0000-00002B0A0000}"/>
    <cellStyle name="Comma 46 5" xfId="2358" xr:uid="{00000000-0005-0000-0000-00002C0A0000}"/>
    <cellStyle name="Comma 46 5 2" xfId="4602" xr:uid="{00000000-0005-0000-0000-00002D0A0000}"/>
    <cellStyle name="Comma 46 6" xfId="3092" xr:uid="{00000000-0005-0000-0000-00002E0A0000}"/>
    <cellStyle name="Comma 47" xfId="842" xr:uid="{00000000-0005-0000-0000-00002F0A0000}"/>
    <cellStyle name="Comma 47 2" xfId="1061" xr:uid="{00000000-0005-0000-0000-0000300A0000}"/>
    <cellStyle name="Comma 47 2 2" xfId="1849" xr:uid="{00000000-0005-0000-0000-0000310A0000}"/>
    <cellStyle name="Comma 47 2 2 2" xfId="4093" xr:uid="{00000000-0005-0000-0000-0000320A0000}"/>
    <cellStyle name="Comma 47 2 3" xfId="2573" xr:uid="{00000000-0005-0000-0000-0000330A0000}"/>
    <cellStyle name="Comma 47 2 3 2" xfId="4817" xr:uid="{00000000-0005-0000-0000-0000340A0000}"/>
    <cellStyle name="Comma 47 2 4" xfId="3307" xr:uid="{00000000-0005-0000-0000-0000350A0000}"/>
    <cellStyle name="Comma 47 3" xfId="1315" xr:uid="{00000000-0005-0000-0000-0000360A0000}"/>
    <cellStyle name="Comma 47 3 2" xfId="2102" xr:uid="{00000000-0005-0000-0000-0000370A0000}"/>
    <cellStyle name="Comma 47 3 2 2" xfId="4346" xr:uid="{00000000-0005-0000-0000-0000380A0000}"/>
    <cellStyle name="Comma 47 3 3" xfId="2824" xr:uid="{00000000-0005-0000-0000-0000390A0000}"/>
    <cellStyle name="Comma 47 3 3 2" xfId="5068" xr:uid="{00000000-0005-0000-0000-00003A0A0000}"/>
    <cellStyle name="Comma 47 3 4" xfId="3560" xr:uid="{00000000-0005-0000-0000-00003B0A0000}"/>
    <cellStyle name="Comma 47 4" xfId="1635" xr:uid="{00000000-0005-0000-0000-00003C0A0000}"/>
    <cellStyle name="Comma 47 4 2" xfId="3879" xr:uid="{00000000-0005-0000-0000-00003D0A0000}"/>
    <cellStyle name="Comma 47 5" xfId="2359" xr:uid="{00000000-0005-0000-0000-00003E0A0000}"/>
    <cellStyle name="Comma 47 5 2" xfId="4603" xr:uid="{00000000-0005-0000-0000-00003F0A0000}"/>
    <cellStyle name="Comma 47 6" xfId="3093" xr:uid="{00000000-0005-0000-0000-0000400A0000}"/>
    <cellStyle name="Comma 48" xfId="158" xr:uid="{00000000-0005-0000-0000-0000410A0000}"/>
    <cellStyle name="Comma 48 2" xfId="970" xr:uid="{00000000-0005-0000-0000-0000420A0000}"/>
    <cellStyle name="Comma 48 2 2" xfId="1758" xr:uid="{00000000-0005-0000-0000-0000430A0000}"/>
    <cellStyle name="Comma 48 2 2 2" xfId="4002" xr:uid="{00000000-0005-0000-0000-0000440A0000}"/>
    <cellStyle name="Comma 48 2 3" xfId="2482" xr:uid="{00000000-0005-0000-0000-0000450A0000}"/>
    <cellStyle name="Comma 48 2 3 2" xfId="4726" xr:uid="{00000000-0005-0000-0000-0000460A0000}"/>
    <cellStyle name="Comma 48 2 4" xfId="3216" xr:uid="{00000000-0005-0000-0000-0000470A0000}"/>
    <cellStyle name="Comma 48 3" xfId="1223" xr:uid="{00000000-0005-0000-0000-0000480A0000}"/>
    <cellStyle name="Comma 48 3 2" xfId="2010" xr:uid="{00000000-0005-0000-0000-0000490A0000}"/>
    <cellStyle name="Comma 48 3 2 2" xfId="4254" xr:uid="{00000000-0005-0000-0000-00004A0A0000}"/>
    <cellStyle name="Comma 48 3 3" xfId="2734" xr:uid="{00000000-0005-0000-0000-00004B0A0000}"/>
    <cellStyle name="Comma 48 3 3 2" xfId="4978" xr:uid="{00000000-0005-0000-0000-00004C0A0000}"/>
    <cellStyle name="Comma 48 3 4" xfId="3468" xr:uid="{00000000-0005-0000-0000-00004D0A0000}"/>
    <cellStyle name="Comma 48 4" xfId="1438" xr:uid="{00000000-0005-0000-0000-00004E0A0000}"/>
    <cellStyle name="Comma 48 4 2" xfId="3682" xr:uid="{00000000-0005-0000-0000-00004F0A0000}"/>
    <cellStyle name="Comma 48 5" xfId="2224" xr:uid="{00000000-0005-0000-0000-0000500A0000}"/>
    <cellStyle name="Comma 48 5 2" xfId="4468" xr:uid="{00000000-0005-0000-0000-0000510A0000}"/>
    <cellStyle name="Comma 48 6" xfId="2948" xr:uid="{00000000-0005-0000-0000-0000520A0000}"/>
    <cellStyle name="Comma 49" xfId="736" xr:uid="{00000000-0005-0000-0000-0000530A0000}"/>
    <cellStyle name="Comma 49 2" xfId="1048" xr:uid="{00000000-0005-0000-0000-0000540A0000}"/>
    <cellStyle name="Comma 49 2 2" xfId="1836" xr:uid="{00000000-0005-0000-0000-0000550A0000}"/>
    <cellStyle name="Comma 49 2 2 2" xfId="4080" xr:uid="{00000000-0005-0000-0000-0000560A0000}"/>
    <cellStyle name="Comma 49 2 3" xfId="2560" xr:uid="{00000000-0005-0000-0000-0000570A0000}"/>
    <cellStyle name="Comma 49 2 3 2" xfId="4804" xr:uid="{00000000-0005-0000-0000-0000580A0000}"/>
    <cellStyle name="Comma 49 2 4" xfId="3294" xr:uid="{00000000-0005-0000-0000-0000590A0000}"/>
    <cellStyle name="Comma 49 3" xfId="1301" xr:uid="{00000000-0005-0000-0000-00005A0A0000}"/>
    <cellStyle name="Comma 49 3 2" xfId="2088" xr:uid="{00000000-0005-0000-0000-00005B0A0000}"/>
    <cellStyle name="Comma 49 3 2 2" xfId="4332" xr:uid="{00000000-0005-0000-0000-00005C0A0000}"/>
    <cellStyle name="Comma 49 3 3" xfId="2811" xr:uid="{00000000-0005-0000-0000-00005D0A0000}"/>
    <cellStyle name="Comma 49 3 3 2" xfId="5055" xr:uid="{00000000-0005-0000-0000-00005E0A0000}"/>
    <cellStyle name="Comma 49 3 4" xfId="3546" xr:uid="{00000000-0005-0000-0000-00005F0A0000}"/>
    <cellStyle name="Comma 49 4" xfId="1568" xr:uid="{00000000-0005-0000-0000-0000600A0000}"/>
    <cellStyle name="Comma 49 4 2" xfId="3812" xr:uid="{00000000-0005-0000-0000-0000610A0000}"/>
    <cellStyle name="Comma 49 5" xfId="2346" xr:uid="{00000000-0005-0000-0000-0000620A0000}"/>
    <cellStyle name="Comma 49 5 2" xfId="4590" xr:uid="{00000000-0005-0000-0000-0000630A0000}"/>
    <cellStyle name="Comma 49 6" xfId="3026" xr:uid="{00000000-0005-0000-0000-0000640A0000}"/>
    <cellStyle name="Comma 5" xfId="159" xr:uid="{00000000-0005-0000-0000-0000650A0000}"/>
    <cellStyle name="Comma 5 10" xfId="160" xr:uid="{00000000-0005-0000-0000-0000660A0000}"/>
    <cellStyle name="Comma 5 2" xfId="161" xr:uid="{00000000-0005-0000-0000-0000670A0000}"/>
    <cellStyle name="Comma 5 3" xfId="162" xr:uid="{00000000-0005-0000-0000-0000680A0000}"/>
    <cellStyle name="Comma 5 3 2" xfId="972" xr:uid="{00000000-0005-0000-0000-0000690A0000}"/>
    <cellStyle name="Comma 5 3 2 2" xfId="1760" xr:uid="{00000000-0005-0000-0000-00006A0A0000}"/>
    <cellStyle name="Comma 5 3 2 2 2" xfId="4004" xr:uid="{00000000-0005-0000-0000-00006B0A0000}"/>
    <cellStyle name="Comma 5 3 2 3" xfId="2484" xr:uid="{00000000-0005-0000-0000-00006C0A0000}"/>
    <cellStyle name="Comma 5 3 2 3 2" xfId="4728" xr:uid="{00000000-0005-0000-0000-00006D0A0000}"/>
    <cellStyle name="Comma 5 3 2 4" xfId="3218" xr:uid="{00000000-0005-0000-0000-00006E0A0000}"/>
    <cellStyle name="Comma 5 3 3" xfId="1225" xr:uid="{00000000-0005-0000-0000-00006F0A0000}"/>
    <cellStyle name="Comma 5 3 3 2" xfId="2012" xr:uid="{00000000-0005-0000-0000-0000700A0000}"/>
    <cellStyle name="Comma 5 3 3 2 2" xfId="4256" xr:uid="{00000000-0005-0000-0000-0000710A0000}"/>
    <cellStyle name="Comma 5 3 3 3" xfId="2736" xr:uid="{00000000-0005-0000-0000-0000720A0000}"/>
    <cellStyle name="Comma 5 3 3 3 2" xfId="4980" xr:uid="{00000000-0005-0000-0000-0000730A0000}"/>
    <cellStyle name="Comma 5 3 3 4" xfId="3470" xr:uid="{00000000-0005-0000-0000-0000740A0000}"/>
    <cellStyle name="Comma 5 3 4" xfId="1440" xr:uid="{00000000-0005-0000-0000-0000750A0000}"/>
    <cellStyle name="Comma 5 3 4 2" xfId="3684" xr:uid="{00000000-0005-0000-0000-0000760A0000}"/>
    <cellStyle name="Comma 5 3 5" xfId="2226" xr:uid="{00000000-0005-0000-0000-0000770A0000}"/>
    <cellStyle name="Comma 5 3 5 2" xfId="4470" xr:uid="{00000000-0005-0000-0000-0000780A0000}"/>
    <cellStyle name="Comma 5 3 6" xfId="2950" xr:uid="{00000000-0005-0000-0000-0000790A0000}"/>
    <cellStyle name="Comma 5 4" xfId="971" xr:uid="{00000000-0005-0000-0000-00007A0A0000}"/>
    <cellStyle name="Comma 5 4 2" xfId="1759" xr:uid="{00000000-0005-0000-0000-00007B0A0000}"/>
    <cellStyle name="Comma 5 4 2 2" xfId="4003" xr:uid="{00000000-0005-0000-0000-00007C0A0000}"/>
    <cellStyle name="Comma 5 4 3" xfId="2483" xr:uid="{00000000-0005-0000-0000-00007D0A0000}"/>
    <cellStyle name="Comma 5 4 3 2" xfId="4727" xr:uid="{00000000-0005-0000-0000-00007E0A0000}"/>
    <cellStyle name="Comma 5 4 4" xfId="3217" xr:uid="{00000000-0005-0000-0000-00007F0A0000}"/>
    <cellStyle name="Comma 5 5" xfId="1224" xr:uid="{00000000-0005-0000-0000-0000800A0000}"/>
    <cellStyle name="Comma 5 5 2" xfId="2011" xr:uid="{00000000-0005-0000-0000-0000810A0000}"/>
    <cellStyle name="Comma 5 5 2 2" xfId="4255" xr:uid="{00000000-0005-0000-0000-0000820A0000}"/>
    <cellStyle name="Comma 5 5 3" xfId="2735" xr:uid="{00000000-0005-0000-0000-0000830A0000}"/>
    <cellStyle name="Comma 5 5 3 2" xfId="4979" xr:uid="{00000000-0005-0000-0000-0000840A0000}"/>
    <cellStyle name="Comma 5 5 4" xfId="3469" xr:uid="{00000000-0005-0000-0000-0000850A0000}"/>
    <cellStyle name="Comma 5 6" xfId="1439" xr:uid="{00000000-0005-0000-0000-0000860A0000}"/>
    <cellStyle name="Comma 5 6 2" xfId="3683" xr:uid="{00000000-0005-0000-0000-0000870A0000}"/>
    <cellStyle name="Comma 5 7" xfId="2225" xr:uid="{00000000-0005-0000-0000-0000880A0000}"/>
    <cellStyle name="Comma 5 7 2" xfId="4469" xr:uid="{00000000-0005-0000-0000-0000890A0000}"/>
    <cellStyle name="Comma 5 8" xfId="2949" xr:uid="{00000000-0005-0000-0000-00008A0A0000}"/>
    <cellStyle name="Comma 50" xfId="844" xr:uid="{00000000-0005-0000-0000-00008B0A0000}"/>
    <cellStyle name="Comma 50 2" xfId="1062" xr:uid="{00000000-0005-0000-0000-00008C0A0000}"/>
    <cellStyle name="Comma 50 2 2" xfId="1850" xr:uid="{00000000-0005-0000-0000-00008D0A0000}"/>
    <cellStyle name="Comma 50 2 2 2" xfId="4094" xr:uid="{00000000-0005-0000-0000-00008E0A0000}"/>
    <cellStyle name="Comma 50 2 3" xfId="2574" xr:uid="{00000000-0005-0000-0000-00008F0A0000}"/>
    <cellStyle name="Comma 50 2 3 2" xfId="4818" xr:uid="{00000000-0005-0000-0000-0000900A0000}"/>
    <cellStyle name="Comma 50 2 4" xfId="3308" xr:uid="{00000000-0005-0000-0000-0000910A0000}"/>
    <cellStyle name="Comma 50 3" xfId="1316" xr:uid="{00000000-0005-0000-0000-0000920A0000}"/>
    <cellStyle name="Comma 50 3 2" xfId="2103" xr:uid="{00000000-0005-0000-0000-0000930A0000}"/>
    <cellStyle name="Comma 50 3 2 2" xfId="4347" xr:uid="{00000000-0005-0000-0000-0000940A0000}"/>
    <cellStyle name="Comma 50 3 3" xfId="2825" xr:uid="{00000000-0005-0000-0000-0000950A0000}"/>
    <cellStyle name="Comma 50 3 3 2" xfId="5069" xr:uid="{00000000-0005-0000-0000-0000960A0000}"/>
    <cellStyle name="Comma 50 3 4" xfId="3561" xr:uid="{00000000-0005-0000-0000-0000970A0000}"/>
    <cellStyle name="Comma 50 4" xfId="1636" xr:uid="{00000000-0005-0000-0000-0000980A0000}"/>
    <cellStyle name="Comma 50 4 2" xfId="3880" xr:uid="{00000000-0005-0000-0000-0000990A0000}"/>
    <cellStyle name="Comma 50 5" xfId="2360" xr:uid="{00000000-0005-0000-0000-00009A0A0000}"/>
    <cellStyle name="Comma 50 5 2" xfId="4604" xr:uid="{00000000-0005-0000-0000-00009B0A0000}"/>
    <cellStyle name="Comma 50 6" xfId="3094" xr:uid="{00000000-0005-0000-0000-00009C0A0000}"/>
    <cellStyle name="Comma 51" xfId="836" xr:uid="{00000000-0005-0000-0000-00009D0A0000}"/>
    <cellStyle name="Comma 51 2" xfId="1059" xr:uid="{00000000-0005-0000-0000-00009E0A0000}"/>
    <cellStyle name="Comma 51 2 2" xfId="1847" xr:uid="{00000000-0005-0000-0000-00009F0A0000}"/>
    <cellStyle name="Comma 51 2 2 2" xfId="4091" xr:uid="{00000000-0005-0000-0000-0000A00A0000}"/>
    <cellStyle name="Comma 51 2 3" xfId="2571" xr:uid="{00000000-0005-0000-0000-0000A10A0000}"/>
    <cellStyle name="Comma 51 2 3 2" xfId="4815" xr:uid="{00000000-0005-0000-0000-0000A20A0000}"/>
    <cellStyle name="Comma 51 2 4" xfId="3305" xr:uid="{00000000-0005-0000-0000-0000A30A0000}"/>
    <cellStyle name="Comma 51 3" xfId="1313" xr:uid="{00000000-0005-0000-0000-0000A40A0000}"/>
    <cellStyle name="Comma 51 3 2" xfId="2100" xr:uid="{00000000-0005-0000-0000-0000A50A0000}"/>
    <cellStyle name="Comma 51 3 2 2" xfId="4344" xr:uid="{00000000-0005-0000-0000-0000A60A0000}"/>
    <cellStyle name="Comma 51 3 3" xfId="2822" xr:uid="{00000000-0005-0000-0000-0000A70A0000}"/>
    <cellStyle name="Comma 51 3 3 2" xfId="5066" xr:uid="{00000000-0005-0000-0000-0000A80A0000}"/>
    <cellStyle name="Comma 51 3 4" xfId="3558" xr:uid="{00000000-0005-0000-0000-0000A90A0000}"/>
    <cellStyle name="Comma 51 4" xfId="1633" xr:uid="{00000000-0005-0000-0000-0000AA0A0000}"/>
    <cellStyle name="Comma 51 4 2" xfId="3877" xr:uid="{00000000-0005-0000-0000-0000AB0A0000}"/>
    <cellStyle name="Comma 51 5" xfId="2357" xr:uid="{00000000-0005-0000-0000-0000AC0A0000}"/>
    <cellStyle name="Comma 51 5 2" xfId="4601" xr:uid="{00000000-0005-0000-0000-0000AD0A0000}"/>
    <cellStyle name="Comma 51 6" xfId="3091" xr:uid="{00000000-0005-0000-0000-0000AE0A0000}"/>
    <cellStyle name="Comma 52" xfId="846" xr:uid="{00000000-0005-0000-0000-0000AF0A0000}"/>
    <cellStyle name="Comma 52 2" xfId="1063" xr:uid="{00000000-0005-0000-0000-0000B00A0000}"/>
    <cellStyle name="Comma 52 2 2" xfId="1851" xr:uid="{00000000-0005-0000-0000-0000B10A0000}"/>
    <cellStyle name="Comma 52 2 2 2" xfId="4095" xr:uid="{00000000-0005-0000-0000-0000B20A0000}"/>
    <cellStyle name="Comma 52 2 3" xfId="2575" xr:uid="{00000000-0005-0000-0000-0000B30A0000}"/>
    <cellStyle name="Comma 52 2 3 2" xfId="4819" xr:uid="{00000000-0005-0000-0000-0000B40A0000}"/>
    <cellStyle name="Comma 52 2 4" xfId="3309" xr:uid="{00000000-0005-0000-0000-0000B50A0000}"/>
    <cellStyle name="Comma 52 3" xfId="1317" xr:uid="{00000000-0005-0000-0000-0000B60A0000}"/>
    <cellStyle name="Comma 52 3 2" xfId="2104" xr:uid="{00000000-0005-0000-0000-0000B70A0000}"/>
    <cellStyle name="Comma 52 3 2 2" xfId="4348" xr:uid="{00000000-0005-0000-0000-0000B80A0000}"/>
    <cellStyle name="Comma 52 3 3" xfId="2826" xr:uid="{00000000-0005-0000-0000-0000B90A0000}"/>
    <cellStyle name="Comma 52 3 3 2" xfId="5070" xr:uid="{00000000-0005-0000-0000-0000BA0A0000}"/>
    <cellStyle name="Comma 52 3 4" xfId="3562" xr:uid="{00000000-0005-0000-0000-0000BB0A0000}"/>
    <cellStyle name="Comma 52 4" xfId="1637" xr:uid="{00000000-0005-0000-0000-0000BC0A0000}"/>
    <cellStyle name="Comma 52 4 2" xfId="3881" xr:uid="{00000000-0005-0000-0000-0000BD0A0000}"/>
    <cellStyle name="Comma 52 5" xfId="2361" xr:uid="{00000000-0005-0000-0000-0000BE0A0000}"/>
    <cellStyle name="Comma 52 5 2" xfId="4605" xr:uid="{00000000-0005-0000-0000-0000BF0A0000}"/>
    <cellStyle name="Comma 52 6" xfId="3095" xr:uid="{00000000-0005-0000-0000-0000C00A0000}"/>
    <cellStyle name="Comma 53" xfId="163" xr:uid="{00000000-0005-0000-0000-0000C10A0000}"/>
    <cellStyle name="Comma 53 2" xfId="973" xr:uid="{00000000-0005-0000-0000-0000C20A0000}"/>
    <cellStyle name="Comma 53 2 2" xfId="1761" xr:uid="{00000000-0005-0000-0000-0000C30A0000}"/>
    <cellStyle name="Comma 53 2 2 2" xfId="4005" xr:uid="{00000000-0005-0000-0000-0000C40A0000}"/>
    <cellStyle name="Comma 53 2 3" xfId="2485" xr:uid="{00000000-0005-0000-0000-0000C50A0000}"/>
    <cellStyle name="Comma 53 2 3 2" xfId="4729" xr:uid="{00000000-0005-0000-0000-0000C60A0000}"/>
    <cellStyle name="Comma 53 2 4" xfId="3219" xr:uid="{00000000-0005-0000-0000-0000C70A0000}"/>
    <cellStyle name="Comma 53 3" xfId="1226" xr:uid="{00000000-0005-0000-0000-0000C80A0000}"/>
    <cellStyle name="Comma 53 3 2" xfId="2013" xr:uid="{00000000-0005-0000-0000-0000C90A0000}"/>
    <cellStyle name="Comma 53 3 2 2" xfId="4257" xr:uid="{00000000-0005-0000-0000-0000CA0A0000}"/>
    <cellStyle name="Comma 53 3 3" xfId="2737" xr:uid="{00000000-0005-0000-0000-0000CB0A0000}"/>
    <cellStyle name="Comma 53 3 3 2" xfId="4981" xr:uid="{00000000-0005-0000-0000-0000CC0A0000}"/>
    <cellStyle name="Comma 53 3 4" xfId="3471" xr:uid="{00000000-0005-0000-0000-0000CD0A0000}"/>
    <cellStyle name="Comma 53 4" xfId="1441" xr:uid="{00000000-0005-0000-0000-0000CE0A0000}"/>
    <cellStyle name="Comma 53 4 2" xfId="3685" xr:uid="{00000000-0005-0000-0000-0000CF0A0000}"/>
    <cellStyle name="Comma 53 5" xfId="2227" xr:uid="{00000000-0005-0000-0000-0000D00A0000}"/>
    <cellStyle name="Comma 53 5 2" xfId="4471" xr:uid="{00000000-0005-0000-0000-0000D10A0000}"/>
    <cellStyle name="Comma 53 6" xfId="2951" xr:uid="{00000000-0005-0000-0000-0000D20A0000}"/>
    <cellStyle name="Comma 54" xfId="735" xr:uid="{00000000-0005-0000-0000-0000D30A0000}"/>
    <cellStyle name="Comma 54 2" xfId="1047" xr:uid="{00000000-0005-0000-0000-0000D40A0000}"/>
    <cellStyle name="Comma 54 2 2" xfId="1835" xr:uid="{00000000-0005-0000-0000-0000D50A0000}"/>
    <cellStyle name="Comma 54 2 2 2" xfId="4079" xr:uid="{00000000-0005-0000-0000-0000D60A0000}"/>
    <cellStyle name="Comma 54 2 3" xfId="2559" xr:uid="{00000000-0005-0000-0000-0000D70A0000}"/>
    <cellStyle name="Comma 54 2 3 2" xfId="4803" xr:uid="{00000000-0005-0000-0000-0000D80A0000}"/>
    <cellStyle name="Comma 54 2 4" xfId="3293" xr:uid="{00000000-0005-0000-0000-0000D90A0000}"/>
    <cellStyle name="Comma 54 3" xfId="1300" xr:uid="{00000000-0005-0000-0000-0000DA0A0000}"/>
    <cellStyle name="Comma 54 3 2" xfId="2087" xr:uid="{00000000-0005-0000-0000-0000DB0A0000}"/>
    <cellStyle name="Comma 54 3 2 2" xfId="4331" xr:uid="{00000000-0005-0000-0000-0000DC0A0000}"/>
    <cellStyle name="Comma 54 3 3" xfId="2810" xr:uid="{00000000-0005-0000-0000-0000DD0A0000}"/>
    <cellStyle name="Comma 54 3 3 2" xfId="5054" xr:uid="{00000000-0005-0000-0000-0000DE0A0000}"/>
    <cellStyle name="Comma 54 3 4" xfId="3545" xr:uid="{00000000-0005-0000-0000-0000DF0A0000}"/>
    <cellStyle name="Comma 54 4" xfId="1567" xr:uid="{00000000-0005-0000-0000-0000E00A0000}"/>
    <cellStyle name="Comma 54 4 2" xfId="3811" xr:uid="{00000000-0005-0000-0000-0000E10A0000}"/>
    <cellStyle name="Comma 54 5" xfId="2345" xr:uid="{00000000-0005-0000-0000-0000E20A0000}"/>
    <cellStyle name="Comma 54 5 2" xfId="4589" xr:uid="{00000000-0005-0000-0000-0000E30A0000}"/>
    <cellStyle name="Comma 54 6" xfId="3025" xr:uid="{00000000-0005-0000-0000-0000E40A0000}"/>
    <cellStyle name="Comma 55" xfId="848" xr:uid="{00000000-0005-0000-0000-0000E50A0000}"/>
    <cellStyle name="Comma 55 2" xfId="1065" xr:uid="{00000000-0005-0000-0000-0000E60A0000}"/>
    <cellStyle name="Comma 55 2 2" xfId="1853" xr:uid="{00000000-0005-0000-0000-0000E70A0000}"/>
    <cellStyle name="Comma 55 2 2 2" xfId="4097" xr:uid="{00000000-0005-0000-0000-0000E80A0000}"/>
    <cellStyle name="Comma 55 2 3" xfId="2577" xr:uid="{00000000-0005-0000-0000-0000E90A0000}"/>
    <cellStyle name="Comma 55 2 3 2" xfId="4821" xr:uid="{00000000-0005-0000-0000-0000EA0A0000}"/>
    <cellStyle name="Comma 55 2 4" xfId="3311" xr:uid="{00000000-0005-0000-0000-0000EB0A0000}"/>
    <cellStyle name="Comma 55 3" xfId="1319" xr:uid="{00000000-0005-0000-0000-0000EC0A0000}"/>
    <cellStyle name="Comma 55 3 2" xfId="2106" xr:uid="{00000000-0005-0000-0000-0000ED0A0000}"/>
    <cellStyle name="Comma 55 3 2 2" xfId="4350" xr:uid="{00000000-0005-0000-0000-0000EE0A0000}"/>
    <cellStyle name="Comma 55 3 3" xfId="2828" xr:uid="{00000000-0005-0000-0000-0000EF0A0000}"/>
    <cellStyle name="Comma 55 3 3 2" xfId="5072" xr:uid="{00000000-0005-0000-0000-0000F00A0000}"/>
    <cellStyle name="Comma 55 3 4" xfId="3564" xr:uid="{00000000-0005-0000-0000-0000F10A0000}"/>
    <cellStyle name="Comma 55 4" xfId="1639" xr:uid="{00000000-0005-0000-0000-0000F20A0000}"/>
    <cellStyle name="Comma 55 4 2" xfId="3883" xr:uid="{00000000-0005-0000-0000-0000F30A0000}"/>
    <cellStyle name="Comma 55 5" xfId="2363" xr:uid="{00000000-0005-0000-0000-0000F40A0000}"/>
    <cellStyle name="Comma 55 5 2" xfId="4607" xr:uid="{00000000-0005-0000-0000-0000F50A0000}"/>
    <cellStyle name="Comma 55 6" xfId="3097" xr:uid="{00000000-0005-0000-0000-0000F60A0000}"/>
    <cellStyle name="Comma 56" xfId="734" xr:uid="{00000000-0005-0000-0000-0000F70A0000}"/>
    <cellStyle name="Comma 56 2" xfId="1046" xr:uid="{00000000-0005-0000-0000-0000F80A0000}"/>
    <cellStyle name="Comma 56 2 2" xfId="1834" xr:uid="{00000000-0005-0000-0000-0000F90A0000}"/>
    <cellStyle name="Comma 56 2 2 2" xfId="4078" xr:uid="{00000000-0005-0000-0000-0000FA0A0000}"/>
    <cellStyle name="Comma 56 2 3" xfId="2558" xr:uid="{00000000-0005-0000-0000-0000FB0A0000}"/>
    <cellStyle name="Comma 56 2 3 2" xfId="4802" xr:uid="{00000000-0005-0000-0000-0000FC0A0000}"/>
    <cellStyle name="Comma 56 2 4" xfId="3292" xr:uid="{00000000-0005-0000-0000-0000FD0A0000}"/>
    <cellStyle name="Comma 56 3" xfId="1299" xr:uid="{00000000-0005-0000-0000-0000FE0A0000}"/>
    <cellStyle name="Comma 56 3 2" xfId="2086" xr:uid="{00000000-0005-0000-0000-0000FF0A0000}"/>
    <cellStyle name="Comma 56 3 2 2" xfId="4330" xr:uid="{00000000-0005-0000-0000-0000000B0000}"/>
    <cellStyle name="Comma 56 3 3" xfId="2809" xr:uid="{00000000-0005-0000-0000-0000010B0000}"/>
    <cellStyle name="Comma 56 3 3 2" xfId="5053" xr:uid="{00000000-0005-0000-0000-0000020B0000}"/>
    <cellStyle name="Comma 56 3 4" xfId="3544" xr:uid="{00000000-0005-0000-0000-0000030B0000}"/>
    <cellStyle name="Comma 56 4" xfId="1566" xr:uid="{00000000-0005-0000-0000-0000040B0000}"/>
    <cellStyle name="Comma 56 4 2" xfId="3810" xr:uid="{00000000-0005-0000-0000-0000050B0000}"/>
    <cellStyle name="Comma 56 5" xfId="2344" xr:uid="{00000000-0005-0000-0000-0000060B0000}"/>
    <cellStyle name="Comma 56 5 2" xfId="4588" xr:uid="{00000000-0005-0000-0000-0000070B0000}"/>
    <cellStyle name="Comma 56 6" xfId="3024" xr:uid="{00000000-0005-0000-0000-0000080B0000}"/>
    <cellStyle name="Comma 57" xfId="847" xr:uid="{00000000-0005-0000-0000-0000090B0000}"/>
    <cellStyle name="Comma 57 2" xfId="1064" xr:uid="{00000000-0005-0000-0000-00000A0B0000}"/>
    <cellStyle name="Comma 57 2 2" xfId="1852" xr:uid="{00000000-0005-0000-0000-00000B0B0000}"/>
    <cellStyle name="Comma 57 2 2 2" xfId="4096" xr:uid="{00000000-0005-0000-0000-00000C0B0000}"/>
    <cellStyle name="Comma 57 2 3" xfId="2576" xr:uid="{00000000-0005-0000-0000-00000D0B0000}"/>
    <cellStyle name="Comma 57 2 3 2" xfId="4820" xr:uid="{00000000-0005-0000-0000-00000E0B0000}"/>
    <cellStyle name="Comma 57 2 4" xfId="3310" xr:uid="{00000000-0005-0000-0000-00000F0B0000}"/>
    <cellStyle name="Comma 57 3" xfId="1318" xr:uid="{00000000-0005-0000-0000-0000100B0000}"/>
    <cellStyle name="Comma 57 3 2" xfId="2105" xr:uid="{00000000-0005-0000-0000-0000110B0000}"/>
    <cellStyle name="Comma 57 3 2 2" xfId="4349" xr:uid="{00000000-0005-0000-0000-0000120B0000}"/>
    <cellStyle name="Comma 57 3 3" xfId="2827" xr:uid="{00000000-0005-0000-0000-0000130B0000}"/>
    <cellStyle name="Comma 57 3 3 2" xfId="5071" xr:uid="{00000000-0005-0000-0000-0000140B0000}"/>
    <cellStyle name="Comma 57 3 4" xfId="3563" xr:uid="{00000000-0005-0000-0000-0000150B0000}"/>
    <cellStyle name="Comma 57 4" xfId="1638" xr:uid="{00000000-0005-0000-0000-0000160B0000}"/>
    <cellStyle name="Comma 57 4 2" xfId="3882" xr:uid="{00000000-0005-0000-0000-0000170B0000}"/>
    <cellStyle name="Comma 57 5" xfId="2362" xr:uid="{00000000-0005-0000-0000-0000180B0000}"/>
    <cellStyle name="Comma 57 5 2" xfId="4606" xr:uid="{00000000-0005-0000-0000-0000190B0000}"/>
    <cellStyle name="Comma 57 6" xfId="3096" xr:uid="{00000000-0005-0000-0000-00001A0B0000}"/>
    <cellStyle name="Comma 58" xfId="164" xr:uid="{00000000-0005-0000-0000-00001B0B0000}"/>
    <cellStyle name="Comma 58 2" xfId="974" xr:uid="{00000000-0005-0000-0000-00001C0B0000}"/>
    <cellStyle name="Comma 58 2 2" xfId="1762" xr:uid="{00000000-0005-0000-0000-00001D0B0000}"/>
    <cellStyle name="Comma 58 2 2 2" xfId="4006" xr:uid="{00000000-0005-0000-0000-00001E0B0000}"/>
    <cellStyle name="Comma 58 2 3" xfId="2486" xr:uid="{00000000-0005-0000-0000-00001F0B0000}"/>
    <cellStyle name="Comma 58 2 3 2" xfId="4730" xr:uid="{00000000-0005-0000-0000-0000200B0000}"/>
    <cellStyle name="Comma 58 2 4" xfId="3220" xr:uid="{00000000-0005-0000-0000-0000210B0000}"/>
    <cellStyle name="Comma 58 3" xfId="1227" xr:uid="{00000000-0005-0000-0000-0000220B0000}"/>
    <cellStyle name="Comma 58 3 2" xfId="2014" xr:uid="{00000000-0005-0000-0000-0000230B0000}"/>
    <cellStyle name="Comma 58 3 2 2" xfId="4258" xr:uid="{00000000-0005-0000-0000-0000240B0000}"/>
    <cellStyle name="Comma 58 3 3" xfId="2738" xr:uid="{00000000-0005-0000-0000-0000250B0000}"/>
    <cellStyle name="Comma 58 3 3 2" xfId="4982" xr:uid="{00000000-0005-0000-0000-0000260B0000}"/>
    <cellStyle name="Comma 58 3 4" xfId="3472" xr:uid="{00000000-0005-0000-0000-0000270B0000}"/>
    <cellStyle name="Comma 58 4" xfId="1442" xr:uid="{00000000-0005-0000-0000-0000280B0000}"/>
    <cellStyle name="Comma 58 4 2" xfId="3686" xr:uid="{00000000-0005-0000-0000-0000290B0000}"/>
    <cellStyle name="Comma 58 5" xfId="2228" xr:uid="{00000000-0005-0000-0000-00002A0B0000}"/>
    <cellStyle name="Comma 58 5 2" xfId="4472" xr:uid="{00000000-0005-0000-0000-00002B0B0000}"/>
    <cellStyle name="Comma 58 6" xfId="2952" xr:uid="{00000000-0005-0000-0000-00002C0B0000}"/>
    <cellStyle name="Comma 59" xfId="852" xr:uid="{00000000-0005-0000-0000-00002D0B0000}"/>
    <cellStyle name="Comma 59 2" xfId="1640" xr:uid="{00000000-0005-0000-0000-00002E0B0000}"/>
    <cellStyle name="Comma 59 2 2" xfId="3884" xr:uid="{00000000-0005-0000-0000-00002F0B0000}"/>
    <cellStyle name="Comma 59 3" xfId="2364" xr:uid="{00000000-0005-0000-0000-0000300B0000}"/>
    <cellStyle name="Comma 59 3 2" xfId="4608" xr:uid="{00000000-0005-0000-0000-0000310B0000}"/>
    <cellStyle name="Comma 59 4" xfId="3098" xr:uid="{00000000-0005-0000-0000-0000320B0000}"/>
    <cellStyle name="Comma 6" xfId="165" xr:uid="{00000000-0005-0000-0000-0000330B0000}"/>
    <cellStyle name="Comma 6 10" xfId="166" xr:uid="{00000000-0005-0000-0000-0000340B0000}"/>
    <cellStyle name="Comma 6 10 2" xfId="976" xr:uid="{00000000-0005-0000-0000-0000350B0000}"/>
    <cellStyle name="Comma 6 10 2 2" xfId="1764" xr:uid="{00000000-0005-0000-0000-0000360B0000}"/>
    <cellStyle name="Comma 6 10 2 2 2" xfId="4008" xr:uid="{00000000-0005-0000-0000-0000370B0000}"/>
    <cellStyle name="Comma 6 10 2 3" xfId="2488" xr:uid="{00000000-0005-0000-0000-0000380B0000}"/>
    <cellStyle name="Comma 6 10 2 3 2" xfId="4732" xr:uid="{00000000-0005-0000-0000-0000390B0000}"/>
    <cellStyle name="Comma 6 10 2 4" xfId="3222" xr:uid="{00000000-0005-0000-0000-00003A0B0000}"/>
    <cellStyle name="Comma 6 10 3" xfId="1229" xr:uid="{00000000-0005-0000-0000-00003B0B0000}"/>
    <cellStyle name="Comma 6 10 3 2" xfId="2016" xr:uid="{00000000-0005-0000-0000-00003C0B0000}"/>
    <cellStyle name="Comma 6 10 3 2 2" xfId="4260" xr:uid="{00000000-0005-0000-0000-00003D0B0000}"/>
    <cellStyle name="Comma 6 10 3 3" xfId="2740" xr:uid="{00000000-0005-0000-0000-00003E0B0000}"/>
    <cellStyle name="Comma 6 10 3 3 2" xfId="4984" xr:uid="{00000000-0005-0000-0000-00003F0B0000}"/>
    <cellStyle name="Comma 6 10 3 4" xfId="3474" xr:uid="{00000000-0005-0000-0000-0000400B0000}"/>
    <cellStyle name="Comma 6 10 4" xfId="1444" xr:uid="{00000000-0005-0000-0000-0000410B0000}"/>
    <cellStyle name="Comma 6 10 4 2" xfId="3688" xr:uid="{00000000-0005-0000-0000-0000420B0000}"/>
    <cellStyle name="Comma 6 10 5" xfId="2230" xr:uid="{00000000-0005-0000-0000-0000430B0000}"/>
    <cellStyle name="Comma 6 10 5 2" xfId="4474" xr:uid="{00000000-0005-0000-0000-0000440B0000}"/>
    <cellStyle name="Comma 6 10 6" xfId="2954" xr:uid="{00000000-0005-0000-0000-0000450B0000}"/>
    <cellStyle name="Comma 6 11" xfId="167" xr:uid="{00000000-0005-0000-0000-0000460B0000}"/>
    <cellStyle name="Comma 6 11 2" xfId="977" xr:uid="{00000000-0005-0000-0000-0000470B0000}"/>
    <cellStyle name="Comma 6 11 2 2" xfId="1765" xr:uid="{00000000-0005-0000-0000-0000480B0000}"/>
    <cellStyle name="Comma 6 11 2 2 2" xfId="4009" xr:uid="{00000000-0005-0000-0000-0000490B0000}"/>
    <cellStyle name="Comma 6 11 2 3" xfId="2489" xr:uid="{00000000-0005-0000-0000-00004A0B0000}"/>
    <cellStyle name="Comma 6 11 2 3 2" xfId="4733" xr:uid="{00000000-0005-0000-0000-00004B0B0000}"/>
    <cellStyle name="Comma 6 11 2 4" xfId="3223" xr:uid="{00000000-0005-0000-0000-00004C0B0000}"/>
    <cellStyle name="Comma 6 11 3" xfId="1230" xr:uid="{00000000-0005-0000-0000-00004D0B0000}"/>
    <cellStyle name="Comma 6 11 3 2" xfId="2017" xr:uid="{00000000-0005-0000-0000-00004E0B0000}"/>
    <cellStyle name="Comma 6 11 3 2 2" xfId="4261" xr:uid="{00000000-0005-0000-0000-00004F0B0000}"/>
    <cellStyle name="Comma 6 11 3 3" xfId="2741" xr:uid="{00000000-0005-0000-0000-0000500B0000}"/>
    <cellStyle name="Comma 6 11 3 3 2" xfId="4985" xr:uid="{00000000-0005-0000-0000-0000510B0000}"/>
    <cellStyle name="Comma 6 11 3 4" xfId="3475" xr:uid="{00000000-0005-0000-0000-0000520B0000}"/>
    <cellStyle name="Comma 6 11 4" xfId="1445" xr:uid="{00000000-0005-0000-0000-0000530B0000}"/>
    <cellStyle name="Comma 6 11 4 2" xfId="3689" xr:uid="{00000000-0005-0000-0000-0000540B0000}"/>
    <cellStyle name="Comma 6 11 5" xfId="2231" xr:uid="{00000000-0005-0000-0000-0000550B0000}"/>
    <cellStyle name="Comma 6 11 5 2" xfId="4475" xr:uid="{00000000-0005-0000-0000-0000560B0000}"/>
    <cellStyle name="Comma 6 11 6" xfId="2955" xr:uid="{00000000-0005-0000-0000-0000570B0000}"/>
    <cellStyle name="Comma 6 12" xfId="168" xr:uid="{00000000-0005-0000-0000-0000580B0000}"/>
    <cellStyle name="Comma 6 12 2" xfId="978" xr:uid="{00000000-0005-0000-0000-0000590B0000}"/>
    <cellStyle name="Comma 6 12 2 2" xfId="1766" xr:uid="{00000000-0005-0000-0000-00005A0B0000}"/>
    <cellStyle name="Comma 6 12 2 2 2" xfId="4010" xr:uid="{00000000-0005-0000-0000-00005B0B0000}"/>
    <cellStyle name="Comma 6 12 2 3" xfId="2490" xr:uid="{00000000-0005-0000-0000-00005C0B0000}"/>
    <cellStyle name="Comma 6 12 2 3 2" xfId="4734" xr:uid="{00000000-0005-0000-0000-00005D0B0000}"/>
    <cellStyle name="Comma 6 12 2 4" xfId="3224" xr:uid="{00000000-0005-0000-0000-00005E0B0000}"/>
    <cellStyle name="Comma 6 12 3" xfId="1231" xr:uid="{00000000-0005-0000-0000-00005F0B0000}"/>
    <cellStyle name="Comma 6 12 3 2" xfId="2018" xr:uid="{00000000-0005-0000-0000-0000600B0000}"/>
    <cellStyle name="Comma 6 12 3 2 2" xfId="4262" xr:uid="{00000000-0005-0000-0000-0000610B0000}"/>
    <cellStyle name="Comma 6 12 3 3" xfId="2742" xr:uid="{00000000-0005-0000-0000-0000620B0000}"/>
    <cellStyle name="Comma 6 12 3 3 2" xfId="4986" xr:uid="{00000000-0005-0000-0000-0000630B0000}"/>
    <cellStyle name="Comma 6 12 3 4" xfId="3476" xr:uid="{00000000-0005-0000-0000-0000640B0000}"/>
    <cellStyle name="Comma 6 12 4" xfId="1446" xr:uid="{00000000-0005-0000-0000-0000650B0000}"/>
    <cellStyle name="Comma 6 12 4 2" xfId="3690" xr:uid="{00000000-0005-0000-0000-0000660B0000}"/>
    <cellStyle name="Comma 6 12 5" xfId="2232" xr:uid="{00000000-0005-0000-0000-0000670B0000}"/>
    <cellStyle name="Comma 6 12 5 2" xfId="4476" xr:uid="{00000000-0005-0000-0000-0000680B0000}"/>
    <cellStyle name="Comma 6 12 6" xfId="2956" xr:uid="{00000000-0005-0000-0000-0000690B0000}"/>
    <cellStyle name="Comma 6 13" xfId="169" xr:uid="{00000000-0005-0000-0000-00006A0B0000}"/>
    <cellStyle name="Comma 6 13 2" xfId="979" xr:uid="{00000000-0005-0000-0000-00006B0B0000}"/>
    <cellStyle name="Comma 6 13 2 2" xfId="1767" xr:uid="{00000000-0005-0000-0000-00006C0B0000}"/>
    <cellStyle name="Comma 6 13 2 2 2" xfId="4011" xr:uid="{00000000-0005-0000-0000-00006D0B0000}"/>
    <cellStyle name="Comma 6 13 2 3" xfId="2491" xr:uid="{00000000-0005-0000-0000-00006E0B0000}"/>
    <cellStyle name="Comma 6 13 2 3 2" xfId="4735" xr:uid="{00000000-0005-0000-0000-00006F0B0000}"/>
    <cellStyle name="Comma 6 13 2 4" xfId="3225" xr:uid="{00000000-0005-0000-0000-0000700B0000}"/>
    <cellStyle name="Comma 6 13 3" xfId="1232" xr:uid="{00000000-0005-0000-0000-0000710B0000}"/>
    <cellStyle name="Comma 6 13 3 2" xfId="2019" xr:uid="{00000000-0005-0000-0000-0000720B0000}"/>
    <cellStyle name="Comma 6 13 3 2 2" xfId="4263" xr:uid="{00000000-0005-0000-0000-0000730B0000}"/>
    <cellStyle name="Comma 6 13 3 3" xfId="2743" xr:uid="{00000000-0005-0000-0000-0000740B0000}"/>
    <cellStyle name="Comma 6 13 3 3 2" xfId="4987" xr:uid="{00000000-0005-0000-0000-0000750B0000}"/>
    <cellStyle name="Comma 6 13 3 4" xfId="3477" xr:uid="{00000000-0005-0000-0000-0000760B0000}"/>
    <cellStyle name="Comma 6 13 4" xfId="1447" xr:uid="{00000000-0005-0000-0000-0000770B0000}"/>
    <cellStyle name="Comma 6 13 4 2" xfId="3691" xr:uid="{00000000-0005-0000-0000-0000780B0000}"/>
    <cellStyle name="Comma 6 13 5" xfId="2233" xr:uid="{00000000-0005-0000-0000-0000790B0000}"/>
    <cellStyle name="Comma 6 13 5 2" xfId="4477" xr:uid="{00000000-0005-0000-0000-00007A0B0000}"/>
    <cellStyle name="Comma 6 13 6" xfId="2957" xr:uid="{00000000-0005-0000-0000-00007B0B0000}"/>
    <cellStyle name="Comma 6 14" xfId="170" xr:uid="{00000000-0005-0000-0000-00007C0B0000}"/>
    <cellStyle name="Comma 6 14 2" xfId="980" xr:uid="{00000000-0005-0000-0000-00007D0B0000}"/>
    <cellStyle name="Comma 6 14 2 2" xfId="1768" xr:uid="{00000000-0005-0000-0000-00007E0B0000}"/>
    <cellStyle name="Comma 6 14 2 2 2" xfId="4012" xr:uid="{00000000-0005-0000-0000-00007F0B0000}"/>
    <cellStyle name="Comma 6 14 2 3" xfId="2492" xr:uid="{00000000-0005-0000-0000-0000800B0000}"/>
    <cellStyle name="Comma 6 14 2 3 2" xfId="4736" xr:uid="{00000000-0005-0000-0000-0000810B0000}"/>
    <cellStyle name="Comma 6 14 2 4" xfId="3226" xr:uid="{00000000-0005-0000-0000-0000820B0000}"/>
    <cellStyle name="Comma 6 14 3" xfId="1233" xr:uid="{00000000-0005-0000-0000-0000830B0000}"/>
    <cellStyle name="Comma 6 14 3 2" xfId="2020" xr:uid="{00000000-0005-0000-0000-0000840B0000}"/>
    <cellStyle name="Comma 6 14 3 2 2" xfId="4264" xr:uid="{00000000-0005-0000-0000-0000850B0000}"/>
    <cellStyle name="Comma 6 14 3 3" xfId="2744" xr:uid="{00000000-0005-0000-0000-0000860B0000}"/>
    <cellStyle name="Comma 6 14 3 3 2" xfId="4988" xr:uid="{00000000-0005-0000-0000-0000870B0000}"/>
    <cellStyle name="Comma 6 14 3 4" xfId="3478" xr:uid="{00000000-0005-0000-0000-0000880B0000}"/>
    <cellStyle name="Comma 6 14 4" xfId="1448" xr:uid="{00000000-0005-0000-0000-0000890B0000}"/>
    <cellStyle name="Comma 6 14 4 2" xfId="3692" xr:uid="{00000000-0005-0000-0000-00008A0B0000}"/>
    <cellStyle name="Comma 6 14 5" xfId="2234" xr:uid="{00000000-0005-0000-0000-00008B0B0000}"/>
    <cellStyle name="Comma 6 14 5 2" xfId="4478" xr:uid="{00000000-0005-0000-0000-00008C0B0000}"/>
    <cellStyle name="Comma 6 14 6" xfId="2958" xr:uid="{00000000-0005-0000-0000-00008D0B0000}"/>
    <cellStyle name="Comma 6 15" xfId="171" xr:uid="{00000000-0005-0000-0000-00008E0B0000}"/>
    <cellStyle name="Comma 6 15 2" xfId="981" xr:uid="{00000000-0005-0000-0000-00008F0B0000}"/>
    <cellStyle name="Comma 6 15 2 2" xfId="1769" xr:uid="{00000000-0005-0000-0000-0000900B0000}"/>
    <cellStyle name="Comma 6 15 2 2 2" xfId="4013" xr:uid="{00000000-0005-0000-0000-0000910B0000}"/>
    <cellStyle name="Comma 6 15 2 3" xfId="2493" xr:uid="{00000000-0005-0000-0000-0000920B0000}"/>
    <cellStyle name="Comma 6 15 2 3 2" xfId="4737" xr:uid="{00000000-0005-0000-0000-0000930B0000}"/>
    <cellStyle name="Comma 6 15 2 4" xfId="3227" xr:uid="{00000000-0005-0000-0000-0000940B0000}"/>
    <cellStyle name="Comma 6 15 3" xfId="1234" xr:uid="{00000000-0005-0000-0000-0000950B0000}"/>
    <cellStyle name="Comma 6 15 3 2" xfId="2021" xr:uid="{00000000-0005-0000-0000-0000960B0000}"/>
    <cellStyle name="Comma 6 15 3 2 2" xfId="4265" xr:uid="{00000000-0005-0000-0000-0000970B0000}"/>
    <cellStyle name="Comma 6 15 3 3" xfId="2745" xr:uid="{00000000-0005-0000-0000-0000980B0000}"/>
    <cellStyle name="Comma 6 15 3 3 2" xfId="4989" xr:uid="{00000000-0005-0000-0000-0000990B0000}"/>
    <cellStyle name="Comma 6 15 3 4" xfId="3479" xr:uid="{00000000-0005-0000-0000-00009A0B0000}"/>
    <cellStyle name="Comma 6 15 4" xfId="1449" xr:uid="{00000000-0005-0000-0000-00009B0B0000}"/>
    <cellStyle name="Comma 6 15 4 2" xfId="3693" xr:uid="{00000000-0005-0000-0000-00009C0B0000}"/>
    <cellStyle name="Comma 6 15 5" xfId="2235" xr:uid="{00000000-0005-0000-0000-00009D0B0000}"/>
    <cellStyle name="Comma 6 15 5 2" xfId="4479" xr:uid="{00000000-0005-0000-0000-00009E0B0000}"/>
    <cellStyle name="Comma 6 15 6" xfId="2959" xr:uid="{00000000-0005-0000-0000-00009F0B0000}"/>
    <cellStyle name="Comma 6 16" xfId="172" xr:uid="{00000000-0005-0000-0000-0000A00B0000}"/>
    <cellStyle name="Comma 6 16 2" xfId="982" xr:uid="{00000000-0005-0000-0000-0000A10B0000}"/>
    <cellStyle name="Comma 6 16 2 2" xfId="1770" xr:uid="{00000000-0005-0000-0000-0000A20B0000}"/>
    <cellStyle name="Comma 6 16 2 2 2" xfId="4014" xr:uid="{00000000-0005-0000-0000-0000A30B0000}"/>
    <cellStyle name="Comma 6 16 2 3" xfId="2494" xr:uid="{00000000-0005-0000-0000-0000A40B0000}"/>
    <cellStyle name="Comma 6 16 2 3 2" xfId="4738" xr:uid="{00000000-0005-0000-0000-0000A50B0000}"/>
    <cellStyle name="Comma 6 16 2 4" xfId="3228" xr:uid="{00000000-0005-0000-0000-0000A60B0000}"/>
    <cellStyle name="Comma 6 16 3" xfId="1235" xr:uid="{00000000-0005-0000-0000-0000A70B0000}"/>
    <cellStyle name="Comma 6 16 3 2" xfId="2022" xr:uid="{00000000-0005-0000-0000-0000A80B0000}"/>
    <cellStyle name="Comma 6 16 3 2 2" xfId="4266" xr:uid="{00000000-0005-0000-0000-0000A90B0000}"/>
    <cellStyle name="Comma 6 16 3 3" xfId="2746" xr:uid="{00000000-0005-0000-0000-0000AA0B0000}"/>
    <cellStyle name="Comma 6 16 3 3 2" xfId="4990" xr:uid="{00000000-0005-0000-0000-0000AB0B0000}"/>
    <cellStyle name="Comma 6 16 3 4" xfId="3480" xr:uid="{00000000-0005-0000-0000-0000AC0B0000}"/>
    <cellStyle name="Comma 6 16 4" xfId="1450" xr:uid="{00000000-0005-0000-0000-0000AD0B0000}"/>
    <cellStyle name="Comma 6 16 4 2" xfId="3694" xr:uid="{00000000-0005-0000-0000-0000AE0B0000}"/>
    <cellStyle name="Comma 6 16 5" xfId="2236" xr:uid="{00000000-0005-0000-0000-0000AF0B0000}"/>
    <cellStyle name="Comma 6 16 5 2" xfId="4480" xr:uid="{00000000-0005-0000-0000-0000B00B0000}"/>
    <cellStyle name="Comma 6 16 6" xfId="2960" xr:uid="{00000000-0005-0000-0000-0000B10B0000}"/>
    <cellStyle name="Comma 6 17" xfId="173" xr:uid="{00000000-0005-0000-0000-0000B20B0000}"/>
    <cellStyle name="Comma 6 17 2" xfId="983" xr:uid="{00000000-0005-0000-0000-0000B30B0000}"/>
    <cellStyle name="Comma 6 17 2 2" xfId="1771" xr:uid="{00000000-0005-0000-0000-0000B40B0000}"/>
    <cellStyle name="Comma 6 17 2 2 2" xfId="4015" xr:uid="{00000000-0005-0000-0000-0000B50B0000}"/>
    <cellStyle name="Comma 6 17 2 3" xfId="2495" xr:uid="{00000000-0005-0000-0000-0000B60B0000}"/>
    <cellStyle name="Comma 6 17 2 3 2" xfId="4739" xr:uid="{00000000-0005-0000-0000-0000B70B0000}"/>
    <cellStyle name="Comma 6 17 2 4" xfId="3229" xr:uid="{00000000-0005-0000-0000-0000B80B0000}"/>
    <cellStyle name="Comma 6 17 3" xfId="1236" xr:uid="{00000000-0005-0000-0000-0000B90B0000}"/>
    <cellStyle name="Comma 6 17 3 2" xfId="2023" xr:uid="{00000000-0005-0000-0000-0000BA0B0000}"/>
    <cellStyle name="Comma 6 17 3 2 2" xfId="4267" xr:uid="{00000000-0005-0000-0000-0000BB0B0000}"/>
    <cellStyle name="Comma 6 17 3 3" xfId="2747" xr:uid="{00000000-0005-0000-0000-0000BC0B0000}"/>
    <cellStyle name="Comma 6 17 3 3 2" xfId="4991" xr:uid="{00000000-0005-0000-0000-0000BD0B0000}"/>
    <cellStyle name="Comma 6 17 3 4" xfId="3481" xr:uid="{00000000-0005-0000-0000-0000BE0B0000}"/>
    <cellStyle name="Comma 6 17 4" xfId="1451" xr:uid="{00000000-0005-0000-0000-0000BF0B0000}"/>
    <cellStyle name="Comma 6 17 4 2" xfId="3695" xr:uid="{00000000-0005-0000-0000-0000C00B0000}"/>
    <cellStyle name="Comma 6 17 5" xfId="2237" xr:uid="{00000000-0005-0000-0000-0000C10B0000}"/>
    <cellStyle name="Comma 6 17 5 2" xfId="4481" xr:uid="{00000000-0005-0000-0000-0000C20B0000}"/>
    <cellStyle name="Comma 6 17 6" xfId="2961" xr:uid="{00000000-0005-0000-0000-0000C30B0000}"/>
    <cellStyle name="Comma 6 18" xfId="174" xr:uid="{00000000-0005-0000-0000-0000C40B0000}"/>
    <cellStyle name="Comma 6 18 2" xfId="984" xr:uid="{00000000-0005-0000-0000-0000C50B0000}"/>
    <cellStyle name="Comma 6 18 2 2" xfId="1772" xr:uid="{00000000-0005-0000-0000-0000C60B0000}"/>
    <cellStyle name="Comma 6 18 2 2 2" xfId="4016" xr:uid="{00000000-0005-0000-0000-0000C70B0000}"/>
    <cellStyle name="Comma 6 18 2 3" xfId="2496" xr:uid="{00000000-0005-0000-0000-0000C80B0000}"/>
    <cellStyle name="Comma 6 18 2 3 2" xfId="4740" xr:uid="{00000000-0005-0000-0000-0000C90B0000}"/>
    <cellStyle name="Comma 6 18 2 4" xfId="3230" xr:uid="{00000000-0005-0000-0000-0000CA0B0000}"/>
    <cellStyle name="Comma 6 18 3" xfId="1237" xr:uid="{00000000-0005-0000-0000-0000CB0B0000}"/>
    <cellStyle name="Comma 6 18 3 2" xfId="2024" xr:uid="{00000000-0005-0000-0000-0000CC0B0000}"/>
    <cellStyle name="Comma 6 18 3 2 2" xfId="4268" xr:uid="{00000000-0005-0000-0000-0000CD0B0000}"/>
    <cellStyle name="Comma 6 18 3 3" xfId="2748" xr:uid="{00000000-0005-0000-0000-0000CE0B0000}"/>
    <cellStyle name="Comma 6 18 3 3 2" xfId="4992" xr:uid="{00000000-0005-0000-0000-0000CF0B0000}"/>
    <cellStyle name="Comma 6 18 3 4" xfId="3482" xr:uid="{00000000-0005-0000-0000-0000D00B0000}"/>
    <cellStyle name="Comma 6 18 4" xfId="1452" xr:uid="{00000000-0005-0000-0000-0000D10B0000}"/>
    <cellStyle name="Comma 6 18 4 2" xfId="3696" xr:uid="{00000000-0005-0000-0000-0000D20B0000}"/>
    <cellStyle name="Comma 6 18 5" xfId="2238" xr:uid="{00000000-0005-0000-0000-0000D30B0000}"/>
    <cellStyle name="Comma 6 18 5 2" xfId="4482" xr:uid="{00000000-0005-0000-0000-0000D40B0000}"/>
    <cellStyle name="Comma 6 18 6" xfId="2962" xr:uid="{00000000-0005-0000-0000-0000D50B0000}"/>
    <cellStyle name="Comma 6 19" xfId="175" xr:uid="{00000000-0005-0000-0000-0000D60B0000}"/>
    <cellStyle name="Comma 6 19 2" xfId="985" xr:uid="{00000000-0005-0000-0000-0000D70B0000}"/>
    <cellStyle name="Comma 6 19 2 2" xfId="1773" xr:uid="{00000000-0005-0000-0000-0000D80B0000}"/>
    <cellStyle name="Comma 6 19 2 2 2" xfId="4017" xr:uid="{00000000-0005-0000-0000-0000D90B0000}"/>
    <cellStyle name="Comma 6 19 2 3" xfId="2497" xr:uid="{00000000-0005-0000-0000-0000DA0B0000}"/>
    <cellStyle name="Comma 6 19 2 3 2" xfId="4741" xr:uid="{00000000-0005-0000-0000-0000DB0B0000}"/>
    <cellStyle name="Comma 6 19 2 4" xfId="3231" xr:uid="{00000000-0005-0000-0000-0000DC0B0000}"/>
    <cellStyle name="Comma 6 19 3" xfId="1238" xr:uid="{00000000-0005-0000-0000-0000DD0B0000}"/>
    <cellStyle name="Comma 6 19 3 2" xfId="2025" xr:uid="{00000000-0005-0000-0000-0000DE0B0000}"/>
    <cellStyle name="Comma 6 19 3 2 2" xfId="4269" xr:uid="{00000000-0005-0000-0000-0000DF0B0000}"/>
    <cellStyle name="Comma 6 19 3 3" xfId="2749" xr:uid="{00000000-0005-0000-0000-0000E00B0000}"/>
    <cellStyle name="Comma 6 19 3 3 2" xfId="4993" xr:uid="{00000000-0005-0000-0000-0000E10B0000}"/>
    <cellStyle name="Comma 6 19 3 4" xfId="3483" xr:uid="{00000000-0005-0000-0000-0000E20B0000}"/>
    <cellStyle name="Comma 6 19 4" xfId="1453" xr:uid="{00000000-0005-0000-0000-0000E30B0000}"/>
    <cellStyle name="Comma 6 19 4 2" xfId="3697" xr:uid="{00000000-0005-0000-0000-0000E40B0000}"/>
    <cellStyle name="Comma 6 19 5" xfId="2239" xr:uid="{00000000-0005-0000-0000-0000E50B0000}"/>
    <cellStyle name="Comma 6 19 5 2" xfId="4483" xr:uid="{00000000-0005-0000-0000-0000E60B0000}"/>
    <cellStyle name="Comma 6 19 6" xfId="2963" xr:uid="{00000000-0005-0000-0000-0000E70B0000}"/>
    <cellStyle name="Comma 6 2" xfId="176" xr:uid="{00000000-0005-0000-0000-0000E80B0000}"/>
    <cellStyle name="Comma 6 2 2" xfId="986" xr:uid="{00000000-0005-0000-0000-0000E90B0000}"/>
    <cellStyle name="Comma 6 2 2 2" xfId="1774" xr:uid="{00000000-0005-0000-0000-0000EA0B0000}"/>
    <cellStyle name="Comma 6 2 2 2 2" xfId="4018" xr:uid="{00000000-0005-0000-0000-0000EB0B0000}"/>
    <cellStyle name="Comma 6 2 2 3" xfId="2498" xr:uid="{00000000-0005-0000-0000-0000EC0B0000}"/>
    <cellStyle name="Comma 6 2 2 3 2" xfId="4742" xr:uid="{00000000-0005-0000-0000-0000ED0B0000}"/>
    <cellStyle name="Comma 6 2 2 4" xfId="3232" xr:uid="{00000000-0005-0000-0000-0000EE0B0000}"/>
    <cellStyle name="Comma 6 2 3" xfId="1239" xr:uid="{00000000-0005-0000-0000-0000EF0B0000}"/>
    <cellStyle name="Comma 6 2 3 2" xfId="2026" xr:uid="{00000000-0005-0000-0000-0000F00B0000}"/>
    <cellStyle name="Comma 6 2 3 2 2" xfId="4270" xr:uid="{00000000-0005-0000-0000-0000F10B0000}"/>
    <cellStyle name="Comma 6 2 3 3" xfId="2750" xr:uid="{00000000-0005-0000-0000-0000F20B0000}"/>
    <cellStyle name="Comma 6 2 3 3 2" xfId="4994" xr:uid="{00000000-0005-0000-0000-0000F30B0000}"/>
    <cellStyle name="Comma 6 2 3 4" xfId="3484" xr:uid="{00000000-0005-0000-0000-0000F40B0000}"/>
    <cellStyle name="Comma 6 2 4" xfId="1454" xr:uid="{00000000-0005-0000-0000-0000F50B0000}"/>
    <cellStyle name="Comma 6 2 4 2" xfId="3698" xr:uid="{00000000-0005-0000-0000-0000F60B0000}"/>
    <cellStyle name="Comma 6 2 5" xfId="2240" xr:uid="{00000000-0005-0000-0000-0000F70B0000}"/>
    <cellStyle name="Comma 6 2 5 2" xfId="4484" xr:uid="{00000000-0005-0000-0000-0000F80B0000}"/>
    <cellStyle name="Comma 6 2 6" xfId="2964" xr:uid="{00000000-0005-0000-0000-0000F90B0000}"/>
    <cellStyle name="Comma 6 20" xfId="177" xr:uid="{00000000-0005-0000-0000-0000FA0B0000}"/>
    <cellStyle name="Comma 6 20 2" xfId="987" xr:uid="{00000000-0005-0000-0000-0000FB0B0000}"/>
    <cellStyle name="Comma 6 20 2 2" xfId="1775" xr:uid="{00000000-0005-0000-0000-0000FC0B0000}"/>
    <cellStyle name="Comma 6 20 2 2 2" xfId="4019" xr:uid="{00000000-0005-0000-0000-0000FD0B0000}"/>
    <cellStyle name="Comma 6 20 2 3" xfId="2499" xr:uid="{00000000-0005-0000-0000-0000FE0B0000}"/>
    <cellStyle name="Comma 6 20 2 3 2" xfId="4743" xr:uid="{00000000-0005-0000-0000-0000FF0B0000}"/>
    <cellStyle name="Comma 6 20 2 4" xfId="3233" xr:uid="{00000000-0005-0000-0000-0000000C0000}"/>
    <cellStyle name="Comma 6 20 3" xfId="1240" xr:uid="{00000000-0005-0000-0000-0000010C0000}"/>
    <cellStyle name="Comma 6 20 3 2" xfId="2027" xr:uid="{00000000-0005-0000-0000-0000020C0000}"/>
    <cellStyle name="Comma 6 20 3 2 2" xfId="4271" xr:uid="{00000000-0005-0000-0000-0000030C0000}"/>
    <cellStyle name="Comma 6 20 3 3" xfId="2751" xr:uid="{00000000-0005-0000-0000-0000040C0000}"/>
    <cellStyle name="Comma 6 20 3 3 2" xfId="4995" xr:uid="{00000000-0005-0000-0000-0000050C0000}"/>
    <cellStyle name="Comma 6 20 3 4" xfId="3485" xr:uid="{00000000-0005-0000-0000-0000060C0000}"/>
    <cellStyle name="Comma 6 20 4" xfId="1455" xr:uid="{00000000-0005-0000-0000-0000070C0000}"/>
    <cellStyle name="Comma 6 20 4 2" xfId="3699" xr:uid="{00000000-0005-0000-0000-0000080C0000}"/>
    <cellStyle name="Comma 6 20 5" xfId="2241" xr:uid="{00000000-0005-0000-0000-0000090C0000}"/>
    <cellStyle name="Comma 6 20 5 2" xfId="4485" xr:uid="{00000000-0005-0000-0000-00000A0C0000}"/>
    <cellStyle name="Comma 6 20 6" xfId="2965" xr:uid="{00000000-0005-0000-0000-00000B0C0000}"/>
    <cellStyle name="Comma 6 21" xfId="178" xr:uid="{00000000-0005-0000-0000-00000C0C0000}"/>
    <cellStyle name="Comma 6 21 2" xfId="988" xr:uid="{00000000-0005-0000-0000-00000D0C0000}"/>
    <cellStyle name="Comma 6 21 2 2" xfId="1776" xr:uid="{00000000-0005-0000-0000-00000E0C0000}"/>
    <cellStyle name="Comma 6 21 2 2 2" xfId="4020" xr:uid="{00000000-0005-0000-0000-00000F0C0000}"/>
    <cellStyle name="Comma 6 21 2 3" xfId="2500" xr:uid="{00000000-0005-0000-0000-0000100C0000}"/>
    <cellStyle name="Comma 6 21 2 3 2" xfId="4744" xr:uid="{00000000-0005-0000-0000-0000110C0000}"/>
    <cellStyle name="Comma 6 21 2 4" xfId="3234" xr:uid="{00000000-0005-0000-0000-0000120C0000}"/>
    <cellStyle name="Comma 6 21 3" xfId="1241" xr:uid="{00000000-0005-0000-0000-0000130C0000}"/>
    <cellStyle name="Comma 6 21 3 2" xfId="2028" xr:uid="{00000000-0005-0000-0000-0000140C0000}"/>
    <cellStyle name="Comma 6 21 3 2 2" xfId="4272" xr:uid="{00000000-0005-0000-0000-0000150C0000}"/>
    <cellStyle name="Comma 6 21 3 3" xfId="2752" xr:uid="{00000000-0005-0000-0000-0000160C0000}"/>
    <cellStyle name="Comma 6 21 3 3 2" xfId="4996" xr:uid="{00000000-0005-0000-0000-0000170C0000}"/>
    <cellStyle name="Comma 6 21 3 4" xfId="3486" xr:uid="{00000000-0005-0000-0000-0000180C0000}"/>
    <cellStyle name="Comma 6 21 4" xfId="1456" xr:uid="{00000000-0005-0000-0000-0000190C0000}"/>
    <cellStyle name="Comma 6 21 4 2" xfId="3700" xr:uid="{00000000-0005-0000-0000-00001A0C0000}"/>
    <cellStyle name="Comma 6 21 5" xfId="2242" xr:uid="{00000000-0005-0000-0000-00001B0C0000}"/>
    <cellStyle name="Comma 6 21 5 2" xfId="4486" xr:uid="{00000000-0005-0000-0000-00001C0C0000}"/>
    <cellStyle name="Comma 6 21 6" xfId="2966" xr:uid="{00000000-0005-0000-0000-00001D0C0000}"/>
    <cellStyle name="Comma 6 22" xfId="179" xr:uid="{00000000-0005-0000-0000-00001E0C0000}"/>
    <cellStyle name="Comma 6 22 2" xfId="989" xr:uid="{00000000-0005-0000-0000-00001F0C0000}"/>
    <cellStyle name="Comma 6 22 2 2" xfId="1777" xr:uid="{00000000-0005-0000-0000-0000200C0000}"/>
    <cellStyle name="Comma 6 22 2 2 2" xfId="4021" xr:uid="{00000000-0005-0000-0000-0000210C0000}"/>
    <cellStyle name="Comma 6 22 2 3" xfId="2501" xr:uid="{00000000-0005-0000-0000-0000220C0000}"/>
    <cellStyle name="Comma 6 22 2 3 2" xfId="4745" xr:uid="{00000000-0005-0000-0000-0000230C0000}"/>
    <cellStyle name="Comma 6 22 2 4" xfId="3235" xr:uid="{00000000-0005-0000-0000-0000240C0000}"/>
    <cellStyle name="Comma 6 22 3" xfId="1242" xr:uid="{00000000-0005-0000-0000-0000250C0000}"/>
    <cellStyle name="Comma 6 22 3 2" xfId="2029" xr:uid="{00000000-0005-0000-0000-0000260C0000}"/>
    <cellStyle name="Comma 6 22 3 2 2" xfId="4273" xr:uid="{00000000-0005-0000-0000-0000270C0000}"/>
    <cellStyle name="Comma 6 22 3 3" xfId="2753" xr:uid="{00000000-0005-0000-0000-0000280C0000}"/>
    <cellStyle name="Comma 6 22 3 3 2" xfId="4997" xr:uid="{00000000-0005-0000-0000-0000290C0000}"/>
    <cellStyle name="Comma 6 22 3 4" xfId="3487" xr:uid="{00000000-0005-0000-0000-00002A0C0000}"/>
    <cellStyle name="Comma 6 22 4" xfId="1457" xr:uid="{00000000-0005-0000-0000-00002B0C0000}"/>
    <cellStyle name="Comma 6 22 4 2" xfId="3701" xr:uid="{00000000-0005-0000-0000-00002C0C0000}"/>
    <cellStyle name="Comma 6 22 5" xfId="2243" xr:uid="{00000000-0005-0000-0000-00002D0C0000}"/>
    <cellStyle name="Comma 6 22 5 2" xfId="4487" xr:uid="{00000000-0005-0000-0000-00002E0C0000}"/>
    <cellStyle name="Comma 6 22 6" xfId="2967" xr:uid="{00000000-0005-0000-0000-00002F0C0000}"/>
    <cellStyle name="Comma 6 23" xfId="180" xr:uid="{00000000-0005-0000-0000-0000300C0000}"/>
    <cellStyle name="Comma 6 23 2" xfId="990" xr:uid="{00000000-0005-0000-0000-0000310C0000}"/>
    <cellStyle name="Comma 6 23 2 2" xfId="1778" xr:uid="{00000000-0005-0000-0000-0000320C0000}"/>
    <cellStyle name="Comma 6 23 2 2 2" xfId="4022" xr:uid="{00000000-0005-0000-0000-0000330C0000}"/>
    <cellStyle name="Comma 6 23 2 3" xfId="2502" xr:uid="{00000000-0005-0000-0000-0000340C0000}"/>
    <cellStyle name="Comma 6 23 2 3 2" xfId="4746" xr:uid="{00000000-0005-0000-0000-0000350C0000}"/>
    <cellStyle name="Comma 6 23 2 4" xfId="3236" xr:uid="{00000000-0005-0000-0000-0000360C0000}"/>
    <cellStyle name="Comma 6 23 3" xfId="1243" xr:uid="{00000000-0005-0000-0000-0000370C0000}"/>
    <cellStyle name="Comma 6 23 3 2" xfId="2030" xr:uid="{00000000-0005-0000-0000-0000380C0000}"/>
    <cellStyle name="Comma 6 23 3 2 2" xfId="4274" xr:uid="{00000000-0005-0000-0000-0000390C0000}"/>
    <cellStyle name="Comma 6 23 3 3" xfId="2754" xr:uid="{00000000-0005-0000-0000-00003A0C0000}"/>
    <cellStyle name="Comma 6 23 3 3 2" xfId="4998" xr:uid="{00000000-0005-0000-0000-00003B0C0000}"/>
    <cellStyle name="Comma 6 23 3 4" xfId="3488" xr:uid="{00000000-0005-0000-0000-00003C0C0000}"/>
    <cellStyle name="Comma 6 23 4" xfId="1458" xr:uid="{00000000-0005-0000-0000-00003D0C0000}"/>
    <cellStyle name="Comma 6 23 4 2" xfId="3702" xr:uid="{00000000-0005-0000-0000-00003E0C0000}"/>
    <cellStyle name="Comma 6 23 5" xfId="2244" xr:uid="{00000000-0005-0000-0000-00003F0C0000}"/>
    <cellStyle name="Comma 6 23 5 2" xfId="4488" xr:uid="{00000000-0005-0000-0000-0000400C0000}"/>
    <cellStyle name="Comma 6 23 6" xfId="2968" xr:uid="{00000000-0005-0000-0000-0000410C0000}"/>
    <cellStyle name="Comma 6 24" xfId="181" xr:uid="{00000000-0005-0000-0000-0000420C0000}"/>
    <cellStyle name="Comma 6 24 2" xfId="991" xr:uid="{00000000-0005-0000-0000-0000430C0000}"/>
    <cellStyle name="Comma 6 24 2 2" xfId="1779" xr:uid="{00000000-0005-0000-0000-0000440C0000}"/>
    <cellStyle name="Comma 6 24 2 2 2" xfId="4023" xr:uid="{00000000-0005-0000-0000-0000450C0000}"/>
    <cellStyle name="Comma 6 24 2 3" xfId="2503" xr:uid="{00000000-0005-0000-0000-0000460C0000}"/>
    <cellStyle name="Comma 6 24 2 3 2" xfId="4747" xr:uid="{00000000-0005-0000-0000-0000470C0000}"/>
    <cellStyle name="Comma 6 24 2 4" xfId="3237" xr:uid="{00000000-0005-0000-0000-0000480C0000}"/>
    <cellStyle name="Comma 6 24 3" xfId="1244" xr:uid="{00000000-0005-0000-0000-0000490C0000}"/>
    <cellStyle name="Comma 6 24 3 2" xfId="2031" xr:uid="{00000000-0005-0000-0000-00004A0C0000}"/>
    <cellStyle name="Comma 6 24 3 2 2" xfId="4275" xr:uid="{00000000-0005-0000-0000-00004B0C0000}"/>
    <cellStyle name="Comma 6 24 3 3" xfId="2755" xr:uid="{00000000-0005-0000-0000-00004C0C0000}"/>
    <cellStyle name="Comma 6 24 3 3 2" xfId="4999" xr:uid="{00000000-0005-0000-0000-00004D0C0000}"/>
    <cellStyle name="Comma 6 24 3 4" xfId="3489" xr:uid="{00000000-0005-0000-0000-00004E0C0000}"/>
    <cellStyle name="Comma 6 24 4" xfId="1459" xr:uid="{00000000-0005-0000-0000-00004F0C0000}"/>
    <cellStyle name="Comma 6 24 4 2" xfId="3703" xr:uid="{00000000-0005-0000-0000-0000500C0000}"/>
    <cellStyle name="Comma 6 24 5" xfId="2245" xr:uid="{00000000-0005-0000-0000-0000510C0000}"/>
    <cellStyle name="Comma 6 24 5 2" xfId="4489" xr:uid="{00000000-0005-0000-0000-0000520C0000}"/>
    <cellStyle name="Comma 6 24 6" xfId="2969" xr:uid="{00000000-0005-0000-0000-0000530C0000}"/>
    <cellStyle name="Comma 6 25" xfId="182" xr:uid="{00000000-0005-0000-0000-0000540C0000}"/>
    <cellStyle name="Comma 6 25 2" xfId="992" xr:uid="{00000000-0005-0000-0000-0000550C0000}"/>
    <cellStyle name="Comma 6 25 2 2" xfId="1780" xr:uid="{00000000-0005-0000-0000-0000560C0000}"/>
    <cellStyle name="Comma 6 25 2 2 2" xfId="4024" xr:uid="{00000000-0005-0000-0000-0000570C0000}"/>
    <cellStyle name="Comma 6 25 2 3" xfId="2504" xr:uid="{00000000-0005-0000-0000-0000580C0000}"/>
    <cellStyle name="Comma 6 25 2 3 2" xfId="4748" xr:uid="{00000000-0005-0000-0000-0000590C0000}"/>
    <cellStyle name="Comma 6 25 2 4" xfId="3238" xr:uid="{00000000-0005-0000-0000-00005A0C0000}"/>
    <cellStyle name="Comma 6 25 3" xfId="1245" xr:uid="{00000000-0005-0000-0000-00005B0C0000}"/>
    <cellStyle name="Comma 6 25 3 2" xfId="2032" xr:uid="{00000000-0005-0000-0000-00005C0C0000}"/>
    <cellStyle name="Comma 6 25 3 2 2" xfId="4276" xr:uid="{00000000-0005-0000-0000-00005D0C0000}"/>
    <cellStyle name="Comma 6 25 3 3" xfId="2756" xr:uid="{00000000-0005-0000-0000-00005E0C0000}"/>
    <cellStyle name="Comma 6 25 3 3 2" xfId="5000" xr:uid="{00000000-0005-0000-0000-00005F0C0000}"/>
    <cellStyle name="Comma 6 25 3 4" xfId="3490" xr:uid="{00000000-0005-0000-0000-0000600C0000}"/>
    <cellStyle name="Comma 6 25 4" xfId="1460" xr:uid="{00000000-0005-0000-0000-0000610C0000}"/>
    <cellStyle name="Comma 6 25 4 2" xfId="3704" xr:uid="{00000000-0005-0000-0000-0000620C0000}"/>
    <cellStyle name="Comma 6 25 5" xfId="2246" xr:uid="{00000000-0005-0000-0000-0000630C0000}"/>
    <cellStyle name="Comma 6 25 5 2" xfId="4490" xr:uid="{00000000-0005-0000-0000-0000640C0000}"/>
    <cellStyle name="Comma 6 25 6" xfId="2970" xr:uid="{00000000-0005-0000-0000-0000650C0000}"/>
    <cellStyle name="Comma 6 26" xfId="183" xr:uid="{00000000-0005-0000-0000-0000660C0000}"/>
    <cellStyle name="Comma 6 26 2" xfId="993" xr:uid="{00000000-0005-0000-0000-0000670C0000}"/>
    <cellStyle name="Comma 6 26 2 2" xfId="1781" xr:uid="{00000000-0005-0000-0000-0000680C0000}"/>
    <cellStyle name="Comma 6 26 2 2 2" xfId="4025" xr:uid="{00000000-0005-0000-0000-0000690C0000}"/>
    <cellStyle name="Comma 6 26 2 3" xfId="2505" xr:uid="{00000000-0005-0000-0000-00006A0C0000}"/>
    <cellStyle name="Comma 6 26 2 3 2" xfId="4749" xr:uid="{00000000-0005-0000-0000-00006B0C0000}"/>
    <cellStyle name="Comma 6 26 2 4" xfId="3239" xr:uid="{00000000-0005-0000-0000-00006C0C0000}"/>
    <cellStyle name="Comma 6 26 3" xfId="1246" xr:uid="{00000000-0005-0000-0000-00006D0C0000}"/>
    <cellStyle name="Comma 6 26 3 2" xfId="2033" xr:uid="{00000000-0005-0000-0000-00006E0C0000}"/>
    <cellStyle name="Comma 6 26 3 2 2" xfId="4277" xr:uid="{00000000-0005-0000-0000-00006F0C0000}"/>
    <cellStyle name="Comma 6 26 3 3" xfId="2757" xr:uid="{00000000-0005-0000-0000-0000700C0000}"/>
    <cellStyle name="Comma 6 26 3 3 2" xfId="5001" xr:uid="{00000000-0005-0000-0000-0000710C0000}"/>
    <cellStyle name="Comma 6 26 3 4" xfId="3491" xr:uid="{00000000-0005-0000-0000-0000720C0000}"/>
    <cellStyle name="Comma 6 26 4" xfId="1461" xr:uid="{00000000-0005-0000-0000-0000730C0000}"/>
    <cellStyle name="Comma 6 26 4 2" xfId="3705" xr:uid="{00000000-0005-0000-0000-0000740C0000}"/>
    <cellStyle name="Comma 6 26 5" xfId="2247" xr:uid="{00000000-0005-0000-0000-0000750C0000}"/>
    <cellStyle name="Comma 6 26 5 2" xfId="4491" xr:uid="{00000000-0005-0000-0000-0000760C0000}"/>
    <cellStyle name="Comma 6 26 6" xfId="2971" xr:uid="{00000000-0005-0000-0000-0000770C0000}"/>
    <cellStyle name="Comma 6 27" xfId="184" xr:uid="{00000000-0005-0000-0000-0000780C0000}"/>
    <cellStyle name="Comma 6 27 2" xfId="994" xr:uid="{00000000-0005-0000-0000-0000790C0000}"/>
    <cellStyle name="Comma 6 27 2 2" xfId="1782" xr:uid="{00000000-0005-0000-0000-00007A0C0000}"/>
    <cellStyle name="Comma 6 27 2 2 2" xfId="4026" xr:uid="{00000000-0005-0000-0000-00007B0C0000}"/>
    <cellStyle name="Comma 6 27 2 3" xfId="2506" xr:uid="{00000000-0005-0000-0000-00007C0C0000}"/>
    <cellStyle name="Comma 6 27 2 3 2" xfId="4750" xr:uid="{00000000-0005-0000-0000-00007D0C0000}"/>
    <cellStyle name="Comma 6 27 2 4" xfId="3240" xr:uid="{00000000-0005-0000-0000-00007E0C0000}"/>
    <cellStyle name="Comma 6 27 3" xfId="1247" xr:uid="{00000000-0005-0000-0000-00007F0C0000}"/>
    <cellStyle name="Comma 6 27 3 2" xfId="2034" xr:uid="{00000000-0005-0000-0000-0000800C0000}"/>
    <cellStyle name="Comma 6 27 3 2 2" xfId="4278" xr:uid="{00000000-0005-0000-0000-0000810C0000}"/>
    <cellStyle name="Comma 6 27 3 3" xfId="2758" xr:uid="{00000000-0005-0000-0000-0000820C0000}"/>
    <cellStyle name="Comma 6 27 3 3 2" xfId="5002" xr:uid="{00000000-0005-0000-0000-0000830C0000}"/>
    <cellStyle name="Comma 6 27 3 4" xfId="3492" xr:uid="{00000000-0005-0000-0000-0000840C0000}"/>
    <cellStyle name="Comma 6 27 4" xfId="1462" xr:uid="{00000000-0005-0000-0000-0000850C0000}"/>
    <cellStyle name="Comma 6 27 4 2" xfId="3706" xr:uid="{00000000-0005-0000-0000-0000860C0000}"/>
    <cellStyle name="Comma 6 27 5" xfId="2248" xr:uid="{00000000-0005-0000-0000-0000870C0000}"/>
    <cellStyle name="Comma 6 27 5 2" xfId="4492" xr:uid="{00000000-0005-0000-0000-0000880C0000}"/>
    <cellStyle name="Comma 6 27 6" xfId="2972" xr:uid="{00000000-0005-0000-0000-0000890C0000}"/>
    <cellStyle name="Comma 6 28" xfId="185" xr:uid="{00000000-0005-0000-0000-00008A0C0000}"/>
    <cellStyle name="Comma 6 28 2" xfId="995" xr:uid="{00000000-0005-0000-0000-00008B0C0000}"/>
    <cellStyle name="Comma 6 28 2 2" xfId="1783" xr:uid="{00000000-0005-0000-0000-00008C0C0000}"/>
    <cellStyle name="Comma 6 28 2 2 2" xfId="4027" xr:uid="{00000000-0005-0000-0000-00008D0C0000}"/>
    <cellStyle name="Comma 6 28 2 3" xfId="2507" xr:uid="{00000000-0005-0000-0000-00008E0C0000}"/>
    <cellStyle name="Comma 6 28 2 3 2" xfId="4751" xr:uid="{00000000-0005-0000-0000-00008F0C0000}"/>
    <cellStyle name="Comma 6 28 2 4" xfId="3241" xr:uid="{00000000-0005-0000-0000-0000900C0000}"/>
    <cellStyle name="Comma 6 28 3" xfId="1248" xr:uid="{00000000-0005-0000-0000-0000910C0000}"/>
    <cellStyle name="Comma 6 28 3 2" xfId="2035" xr:uid="{00000000-0005-0000-0000-0000920C0000}"/>
    <cellStyle name="Comma 6 28 3 2 2" xfId="4279" xr:uid="{00000000-0005-0000-0000-0000930C0000}"/>
    <cellStyle name="Comma 6 28 3 3" xfId="2759" xr:uid="{00000000-0005-0000-0000-0000940C0000}"/>
    <cellStyle name="Comma 6 28 3 3 2" xfId="5003" xr:uid="{00000000-0005-0000-0000-0000950C0000}"/>
    <cellStyle name="Comma 6 28 3 4" xfId="3493" xr:uid="{00000000-0005-0000-0000-0000960C0000}"/>
    <cellStyle name="Comma 6 28 4" xfId="1463" xr:uid="{00000000-0005-0000-0000-0000970C0000}"/>
    <cellStyle name="Comma 6 28 4 2" xfId="3707" xr:uid="{00000000-0005-0000-0000-0000980C0000}"/>
    <cellStyle name="Comma 6 28 5" xfId="2249" xr:uid="{00000000-0005-0000-0000-0000990C0000}"/>
    <cellStyle name="Comma 6 28 5 2" xfId="4493" xr:uid="{00000000-0005-0000-0000-00009A0C0000}"/>
    <cellStyle name="Comma 6 28 6" xfId="2973" xr:uid="{00000000-0005-0000-0000-00009B0C0000}"/>
    <cellStyle name="Comma 6 29" xfId="186" xr:uid="{00000000-0005-0000-0000-00009C0C0000}"/>
    <cellStyle name="Comma 6 29 2" xfId="996" xr:uid="{00000000-0005-0000-0000-00009D0C0000}"/>
    <cellStyle name="Comma 6 29 2 2" xfId="1784" xr:uid="{00000000-0005-0000-0000-00009E0C0000}"/>
    <cellStyle name="Comma 6 29 2 2 2" xfId="4028" xr:uid="{00000000-0005-0000-0000-00009F0C0000}"/>
    <cellStyle name="Comma 6 29 2 3" xfId="2508" xr:uid="{00000000-0005-0000-0000-0000A00C0000}"/>
    <cellStyle name="Comma 6 29 2 3 2" xfId="4752" xr:uid="{00000000-0005-0000-0000-0000A10C0000}"/>
    <cellStyle name="Comma 6 29 2 4" xfId="3242" xr:uid="{00000000-0005-0000-0000-0000A20C0000}"/>
    <cellStyle name="Comma 6 29 3" xfId="1249" xr:uid="{00000000-0005-0000-0000-0000A30C0000}"/>
    <cellStyle name="Comma 6 29 3 2" xfId="2036" xr:uid="{00000000-0005-0000-0000-0000A40C0000}"/>
    <cellStyle name="Comma 6 29 3 2 2" xfId="4280" xr:uid="{00000000-0005-0000-0000-0000A50C0000}"/>
    <cellStyle name="Comma 6 29 3 3" xfId="2760" xr:uid="{00000000-0005-0000-0000-0000A60C0000}"/>
    <cellStyle name="Comma 6 29 3 3 2" xfId="5004" xr:uid="{00000000-0005-0000-0000-0000A70C0000}"/>
    <cellStyle name="Comma 6 29 3 4" xfId="3494" xr:uid="{00000000-0005-0000-0000-0000A80C0000}"/>
    <cellStyle name="Comma 6 29 4" xfId="1464" xr:uid="{00000000-0005-0000-0000-0000A90C0000}"/>
    <cellStyle name="Comma 6 29 4 2" xfId="3708" xr:uid="{00000000-0005-0000-0000-0000AA0C0000}"/>
    <cellStyle name="Comma 6 29 5" xfId="2250" xr:uid="{00000000-0005-0000-0000-0000AB0C0000}"/>
    <cellStyle name="Comma 6 29 5 2" xfId="4494" xr:uid="{00000000-0005-0000-0000-0000AC0C0000}"/>
    <cellStyle name="Comma 6 29 6" xfId="2974" xr:uid="{00000000-0005-0000-0000-0000AD0C0000}"/>
    <cellStyle name="Comma 6 3" xfId="187" xr:uid="{00000000-0005-0000-0000-0000AE0C0000}"/>
    <cellStyle name="Comma 6 3 2" xfId="997" xr:uid="{00000000-0005-0000-0000-0000AF0C0000}"/>
    <cellStyle name="Comma 6 3 2 2" xfId="1785" xr:uid="{00000000-0005-0000-0000-0000B00C0000}"/>
    <cellStyle name="Comma 6 3 2 2 2" xfId="4029" xr:uid="{00000000-0005-0000-0000-0000B10C0000}"/>
    <cellStyle name="Comma 6 3 2 3" xfId="2509" xr:uid="{00000000-0005-0000-0000-0000B20C0000}"/>
    <cellStyle name="Comma 6 3 2 3 2" xfId="4753" xr:uid="{00000000-0005-0000-0000-0000B30C0000}"/>
    <cellStyle name="Comma 6 3 2 4" xfId="3243" xr:uid="{00000000-0005-0000-0000-0000B40C0000}"/>
    <cellStyle name="Comma 6 3 3" xfId="1250" xr:uid="{00000000-0005-0000-0000-0000B50C0000}"/>
    <cellStyle name="Comma 6 3 3 2" xfId="2037" xr:uid="{00000000-0005-0000-0000-0000B60C0000}"/>
    <cellStyle name="Comma 6 3 3 2 2" xfId="4281" xr:uid="{00000000-0005-0000-0000-0000B70C0000}"/>
    <cellStyle name="Comma 6 3 3 3" xfId="2761" xr:uid="{00000000-0005-0000-0000-0000B80C0000}"/>
    <cellStyle name="Comma 6 3 3 3 2" xfId="5005" xr:uid="{00000000-0005-0000-0000-0000B90C0000}"/>
    <cellStyle name="Comma 6 3 3 4" xfId="3495" xr:uid="{00000000-0005-0000-0000-0000BA0C0000}"/>
    <cellStyle name="Comma 6 3 4" xfId="1465" xr:uid="{00000000-0005-0000-0000-0000BB0C0000}"/>
    <cellStyle name="Comma 6 3 4 2" xfId="3709" xr:uid="{00000000-0005-0000-0000-0000BC0C0000}"/>
    <cellStyle name="Comma 6 3 5" xfId="2251" xr:uid="{00000000-0005-0000-0000-0000BD0C0000}"/>
    <cellStyle name="Comma 6 3 5 2" xfId="4495" xr:uid="{00000000-0005-0000-0000-0000BE0C0000}"/>
    <cellStyle name="Comma 6 3 6" xfId="2975" xr:uid="{00000000-0005-0000-0000-0000BF0C0000}"/>
    <cellStyle name="Comma 6 30" xfId="188" xr:uid="{00000000-0005-0000-0000-0000C00C0000}"/>
    <cellStyle name="Comma 6 30 2" xfId="998" xr:uid="{00000000-0005-0000-0000-0000C10C0000}"/>
    <cellStyle name="Comma 6 30 2 2" xfId="1786" xr:uid="{00000000-0005-0000-0000-0000C20C0000}"/>
    <cellStyle name="Comma 6 30 2 2 2" xfId="4030" xr:uid="{00000000-0005-0000-0000-0000C30C0000}"/>
    <cellStyle name="Comma 6 30 2 3" xfId="2510" xr:uid="{00000000-0005-0000-0000-0000C40C0000}"/>
    <cellStyle name="Comma 6 30 2 3 2" xfId="4754" xr:uid="{00000000-0005-0000-0000-0000C50C0000}"/>
    <cellStyle name="Comma 6 30 2 4" xfId="3244" xr:uid="{00000000-0005-0000-0000-0000C60C0000}"/>
    <cellStyle name="Comma 6 30 3" xfId="1251" xr:uid="{00000000-0005-0000-0000-0000C70C0000}"/>
    <cellStyle name="Comma 6 30 3 2" xfId="2038" xr:uid="{00000000-0005-0000-0000-0000C80C0000}"/>
    <cellStyle name="Comma 6 30 3 2 2" xfId="4282" xr:uid="{00000000-0005-0000-0000-0000C90C0000}"/>
    <cellStyle name="Comma 6 30 3 3" xfId="2762" xr:uid="{00000000-0005-0000-0000-0000CA0C0000}"/>
    <cellStyle name="Comma 6 30 3 3 2" xfId="5006" xr:uid="{00000000-0005-0000-0000-0000CB0C0000}"/>
    <cellStyle name="Comma 6 30 3 4" xfId="3496" xr:uid="{00000000-0005-0000-0000-0000CC0C0000}"/>
    <cellStyle name="Comma 6 30 4" xfId="1466" xr:uid="{00000000-0005-0000-0000-0000CD0C0000}"/>
    <cellStyle name="Comma 6 30 4 2" xfId="3710" xr:uid="{00000000-0005-0000-0000-0000CE0C0000}"/>
    <cellStyle name="Comma 6 30 5" xfId="2252" xr:uid="{00000000-0005-0000-0000-0000CF0C0000}"/>
    <cellStyle name="Comma 6 30 5 2" xfId="4496" xr:uid="{00000000-0005-0000-0000-0000D00C0000}"/>
    <cellStyle name="Comma 6 30 6" xfId="2976" xr:uid="{00000000-0005-0000-0000-0000D10C0000}"/>
    <cellStyle name="Comma 6 31" xfId="189" xr:uid="{00000000-0005-0000-0000-0000D20C0000}"/>
    <cellStyle name="Comma 6 31 2" xfId="999" xr:uid="{00000000-0005-0000-0000-0000D30C0000}"/>
    <cellStyle name="Comma 6 31 2 2" xfId="1787" xr:uid="{00000000-0005-0000-0000-0000D40C0000}"/>
    <cellStyle name="Comma 6 31 2 2 2" xfId="4031" xr:uid="{00000000-0005-0000-0000-0000D50C0000}"/>
    <cellStyle name="Comma 6 31 2 3" xfId="2511" xr:uid="{00000000-0005-0000-0000-0000D60C0000}"/>
    <cellStyle name="Comma 6 31 2 3 2" xfId="4755" xr:uid="{00000000-0005-0000-0000-0000D70C0000}"/>
    <cellStyle name="Comma 6 31 2 4" xfId="3245" xr:uid="{00000000-0005-0000-0000-0000D80C0000}"/>
    <cellStyle name="Comma 6 31 3" xfId="1252" xr:uid="{00000000-0005-0000-0000-0000D90C0000}"/>
    <cellStyle name="Comma 6 31 3 2" xfId="2039" xr:uid="{00000000-0005-0000-0000-0000DA0C0000}"/>
    <cellStyle name="Comma 6 31 3 2 2" xfId="4283" xr:uid="{00000000-0005-0000-0000-0000DB0C0000}"/>
    <cellStyle name="Comma 6 31 3 3" xfId="2763" xr:uid="{00000000-0005-0000-0000-0000DC0C0000}"/>
    <cellStyle name="Comma 6 31 3 3 2" xfId="5007" xr:uid="{00000000-0005-0000-0000-0000DD0C0000}"/>
    <cellStyle name="Comma 6 31 3 4" xfId="3497" xr:uid="{00000000-0005-0000-0000-0000DE0C0000}"/>
    <cellStyle name="Comma 6 31 4" xfId="1467" xr:uid="{00000000-0005-0000-0000-0000DF0C0000}"/>
    <cellStyle name="Comma 6 31 4 2" xfId="3711" xr:uid="{00000000-0005-0000-0000-0000E00C0000}"/>
    <cellStyle name="Comma 6 31 5" xfId="2253" xr:uid="{00000000-0005-0000-0000-0000E10C0000}"/>
    <cellStyle name="Comma 6 31 5 2" xfId="4497" xr:uid="{00000000-0005-0000-0000-0000E20C0000}"/>
    <cellStyle name="Comma 6 31 6" xfId="2977" xr:uid="{00000000-0005-0000-0000-0000E30C0000}"/>
    <cellStyle name="Comma 6 32" xfId="190" xr:uid="{00000000-0005-0000-0000-0000E40C0000}"/>
    <cellStyle name="Comma 6 32 2" xfId="1000" xr:uid="{00000000-0005-0000-0000-0000E50C0000}"/>
    <cellStyle name="Comma 6 32 2 2" xfId="1788" xr:uid="{00000000-0005-0000-0000-0000E60C0000}"/>
    <cellStyle name="Comma 6 32 2 2 2" xfId="4032" xr:uid="{00000000-0005-0000-0000-0000E70C0000}"/>
    <cellStyle name="Comma 6 32 2 3" xfId="2512" xr:uid="{00000000-0005-0000-0000-0000E80C0000}"/>
    <cellStyle name="Comma 6 32 2 3 2" xfId="4756" xr:uid="{00000000-0005-0000-0000-0000E90C0000}"/>
    <cellStyle name="Comma 6 32 2 4" xfId="3246" xr:uid="{00000000-0005-0000-0000-0000EA0C0000}"/>
    <cellStyle name="Comma 6 32 3" xfId="1253" xr:uid="{00000000-0005-0000-0000-0000EB0C0000}"/>
    <cellStyle name="Comma 6 32 3 2" xfId="2040" xr:uid="{00000000-0005-0000-0000-0000EC0C0000}"/>
    <cellStyle name="Comma 6 32 3 2 2" xfId="4284" xr:uid="{00000000-0005-0000-0000-0000ED0C0000}"/>
    <cellStyle name="Comma 6 32 3 3" xfId="2764" xr:uid="{00000000-0005-0000-0000-0000EE0C0000}"/>
    <cellStyle name="Comma 6 32 3 3 2" xfId="5008" xr:uid="{00000000-0005-0000-0000-0000EF0C0000}"/>
    <cellStyle name="Comma 6 32 3 4" xfId="3498" xr:uid="{00000000-0005-0000-0000-0000F00C0000}"/>
    <cellStyle name="Comma 6 32 4" xfId="1468" xr:uid="{00000000-0005-0000-0000-0000F10C0000}"/>
    <cellStyle name="Comma 6 32 4 2" xfId="3712" xr:uid="{00000000-0005-0000-0000-0000F20C0000}"/>
    <cellStyle name="Comma 6 32 5" xfId="2254" xr:uid="{00000000-0005-0000-0000-0000F30C0000}"/>
    <cellStyle name="Comma 6 32 5 2" xfId="4498" xr:uid="{00000000-0005-0000-0000-0000F40C0000}"/>
    <cellStyle name="Comma 6 32 6" xfId="2978" xr:uid="{00000000-0005-0000-0000-0000F50C0000}"/>
    <cellStyle name="Comma 6 33" xfId="191" xr:uid="{00000000-0005-0000-0000-0000F60C0000}"/>
    <cellStyle name="Comma 6 33 2" xfId="1001" xr:uid="{00000000-0005-0000-0000-0000F70C0000}"/>
    <cellStyle name="Comma 6 33 2 2" xfId="1789" xr:uid="{00000000-0005-0000-0000-0000F80C0000}"/>
    <cellStyle name="Comma 6 33 2 2 2" xfId="4033" xr:uid="{00000000-0005-0000-0000-0000F90C0000}"/>
    <cellStyle name="Comma 6 33 2 3" xfId="2513" xr:uid="{00000000-0005-0000-0000-0000FA0C0000}"/>
    <cellStyle name="Comma 6 33 2 3 2" xfId="4757" xr:uid="{00000000-0005-0000-0000-0000FB0C0000}"/>
    <cellStyle name="Comma 6 33 2 4" xfId="3247" xr:uid="{00000000-0005-0000-0000-0000FC0C0000}"/>
    <cellStyle name="Comma 6 33 3" xfId="1254" xr:uid="{00000000-0005-0000-0000-0000FD0C0000}"/>
    <cellStyle name="Comma 6 33 3 2" xfId="2041" xr:uid="{00000000-0005-0000-0000-0000FE0C0000}"/>
    <cellStyle name="Comma 6 33 3 2 2" xfId="4285" xr:uid="{00000000-0005-0000-0000-0000FF0C0000}"/>
    <cellStyle name="Comma 6 33 3 3" xfId="2765" xr:uid="{00000000-0005-0000-0000-0000000D0000}"/>
    <cellStyle name="Comma 6 33 3 3 2" xfId="5009" xr:uid="{00000000-0005-0000-0000-0000010D0000}"/>
    <cellStyle name="Comma 6 33 3 4" xfId="3499" xr:uid="{00000000-0005-0000-0000-0000020D0000}"/>
    <cellStyle name="Comma 6 33 4" xfId="1469" xr:uid="{00000000-0005-0000-0000-0000030D0000}"/>
    <cellStyle name="Comma 6 33 4 2" xfId="3713" xr:uid="{00000000-0005-0000-0000-0000040D0000}"/>
    <cellStyle name="Comma 6 33 5" xfId="2255" xr:uid="{00000000-0005-0000-0000-0000050D0000}"/>
    <cellStyle name="Comma 6 33 5 2" xfId="4499" xr:uid="{00000000-0005-0000-0000-0000060D0000}"/>
    <cellStyle name="Comma 6 33 6" xfId="2979" xr:uid="{00000000-0005-0000-0000-0000070D0000}"/>
    <cellStyle name="Comma 6 34" xfId="192" xr:uid="{00000000-0005-0000-0000-0000080D0000}"/>
    <cellStyle name="Comma 6 34 2" xfId="1002" xr:uid="{00000000-0005-0000-0000-0000090D0000}"/>
    <cellStyle name="Comma 6 34 2 2" xfId="1790" xr:uid="{00000000-0005-0000-0000-00000A0D0000}"/>
    <cellStyle name="Comma 6 34 2 2 2" xfId="4034" xr:uid="{00000000-0005-0000-0000-00000B0D0000}"/>
    <cellStyle name="Comma 6 34 2 3" xfId="2514" xr:uid="{00000000-0005-0000-0000-00000C0D0000}"/>
    <cellStyle name="Comma 6 34 2 3 2" xfId="4758" xr:uid="{00000000-0005-0000-0000-00000D0D0000}"/>
    <cellStyle name="Comma 6 34 2 4" xfId="3248" xr:uid="{00000000-0005-0000-0000-00000E0D0000}"/>
    <cellStyle name="Comma 6 34 3" xfId="1255" xr:uid="{00000000-0005-0000-0000-00000F0D0000}"/>
    <cellStyle name="Comma 6 34 3 2" xfId="2042" xr:uid="{00000000-0005-0000-0000-0000100D0000}"/>
    <cellStyle name="Comma 6 34 3 2 2" xfId="4286" xr:uid="{00000000-0005-0000-0000-0000110D0000}"/>
    <cellStyle name="Comma 6 34 3 3" xfId="2766" xr:uid="{00000000-0005-0000-0000-0000120D0000}"/>
    <cellStyle name="Comma 6 34 3 3 2" xfId="5010" xr:uid="{00000000-0005-0000-0000-0000130D0000}"/>
    <cellStyle name="Comma 6 34 3 4" xfId="3500" xr:uid="{00000000-0005-0000-0000-0000140D0000}"/>
    <cellStyle name="Comma 6 34 4" xfId="1470" xr:uid="{00000000-0005-0000-0000-0000150D0000}"/>
    <cellStyle name="Comma 6 34 4 2" xfId="3714" xr:uid="{00000000-0005-0000-0000-0000160D0000}"/>
    <cellStyle name="Comma 6 34 5" xfId="2256" xr:uid="{00000000-0005-0000-0000-0000170D0000}"/>
    <cellStyle name="Comma 6 34 5 2" xfId="4500" xr:uid="{00000000-0005-0000-0000-0000180D0000}"/>
    <cellStyle name="Comma 6 34 6" xfId="2980" xr:uid="{00000000-0005-0000-0000-0000190D0000}"/>
    <cellStyle name="Comma 6 35" xfId="193" xr:uid="{00000000-0005-0000-0000-00001A0D0000}"/>
    <cellStyle name="Comma 6 35 2" xfId="1003" xr:uid="{00000000-0005-0000-0000-00001B0D0000}"/>
    <cellStyle name="Comma 6 35 2 2" xfId="1791" xr:uid="{00000000-0005-0000-0000-00001C0D0000}"/>
    <cellStyle name="Comma 6 35 2 2 2" xfId="4035" xr:uid="{00000000-0005-0000-0000-00001D0D0000}"/>
    <cellStyle name="Comma 6 35 2 3" xfId="2515" xr:uid="{00000000-0005-0000-0000-00001E0D0000}"/>
    <cellStyle name="Comma 6 35 2 3 2" xfId="4759" xr:uid="{00000000-0005-0000-0000-00001F0D0000}"/>
    <cellStyle name="Comma 6 35 2 4" xfId="3249" xr:uid="{00000000-0005-0000-0000-0000200D0000}"/>
    <cellStyle name="Comma 6 35 3" xfId="1256" xr:uid="{00000000-0005-0000-0000-0000210D0000}"/>
    <cellStyle name="Comma 6 35 3 2" xfId="2043" xr:uid="{00000000-0005-0000-0000-0000220D0000}"/>
    <cellStyle name="Comma 6 35 3 2 2" xfId="4287" xr:uid="{00000000-0005-0000-0000-0000230D0000}"/>
    <cellStyle name="Comma 6 35 3 3" xfId="2767" xr:uid="{00000000-0005-0000-0000-0000240D0000}"/>
    <cellStyle name="Comma 6 35 3 3 2" xfId="5011" xr:uid="{00000000-0005-0000-0000-0000250D0000}"/>
    <cellStyle name="Comma 6 35 3 4" xfId="3501" xr:uid="{00000000-0005-0000-0000-0000260D0000}"/>
    <cellStyle name="Comma 6 35 4" xfId="1471" xr:uid="{00000000-0005-0000-0000-0000270D0000}"/>
    <cellStyle name="Comma 6 35 4 2" xfId="3715" xr:uid="{00000000-0005-0000-0000-0000280D0000}"/>
    <cellStyle name="Comma 6 35 5" xfId="2257" xr:uid="{00000000-0005-0000-0000-0000290D0000}"/>
    <cellStyle name="Comma 6 35 5 2" xfId="4501" xr:uid="{00000000-0005-0000-0000-00002A0D0000}"/>
    <cellStyle name="Comma 6 35 6" xfId="2981" xr:uid="{00000000-0005-0000-0000-00002B0D0000}"/>
    <cellStyle name="Comma 6 36" xfId="194" xr:uid="{00000000-0005-0000-0000-00002C0D0000}"/>
    <cellStyle name="Comma 6 36 2" xfId="1004" xr:uid="{00000000-0005-0000-0000-00002D0D0000}"/>
    <cellStyle name="Comma 6 36 2 2" xfId="1792" xr:uid="{00000000-0005-0000-0000-00002E0D0000}"/>
    <cellStyle name="Comma 6 36 2 2 2" xfId="4036" xr:uid="{00000000-0005-0000-0000-00002F0D0000}"/>
    <cellStyle name="Comma 6 36 2 3" xfId="2516" xr:uid="{00000000-0005-0000-0000-0000300D0000}"/>
    <cellStyle name="Comma 6 36 2 3 2" xfId="4760" xr:uid="{00000000-0005-0000-0000-0000310D0000}"/>
    <cellStyle name="Comma 6 36 2 4" xfId="3250" xr:uid="{00000000-0005-0000-0000-0000320D0000}"/>
    <cellStyle name="Comma 6 36 3" xfId="1257" xr:uid="{00000000-0005-0000-0000-0000330D0000}"/>
    <cellStyle name="Comma 6 36 3 2" xfId="2044" xr:uid="{00000000-0005-0000-0000-0000340D0000}"/>
    <cellStyle name="Comma 6 36 3 2 2" xfId="4288" xr:uid="{00000000-0005-0000-0000-0000350D0000}"/>
    <cellStyle name="Comma 6 36 3 3" xfId="2768" xr:uid="{00000000-0005-0000-0000-0000360D0000}"/>
    <cellStyle name="Comma 6 36 3 3 2" xfId="5012" xr:uid="{00000000-0005-0000-0000-0000370D0000}"/>
    <cellStyle name="Comma 6 36 3 4" xfId="3502" xr:uid="{00000000-0005-0000-0000-0000380D0000}"/>
    <cellStyle name="Comma 6 36 4" xfId="1472" xr:uid="{00000000-0005-0000-0000-0000390D0000}"/>
    <cellStyle name="Comma 6 36 4 2" xfId="3716" xr:uid="{00000000-0005-0000-0000-00003A0D0000}"/>
    <cellStyle name="Comma 6 36 5" xfId="2258" xr:uid="{00000000-0005-0000-0000-00003B0D0000}"/>
    <cellStyle name="Comma 6 36 5 2" xfId="4502" xr:uid="{00000000-0005-0000-0000-00003C0D0000}"/>
    <cellStyle name="Comma 6 36 6" xfId="2982" xr:uid="{00000000-0005-0000-0000-00003D0D0000}"/>
    <cellStyle name="Comma 6 37" xfId="195" xr:uid="{00000000-0005-0000-0000-00003E0D0000}"/>
    <cellStyle name="Comma 6 37 2" xfId="1005" xr:uid="{00000000-0005-0000-0000-00003F0D0000}"/>
    <cellStyle name="Comma 6 37 2 2" xfId="1793" xr:uid="{00000000-0005-0000-0000-0000400D0000}"/>
    <cellStyle name="Comma 6 37 2 2 2" xfId="4037" xr:uid="{00000000-0005-0000-0000-0000410D0000}"/>
    <cellStyle name="Comma 6 37 2 3" xfId="2517" xr:uid="{00000000-0005-0000-0000-0000420D0000}"/>
    <cellStyle name="Comma 6 37 2 3 2" xfId="4761" xr:uid="{00000000-0005-0000-0000-0000430D0000}"/>
    <cellStyle name="Comma 6 37 2 4" xfId="3251" xr:uid="{00000000-0005-0000-0000-0000440D0000}"/>
    <cellStyle name="Comma 6 37 3" xfId="1258" xr:uid="{00000000-0005-0000-0000-0000450D0000}"/>
    <cellStyle name="Comma 6 37 3 2" xfId="2045" xr:uid="{00000000-0005-0000-0000-0000460D0000}"/>
    <cellStyle name="Comma 6 37 3 2 2" xfId="4289" xr:uid="{00000000-0005-0000-0000-0000470D0000}"/>
    <cellStyle name="Comma 6 37 3 3" xfId="2769" xr:uid="{00000000-0005-0000-0000-0000480D0000}"/>
    <cellStyle name="Comma 6 37 3 3 2" xfId="5013" xr:uid="{00000000-0005-0000-0000-0000490D0000}"/>
    <cellStyle name="Comma 6 37 3 4" xfId="3503" xr:uid="{00000000-0005-0000-0000-00004A0D0000}"/>
    <cellStyle name="Comma 6 37 4" xfId="1473" xr:uid="{00000000-0005-0000-0000-00004B0D0000}"/>
    <cellStyle name="Comma 6 37 4 2" xfId="3717" xr:uid="{00000000-0005-0000-0000-00004C0D0000}"/>
    <cellStyle name="Comma 6 37 5" xfId="2259" xr:uid="{00000000-0005-0000-0000-00004D0D0000}"/>
    <cellStyle name="Comma 6 37 5 2" xfId="4503" xr:uid="{00000000-0005-0000-0000-00004E0D0000}"/>
    <cellStyle name="Comma 6 37 6" xfId="2983" xr:uid="{00000000-0005-0000-0000-00004F0D0000}"/>
    <cellStyle name="Comma 6 38" xfId="975" xr:uid="{00000000-0005-0000-0000-0000500D0000}"/>
    <cellStyle name="Comma 6 38 2" xfId="1763" xr:uid="{00000000-0005-0000-0000-0000510D0000}"/>
    <cellStyle name="Comma 6 38 2 2" xfId="4007" xr:uid="{00000000-0005-0000-0000-0000520D0000}"/>
    <cellStyle name="Comma 6 38 3" xfId="2487" xr:uid="{00000000-0005-0000-0000-0000530D0000}"/>
    <cellStyle name="Comma 6 38 3 2" xfId="4731" xr:uid="{00000000-0005-0000-0000-0000540D0000}"/>
    <cellStyle name="Comma 6 38 4" xfId="3221" xr:uid="{00000000-0005-0000-0000-0000550D0000}"/>
    <cellStyle name="Comma 6 39" xfId="1228" xr:uid="{00000000-0005-0000-0000-0000560D0000}"/>
    <cellStyle name="Comma 6 39 2" xfId="2015" xr:uid="{00000000-0005-0000-0000-0000570D0000}"/>
    <cellStyle name="Comma 6 39 2 2" xfId="4259" xr:uid="{00000000-0005-0000-0000-0000580D0000}"/>
    <cellStyle name="Comma 6 39 3" xfId="2739" xr:uid="{00000000-0005-0000-0000-0000590D0000}"/>
    <cellStyle name="Comma 6 39 3 2" xfId="4983" xr:uid="{00000000-0005-0000-0000-00005A0D0000}"/>
    <cellStyle name="Comma 6 39 4" xfId="3473" xr:uid="{00000000-0005-0000-0000-00005B0D0000}"/>
    <cellStyle name="Comma 6 4" xfId="196" xr:uid="{00000000-0005-0000-0000-00005C0D0000}"/>
    <cellStyle name="Comma 6 4 2" xfId="1006" xr:uid="{00000000-0005-0000-0000-00005D0D0000}"/>
    <cellStyle name="Comma 6 4 2 2" xfId="1794" xr:uid="{00000000-0005-0000-0000-00005E0D0000}"/>
    <cellStyle name="Comma 6 4 2 2 2" xfId="4038" xr:uid="{00000000-0005-0000-0000-00005F0D0000}"/>
    <cellStyle name="Comma 6 4 2 3" xfId="2518" xr:uid="{00000000-0005-0000-0000-0000600D0000}"/>
    <cellStyle name="Comma 6 4 2 3 2" xfId="4762" xr:uid="{00000000-0005-0000-0000-0000610D0000}"/>
    <cellStyle name="Comma 6 4 2 4" xfId="3252" xr:uid="{00000000-0005-0000-0000-0000620D0000}"/>
    <cellStyle name="Comma 6 4 3" xfId="1259" xr:uid="{00000000-0005-0000-0000-0000630D0000}"/>
    <cellStyle name="Comma 6 4 3 2" xfId="2046" xr:uid="{00000000-0005-0000-0000-0000640D0000}"/>
    <cellStyle name="Comma 6 4 3 2 2" xfId="4290" xr:uid="{00000000-0005-0000-0000-0000650D0000}"/>
    <cellStyle name="Comma 6 4 3 3" xfId="2770" xr:uid="{00000000-0005-0000-0000-0000660D0000}"/>
    <cellStyle name="Comma 6 4 3 3 2" xfId="5014" xr:uid="{00000000-0005-0000-0000-0000670D0000}"/>
    <cellStyle name="Comma 6 4 3 4" xfId="3504" xr:uid="{00000000-0005-0000-0000-0000680D0000}"/>
    <cellStyle name="Comma 6 4 4" xfId="1474" xr:uid="{00000000-0005-0000-0000-0000690D0000}"/>
    <cellStyle name="Comma 6 4 4 2" xfId="3718" xr:uid="{00000000-0005-0000-0000-00006A0D0000}"/>
    <cellStyle name="Comma 6 4 5" xfId="2260" xr:uid="{00000000-0005-0000-0000-00006B0D0000}"/>
    <cellStyle name="Comma 6 4 5 2" xfId="4504" xr:uid="{00000000-0005-0000-0000-00006C0D0000}"/>
    <cellStyle name="Comma 6 4 6" xfId="2984" xr:uid="{00000000-0005-0000-0000-00006D0D0000}"/>
    <cellStyle name="Comma 6 40" xfId="1443" xr:uid="{00000000-0005-0000-0000-00006E0D0000}"/>
    <cellStyle name="Comma 6 40 2" xfId="3687" xr:uid="{00000000-0005-0000-0000-00006F0D0000}"/>
    <cellStyle name="Comma 6 41" xfId="2229" xr:uid="{00000000-0005-0000-0000-0000700D0000}"/>
    <cellStyle name="Comma 6 41 2" xfId="4473" xr:uid="{00000000-0005-0000-0000-0000710D0000}"/>
    <cellStyle name="Comma 6 42" xfId="2953" xr:uid="{00000000-0005-0000-0000-0000720D0000}"/>
    <cellStyle name="Comma 6 5" xfId="197" xr:uid="{00000000-0005-0000-0000-0000730D0000}"/>
    <cellStyle name="Comma 6 5 2" xfId="1007" xr:uid="{00000000-0005-0000-0000-0000740D0000}"/>
    <cellStyle name="Comma 6 5 2 2" xfId="1795" xr:uid="{00000000-0005-0000-0000-0000750D0000}"/>
    <cellStyle name="Comma 6 5 2 2 2" xfId="4039" xr:uid="{00000000-0005-0000-0000-0000760D0000}"/>
    <cellStyle name="Comma 6 5 2 3" xfId="2519" xr:uid="{00000000-0005-0000-0000-0000770D0000}"/>
    <cellStyle name="Comma 6 5 2 3 2" xfId="4763" xr:uid="{00000000-0005-0000-0000-0000780D0000}"/>
    <cellStyle name="Comma 6 5 2 4" xfId="3253" xr:uid="{00000000-0005-0000-0000-0000790D0000}"/>
    <cellStyle name="Comma 6 5 3" xfId="1260" xr:uid="{00000000-0005-0000-0000-00007A0D0000}"/>
    <cellStyle name="Comma 6 5 3 2" xfId="2047" xr:uid="{00000000-0005-0000-0000-00007B0D0000}"/>
    <cellStyle name="Comma 6 5 3 2 2" xfId="4291" xr:uid="{00000000-0005-0000-0000-00007C0D0000}"/>
    <cellStyle name="Comma 6 5 3 3" xfId="2771" xr:uid="{00000000-0005-0000-0000-00007D0D0000}"/>
    <cellStyle name="Comma 6 5 3 3 2" xfId="5015" xr:uid="{00000000-0005-0000-0000-00007E0D0000}"/>
    <cellStyle name="Comma 6 5 3 4" xfId="3505" xr:uid="{00000000-0005-0000-0000-00007F0D0000}"/>
    <cellStyle name="Comma 6 5 4" xfId="1475" xr:uid="{00000000-0005-0000-0000-0000800D0000}"/>
    <cellStyle name="Comma 6 5 4 2" xfId="3719" xr:uid="{00000000-0005-0000-0000-0000810D0000}"/>
    <cellStyle name="Comma 6 5 5" xfId="2261" xr:uid="{00000000-0005-0000-0000-0000820D0000}"/>
    <cellStyle name="Comma 6 5 5 2" xfId="4505" xr:uid="{00000000-0005-0000-0000-0000830D0000}"/>
    <cellStyle name="Comma 6 5 6" xfId="2985" xr:uid="{00000000-0005-0000-0000-0000840D0000}"/>
    <cellStyle name="Comma 6 6" xfId="198" xr:uid="{00000000-0005-0000-0000-0000850D0000}"/>
    <cellStyle name="Comma 6 6 2" xfId="1008" xr:uid="{00000000-0005-0000-0000-0000860D0000}"/>
    <cellStyle name="Comma 6 6 2 2" xfId="1796" xr:uid="{00000000-0005-0000-0000-0000870D0000}"/>
    <cellStyle name="Comma 6 6 2 2 2" xfId="4040" xr:uid="{00000000-0005-0000-0000-0000880D0000}"/>
    <cellStyle name="Comma 6 6 2 3" xfId="2520" xr:uid="{00000000-0005-0000-0000-0000890D0000}"/>
    <cellStyle name="Comma 6 6 2 3 2" xfId="4764" xr:uid="{00000000-0005-0000-0000-00008A0D0000}"/>
    <cellStyle name="Comma 6 6 2 4" xfId="3254" xr:uid="{00000000-0005-0000-0000-00008B0D0000}"/>
    <cellStyle name="Comma 6 6 3" xfId="1261" xr:uid="{00000000-0005-0000-0000-00008C0D0000}"/>
    <cellStyle name="Comma 6 6 3 2" xfId="2048" xr:uid="{00000000-0005-0000-0000-00008D0D0000}"/>
    <cellStyle name="Comma 6 6 3 2 2" xfId="4292" xr:uid="{00000000-0005-0000-0000-00008E0D0000}"/>
    <cellStyle name="Comma 6 6 3 3" xfId="2772" xr:uid="{00000000-0005-0000-0000-00008F0D0000}"/>
    <cellStyle name="Comma 6 6 3 3 2" xfId="5016" xr:uid="{00000000-0005-0000-0000-0000900D0000}"/>
    <cellStyle name="Comma 6 6 3 4" xfId="3506" xr:uid="{00000000-0005-0000-0000-0000910D0000}"/>
    <cellStyle name="Comma 6 6 4" xfId="1476" xr:uid="{00000000-0005-0000-0000-0000920D0000}"/>
    <cellStyle name="Comma 6 6 4 2" xfId="3720" xr:uid="{00000000-0005-0000-0000-0000930D0000}"/>
    <cellStyle name="Comma 6 6 5" xfId="2262" xr:uid="{00000000-0005-0000-0000-0000940D0000}"/>
    <cellStyle name="Comma 6 6 5 2" xfId="4506" xr:uid="{00000000-0005-0000-0000-0000950D0000}"/>
    <cellStyle name="Comma 6 6 6" xfId="2986" xr:uid="{00000000-0005-0000-0000-0000960D0000}"/>
    <cellStyle name="Comma 6 7" xfId="199" xr:uid="{00000000-0005-0000-0000-0000970D0000}"/>
    <cellStyle name="Comma 6 7 2" xfId="1009" xr:uid="{00000000-0005-0000-0000-0000980D0000}"/>
    <cellStyle name="Comma 6 7 2 2" xfId="1797" xr:uid="{00000000-0005-0000-0000-0000990D0000}"/>
    <cellStyle name="Comma 6 7 2 2 2" xfId="4041" xr:uid="{00000000-0005-0000-0000-00009A0D0000}"/>
    <cellStyle name="Comma 6 7 2 3" xfId="2521" xr:uid="{00000000-0005-0000-0000-00009B0D0000}"/>
    <cellStyle name="Comma 6 7 2 3 2" xfId="4765" xr:uid="{00000000-0005-0000-0000-00009C0D0000}"/>
    <cellStyle name="Comma 6 7 2 4" xfId="3255" xr:uid="{00000000-0005-0000-0000-00009D0D0000}"/>
    <cellStyle name="Comma 6 7 3" xfId="1262" xr:uid="{00000000-0005-0000-0000-00009E0D0000}"/>
    <cellStyle name="Comma 6 7 3 2" xfId="2049" xr:uid="{00000000-0005-0000-0000-00009F0D0000}"/>
    <cellStyle name="Comma 6 7 3 2 2" xfId="4293" xr:uid="{00000000-0005-0000-0000-0000A00D0000}"/>
    <cellStyle name="Comma 6 7 3 3" xfId="2773" xr:uid="{00000000-0005-0000-0000-0000A10D0000}"/>
    <cellStyle name="Comma 6 7 3 3 2" xfId="5017" xr:uid="{00000000-0005-0000-0000-0000A20D0000}"/>
    <cellStyle name="Comma 6 7 3 4" xfId="3507" xr:uid="{00000000-0005-0000-0000-0000A30D0000}"/>
    <cellStyle name="Comma 6 7 4" xfId="1477" xr:uid="{00000000-0005-0000-0000-0000A40D0000}"/>
    <cellStyle name="Comma 6 7 4 2" xfId="3721" xr:uid="{00000000-0005-0000-0000-0000A50D0000}"/>
    <cellStyle name="Comma 6 7 5" xfId="2263" xr:uid="{00000000-0005-0000-0000-0000A60D0000}"/>
    <cellStyle name="Comma 6 7 5 2" xfId="4507" xr:uid="{00000000-0005-0000-0000-0000A70D0000}"/>
    <cellStyle name="Comma 6 7 6" xfId="2987" xr:uid="{00000000-0005-0000-0000-0000A80D0000}"/>
    <cellStyle name="Comma 6 8" xfId="200" xr:uid="{00000000-0005-0000-0000-0000A90D0000}"/>
    <cellStyle name="Comma 6 8 2" xfId="1010" xr:uid="{00000000-0005-0000-0000-0000AA0D0000}"/>
    <cellStyle name="Comma 6 8 2 2" xfId="1798" xr:uid="{00000000-0005-0000-0000-0000AB0D0000}"/>
    <cellStyle name="Comma 6 8 2 2 2" xfId="4042" xr:uid="{00000000-0005-0000-0000-0000AC0D0000}"/>
    <cellStyle name="Comma 6 8 2 3" xfId="2522" xr:uid="{00000000-0005-0000-0000-0000AD0D0000}"/>
    <cellStyle name="Comma 6 8 2 3 2" xfId="4766" xr:uid="{00000000-0005-0000-0000-0000AE0D0000}"/>
    <cellStyle name="Comma 6 8 2 4" xfId="3256" xr:uid="{00000000-0005-0000-0000-0000AF0D0000}"/>
    <cellStyle name="Comma 6 8 3" xfId="1263" xr:uid="{00000000-0005-0000-0000-0000B00D0000}"/>
    <cellStyle name="Comma 6 8 3 2" xfId="2050" xr:uid="{00000000-0005-0000-0000-0000B10D0000}"/>
    <cellStyle name="Comma 6 8 3 2 2" xfId="4294" xr:uid="{00000000-0005-0000-0000-0000B20D0000}"/>
    <cellStyle name="Comma 6 8 3 3" xfId="2774" xr:uid="{00000000-0005-0000-0000-0000B30D0000}"/>
    <cellStyle name="Comma 6 8 3 3 2" xfId="5018" xr:uid="{00000000-0005-0000-0000-0000B40D0000}"/>
    <cellStyle name="Comma 6 8 3 4" xfId="3508" xr:uid="{00000000-0005-0000-0000-0000B50D0000}"/>
    <cellStyle name="Comma 6 8 4" xfId="1478" xr:uid="{00000000-0005-0000-0000-0000B60D0000}"/>
    <cellStyle name="Comma 6 8 4 2" xfId="3722" xr:uid="{00000000-0005-0000-0000-0000B70D0000}"/>
    <cellStyle name="Comma 6 8 5" xfId="2264" xr:uid="{00000000-0005-0000-0000-0000B80D0000}"/>
    <cellStyle name="Comma 6 8 5 2" xfId="4508" xr:uid="{00000000-0005-0000-0000-0000B90D0000}"/>
    <cellStyle name="Comma 6 8 6" xfId="2988" xr:uid="{00000000-0005-0000-0000-0000BA0D0000}"/>
    <cellStyle name="Comma 6 9" xfId="201" xr:uid="{00000000-0005-0000-0000-0000BB0D0000}"/>
    <cellStyle name="Comma 6 9 2" xfId="1011" xr:uid="{00000000-0005-0000-0000-0000BC0D0000}"/>
    <cellStyle name="Comma 6 9 2 2" xfId="1799" xr:uid="{00000000-0005-0000-0000-0000BD0D0000}"/>
    <cellStyle name="Comma 6 9 2 2 2" xfId="4043" xr:uid="{00000000-0005-0000-0000-0000BE0D0000}"/>
    <cellStyle name="Comma 6 9 2 3" xfId="2523" xr:uid="{00000000-0005-0000-0000-0000BF0D0000}"/>
    <cellStyle name="Comma 6 9 2 3 2" xfId="4767" xr:uid="{00000000-0005-0000-0000-0000C00D0000}"/>
    <cellStyle name="Comma 6 9 2 4" xfId="3257" xr:uid="{00000000-0005-0000-0000-0000C10D0000}"/>
    <cellStyle name="Comma 6 9 3" xfId="1264" xr:uid="{00000000-0005-0000-0000-0000C20D0000}"/>
    <cellStyle name="Comma 6 9 3 2" xfId="2051" xr:uid="{00000000-0005-0000-0000-0000C30D0000}"/>
    <cellStyle name="Comma 6 9 3 2 2" xfId="4295" xr:uid="{00000000-0005-0000-0000-0000C40D0000}"/>
    <cellStyle name="Comma 6 9 3 3" xfId="2775" xr:uid="{00000000-0005-0000-0000-0000C50D0000}"/>
    <cellStyle name="Comma 6 9 3 3 2" xfId="5019" xr:uid="{00000000-0005-0000-0000-0000C60D0000}"/>
    <cellStyle name="Comma 6 9 3 4" xfId="3509" xr:uid="{00000000-0005-0000-0000-0000C70D0000}"/>
    <cellStyle name="Comma 6 9 4" xfId="1479" xr:uid="{00000000-0005-0000-0000-0000C80D0000}"/>
    <cellStyle name="Comma 6 9 4 2" xfId="3723" xr:uid="{00000000-0005-0000-0000-0000C90D0000}"/>
    <cellStyle name="Comma 6 9 5" xfId="2265" xr:uid="{00000000-0005-0000-0000-0000CA0D0000}"/>
    <cellStyle name="Comma 6 9 5 2" xfId="4509" xr:uid="{00000000-0005-0000-0000-0000CB0D0000}"/>
    <cellStyle name="Comma 6 9 6" xfId="2989" xr:uid="{00000000-0005-0000-0000-0000CC0D0000}"/>
    <cellStyle name="Comma 60" xfId="1033" xr:uid="{00000000-0005-0000-0000-0000CD0D0000}"/>
    <cellStyle name="Comma 60 2" xfId="1821" xr:uid="{00000000-0005-0000-0000-0000CE0D0000}"/>
    <cellStyle name="Comma 60 2 2" xfId="4065" xr:uid="{00000000-0005-0000-0000-0000CF0D0000}"/>
    <cellStyle name="Comma 60 3" xfId="2545" xr:uid="{00000000-0005-0000-0000-0000D00D0000}"/>
    <cellStyle name="Comma 60 3 2" xfId="4789" xr:uid="{00000000-0005-0000-0000-0000D10D0000}"/>
    <cellStyle name="Comma 60 4" xfId="3279" xr:uid="{00000000-0005-0000-0000-0000D20D0000}"/>
    <cellStyle name="Comma 61" xfId="1067" xr:uid="{00000000-0005-0000-0000-0000D30D0000}"/>
    <cellStyle name="Comma 61 2" xfId="1854" xr:uid="{00000000-0005-0000-0000-0000D40D0000}"/>
    <cellStyle name="Comma 61 2 2" xfId="4098" xr:uid="{00000000-0005-0000-0000-0000D50D0000}"/>
    <cellStyle name="Comma 61 3" xfId="2578" xr:uid="{00000000-0005-0000-0000-0000D60D0000}"/>
    <cellStyle name="Comma 61 3 2" xfId="4822" xr:uid="{00000000-0005-0000-0000-0000D70D0000}"/>
    <cellStyle name="Comma 61 4" xfId="3312" xr:uid="{00000000-0005-0000-0000-0000D80D0000}"/>
    <cellStyle name="Comma 62" xfId="1069" xr:uid="{00000000-0005-0000-0000-0000D90D0000}"/>
    <cellStyle name="Comma 62 2" xfId="1856" xr:uid="{00000000-0005-0000-0000-0000DA0D0000}"/>
    <cellStyle name="Comma 62 2 2" xfId="4100" xr:uid="{00000000-0005-0000-0000-0000DB0D0000}"/>
    <cellStyle name="Comma 62 3" xfId="2580" xr:uid="{00000000-0005-0000-0000-0000DC0D0000}"/>
    <cellStyle name="Comma 62 3 2" xfId="4824" xr:uid="{00000000-0005-0000-0000-0000DD0D0000}"/>
    <cellStyle name="Comma 62 4" xfId="3314" xr:uid="{00000000-0005-0000-0000-0000DE0D0000}"/>
    <cellStyle name="Comma 63" xfId="1082" xr:uid="{00000000-0005-0000-0000-0000DF0D0000}"/>
    <cellStyle name="Comma 63 2" xfId="1869" xr:uid="{00000000-0005-0000-0000-0000E00D0000}"/>
    <cellStyle name="Comma 63 2 2" xfId="4113" xr:uid="{00000000-0005-0000-0000-0000E10D0000}"/>
    <cellStyle name="Comma 63 3" xfId="2593" xr:uid="{00000000-0005-0000-0000-0000E20D0000}"/>
    <cellStyle name="Comma 63 3 2" xfId="4837" xr:uid="{00000000-0005-0000-0000-0000E30D0000}"/>
    <cellStyle name="Comma 63 4" xfId="3327" xr:uid="{00000000-0005-0000-0000-0000E40D0000}"/>
    <cellStyle name="Comma 64" xfId="1084" xr:uid="{00000000-0005-0000-0000-0000E50D0000}"/>
    <cellStyle name="Comma 64 2" xfId="1871" xr:uid="{00000000-0005-0000-0000-0000E60D0000}"/>
    <cellStyle name="Comma 64 2 2" xfId="4115" xr:uid="{00000000-0005-0000-0000-0000E70D0000}"/>
    <cellStyle name="Comma 64 3" xfId="2595" xr:uid="{00000000-0005-0000-0000-0000E80D0000}"/>
    <cellStyle name="Comma 64 3 2" xfId="4839" xr:uid="{00000000-0005-0000-0000-0000E90D0000}"/>
    <cellStyle name="Comma 64 4" xfId="3329" xr:uid="{00000000-0005-0000-0000-0000EA0D0000}"/>
    <cellStyle name="Comma 65" xfId="1103" xr:uid="{00000000-0005-0000-0000-0000EB0D0000}"/>
    <cellStyle name="Comma 65 2" xfId="1890" xr:uid="{00000000-0005-0000-0000-0000EC0D0000}"/>
    <cellStyle name="Comma 65 2 2" xfId="4134" xr:uid="{00000000-0005-0000-0000-0000ED0D0000}"/>
    <cellStyle name="Comma 65 3" xfId="2614" xr:uid="{00000000-0005-0000-0000-0000EE0D0000}"/>
    <cellStyle name="Comma 65 3 2" xfId="4858" xr:uid="{00000000-0005-0000-0000-0000EF0D0000}"/>
    <cellStyle name="Comma 65 4" xfId="3348" xr:uid="{00000000-0005-0000-0000-0000F00D0000}"/>
    <cellStyle name="Comma 66" xfId="1105" xr:uid="{00000000-0005-0000-0000-0000F10D0000}"/>
    <cellStyle name="Comma 66 2" xfId="1892" xr:uid="{00000000-0005-0000-0000-0000F20D0000}"/>
    <cellStyle name="Comma 66 2 2" xfId="4136" xr:uid="{00000000-0005-0000-0000-0000F30D0000}"/>
    <cellStyle name="Comma 66 3" xfId="2616" xr:uid="{00000000-0005-0000-0000-0000F40D0000}"/>
    <cellStyle name="Comma 66 3 2" xfId="4860" xr:uid="{00000000-0005-0000-0000-0000F50D0000}"/>
    <cellStyle name="Comma 66 4" xfId="3350" xr:uid="{00000000-0005-0000-0000-0000F60D0000}"/>
    <cellStyle name="Comma 67" xfId="1111" xr:uid="{00000000-0005-0000-0000-0000F70D0000}"/>
    <cellStyle name="Comma 67 2" xfId="1898" xr:uid="{00000000-0005-0000-0000-0000F80D0000}"/>
    <cellStyle name="Comma 67 2 2" xfId="4142" xr:uid="{00000000-0005-0000-0000-0000F90D0000}"/>
    <cellStyle name="Comma 67 3" xfId="2622" xr:uid="{00000000-0005-0000-0000-0000FA0D0000}"/>
    <cellStyle name="Comma 67 3 2" xfId="4866" xr:uid="{00000000-0005-0000-0000-0000FB0D0000}"/>
    <cellStyle name="Comma 67 4" xfId="3356" xr:uid="{00000000-0005-0000-0000-0000FC0D0000}"/>
    <cellStyle name="Comma 68" xfId="1125" xr:uid="{00000000-0005-0000-0000-0000FD0D0000}"/>
    <cellStyle name="Comma 68 2" xfId="1912" xr:uid="{00000000-0005-0000-0000-0000FE0D0000}"/>
    <cellStyle name="Comma 68 2 2" xfId="4156" xr:uid="{00000000-0005-0000-0000-0000FF0D0000}"/>
    <cellStyle name="Comma 68 3" xfId="2636" xr:uid="{00000000-0005-0000-0000-0000000E0000}"/>
    <cellStyle name="Comma 68 3 2" xfId="4880" xr:uid="{00000000-0005-0000-0000-0000010E0000}"/>
    <cellStyle name="Comma 68 4" xfId="3370" xr:uid="{00000000-0005-0000-0000-0000020E0000}"/>
    <cellStyle name="Comma 69" xfId="1321" xr:uid="{00000000-0005-0000-0000-0000030E0000}"/>
    <cellStyle name="Comma 69 2" xfId="3565" xr:uid="{00000000-0005-0000-0000-0000040E0000}"/>
    <cellStyle name="Comma 7" xfId="202" xr:uid="{00000000-0005-0000-0000-0000050E0000}"/>
    <cellStyle name="Comma 7 10" xfId="203" xr:uid="{00000000-0005-0000-0000-0000060E0000}"/>
    <cellStyle name="Comma 7 10 2" xfId="1013" xr:uid="{00000000-0005-0000-0000-0000070E0000}"/>
    <cellStyle name="Comma 7 10 2 2" xfId="1801" xr:uid="{00000000-0005-0000-0000-0000080E0000}"/>
    <cellStyle name="Comma 7 10 2 2 2" xfId="4045" xr:uid="{00000000-0005-0000-0000-0000090E0000}"/>
    <cellStyle name="Comma 7 10 2 3" xfId="2525" xr:uid="{00000000-0005-0000-0000-00000A0E0000}"/>
    <cellStyle name="Comma 7 10 2 3 2" xfId="4769" xr:uid="{00000000-0005-0000-0000-00000B0E0000}"/>
    <cellStyle name="Comma 7 10 2 4" xfId="3259" xr:uid="{00000000-0005-0000-0000-00000C0E0000}"/>
    <cellStyle name="Comma 7 10 3" xfId="1266" xr:uid="{00000000-0005-0000-0000-00000D0E0000}"/>
    <cellStyle name="Comma 7 10 3 2" xfId="2053" xr:uid="{00000000-0005-0000-0000-00000E0E0000}"/>
    <cellStyle name="Comma 7 10 3 2 2" xfId="4297" xr:uid="{00000000-0005-0000-0000-00000F0E0000}"/>
    <cellStyle name="Comma 7 10 3 3" xfId="2777" xr:uid="{00000000-0005-0000-0000-0000100E0000}"/>
    <cellStyle name="Comma 7 10 3 3 2" xfId="5021" xr:uid="{00000000-0005-0000-0000-0000110E0000}"/>
    <cellStyle name="Comma 7 10 3 4" xfId="3511" xr:uid="{00000000-0005-0000-0000-0000120E0000}"/>
    <cellStyle name="Comma 7 10 4" xfId="1481" xr:uid="{00000000-0005-0000-0000-0000130E0000}"/>
    <cellStyle name="Comma 7 10 4 2" xfId="3725" xr:uid="{00000000-0005-0000-0000-0000140E0000}"/>
    <cellStyle name="Comma 7 10 5" xfId="2267" xr:uid="{00000000-0005-0000-0000-0000150E0000}"/>
    <cellStyle name="Comma 7 10 5 2" xfId="4511" xr:uid="{00000000-0005-0000-0000-0000160E0000}"/>
    <cellStyle name="Comma 7 10 6" xfId="2991" xr:uid="{00000000-0005-0000-0000-0000170E0000}"/>
    <cellStyle name="Comma 7 11" xfId="204" xr:uid="{00000000-0005-0000-0000-0000180E0000}"/>
    <cellStyle name="Comma 7 11 2" xfId="1014" xr:uid="{00000000-0005-0000-0000-0000190E0000}"/>
    <cellStyle name="Comma 7 11 2 2" xfId="1802" xr:uid="{00000000-0005-0000-0000-00001A0E0000}"/>
    <cellStyle name="Comma 7 11 2 2 2" xfId="4046" xr:uid="{00000000-0005-0000-0000-00001B0E0000}"/>
    <cellStyle name="Comma 7 11 2 3" xfId="2526" xr:uid="{00000000-0005-0000-0000-00001C0E0000}"/>
    <cellStyle name="Comma 7 11 2 3 2" xfId="4770" xr:uid="{00000000-0005-0000-0000-00001D0E0000}"/>
    <cellStyle name="Comma 7 11 2 4" xfId="3260" xr:uid="{00000000-0005-0000-0000-00001E0E0000}"/>
    <cellStyle name="Comma 7 11 3" xfId="1267" xr:uid="{00000000-0005-0000-0000-00001F0E0000}"/>
    <cellStyle name="Comma 7 11 3 2" xfId="2054" xr:uid="{00000000-0005-0000-0000-0000200E0000}"/>
    <cellStyle name="Comma 7 11 3 2 2" xfId="4298" xr:uid="{00000000-0005-0000-0000-0000210E0000}"/>
    <cellStyle name="Comma 7 11 3 3" xfId="2778" xr:uid="{00000000-0005-0000-0000-0000220E0000}"/>
    <cellStyle name="Comma 7 11 3 3 2" xfId="5022" xr:uid="{00000000-0005-0000-0000-0000230E0000}"/>
    <cellStyle name="Comma 7 11 3 4" xfId="3512" xr:uid="{00000000-0005-0000-0000-0000240E0000}"/>
    <cellStyle name="Comma 7 11 4" xfId="1482" xr:uid="{00000000-0005-0000-0000-0000250E0000}"/>
    <cellStyle name="Comma 7 11 4 2" xfId="3726" xr:uid="{00000000-0005-0000-0000-0000260E0000}"/>
    <cellStyle name="Comma 7 11 5" xfId="2268" xr:uid="{00000000-0005-0000-0000-0000270E0000}"/>
    <cellStyle name="Comma 7 11 5 2" xfId="4512" xr:uid="{00000000-0005-0000-0000-0000280E0000}"/>
    <cellStyle name="Comma 7 11 6" xfId="2992" xr:uid="{00000000-0005-0000-0000-0000290E0000}"/>
    <cellStyle name="Comma 7 12" xfId="205" xr:uid="{00000000-0005-0000-0000-00002A0E0000}"/>
    <cellStyle name="Comma 7 12 2" xfId="1015" xr:uid="{00000000-0005-0000-0000-00002B0E0000}"/>
    <cellStyle name="Comma 7 12 2 2" xfId="1803" xr:uid="{00000000-0005-0000-0000-00002C0E0000}"/>
    <cellStyle name="Comma 7 12 2 2 2" xfId="4047" xr:uid="{00000000-0005-0000-0000-00002D0E0000}"/>
    <cellStyle name="Comma 7 12 2 3" xfId="2527" xr:uid="{00000000-0005-0000-0000-00002E0E0000}"/>
    <cellStyle name="Comma 7 12 2 3 2" xfId="4771" xr:uid="{00000000-0005-0000-0000-00002F0E0000}"/>
    <cellStyle name="Comma 7 12 2 4" xfId="3261" xr:uid="{00000000-0005-0000-0000-0000300E0000}"/>
    <cellStyle name="Comma 7 12 3" xfId="1268" xr:uid="{00000000-0005-0000-0000-0000310E0000}"/>
    <cellStyle name="Comma 7 12 3 2" xfId="2055" xr:uid="{00000000-0005-0000-0000-0000320E0000}"/>
    <cellStyle name="Comma 7 12 3 2 2" xfId="4299" xr:uid="{00000000-0005-0000-0000-0000330E0000}"/>
    <cellStyle name="Comma 7 12 3 3" xfId="2779" xr:uid="{00000000-0005-0000-0000-0000340E0000}"/>
    <cellStyle name="Comma 7 12 3 3 2" xfId="5023" xr:uid="{00000000-0005-0000-0000-0000350E0000}"/>
    <cellStyle name="Comma 7 12 3 4" xfId="3513" xr:uid="{00000000-0005-0000-0000-0000360E0000}"/>
    <cellStyle name="Comma 7 12 4" xfId="1483" xr:uid="{00000000-0005-0000-0000-0000370E0000}"/>
    <cellStyle name="Comma 7 12 4 2" xfId="3727" xr:uid="{00000000-0005-0000-0000-0000380E0000}"/>
    <cellStyle name="Comma 7 12 5" xfId="2269" xr:uid="{00000000-0005-0000-0000-0000390E0000}"/>
    <cellStyle name="Comma 7 12 5 2" xfId="4513" xr:uid="{00000000-0005-0000-0000-00003A0E0000}"/>
    <cellStyle name="Comma 7 12 6" xfId="2993" xr:uid="{00000000-0005-0000-0000-00003B0E0000}"/>
    <cellStyle name="Comma 7 13" xfId="206" xr:uid="{00000000-0005-0000-0000-00003C0E0000}"/>
    <cellStyle name="Comma 7 13 2" xfId="1016" xr:uid="{00000000-0005-0000-0000-00003D0E0000}"/>
    <cellStyle name="Comma 7 13 2 2" xfId="1804" xr:uid="{00000000-0005-0000-0000-00003E0E0000}"/>
    <cellStyle name="Comma 7 13 2 2 2" xfId="4048" xr:uid="{00000000-0005-0000-0000-00003F0E0000}"/>
    <cellStyle name="Comma 7 13 2 3" xfId="2528" xr:uid="{00000000-0005-0000-0000-0000400E0000}"/>
    <cellStyle name="Comma 7 13 2 3 2" xfId="4772" xr:uid="{00000000-0005-0000-0000-0000410E0000}"/>
    <cellStyle name="Comma 7 13 2 4" xfId="3262" xr:uid="{00000000-0005-0000-0000-0000420E0000}"/>
    <cellStyle name="Comma 7 13 3" xfId="1269" xr:uid="{00000000-0005-0000-0000-0000430E0000}"/>
    <cellStyle name="Comma 7 13 3 2" xfId="2056" xr:uid="{00000000-0005-0000-0000-0000440E0000}"/>
    <cellStyle name="Comma 7 13 3 2 2" xfId="4300" xr:uid="{00000000-0005-0000-0000-0000450E0000}"/>
    <cellStyle name="Comma 7 13 3 3" xfId="2780" xr:uid="{00000000-0005-0000-0000-0000460E0000}"/>
    <cellStyle name="Comma 7 13 3 3 2" xfId="5024" xr:uid="{00000000-0005-0000-0000-0000470E0000}"/>
    <cellStyle name="Comma 7 13 3 4" xfId="3514" xr:uid="{00000000-0005-0000-0000-0000480E0000}"/>
    <cellStyle name="Comma 7 13 4" xfId="1484" xr:uid="{00000000-0005-0000-0000-0000490E0000}"/>
    <cellStyle name="Comma 7 13 4 2" xfId="3728" xr:uid="{00000000-0005-0000-0000-00004A0E0000}"/>
    <cellStyle name="Comma 7 13 5" xfId="2270" xr:uid="{00000000-0005-0000-0000-00004B0E0000}"/>
    <cellStyle name="Comma 7 13 5 2" xfId="4514" xr:uid="{00000000-0005-0000-0000-00004C0E0000}"/>
    <cellStyle name="Comma 7 13 6" xfId="2994" xr:uid="{00000000-0005-0000-0000-00004D0E0000}"/>
    <cellStyle name="Comma 7 14" xfId="207" xr:uid="{00000000-0005-0000-0000-00004E0E0000}"/>
    <cellStyle name="Comma 7 14 2" xfId="1017" xr:uid="{00000000-0005-0000-0000-00004F0E0000}"/>
    <cellStyle name="Comma 7 14 2 2" xfId="1805" xr:uid="{00000000-0005-0000-0000-0000500E0000}"/>
    <cellStyle name="Comma 7 14 2 2 2" xfId="4049" xr:uid="{00000000-0005-0000-0000-0000510E0000}"/>
    <cellStyle name="Comma 7 14 2 3" xfId="2529" xr:uid="{00000000-0005-0000-0000-0000520E0000}"/>
    <cellStyle name="Comma 7 14 2 3 2" xfId="4773" xr:uid="{00000000-0005-0000-0000-0000530E0000}"/>
    <cellStyle name="Comma 7 14 2 4" xfId="3263" xr:uid="{00000000-0005-0000-0000-0000540E0000}"/>
    <cellStyle name="Comma 7 14 3" xfId="1270" xr:uid="{00000000-0005-0000-0000-0000550E0000}"/>
    <cellStyle name="Comma 7 14 3 2" xfId="2057" xr:uid="{00000000-0005-0000-0000-0000560E0000}"/>
    <cellStyle name="Comma 7 14 3 2 2" xfId="4301" xr:uid="{00000000-0005-0000-0000-0000570E0000}"/>
    <cellStyle name="Comma 7 14 3 3" xfId="2781" xr:uid="{00000000-0005-0000-0000-0000580E0000}"/>
    <cellStyle name="Comma 7 14 3 3 2" xfId="5025" xr:uid="{00000000-0005-0000-0000-0000590E0000}"/>
    <cellStyle name="Comma 7 14 3 4" xfId="3515" xr:uid="{00000000-0005-0000-0000-00005A0E0000}"/>
    <cellStyle name="Comma 7 14 4" xfId="1485" xr:uid="{00000000-0005-0000-0000-00005B0E0000}"/>
    <cellStyle name="Comma 7 14 4 2" xfId="3729" xr:uid="{00000000-0005-0000-0000-00005C0E0000}"/>
    <cellStyle name="Comma 7 14 5" xfId="2271" xr:uid="{00000000-0005-0000-0000-00005D0E0000}"/>
    <cellStyle name="Comma 7 14 5 2" xfId="4515" xr:uid="{00000000-0005-0000-0000-00005E0E0000}"/>
    <cellStyle name="Comma 7 14 6" xfId="2995" xr:uid="{00000000-0005-0000-0000-00005F0E0000}"/>
    <cellStyle name="Comma 7 15" xfId="208" xr:uid="{00000000-0005-0000-0000-0000600E0000}"/>
    <cellStyle name="Comma 7 15 2" xfId="1018" xr:uid="{00000000-0005-0000-0000-0000610E0000}"/>
    <cellStyle name="Comma 7 15 2 2" xfId="1806" xr:uid="{00000000-0005-0000-0000-0000620E0000}"/>
    <cellStyle name="Comma 7 15 2 2 2" xfId="4050" xr:uid="{00000000-0005-0000-0000-0000630E0000}"/>
    <cellStyle name="Comma 7 15 2 3" xfId="2530" xr:uid="{00000000-0005-0000-0000-0000640E0000}"/>
    <cellStyle name="Comma 7 15 2 3 2" xfId="4774" xr:uid="{00000000-0005-0000-0000-0000650E0000}"/>
    <cellStyle name="Comma 7 15 2 4" xfId="3264" xr:uid="{00000000-0005-0000-0000-0000660E0000}"/>
    <cellStyle name="Comma 7 15 3" xfId="1271" xr:uid="{00000000-0005-0000-0000-0000670E0000}"/>
    <cellStyle name="Comma 7 15 3 2" xfId="2058" xr:uid="{00000000-0005-0000-0000-0000680E0000}"/>
    <cellStyle name="Comma 7 15 3 2 2" xfId="4302" xr:uid="{00000000-0005-0000-0000-0000690E0000}"/>
    <cellStyle name="Comma 7 15 3 3" xfId="2782" xr:uid="{00000000-0005-0000-0000-00006A0E0000}"/>
    <cellStyle name="Comma 7 15 3 3 2" xfId="5026" xr:uid="{00000000-0005-0000-0000-00006B0E0000}"/>
    <cellStyle name="Comma 7 15 3 4" xfId="3516" xr:uid="{00000000-0005-0000-0000-00006C0E0000}"/>
    <cellStyle name="Comma 7 15 4" xfId="1486" xr:uid="{00000000-0005-0000-0000-00006D0E0000}"/>
    <cellStyle name="Comma 7 15 4 2" xfId="3730" xr:uid="{00000000-0005-0000-0000-00006E0E0000}"/>
    <cellStyle name="Comma 7 15 5" xfId="2272" xr:uid="{00000000-0005-0000-0000-00006F0E0000}"/>
    <cellStyle name="Comma 7 15 5 2" xfId="4516" xr:uid="{00000000-0005-0000-0000-0000700E0000}"/>
    <cellStyle name="Comma 7 15 6" xfId="2996" xr:uid="{00000000-0005-0000-0000-0000710E0000}"/>
    <cellStyle name="Comma 7 16" xfId="1012" xr:uid="{00000000-0005-0000-0000-0000720E0000}"/>
    <cellStyle name="Comma 7 16 2" xfId="1800" xr:uid="{00000000-0005-0000-0000-0000730E0000}"/>
    <cellStyle name="Comma 7 16 2 2" xfId="4044" xr:uid="{00000000-0005-0000-0000-0000740E0000}"/>
    <cellStyle name="Comma 7 16 3" xfId="2524" xr:uid="{00000000-0005-0000-0000-0000750E0000}"/>
    <cellStyle name="Comma 7 16 3 2" xfId="4768" xr:uid="{00000000-0005-0000-0000-0000760E0000}"/>
    <cellStyle name="Comma 7 16 4" xfId="3258" xr:uid="{00000000-0005-0000-0000-0000770E0000}"/>
    <cellStyle name="Comma 7 17" xfId="1265" xr:uid="{00000000-0005-0000-0000-0000780E0000}"/>
    <cellStyle name="Comma 7 17 2" xfId="2052" xr:uid="{00000000-0005-0000-0000-0000790E0000}"/>
    <cellStyle name="Comma 7 17 2 2" xfId="4296" xr:uid="{00000000-0005-0000-0000-00007A0E0000}"/>
    <cellStyle name="Comma 7 17 3" xfId="2776" xr:uid="{00000000-0005-0000-0000-00007B0E0000}"/>
    <cellStyle name="Comma 7 17 3 2" xfId="5020" xr:uid="{00000000-0005-0000-0000-00007C0E0000}"/>
    <cellStyle name="Comma 7 17 4" xfId="3510" xr:uid="{00000000-0005-0000-0000-00007D0E0000}"/>
    <cellStyle name="Comma 7 18" xfId="1480" xr:uid="{00000000-0005-0000-0000-00007E0E0000}"/>
    <cellStyle name="Comma 7 18 2" xfId="3724" xr:uid="{00000000-0005-0000-0000-00007F0E0000}"/>
    <cellStyle name="Comma 7 19" xfId="2266" xr:uid="{00000000-0005-0000-0000-0000800E0000}"/>
    <cellStyle name="Comma 7 19 2" xfId="4510" xr:uid="{00000000-0005-0000-0000-0000810E0000}"/>
    <cellStyle name="Comma 7 2" xfId="209" xr:uid="{00000000-0005-0000-0000-0000820E0000}"/>
    <cellStyle name="Comma 7 2 2" xfId="1019" xr:uid="{00000000-0005-0000-0000-0000830E0000}"/>
    <cellStyle name="Comma 7 2 2 2" xfId="1807" xr:uid="{00000000-0005-0000-0000-0000840E0000}"/>
    <cellStyle name="Comma 7 2 2 2 2" xfId="4051" xr:uid="{00000000-0005-0000-0000-0000850E0000}"/>
    <cellStyle name="Comma 7 2 2 3" xfId="2531" xr:uid="{00000000-0005-0000-0000-0000860E0000}"/>
    <cellStyle name="Comma 7 2 2 3 2" xfId="4775" xr:uid="{00000000-0005-0000-0000-0000870E0000}"/>
    <cellStyle name="Comma 7 2 2 4" xfId="3265" xr:uid="{00000000-0005-0000-0000-0000880E0000}"/>
    <cellStyle name="Comma 7 2 3" xfId="1272" xr:uid="{00000000-0005-0000-0000-0000890E0000}"/>
    <cellStyle name="Comma 7 2 3 2" xfId="2059" xr:uid="{00000000-0005-0000-0000-00008A0E0000}"/>
    <cellStyle name="Comma 7 2 3 2 2" xfId="4303" xr:uid="{00000000-0005-0000-0000-00008B0E0000}"/>
    <cellStyle name="Comma 7 2 3 3" xfId="2783" xr:uid="{00000000-0005-0000-0000-00008C0E0000}"/>
    <cellStyle name="Comma 7 2 3 3 2" xfId="5027" xr:uid="{00000000-0005-0000-0000-00008D0E0000}"/>
    <cellStyle name="Comma 7 2 3 4" xfId="3517" xr:uid="{00000000-0005-0000-0000-00008E0E0000}"/>
    <cellStyle name="Comma 7 2 4" xfId="1487" xr:uid="{00000000-0005-0000-0000-00008F0E0000}"/>
    <cellStyle name="Comma 7 2 4 2" xfId="3731" xr:uid="{00000000-0005-0000-0000-0000900E0000}"/>
    <cellStyle name="Comma 7 2 5" xfId="2273" xr:uid="{00000000-0005-0000-0000-0000910E0000}"/>
    <cellStyle name="Comma 7 2 5 2" xfId="4517" xr:uid="{00000000-0005-0000-0000-0000920E0000}"/>
    <cellStyle name="Comma 7 2 6" xfId="2997" xr:uid="{00000000-0005-0000-0000-0000930E0000}"/>
    <cellStyle name="Comma 7 20" xfId="2990" xr:uid="{00000000-0005-0000-0000-0000940E0000}"/>
    <cellStyle name="Comma 7 3" xfId="210" xr:uid="{00000000-0005-0000-0000-0000950E0000}"/>
    <cellStyle name="Comma 7 3 2" xfId="1020" xr:uid="{00000000-0005-0000-0000-0000960E0000}"/>
    <cellStyle name="Comma 7 3 2 2" xfId="1808" xr:uid="{00000000-0005-0000-0000-0000970E0000}"/>
    <cellStyle name="Comma 7 3 2 2 2" xfId="4052" xr:uid="{00000000-0005-0000-0000-0000980E0000}"/>
    <cellStyle name="Comma 7 3 2 3" xfId="2532" xr:uid="{00000000-0005-0000-0000-0000990E0000}"/>
    <cellStyle name="Comma 7 3 2 3 2" xfId="4776" xr:uid="{00000000-0005-0000-0000-00009A0E0000}"/>
    <cellStyle name="Comma 7 3 2 4" xfId="3266" xr:uid="{00000000-0005-0000-0000-00009B0E0000}"/>
    <cellStyle name="Comma 7 3 3" xfId="1273" xr:uid="{00000000-0005-0000-0000-00009C0E0000}"/>
    <cellStyle name="Comma 7 3 3 2" xfId="2060" xr:uid="{00000000-0005-0000-0000-00009D0E0000}"/>
    <cellStyle name="Comma 7 3 3 2 2" xfId="4304" xr:uid="{00000000-0005-0000-0000-00009E0E0000}"/>
    <cellStyle name="Comma 7 3 3 3" xfId="2784" xr:uid="{00000000-0005-0000-0000-00009F0E0000}"/>
    <cellStyle name="Comma 7 3 3 3 2" xfId="5028" xr:uid="{00000000-0005-0000-0000-0000A00E0000}"/>
    <cellStyle name="Comma 7 3 3 4" xfId="3518" xr:uid="{00000000-0005-0000-0000-0000A10E0000}"/>
    <cellStyle name="Comma 7 3 4" xfId="1488" xr:uid="{00000000-0005-0000-0000-0000A20E0000}"/>
    <cellStyle name="Comma 7 3 4 2" xfId="3732" xr:uid="{00000000-0005-0000-0000-0000A30E0000}"/>
    <cellStyle name="Comma 7 3 5" xfId="2274" xr:uid="{00000000-0005-0000-0000-0000A40E0000}"/>
    <cellStyle name="Comma 7 3 5 2" xfId="4518" xr:uid="{00000000-0005-0000-0000-0000A50E0000}"/>
    <cellStyle name="Comma 7 3 6" xfId="2998" xr:uid="{00000000-0005-0000-0000-0000A60E0000}"/>
    <cellStyle name="Comma 7 4" xfId="211" xr:uid="{00000000-0005-0000-0000-0000A70E0000}"/>
    <cellStyle name="Comma 7 4 2" xfId="1021" xr:uid="{00000000-0005-0000-0000-0000A80E0000}"/>
    <cellStyle name="Comma 7 4 2 2" xfId="1809" xr:uid="{00000000-0005-0000-0000-0000A90E0000}"/>
    <cellStyle name="Comma 7 4 2 2 2" xfId="4053" xr:uid="{00000000-0005-0000-0000-0000AA0E0000}"/>
    <cellStyle name="Comma 7 4 2 3" xfId="2533" xr:uid="{00000000-0005-0000-0000-0000AB0E0000}"/>
    <cellStyle name="Comma 7 4 2 3 2" xfId="4777" xr:uid="{00000000-0005-0000-0000-0000AC0E0000}"/>
    <cellStyle name="Comma 7 4 2 4" xfId="3267" xr:uid="{00000000-0005-0000-0000-0000AD0E0000}"/>
    <cellStyle name="Comma 7 4 3" xfId="1274" xr:uid="{00000000-0005-0000-0000-0000AE0E0000}"/>
    <cellStyle name="Comma 7 4 3 2" xfId="2061" xr:uid="{00000000-0005-0000-0000-0000AF0E0000}"/>
    <cellStyle name="Comma 7 4 3 2 2" xfId="4305" xr:uid="{00000000-0005-0000-0000-0000B00E0000}"/>
    <cellStyle name="Comma 7 4 3 3" xfId="2785" xr:uid="{00000000-0005-0000-0000-0000B10E0000}"/>
    <cellStyle name="Comma 7 4 3 3 2" xfId="5029" xr:uid="{00000000-0005-0000-0000-0000B20E0000}"/>
    <cellStyle name="Comma 7 4 3 4" xfId="3519" xr:uid="{00000000-0005-0000-0000-0000B30E0000}"/>
    <cellStyle name="Comma 7 4 4" xfId="1489" xr:uid="{00000000-0005-0000-0000-0000B40E0000}"/>
    <cellStyle name="Comma 7 4 4 2" xfId="3733" xr:uid="{00000000-0005-0000-0000-0000B50E0000}"/>
    <cellStyle name="Comma 7 4 5" xfId="2275" xr:uid="{00000000-0005-0000-0000-0000B60E0000}"/>
    <cellStyle name="Comma 7 4 5 2" xfId="4519" xr:uid="{00000000-0005-0000-0000-0000B70E0000}"/>
    <cellStyle name="Comma 7 4 6" xfId="2999" xr:uid="{00000000-0005-0000-0000-0000B80E0000}"/>
    <cellStyle name="Comma 7 5" xfId="212" xr:uid="{00000000-0005-0000-0000-0000B90E0000}"/>
    <cellStyle name="Comma 7 5 2" xfId="1022" xr:uid="{00000000-0005-0000-0000-0000BA0E0000}"/>
    <cellStyle name="Comma 7 5 2 2" xfId="1810" xr:uid="{00000000-0005-0000-0000-0000BB0E0000}"/>
    <cellStyle name="Comma 7 5 2 2 2" xfId="4054" xr:uid="{00000000-0005-0000-0000-0000BC0E0000}"/>
    <cellStyle name="Comma 7 5 2 3" xfId="2534" xr:uid="{00000000-0005-0000-0000-0000BD0E0000}"/>
    <cellStyle name="Comma 7 5 2 3 2" xfId="4778" xr:uid="{00000000-0005-0000-0000-0000BE0E0000}"/>
    <cellStyle name="Comma 7 5 2 4" xfId="3268" xr:uid="{00000000-0005-0000-0000-0000BF0E0000}"/>
    <cellStyle name="Comma 7 5 3" xfId="1275" xr:uid="{00000000-0005-0000-0000-0000C00E0000}"/>
    <cellStyle name="Comma 7 5 3 2" xfId="2062" xr:uid="{00000000-0005-0000-0000-0000C10E0000}"/>
    <cellStyle name="Comma 7 5 3 2 2" xfId="4306" xr:uid="{00000000-0005-0000-0000-0000C20E0000}"/>
    <cellStyle name="Comma 7 5 3 3" xfId="2786" xr:uid="{00000000-0005-0000-0000-0000C30E0000}"/>
    <cellStyle name="Comma 7 5 3 3 2" xfId="5030" xr:uid="{00000000-0005-0000-0000-0000C40E0000}"/>
    <cellStyle name="Comma 7 5 3 4" xfId="3520" xr:uid="{00000000-0005-0000-0000-0000C50E0000}"/>
    <cellStyle name="Comma 7 5 4" xfId="1490" xr:uid="{00000000-0005-0000-0000-0000C60E0000}"/>
    <cellStyle name="Comma 7 5 4 2" xfId="3734" xr:uid="{00000000-0005-0000-0000-0000C70E0000}"/>
    <cellStyle name="Comma 7 5 5" xfId="2276" xr:uid="{00000000-0005-0000-0000-0000C80E0000}"/>
    <cellStyle name="Comma 7 5 5 2" xfId="4520" xr:uid="{00000000-0005-0000-0000-0000C90E0000}"/>
    <cellStyle name="Comma 7 5 6" xfId="3000" xr:uid="{00000000-0005-0000-0000-0000CA0E0000}"/>
    <cellStyle name="Comma 7 6" xfId="213" xr:uid="{00000000-0005-0000-0000-0000CB0E0000}"/>
    <cellStyle name="Comma 7 6 2" xfId="1023" xr:uid="{00000000-0005-0000-0000-0000CC0E0000}"/>
    <cellStyle name="Comma 7 6 2 2" xfId="1811" xr:uid="{00000000-0005-0000-0000-0000CD0E0000}"/>
    <cellStyle name="Comma 7 6 2 2 2" xfId="4055" xr:uid="{00000000-0005-0000-0000-0000CE0E0000}"/>
    <cellStyle name="Comma 7 6 2 3" xfId="2535" xr:uid="{00000000-0005-0000-0000-0000CF0E0000}"/>
    <cellStyle name="Comma 7 6 2 3 2" xfId="4779" xr:uid="{00000000-0005-0000-0000-0000D00E0000}"/>
    <cellStyle name="Comma 7 6 2 4" xfId="3269" xr:uid="{00000000-0005-0000-0000-0000D10E0000}"/>
    <cellStyle name="Comma 7 6 3" xfId="1276" xr:uid="{00000000-0005-0000-0000-0000D20E0000}"/>
    <cellStyle name="Comma 7 6 3 2" xfId="2063" xr:uid="{00000000-0005-0000-0000-0000D30E0000}"/>
    <cellStyle name="Comma 7 6 3 2 2" xfId="4307" xr:uid="{00000000-0005-0000-0000-0000D40E0000}"/>
    <cellStyle name="Comma 7 6 3 3" xfId="2787" xr:uid="{00000000-0005-0000-0000-0000D50E0000}"/>
    <cellStyle name="Comma 7 6 3 3 2" xfId="5031" xr:uid="{00000000-0005-0000-0000-0000D60E0000}"/>
    <cellStyle name="Comma 7 6 3 4" xfId="3521" xr:uid="{00000000-0005-0000-0000-0000D70E0000}"/>
    <cellStyle name="Comma 7 6 4" xfId="1491" xr:uid="{00000000-0005-0000-0000-0000D80E0000}"/>
    <cellStyle name="Comma 7 6 4 2" xfId="3735" xr:uid="{00000000-0005-0000-0000-0000D90E0000}"/>
    <cellStyle name="Comma 7 6 5" xfId="2277" xr:uid="{00000000-0005-0000-0000-0000DA0E0000}"/>
    <cellStyle name="Comma 7 6 5 2" xfId="4521" xr:uid="{00000000-0005-0000-0000-0000DB0E0000}"/>
    <cellStyle name="Comma 7 6 6" xfId="3001" xr:uid="{00000000-0005-0000-0000-0000DC0E0000}"/>
    <cellStyle name="Comma 7 7" xfId="214" xr:uid="{00000000-0005-0000-0000-0000DD0E0000}"/>
    <cellStyle name="Comma 7 7 2" xfId="1024" xr:uid="{00000000-0005-0000-0000-0000DE0E0000}"/>
    <cellStyle name="Comma 7 7 2 2" xfId="1812" xr:uid="{00000000-0005-0000-0000-0000DF0E0000}"/>
    <cellStyle name="Comma 7 7 2 2 2" xfId="4056" xr:uid="{00000000-0005-0000-0000-0000E00E0000}"/>
    <cellStyle name="Comma 7 7 2 3" xfId="2536" xr:uid="{00000000-0005-0000-0000-0000E10E0000}"/>
    <cellStyle name="Comma 7 7 2 3 2" xfId="4780" xr:uid="{00000000-0005-0000-0000-0000E20E0000}"/>
    <cellStyle name="Comma 7 7 2 4" xfId="3270" xr:uid="{00000000-0005-0000-0000-0000E30E0000}"/>
    <cellStyle name="Comma 7 7 3" xfId="1277" xr:uid="{00000000-0005-0000-0000-0000E40E0000}"/>
    <cellStyle name="Comma 7 7 3 2" xfId="2064" xr:uid="{00000000-0005-0000-0000-0000E50E0000}"/>
    <cellStyle name="Comma 7 7 3 2 2" xfId="4308" xr:uid="{00000000-0005-0000-0000-0000E60E0000}"/>
    <cellStyle name="Comma 7 7 3 3" xfId="2788" xr:uid="{00000000-0005-0000-0000-0000E70E0000}"/>
    <cellStyle name="Comma 7 7 3 3 2" xfId="5032" xr:uid="{00000000-0005-0000-0000-0000E80E0000}"/>
    <cellStyle name="Comma 7 7 3 4" xfId="3522" xr:uid="{00000000-0005-0000-0000-0000E90E0000}"/>
    <cellStyle name="Comma 7 7 4" xfId="1492" xr:uid="{00000000-0005-0000-0000-0000EA0E0000}"/>
    <cellStyle name="Comma 7 7 4 2" xfId="3736" xr:uid="{00000000-0005-0000-0000-0000EB0E0000}"/>
    <cellStyle name="Comma 7 7 5" xfId="2278" xr:uid="{00000000-0005-0000-0000-0000EC0E0000}"/>
    <cellStyle name="Comma 7 7 5 2" xfId="4522" xr:uid="{00000000-0005-0000-0000-0000ED0E0000}"/>
    <cellStyle name="Comma 7 7 6" xfId="3002" xr:uid="{00000000-0005-0000-0000-0000EE0E0000}"/>
    <cellStyle name="Comma 7 8" xfId="215" xr:uid="{00000000-0005-0000-0000-0000EF0E0000}"/>
    <cellStyle name="Comma 7 8 2" xfId="1025" xr:uid="{00000000-0005-0000-0000-0000F00E0000}"/>
    <cellStyle name="Comma 7 8 2 2" xfId="1813" xr:uid="{00000000-0005-0000-0000-0000F10E0000}"/>
    <cellStyle name="Comma 7 8 2 2 2" xfId="4057" xr:uid="{00000000-0005-0000-0000-0000F20E0000}"/>
    <cellStyle name="Comma 7 8 2 3" xfId="2537" xr:uid="{00000000-0005-0000-0000-0000F30E0000}"/>
    <cellStyle name="Comma 7 8 2 3 2" xfId="4781" xr:uid="{00000000-0005-0000-0000-0000F40E0000}"/>
    <cellStyle name="Comma 7 8 2 4" xfId="3271" xr:uid="{00000000-0005-0000-0000-0000F50E0000}"/>
    <cellStyle name="Comma 7 8 3" xfId="1278" xr:uid="{00000000-0005-0000-0000-0000F60E0000}"/>
    <cellStyle name="Comma 7 8 3 2" xfId="2065" xr:uid="{00000000-0005-0000-0000-0000F70E0000}"/>
    <cellStyle name="Comma 7 8 3 2 2" xfId="4309" xr:uid="{00000000-0005-0000-0000-0000F80E0000}"/>
    <cellStyle name="Comma 7 8 3 3" xfId="2789" xr:uid="{00000000-0005-0000-0000-0000F90E0000}"/>
    <cellStyle name="Comma 7 8 3 3 2" xfId="5033" xr:uid="{00000000-0005-0000-0000-0000FA0E0000}"/>
    <cellStyle name="Comma 7 8 3 4" xfId="3523" xr:uid="{00000000-0005-0000-0000-0000FB0E0000}"/>
    <cellStyle name="Comma 7 8 4" xfId="1493" xr:uid="{00000000-0005-0000-0000-0000FC0E0000}"/>
    <cellStyle name="Comma 7 8 4 2" xfId="3737" xr:uid="{00000000-0005-0000-0000-0000FD0E0000}"/>
    <cellStyle name="Comma 7 8 5" xfId="2279" xr:uid="{00000000-0005-0000-0000-0000FE0E0000}"/>
    <cellStyle name="Comma 7 8 5 2" xfId="4523" xr:uid="{00000000-0005-0000-0000-0000FF0E0000}"/>
    <cellStyle name="Comma 7 8 6" xfId="3003" xr:uid="{00000000-0005-0000-0000-0000000F0000}"/>
    <cellStyle name="Comma 7 9" xfId="216" xr:uid="{00000000-0005-0000-0000-0000010F0000}"/>
    <cellStyle name="Comma 7 9 2" xfId="1026" xr:uid="{00000000-0005-0000-0000-0000020F0000}"/>
    <cellStyle name="Comma 7 9 2 2" xfId="1814" xr:uid="{00000000-0005-0000-0000-0000030F0000}"/>
    <cellStyle name="Comma 7 9 2 2 2" xfId="4058" xr:uid="{00000000-0005-0000-0000-0000040F0000}"/>
    <cellStyle name="Comma 7 9 2 3" xfId="2538" xr:uid="{00000000-0005-0000-0000-0000050F0000}"/>
    <cellStyle name="Comma 7 9 2 3 2" xfId="4782" xr:uid="{00000000-0005-0000-0000-0000060F0000}"/>
    <cellStyle name="Comma 7 9 2 4" xfId="3272" xr:uid="{00000000-0005-0000-0000-0000070F0000}"/>
    <cellStyle name="Comma 7 9 3" xfId="1279" xr:uid="{00000000-0005-0000-0000-0000080F0000}"/>
    <cellStyle name="Comma 7 9 3 2" xfId="2066" xr:uid="{00000000-0005-0000-0000-0000090F0000}"/>
    <cellStyle name="Comma 7 9 3 2 2" xfId="4310" xr:uid="{00000000-0005-0000-0000-00000A0F0000}"/>
    <cellStyle name="Comma 7 9 3 3" xfId="2790" xr:uid="{00000000-0005-0000-0000-00000B0F0000}"/>
    <cellStyle name="Comma 7 9 3 3 2" xfId="5034" xr:uid="{00000000-0005-0000-0000-00000C0F0000}"/>
    <cellStyle name="Comma 7 9 3 4" xfId="3524" xr:uid="{00000000-0005-0000-0000-00000D0F0000}"/>
    <cellStyle name="Comma 7 9 4" xfId="1494" xr:uid="{00000000-0005-0000-0000-00000E0F0000}"/>
    <cellStyle name="Comma 7 9 4 2" xfId="3738" xr:uid="{00000000-0005-0000-0000-00000F0F0000}"/>
    <cellStyle name="Comma 7 9 5" xfId="2280" xr:uid="{00000000-0005-0000-0000-0000100F0000}"/>
    <cellStyle name="Comma 7 9 5 2" xfId="4524" xr:uid="{00000000-0005-0000-0000-0000110F0000}"/>
    <cellStyle name="Comma 7 9 6" xfId="3004" xr:uid="{00000000-0005-0000-0000-0000120F0000}"/>
    <cellStyle name="Comma 70" xfId="2107" xr:uid="{00000000-0005-0000-0000-0000130F0000}"/>
    <cellStyle name="Comma 70 2" xfId="4351" xr:uid="{00000000-0005-0000-0000-0000140F0000}"/>
    <cellStyle name="Comma 71" xfId="2831" xr:uid="{00000000-0005-0000-0000-0000150F0000}"/>
    <cellStyle name="Comma 72" xfId="3007" xr:uid="{00000000-0005-0000-0000-0000160F0000}"/>
    <cellStyle name="Comma 73" xfId="5073" xr:uid="{00000000-0005-0000-0000-0000170F0000}"/>
    <cellStyle name="Comma 74" xfId="5094" xr:uid="{00000000-0005-0000-0000-0000180F0000}"/>
    <cellStyle name="Comma 75" xfId="5104" xr:uid="{9AA7F319-9145-4BF1-BAEA-5CE05A8C0BCA}"/>
    <cellStyle name="Comma 8" xfId="217" xr:uid="{00000000-0005-0000-0000-0000190F0000}"/>
    <cellStyle name="Comma 8 2" xfId="218" xr:uid="{00000000-0005-0000-0000-00001A0F0000}"/>
    <cellStyle name="Comma 8 2 2" xfId="1028" xr:uid="{00000000-0005-0000-0000-00001B0F0000}"/>
    <cellStyle name="Comma 8 2 2 2" xfId="1816" xr:uid="{00000000-0005-0000-0000-00001C0F0000}"/>
    <cellStyle name="Comma 8 2 2 2 2" xfId="4060" xr:uid="{00000000-0005-0000-0000-00001D0F0000}"/>
    <cellStyle name="Comma 8 2 2 3" xfId="2540" xr:uid="{00000000-0005-0000-0000-00001E0F0000}"/>
    <cellStyle name="Comma 8 2 2 3 2" xfId="4784" xr:uid="{00000000-0005-0000-0000-00001F0F0000}"/>
    <cellStyle name="Comma 8 2 2 4" xfId="3274" xr:uid="{00000000-0005-0000-0000-0000200F0000}"/>
    <cellStyle name="Comma 8 2 3" xfId="1281" xr:uid="{00000000-0005-0000-0000-0000210F0000}"/>
    <cellStyle name="Comma 8 2 3 2" xfId="2068" xr:uid="{00000000-0005-0000-0000-0000220F0000}"/>
    <cellStyle name="Comma 8 2 3 2 2" xfId="4312" xr:uid="{00000000-0005-0000-0000-0000230F0000}"/>
    <cellStyle name="Comma 8 2 3 3" xfId="2792" xr:uid="{00000000-0005-0000-0000-0000240F0000}"/>
    <cellStyle name="Comma 8 2 3 3 2" xfId="5036" xr:uid="{00000000-0005-0000-0000-0000250F0000}"/>
    <cellStyle name="Comma 8 2 3 4" xfId="3526" xr:uid="{00000000-0005-0000-0000-0000260F0000}"/>
    <cellStyle name="Comma 8 2 4" xfId="1496" xr:uid="{00000000-0005-0000-0000-0000270F0000}"/>
    <cellStyle name="Comma 8 2 4 2" xfId="3740" xr:uid="{00000000-0005-0000-0000-0000280F0000}"/>
    <cellStyle name="Comma 8 2 5" xfId="2282" xr:uid="{00000000-0005-0000-0000-0000290F0000}"/>
    <cellStyle name="Comma 8 2 5 2" xfId="4526" xr:uid="{00000000-0005-0000-0000-00002A0F0000}"/>
    <cellStyle name="Comma 8 2 6" xfId="3006" xr:uid="{00000000-0005-0000-0000-00002B0F0000}"/>
    <cellStyle name="Comma 8 3" xfId="1027" xr:uid="{00000000-0005-0000-0000-00002C0F0000}"/>
    <cellStyle name="Comma 8 3 2" xfId="1815" xr:uid="{00000000-0005-0000-0000-00002D0F0000}"/>
    <cellStyle name="Comma 8 3 2 2" xfId="4059" xr:uid="{00000000-0005-0000-0000-00002E0F0000}"/>
    <cellStyle name="Comma 8 3 3" xfId="2539" xr:uid="{00000000-0005-0000-0000-00002F0F0000}"/>
    <cellStyle name="Comma 8 3 3 2" xfId="4783" xr:uid="{00000000-0005-0000-0000-0000300F0000}"/>
    <cellStyle name="Comma 8 3 4" xfId="3273" xr:uid="{00000000-0005-0000-0000-0000310F0000}"/>
    <cellStyle name="Comma 8 4" xfId="1280" xr:uid="{00000000-0005-0000-0000-0000320F0000}"/>
    <cellStyle name="Comma 8 4 2" xfId="2067" xr:uid="{00000000-0005-0000-0000-0000330F0000}"/>
    <cellStyle name="Comma 8 4 2 2" xfId="4311" xr:uid="{00000000-0005-0000-0000-0000340F0000}"/>
    <cellStyle name="Comma 8 4 3" xfId="2791" xr:uid="{00000000-0005-0000-0000-0000350F0000}"/>
    <cellStyle name="Comma 8 4 3 2" xfId="5035" xr:uid="{00000000-0005-0000-0000-0000360F0000}"/>
    <cellStyle name="Comma 8 4 4" xfId="3525" xr:uid="{00000000-0005-0000-0000-0000370F0000}"/>
    <cellStyle name="Comma 8 5" xfId="1495" xr:uid="{00000000-0005-0000-0000-0000380F0000}"/>
    <cellStyle name="Comma 8 5 2" xfId="3739" xr:uid="{00000000-0005-0000-0000-0000390F0000}"/>
    <cellStyle name="Comma 8 6" xfId="2281" xr:uid="{00000000-0005-0000-0000-00003A0F0000}"/>
    <cellStyle name="Comma 8 6 2" xfId="4525" xr:uid="{00000000-0005-0000-0000-00003B0F0000}"/>
    <cellStyle name="Comma 8 7" xfId="3005" xr:uid="{00000000-0005-0000-0000-00003C0F0000}"/>
    <cellStyle name="Comma 9" xfId="56" xr:uid="{00000000-0005-0000-0000-00003D0F0000}"/>
    <cellStyle name="Comma 9 2" xfId="873" xr:uid="{00000000-0005-0000-0000-00003E0F0000}"/>
    <cellStyle name="Comma 9 2 2" xfId="1661" xr:uid="{00000000-0005-0000-0000-00003F0F0000}"/>
    <cellStyle name="Comma 9 2 2 2" xfId="3905" xr:uid="{00000000-0005-0000-0000-0000400F0000}"/>
    <cellStyle name="Comma 9 2 3" xfId="2385" xr:uid="{00000000-0005-0000-0000-0000410F0000}"/>
    <cellStyle name="Comma 9 2 3 2" xfId="4629" xr:uid="{00000000-0005-0000-0000-0000420F0000}"/>
    <cellStyle name="Comma 9 2 4" xfId="3119" xr:uid="{00000000-0005-0000-0000-0000430F0000}"/>
    <cellStyle name="Comma 9 3" xfId="1126" xr:uid="{00000000-0005-0000-0000-0000440F0000}"/>
    <cellStyle name="Comma 9 3 2" xfId="1913" xr:uid="{00000000-0005-0000-0000-0000450F0000}"/>
    <cellStyle name="Comma 9 3 2 2" xfId="4157" xr:uid="{00000000-0005-0000-0000-0000460F0000}"/>
    <cellStyle name="Comma 9 3 3" xfId="2637" xr:uid="{00000000-0005-0000-0000-0000470F0000}"/>
    <cellStyle name="Comma 9 3 3 2" xfId="4881" xr:uid="{00000000-0005-0000-0000-0000480F0000}"/>
    <cellStyle name="Comma 9 3 4" xfId="3371" xr:uid="{00000000-0005-0000-0000-0000490F0000}"/>
    <cellStyle name="Comma 9 4" xfId="1341" xr:uid="{00000000-0005-0000-0000-00004A0F0000}"/>
    <cellStyle name="Comma 9 4 2" xfId="3585" xr:uid="{00000000-0005-0000-0000-00004B0F0000}"/>
    <cellStyle name="Comma 9 5" xfId="2127" xr:uid="{00000000-0005-0000-0000-00004C0F0000}"/>
    <cellStyle name="Comma 9 5 2" xfId="4371" xr:uid="{00000000-0005-0000-0000-00004D0F0000}"/>
    <cellStyle name="Comma 9 6" xfId="2851" xr:uid="{00000000-0005-0000-0000-00004E0F0000}"/>
    <cellStyle name="Copied" xfId="219" xr:uid="{00000000-0005-0000-0000-00004F0F0000}"/>
    <cellStyle name="Currency [00]" xfId="221" xr:uid="{00000000-0005-0000-0000-0000500F0000}"/>
    <cellStyle name="Currency 10" xfId="805" xr:uid="{00000000-0005-0000-0000-0000510F0000}"/>
    <cellStyle name="Currency 11" xfId="741" xr:uid="{00000000-0005-0000-0000-0000520F0000}"/>
    <cellStyle name="Currency 12" xfId="807" xr:uid="{00000000-0005-0000-0000-0000530F0000}"/>
    <cellStyle name="Currency 13" xfId="743" xr:uid="{00000000-0005-0000-0000-0000540F0000}"/>
    <cellStyle name="Currency 14" xfId="806" xr:uid="{00000000-0005-0000-0000-0000550F0000}"/>
    <cellStyle name="Currency 15" xfId="740" xr:uid="{00000000-0005-0000-0000-0000560F0000}"/>
    <cellStyle name="Currency 16" xfId="808" xr:uid="{00000000-0005-0000-0000-0000570F0000}"/>
    <cellStyle name="Currency 17" xfId="744" xr:uid="{00000000-0005-0000-0000-0000580F0000}"/>
    <cellStyle name="Currency 18" xfId="809" xr:uid="{00000000-0005-0000-0000-0000590F0000}"/>
    <cellStyle name="Currency 19" xfId="742" xr:uid="{00000000-0005-0000-0000-00005A0F0000}"/>
    <cellStyle name="Currency 2" xfId="6" xr:uid="{00000000-0005-0000-0000-00005B0F0000}"/>
    <cellStyle name="Currency 2 2" xfId="222" xr:uid="{00000000-0005-0000-0000-00005C0F0000}"/>
    <cellStyle name="Currency 20" xfId="810" xr:uid="{00000000-0005-0000-0000-00005D0F0000}"/>
    <cellStyle name="Currency 21" xfId="745" xr:uid="{00000000-0005-0000-0000-00005E0F0000}"/>
    <cellStyle name="Currency 22" xfId="811" xr:uid="{00000000-0005-0000-0000-00005F0F0000}"/>
    <cellStyle name="Currency 23" xfId="802" xr:uid="{00000000-0005-0000-0000-0000600F0000}"/>
    <cellStyle name="Currency 24" xfId="812" xr:uid="{00000000-0005-0000-0000-0000610F0000}"/>
    <cellStyle name="Currency 25" xfId="801" xr:uid="{00000000-0005-0000-0000-0000620F0000}"/>
    <cellStyle name="Currency 26" xfId="814" xr:uid="{00000000-0005-0000-0000-0000630F0000}"/>
    <cellStyle name="Currency 27" xfId="800" xr:uid="{00000000-0005-0000-0000-0000640F0000}"/>
    <cellStyle name="Currency 28" xfId="813" xr:uid="{00000000-0005-0000-0000-0000650F0000}"/>
    <cellStyle name="Currency 3" xfId="9" xr:uid="{00000000-0005-0000-0000-0000660F0000}"/>
    <cellStyle name="Currency 3 10" xfId="2836" xr:uid="{00000000-0005-0000-0000-0000670F0000}"/>
    <cellStyle name="Currency 3 11" xfId="5078" xr:uid="{00000000-0005-0000-0000-0000680F0000}"/>
    <cellStyle name="Currency 3 2" xfId="19" xr:uid="{00000000-0005-0000-0000-0000690F0000}"/>
    <cellStyle name="Currency 3 2 2" xfId="866" xr:uid="{00000000-0005-0000-0000-00006A0F0000}"/>
    <cellStyle name="Currency 3 2 2 2" xfId="1654" xr:uid="{00000000-0005-0000-0000-00006B0F0000}"/>
    <cellStyle name="Currency 3 2 2 2 2" xfId="3898" xr:uid="{00000000-0005-0000-0000-00006C0F0000}"/>
    <cellStyle name="Currency 3 2 2 3" xfId="2378" xr:uid="{00000000-0005-0000-0000-00006D0F0000}"/>
    <cellStyle name="Currency 3 2 2 3 2" xfId="4622" xr:uid="{00000000-0005-0000-0000-00006E0F0000}"/>
    <cellStyle name="Currency 3 2 2 4" xfId="3112" xr:uid="{00000000-0005-0000-0000-00006F0F0000}"/>
    <cellStyle name="Currency 3 2 3" xfId="1096" xr:uid="{00000000-0005-0000-0000-0000700F0000}"/>
    <cellStyle name="Currency 3 2 3 2" xfId="1883" xr:uid="{00000000-0005-0000-0000-0000710F0000}"/>
    <cellStyle name="Currency 3 2 3 2 2" xfId="4127" xr:uid="{00000000-0005-0000-0000-0000720F0000}"/>
    <cellStyle name="Currency 3 2 3 3" xfId="2607" xr:uid="{00000000-0005-0000-0000-0000730F0000}"/>
    <cellStyle name="Currency 3 2 3 3 2" xfId="4851" xr:uid="{00000000-0005-0000-0000-0000740F0000}"/>
    <cellStyle name="Currency 3 2 3 4" xfId="3341" xr:uid="{00000000-0005-0000-0000-0000750F0000}"/>
    <cellStyle name="Currency 3 2 4" xfId="1118" xr:uid="{00000000-0005-0000-0000-0000760F0000}"/>
    <cellStyle name="Currency 3 2 4 2" xfId="1905" xr:uid="{00000000-0005-0000-0000-0000770F0000}"/>
    <cellStyle name="Currency 3 2 4 2 2" xfId="4149" xr:uid="{00000000-0005-0000-0000-0000780F0000}"/>
    <cellStyle name="Currency 3 2 4 3" xfId="2629" xr:uid="{00000000-0005-0000-0000-0000790F0000}"/>
    <cellStyle name="Currency 3 2 4 3 2" xfId="4873" xr:uid="{00000000-0005-0000-0000-00007A0F0000}"/>
    <cellStyle name="Currency 3 2 4 4" xfId="3363" xr:uid="{00000000-0005-0000-0000-00007B0F0000}"/>
    <cellStyle name="Currency 3 2 5" xfId="1334" xr:uid="{00000000-0005-0000-0000-00007C0F0000}"/>
    <cellStyle name="Currency 3 2 5 2" xfId="3578" xr:uid="{00000000-0005-0000-0000-00007D0F0000}"/>
    <cellStyle name="Currency 3 2 6" xfId="2120" xr:uid="{00000000-0005-0000-0000-00007E0F0000}"/>
    <cellStyle name="Currency 3 2 6 2" xfId="4364" xr:uid="{00000000-0005-0000-0000-00007F0F0000}"/>
    <cellStyle name="Currency 3 2 7" xfId="2844" xr:uid="{00000000-0005-0000-0000-0000800F0000}"/>
    <cellStyle name="Currency 3 2 8" xfId="5086" xr:uid="{00000000-0005-0000-0000-0000810F0000}"/>
    <cellStyle name="Currency 3 3" xfId="223" xr:uid="{00000000-0005-0000-0000-0000820F0000}"/>
    <cellStyle name="Currency 3 4" xfId="857" xr:uid="{00000000-0005-0000-0000-0000830F0000}"/>
    <cellStyle name="Currency 3 4 2" xfId="1645" xr:uid="{00000000-0005-0000-0000-0000840F0000}"/>
    <cellStyle name="Currency 3 4 2 2" xfId="3889" xr:uid="{00000000-0005-0000-0000-0000850F0000}"/>
    <cellStyle name="Currency 3 4 3" xfId="2369" xr:uid="{00000000-0005-0000-0000-0000860F0000}"/>
    <cellStyle name="Currency 3 4 3 2" xfId="4613" xr:uid="{00000000-0005-0000-0000-0000870F0000}"/>
    <cellStyle name="Currency 3 4 4" xfId="3103" xr:uid="{00000000-0005-0000-0000-0000880F0000}"/>
    <cellStyle name="Currency 3 5" xfId="1074" xr:uid="{00000000-0005-0000-0000-0000890F0000}"/>
    <cellStyle name="Currency 3 5 2" xfId="1861" xr:uid="{00000000-0005-0000-0000-00008A0F0000}"/>
    <cellStyle name="Currency 3 5 2 2" xfId="4105" xr:uid="{00000000-0005-0000-0000-00008B0F0000}"/>
    <cellStyle name="Currency 3 5 3" xfId="2585" xr:uid="{00000000-0005-0000-0000-00008C0F0000}"/>
    <cellStyle name="Currency 3 5 3 2" xfId="4829" xr:uid="{00000000-0005-0000-0000-00008D0F0000}"/>
    <cellStyle name="Currency 3 5 4" xfId="3319" xr:uid="{00000000-0005-0000-0000-00008E0F0000}"/>
    <cellStyle name="Currency 3 6" xfId="1088" xr:uid="{00000000-0005-0000-0000-00008F0F0000}"/>
    <cellStyle name="Currency 3 6 2" xfId="1875" xr:uid="{00000000-0005-0000-0000-0000900F0000}"/>
    <cellStyle name="Currency 3 6 2 2" xfId="4119" xr:uid="{00000000-0005-0000-0000-0000910F0000}"/>
    <cellStyle name="Currency 3 6 3" xfId="2599" xr:uid="{00000000-0005-0000-0000-0000920F0000}"/>
    <cellStyle name="Currency 3 6 3 2" xfId="4843" xr:uid="{00000000-0005-0000-0000-0000930F0000}"/>
    <cellStyle name="Currency 3 6 4" xfId="3333" xr:uid="{00000000-0005-0000-0000-0000940F0000}"/>
    <cellStyle name="Currency 3 7" xfId="1109" xr:uid="{00000000-0005-0000-0000-0000950F0000}"/>
    <cellStyle name="Currency 3 7 2" xfId="1896" xr:uid="{00000000-0005-0000-0000-0000960F0000}"/>
    <cellStyle name="Currency 3 7 2 2" xfId="4140" xr:uid="{00000000-0005-0000-0000-0000970F0000}"/>
    <cellStyle name="Currency 3 7 3" xfId="2620" xr:uid="{00000000-0005-0000-0000-0000980F0000}"/>
    <cellStyle name="Currency 3 7 3 2" xfId="4864" xr:uid="{00000000-0005-0000-0000-0000990F0000}"/>
    <cellStyle name="Currency 3 7 4" xfId="3354" xr:uid="{00000000-0005-0000-0000-00009A0F0000}"/>
    <cellStyle name="Currency 3 8" xfId="1326" xr:uid="{00000000-0005-0000-0000-00009B0F0000}"/>
    <cellStyle name="Currency 3 8 2" xfId="3570" xr:uid="{00000000-0005-0000-0000-00009C0F0000}"/>
    <cellStyle name="Currency 3 9" xfId="2112" xr:uid="{00000000-0005-0000-0000-00009D0F0000}"/>
    <cellStyle name="Currency 3 9 2" xfId="4356" xr:uid="{00000000-0005-0000-0000-00009E0F0000}"/>
    <cellStyle name="Currency 4" xfId="220" xr:uid="{00000000-0005-0000-0000-00009F0F0000}"/>
    <cellStyle name="Currency 5" xfId="738" xr:uid="{00000000-0005-0000-0000-0000A00F0000}"/>
    <cellStyle name="Currency 6" xfId="803" xr:uid="{00000000-0005-0000-0000-0000A10F0000}"/>
    <cellStyle name="Currency 7" xfId="739" xr:uid="{00000000-0005-0000-0000-0000A20F0000}"/>
    <cellStyle name="Currency 8" xfId="804" xr:uid="{00000000-0005-0000-0000-0000A30F0000}"/>
    <cellStyle name="Currency 9" xfId="737" xr:uid="{00000000-0005-0000-0000-0000A40F0000}"/>
    <cellStyle name="Date Short" xfId="224" xr:uid="{00000000-0005-0000-0000-0000A50F0000}"/>
    <cellStyle name="DELTA" xfId="225" xr:uid="{00000000-0005-0000-0000-0000A60F0000}"/>
    <cellStyle name="Dezimal [0]_NEGS" xfId="226" xr:uid="{00000000-0005-0000-0000-0000A70F0000}"/>
    <cellStyle name="Dezimal_NEGS" xfId="227" xr:uid="{00000000-0005-0000-0000-0000A80F0000}"/>
    <cellStyle name="Enter Currency (0)" xfId="228" xr:uid="{00000000-0005-0000-0000-0000A90F0000}"/>
    <cellStyle name="Enter Currency (2)" xfId="229" xr:uid="{00000000-0005-0000-0000-0000AA0F0000}"/>
    <cellStyle name="Enter Units (0)" xfId="230" xr:uid="{00000000-0005-0000-0000-0000AB0F0000}"/>
    <cellStyle name="Enter Units (1)" xfId="231" xr:uid="{00000000-0005-0000-0000-0000AC0F0000}"/>
    <cellStyle name="Enter Units (2)" xfId="232" xr:uid="{00000000-0005-0000-0000-0000AD0F0000}"/>
    <cellStyle name="Entered" xfId="233" xr:uid="{00000000-0005-0000-0000-0000AE0F0000}"/>
    <cellStyle name="Euro" xfId="234" xr:uid="{00000000-0005-0000-0000-0000AF0F0000}"/>
    <cellStyle name="Excel Built-in Normal 1 3" xfId="1066" xr:uid="{00000000-0005-0000-0000-0000B00F0000}"/>
    <cellStyle name="Grey" xfId="235" xr:uid="{00000000-0005-0000-0000-0000B10F0000}"/>
    <cellStyle name="Grey 10" xfId="236" xr:uid="{00000000-0005-0000-0000-0000B20F0000}"/>
    <cellStyle name="Grey 11" xfId="237" xr:uid="{00000000-0005-0000-0000-0000B30F0000}"/>
    <cellStyle name="Grey 12" xfId="238" xr:uid="{00000000-0005-0000-0000-0000B40F0000}"/>
    <cellStyle name="Grey 13" xfId="239" xr:uid="{00000000-0005-0000-0000-0000B50F0000}"/>
    <cellStyle name="Grey 14" xfId="240" xr:uid="{00000000-0005-0000-0000-0000B60F0000}"/>
    <cellStyle name="Grey 15" xfId="241" xr:uid="{00000000-0005-0000-0000-0000B70F0000}"/>
    <cellStyle name="Grey 16" xfId="242" xr:uid="{00000000-0005-0000-0000-0000B80F0000}"/>
    <cellStyle name="Grey 17" xfId="243" xr:uid="{00000000-0005-0000-0000-0000B90F0000}"/>
    <cellStyle name="Grey 18" xfId="244" xr:uid="{00000000-0005-0000-0000-0000BA0F0000}"/>
    <cellStyle name="Grey 19" xfId="245" xr:uid="{00000000-0005-0000-0000-0000BB0F0000}"/>
    <cellStyle name="Grey 2" xfId="246" xr:uid="{00000000-0005-0000-0000-0000BC0F0000}"/>
    <cellStyle name="Grey 2 2" xfId="247" xr:uid="{00000000-0005-0000-0000-0000BD0F0000}"/>
    <cellStyle name="Grey 20" xfId="248" xr:uid="{00000000-0005-0000-0000-0000BE0F0000}"/>
    <cellStyle name="Grey 21" xfId="249" xr:uid="{00000000-0005-0000-0000-0000BF0F0000}"/>
    <cellStyle name="Grey 22" xfId="250" xr:uid="{00000000-0005-0000-0000-0000C00F0000}"/>
    <cellStyle name="Grey 23" xfId="251" xr:uid="{00000000-0005-0000-0000-0000C10F0000}"/>
    <cellStyle name="Grey 24" xfId="252" xr:uid="{00000000-0005-0000-0000-0000C20F0000}"/>
    <cellStyle name="Grey 25" xfId="253" xr:uid="{00000000-0005-0000-0000-0000C30F0000}"/>
    <cellStyle name="Grey 26" xfId="254" xr:uid="{00000000-0005-0000-0000-0000C40F0000}"/>
    <cellStyle name="Grey 27" xfId="255" xr:uid="{00000000-0005-0000-0000-0000C50F0000}"/>
    <cellStyle name="Grey 28" xfId="256" xr:uid="{00000000-0005-0000-0000-0000C60F0000}"/>
    <cellStyle name="Grey 29" xfId="257" xr:uid="{00000000-0005-0000-0000-0000C70F0000}"/>
    <cellStyle name="Grey 3" xfId="258" xr:uid="{00000000-0005-0000-0000-0000C80F0000}"/>
    <cellStyle name="Grey 30" xfId="259" xr:uid="{00000000-0005-0000-0000-0000C90F0000}"/>
    <cellStyle name="Grey 31" xfId="260" xr:uid="{00000000-0005-0000-0000-0000CA0F0000}"/>
    <cellStyle name="Grey 32" xfId="261" xr:uid="{00000000-0005-0000-0000-0000CB0F0000}"/>
    <cellStyle name="Grey 33" xfId="262" xr:uid="{00000000-0005-0000-0000-0000CC0F0000}"/>
    <cellStyle name="Grey 34" xfId="263" xr:uid="{00000000-0005-0000-0000-0000CD0F0000}"/>
    <cellStyle name="Grey 35" xfId="264" xr:uid="{00000000-0005-0000-0000-0000CE0F0000}"/>
    <cellStyle name="Grey 36" xfId="265" xr:uid="{00000000-0005-0000-0000-0000CF0F0000}"/>
    <cellStyle name="Grey 37" xfId="266" xr:uid="{00000000-0005-0000-0000-0000D00F0000}"/>
    <cellStyle name="Grey 38" xfId="267" xr:uid="{00000000-0005-0000-0000-0000D10F0000}"/>
    <cellStyle name="Grey 39" xfId="268" xr:uid="{00000000-0005-0000-0000-0000D20F0000}"/>
    <cellStyle name="Grey 4" xfId="269" xr:uid="{00000000-0005-0000-0000-0000D30F0000}"/>
    <cellStyle name="Grey 40" xfId="270" xr:uid="{00000000-0005-0000-0000-0000D40F0000}"/>
    <cellStyle name="Grey 41" xfId="271" xr:uid="{00000000-0005-0000-0000-0000D50F0000}"/>
    <cellStyle name="Grey 42" xfId="272" xr:uid="{00000000-0005-0000-0000-0000D60F0000}"/>
    <cellStyle name="Grey 43" xfId="273" xr:uid="{00000000-0005-0000-0000-0000D70F0000}"/>
    <cellStyle name="Grey 44" xfId="274" xr:uid="{00000000-0005-0000-0000-0000D80F0000}"/>
    <cellStyle name="Grey 45" xfId="275" xr:uid="{00000000-0005-0000-0000-0000D90F0000}"/>
    <cellStyle name="Grey 46" xfId="276" xr:uid="{00000000-0005-0000-0000-0000DA0F0000}"/>
    <cellStyle name="Grey 47" xfId="277" xr:uid="{00000000-0005-0000-0000-0000DB0F0000}"/>
    <cellStyle name="Grey 48" xfId="278" xr:uid="{00000000-0005-0000-0000-0000DC0F0000}"/>
    <cellStyle name="Grey 49" xfId="279" xr:uid="{00000000-0005-0000-0000-0000DD0F0000}"/>
    <cellStyle name="Grey 5" xfId="280" xr:uid="{00000000-0005-0000-0000-0000DE0F0000}"/>
    <cellStyle name="Grey 50" xfId="281" xr:uid="{00000000-0005-0000-0000-0000DF0F0000}"/>
    <cellStyle name="Grey 51" xfId="282" xr:uid="{00000000-0005-0000-0000-0000E00F0000}"/>
    <cellStyle name="Grey 52" xfId="283" xr:uid="{00000000-0005-0000-0000-0000E10F0000}"/>
    <cellStyle name="Grey 53" xfId="284" xr:uid="{00000000-0005-0000-0000-0000E20F0000}"/>
    <cellStyle name="Grey 6" xfId="285" xr:uid="{00000000-0005-0000-0000-0000E30F0000}"/>
    <cellStyle name="Grey 7" xfId="286" xr:uid="{00000000-0005-0000-0000-0000E40F0000}"/>
    <cellStyle name="Grey 8" xfId="287" xr:uid="{00000000-0005-0000-0000-0000E50F0000}"/>
    <cellStyle name="Grey 9" xfId="288" xr:uid="{00000000-0005-0000-0000-0000E60F0000}"/>
    <cellStyle name="HEADER" xfId="289" xr:uid="{00000000-0005-0000-0000-0000E70F0000}"/>
    <cellStyle name="HEADER 2" xfId="290" xr:uid="{00000000-0005-0000-0000-0000E80F0000}"/>
    <cellStyle name="Header1" xfId="291" xr:uid="{00000000-0005-0000-0000-0000E90F0000}"/>
    <cellStyle name="Header2" xfId="292" xr:uid="{00000000-0005-0000-0000-0000EA0F0000}"/>
    <cellStyle name="Header2 2" xfId="746" xr:uid="{00000000-0005-0000-0000-0000EB0F0000}"/>
    <cellStyle name="Header2 2 2" xfId="1302" xr:uid="{00000000-0005-0000-0000-0000EC0F0000}"/>
    <cellStyle name="Header2 2 2 2" xfId="2089" xr:uid="{00000000-0005-0000-0000-0000ED0F0000}"/>
    <cellStyle name="Header2 2 2 2 2" xfId="4333" xr:uid="{00000000-0005-0000-0000-0000EE0F0000}"/>
    <cellStyle name="Header2 2 2 3" xfId="3547" xr:uid="{00000000-0005-0000-0000-0000EF0F0000}"/>
    <cellStyle name="Header2 2 3" xfId="1569" xr:uid="{00000000-0005-0000-0000-0000F00F0000}"/>
    <cellStyle name="Header2 2 3 2" xfId="3813" xr:uid="{00000000-0005-0000-0000-0000F10F0000}"/>
    <cellStyle name="Header2 2 4" xfId="3027" xr:uid="{00000000-0005-0000-0000-0000F20F0000}"/>
    <cellStyle name="Header2 3" xfId="1282" xr:uid="{00000000-0005-0000-0000-0000F30F0000}"/>
    <cellStyle name="Header2 3 2" xfId="2069" xr:uid="{00000000-0005-0000-0000-0000F40F0000}"/>
    <cellStyle name="Header2 3 2 2" xfId="4313" xr:uid="{00000000-0005-0000-0000-0000F50F0000}"/>
    <cellStyle name="Header2 3 3" xfId="3527" xr:uid="{00000000-0005-0000-0000-0000F60F0000}"/>
    <cellStyle name="Hyperlink" xfId="5100" builtinId="8"/>
    <cellStyle name="Hyperlink 2" xfId="293" xr:uid="{00000000-0005-0000-0000-0000F80F0000}"/>
    <cellStyle name="Input [yellow]" xfId="294" xr:uid="{00000000-0005-0000-0000-0000F90F0000}"/>
    <cellStyle name="Input [yellow] 10" xfId="295" xr:uid="{00000000-0005-0000-0000-0000FA0F0000}"/>
    <cellStyle name="Input [yellow] 10 2" xfId="748" xr:uid="{00000000-0005-0000-0000-0000FB0F0000}"/>
    <cellStyle name="Input [yellow] 10 2 2" xfId="1571" xr:uid="{00000000-0005-0000-0000-0000FC0F0000}"/>
    <cellStyle name="Input [yellow] 10 2 2 2" xfId="3815" xr:uid="{00000000-0005-0000-0000-0000FD0F0000}"/>
    <cellStyle name="Input [yellow] 10 2 3" xfId="3029" xr:uid="{00000000-0005-0000-0000-0000FE0F0000}"/>
    <cellStyle name="Input [yellow] 10 3" xfId="1498" xr:uid="{00000000-0005-0000-0000-0000FF0F0000}"/>
    <cellStyle name="Input [yellow] 10 3 2" xfId="3742" xr:uid="{00000000-0005-0000-0000-000000100000}"/>
    <cellStyle name="Input [yellow] 10 4" xfId="2284" xr:uid="{00000000-0005-0000-0000-000001100000}"/>
    <cellStyle name="Input [yellow] 10 4 2" xfId="4528" xr:uid="{00000000-0005-0000-0000-000002100000}"/>
    <cellStyle name="Input [yellow] 11" xfId="296" xr:uid="{00000000-0005-0000-0000-000003100000}"/>
    <cellStyle name="Input [yellow] 11 2" xfId="749" xr:uid="{00000000-0005-0000-0000-000004100000}"/>
    <cellStyle name="Input [yellow] 11 2 2" xfId="1572" xr:uid="{00000000-0005-0000-0000-000005100000}"/>
    <cellStyle name="Input [yellow] 11 2 2 2" xfId="3816" xr:uid="{00000000-0005-0000-0000-000006100000}"/>
    <cellStyle name="Input [yellow] 11 2 3" xfId="3030" xr:uid="{00000000-0005-0000-0000-000007100000}"/>
    <cellStyle name="Input [yellow] 11 3" xfId="1499" xr:uid="{00000000-0005-0000-0000-000008100000}"/>
    <cellStyle name="Input [yellow] 11 3 2" xfId="3743" xr:uid="{00000000-0005-0000-0000-000009100000}"/>
    <cellStyle name="Input [yellow] 11 4" xfId="2285" xr:uid="{00000000-0005-0000-0000-00000A100000}"/>
    <cellStyle name="Input [yellow] 11 4 2" xfId="4529" xr:uid="{00000000-0005-0000-0000-00000B100000}"/>
    <cellStyle name="Input [yellow] 12" xfId="297" xr:uid="{00000000-0005-0000-0000-00000C100000}"/>
    <cellStyle name="Input [yellow] 12 2" xfId="750" xr:uid="{00000000-0005-0000-0000-00000D100000}"/>
    <cellStyle name="Input [yellow] 12 2 2" xfId="1573" xr:uid="{00000000-0005-0000-0000-00000E100000}"/>
    <cellStyle name="Input [yellow] 12 2 2 2" xfId="3817" xr:uid="{00000000-0005-0000-0000-00000F100000}"/>
    <cellStyle name="Input [yellow] 12 2 3" xfId="3031" xr:uid="{00000000-0005-0000-0000-000010100000}"/>
    <cellStyle name="Input [yellow] 12 3" xfId="1500" xr:uid="{00000000-0005-0000-0000-000011100000}"/>
    <cellStyle name="Input [yellow] 12 3 2" xfId="3744" xr:uid="{00000000-0005-0000-0000-000012100000}"/>
    <cellStyle name="Input [yellow] 12 4" xfId="2286" xr:uid="{00000000-0005-0000-0000-000013100000}"/>
    <cellStyle name="Input [yellow] 12 4 2" xfId="4530" xr:uid="{00000000-0005-0000-0000-000014100000}"/>
    <cellStyle name="Input [yellow] 13" xfId="298" xr:uid="{00000000-0005-0000-0000-000015100000}"/>
    <cellStyle name="Input [yellow] 13 2" xfId="751" xr:uid="{00000000-0005-0000-0000-000016100000}"/>
    <cellStyle name="Input [yellow] 13 2 2" xfId="1574" xr:uid="{00000000-0005-0000-0000-000017100000}"/>
    <cellStyle name="Input [yellow] 13 2 2 2" xfId="3818" xr:uid="{00000000-0005-0000-0000-000018100000}"/>
    <cellStyle name="Input [yellow] 13 2 3" xfId="3032" xr:uid="{00000000-0005-0000-0000-000019100000}"/>
    <cellStyle name="Input [yellow] 13 3" xfId="1501" xr:uid="{00000000-0005-0000-0000-00001A100000}"/>
    <cellStyle name="Input [yellow] 13 3 2" xfId="3745" xr:uid="{00000000-0005-0000-0000-00001B100000}"/>
    <cellStyle name="Input [yellow] 13 4" xfId="2287" xr:uid="{00000000-0005-0000-0000-00001C100000}"/>
    <cellStyle name="Input [yellow] 13 4 2" xfId="4531" xr:uid="{00000000-0005-0000-0000-00001D100000}"/>
    <cellStyle name="Input [yellow] 14" xfId="299" xr:uid="{00000000-0005-0000-0000-00001E100000}"/>
    <cellStyle name="Input [yellow] 14 2" xfId="752" xr:uid="{00000000-0005-0000-0000-00001F100000}"/>
    <cellStyle name="Input [yellow] 14 2 2" xfId="1575" xr:uid="{00000000-0005-0000-0000-000020100000}"/>
    <cellStyle name="Input [yellow] 14 2 2 2" xfId="3819" xr:uid="{00000000-0005-0000-0000-000021100000}"/>
    <cellStyle name="Input [yellow] 14 2 3" xfId="3033" xr:uid="{00000000-0005-0000-0000-000022100000}"/>
    <cellStyle name="Input [yellow] 14 3" xfId="1502" xr:uid="{00000000-0005-0000-0000-000023100000}"/>
    <cellStyle name="Input [yellow] 14 3 2" xfId="3746" xr:uid="{00000000-0005-0000-0000-000024100000}"/>
    <cellStyle name="Input [yellow] 14 4" xfId="2288" xr:uid="{00000000-0005-0000-0000-000025100000}"/>
    <cellStyle name="Input [yellow] 14 4 2" xfId="4532" xr:uid="{00000000-0005-0000-0000-000026100000}"/>
    <cellStyle name="Input [yellow] 15" xfId="300" xr:uid="{00000000-0005-0000-0000-000027100000}"/>
    <cellStyle name="Input [yellow] 15 2" xfId="753" xr:uid="{00000000-0005-0000-0000-000028100000}"/>
    <cellStyle name="Input [yellow] 15 2 2" xfId="1576" xr:uid="{00000000-0005-0000-0000-000029100000}"/>
    <cellStyle name="Input [yellow] 15 2 2 2" xfId="3820" xr:uid="{00000000-0005-0000-0000-00002A100000}"/>
    <cellStyle name="Input [yellow] 15 2 3" xfId="3034" xr:uid="{00000000-0005-0000-0000-00002B100000}"/>
    <cellStyle name="Input [yellow] 15 3" xfId="1503" xr:uid="{00000000-0005-0000-0000-00002C100000}"/>
    <cellStyle name="Input [yellow] 15 3 2" xfId="3747" xr:uid="{00000000-0005-0000-0000-00002D100000}"/>
    <cellStyle name="Input [yellow] 15 4" xfId="2289" xr:uid="{00000000-0005-0000-0000-00002E100000}"/>
    <cellStyle name="Input [yellow] 15 4 2" xfId="4533" xr:uid="{00000000-0005-0000-0000-00002F100000}"/>
    <cellStyle name="Input [yellow] 16" xfId="301" xr:uid="{00000000-0005-0000-0000-000030100000}"/>
    <cellStyle name="Input [yellow] 16 2" xfId="754" xr:uid="{00000000-0005-0000-0000-000031100000}"/>
    <cellStyle name="Input [yellow] 16 2 2" xfId="1577" xr:uid="{00000000-0005-0000-0000-000032100000}"/>
    <cellStyle name="Input [yellow] 16 2 2 2" xfId="3821" xr:uid="{00000000-0005-0000-0000-000033100000}"/>
    <cellStyle name="Input [yellow] 16 2 3" xfId="3035" xr:uid="{00000000-0005-0000-0000-000034100000}"/>
    <cellStyle name="Input [yellow] 16 3" xfId="1504" xr:uid="{00000000-0005-0000-0000-000035100000}"/>
    <cellStyle name="Input [yellow] 16 3 2" xfId="3748" xr:uid="{00000000-0005-0000-0000-000036100000}"/>
    <cellStyle name="Input [yellow] 16 4" xfId="2290" xr:uid="{00000000-0005-0000-0000-000037100000}"/>
    <cellStyle name="Input [yellow] 16 4 2" xfId="4534" xr:uid="{00000000-0005-0000-0000-000038100000}"/>
    <cellStyle name="Input [yellow] 17" xfId="302" xr:uid="{00000000-0005-0000-0000-000039100000}"/>
    <cellStyle name="Input [yellow] 17 2" xfId="755" xr:uid="{00000000-0005-0000-0000-00003A100000}"/>
    <cellStyle name="Input [yellow] 17 2 2" xfId="1578" xr:uid="{00000000-0005-0000-0000-00003B100000}"/>
    <cellStyle name="Input [yellow] 17 2 2 2" xfId="3822" xr:uid="{00000000-0005-0000-0000-00003C100000}"/>
    <cellStyle name="Input [yellow] 17 2 3" xfId="3036" xr:uid="{00000000-0005-0000-0000-00003D100000}"/>
    <cellStyle name="Input [yellow] 17 3" xfId="1505" xr:uid="{00000000-0005-0000-0000-00003E100000}"/>
    <cellStyle name="Input [yellow] 17 3 2" xfId="3749" xr:uid="{00000000-0005-0000-0000-00003F100000}"/>
    <cellStyle name="Input [yellow] 17 4" xfId="2291" xr:uid="{00000000-0005-0000-0000-000040100000}"/>
    <cellStyle name="Input [yellow] 17 4 2" xfId="4535" xr:uid="{00000000-0005-0000-0000-000041100000}"/>
    <cellStyle name="Input [yellow] 18" xfId="303" xr:uid="{00000000-0005-0000-0000-000042100000}"/>
    <cellStyle name="Input [yellow] 18 2" xfId="756" xr:uid="{00000000-0005-0000-0000-000043100000}"/>
    <cellStyle name="Input [yellow] 18 2 2" xfId="1579" xr:uid="{00000000-0005-0000-0000-000044100000}"/>
    <cellStyle name="Input [yellow] 18 2 2 2" xfId="3823" xr:uid="{00000000-0005-0000-0000-000045100000}"/>
    <cellStyle name="Input [yellow] 18 2 3" xfId="3037" xr:uid="{00000000-0005-0000-0000-000046100000}"/>
    <cellStyle name="Input [yellow] 18 3" xfId="1506" xr:uid="{00000000-0005-0000-0000-000047100000}"/>
    <cellStyle name="Input [yellow] 18 3 2" xfId="3750" xr:uid="{00000000-0005-0000-0000-000048100000}"/>
    <cellStyle name="Input [yellow] 18 4" xfId="2292" xr:uid="{00000000-0005-0000-0000-000049100000}"/>
    <cellStyle name="Input [yellow] 18 4 2" xfId="4536" xr:uid="{00000000-0005-0000-0000-00004A100000}"/>
    <cellStyle name="Input [yellow] 19" xfId="304" xr:uid="{00000000-0005-0000-0000-00004B100000}"/>
    <cellStyle name="Input [yellow] 19 2" xfId="757" xr:uid="{00000000-0005-0000-0000-00004C100000}"/>
    <cellStyle name="Input [yellow] 19 2 2" xfId="1580" xr:uid="{00000000-0005-0000-0000-00004D100000}"/>
    <cellStyle name="Input [yellow] 19 2 2 2" xfId="3824" xr:uid="{00000000-0005-0000-0000-00004E100000}"/>
    <cellStyle name="Input [yellow] 19 2 3" xfId="3038" xr:uid="{00000000-0005-0000-0000-00004F100000}"/>
    <cellStyle name="Input [yellow] 19 3" xfId="1507" xr:uid="{00000000-0005-0000-0000-000050100000}"/>
    <cellStyle name="Input [yellow] 19 3 2" xfId="3751" xr:uid="{00000000-0005-0000-0000-000051100000}"/>
    <cellStyle name="Input [yellow] 19 4" xfId="2293" xr:uid="{00000000-0005-0000-0000-000052100000}"/>
    <cellStyle name="Input [yellow] 19 4 2" xfId="4537" xr:uid="{00000000-0005-0000-0000-000053100000}"/>
    <cellStyle name="Input [yellow] 2" xfId="305" xr:uid="{00000000-0005-0000-0000-000054100000}"/>
    <cellStyle name="Input [yellow] 2 2" xfId="306" xr:uid="{00000000-0005-0000-0000-000055100000}"/>
    <cellStyle name="Input [yellow] 2 2 2" xfId="759" xr:uid="{00000000-0005-0000-0000-000056100000}"/>
    <cellStyle name="Input [yellow] 2 2 2 2" xfId="1582" xr:uid="{00000000-0005-0000-0000-000057100000}"/>
    <cellStyle name="Input [yellow] 2 2 2 2 2" xfId="3826" xr:uid="{00000000-0005-0000-0000-000058100000}"/>
    <cellStyle name="Input [yellow] 2 2 2 3" xfId="3040" xr:uid="{00000000-0005-0000-0000-000059100000}"/>
    <cellStyle name="Input [yellow] 2 2 3" xfId="1509" xr:uid="{00000000-0005-0000-0000-00005A100000}"/>
    <cellStyle name="Input [yellow] 2 2 3 2" xfId="3753" xr:uid="{00000000-0005-0000-0000-00005B100000}"/>
    <cellStyle name="Input [yellow] 2 2 4" xfId="2295" xr:uid="{00000000-0005-0000-0000-00005C100000}"/>
    <cellStyle name="Input [yellow] 2 2 4 2" xfId="4539" xr:uid="{00000000-0005-0000-0000-00005D100000}"/>
    <cellStyle name="Input [yellow] 2 3" xfId="758" xr:uid="{00000000-0005-0000-0000-00005E100000}"/>
    <cellStyle name="Input [yellow] 2 3 2" xfId="1581" xr:uid="{00000000-0005-0000-0000-00005F100000}"/>
    <cellStyle name="Input [yellow] 2 3 2 2" xfId="3825" xr:uid="{00000000-0005-0000-0000-000060100000}"/>
    <cellStyle name="Input [yellow] 2 3 3" xfId="3039" xr:uid="{00000000-0005-0000-0000-000061100000}"/>
    <cellStyle name="Input [yellow] 2 4" xfId="1508" xr:uid="{00000000-0005-0000-0000-000062100000}"/>
    <cellStyle name="Input [yellow] 2 4 2" xfId="3752" xr:uid="{00000000-0005-0000-0000-000063100000}"/>
    <cellStyle name="Input [yellow] 2 5" xfId="2294" xr:uid="{00000000-0005-0000-0000-000064100000}"/>
    <cellStyle name="Input [yellow] 2 5 2" xfId="4538" xr:uid="{00000000-0005-0000-0000-000065100000}"/>
    <cellStyle name="Input [yellow] 20" xfId="307" xr:uid="{00000000-0005-0000-0000-000066100000}"/>
    <cellStyle name="Input [yellow] 20 2" xfId="760" xr:uid="{00000000-0005-0000-0000-000067100000}"/>
    <cellStyle name="Input [yellow] 20 2 2" xfId="1583" xr:uid="{00000000-0005-0000-0000-000068100000}"/>
    <cellStyle name="Input [yellow] 20 2 2 2" xfId="3827" xr:uid="{00000000-0005-0000-0000-000069100000}"/>
    <cellStyle name="Input [yellow] 20 2 3" xfId="3041" xr:uid="{00000000-0005-0000-0000-00006A100000}"/>
    <cellStyle name="Input [yellow] 20 3" xfId="1510" xr:uid="{00000000-0005-0000-0000-00006B100000}"/>
    <cellStyle name="Input [yellow] 20 3 2" xfId="3754" xr:uid="{00000000-0005-0000-0000-00006C100000}"/>
    <cellStyle name="Input [yellow] 20 4" xfId="2296" xr:uid="{00000000-0005-0000-0000-00006D100000}"/>
    <cellStyle name="Input [yellow] 20 4 2" xfId="4540" xr:uid="{00000000-0005-0000-0000-00006E100000}"/>
    <cellStyle name="Input [yellow] 21" xfId="308" xr:uid="{00000000-0005-0000-0000-00006F100000}"/>
    <cellStyle name="Input [yellow] 21 2" xfId="761" xr:uid="{00000000-0005-0000-0000-000070100000}"/>
    <cellStyle name="Input [yellow] 21 2 2" xfId="1584" xr:uid="{00000000-0005-0000-0000-000071100000}"/>
    <cellStyle name="Input [yellow] 21 2 2 2" xfId="3828" xr:uid="{00000000-0005-0000-0000-000072100000}"/>
    <cellStyle name="Input [yellow] 21 2 3" xfId="3042" xr:uid="{00000000-0005-0000-0000-000073100000}"/>
    <cellStyle name="Input [yellow] 21 3" xfId="1511" xr:uid="{00000000-0005-0000-0000-000074100000}"/>
    <cellStyle name="Input [yellow] 21 3 2" xfId="3755" xr:uid="{00000000-0005-0000-0000-000075100000}"/>
    <cellStyle name="Input [yellow] 21 4" xfId="2297" xr:uid="{00000000-0005-0000-0000-000076100000}"/>
    <cellStyle name="Input [yellow] 21 4 2" xfId="4541" xr:uid="{00000000-0005-0000-0000-000077100000}"/>
    <cellStyle name="Input [yellow] 22" xfId="309" xr:uid="{00000000-0005-0000-0000-000078100000}"/>
    <cellStyle name="Input [yellow] 22 2" xfId="762" xr:uid="{00000000-0005-0000-0000-000079100000}"/>
    <cellStyle name="Input [yellow] 22 2 2" xfId="1585" xr:uid="{00000000-0005-0000-0000-00007A100000}"/>
    <cellStyle name="Input [yellow] 22 2 2 2" xfId="3829" xr:uid="{00000000-0005-0000-0000-00007B100000}"/>
    <cellStyle name="Input [yellow] 22 2 3" xfId="3043" xr:uid="{00000000-0005-0000-0000-00007C100000}"/>
    <cellStyle name="Input [yellow] 22 3" xfId="1512" xr:uid="{00000000-0005-0000-0000-00007D100000}"/>
    <cellStyle name="Input [yellow] 22 3 2" xfId="3756" xr:uid="{00000000-0005-0000-0000-00007E100000}"/>
    <cellStyle name="Input [yellow] 22 4" xfId="2298" xr:uid="{00000000-0005-0000-0000-00007F100000}"/>
    <cellStyle name="Input [yellow] 22 4 2" xfId="4542" xr:uid="{00000000-0005-0000-0000-000080100000}"/>
    <cellStyle name="Input [yellow] 23" xfId="310" xr:uid="{00000000-0005-0000-0000-000081100000}"/>
    <cellStyle name="Input [yellow] 23 2" xfId="763" xr:uid="{00000000-0005-0000-0000-000082100000}"/>
    <cellStyle name="Input [yellow] 23 2 2" xfId="1586" xr:uid="{00000000-0005-0000-0000-000083100000}"/>
    <cellStyle name="Input [yellow] 23 2 2 2" xfId="3830" xr:uid="{00000000-0005-0000-0000-000084100000}"/>
    <cellStyle name="Input [yellow] 23 2 3" xfId="3044" xr:uid="{00000000-0005-0000-0000-000085100000}"/>
    <cellStyle name="Input [yellow] 23 3" xfId="1513" xr:uid="{00000000-0005-0000-0000-000086100000}"/>
    <cellStyle name="Input [yellow] 23 3 2" xfId="3757" xr:uid="{00000000-0005-0000-0000-000087100000}"/>
    <cellStyle name="Input [yellow] 23 4" xfId="2299" xr:uid="{00000000-0005-0000-0000-000088100000}"/>
    <cellStyle name="Input [yellow] 23 4 2" xfId="4543" xr:uid="{00000000-0005-0000-0000-000089100000}"/>
    <cellStyle name="Input [yellow] 24" xfId="311" xr:uid="{00000000-0005-0000-0000-00008A100000}"/>
    <cellStyle name="Input [yellow] 24 2" xfId="764" xr:uid="{00000000-0005-0000-0000-00008B100000}"/>
    <cellStyle name="Input [yellow] 24 2 2" xfId="1587" xr:uid="{00000000-0005-0000-0000-00008C100000}"/>
    <cellStyle name="Input [yellow] 24 2 2 2" xfId="3831" xr:uid="{00000000-0005-0000-0000-00008D100000}"/>
    <cellStyle name="Input [yellow] 24 2 3" xfId="3045" xr:uid="{00000000-0005-0000-0000-00008E100000}"/>
    <cellStyle name="Input [yellow] 24 3" xfId="1514" xr:uid="{00000000-0005-0000-0000-00008F100000}"/>
    <cellStyle name="Input [yellow] 24 3 2" xfId="3758" xr:uid="{00000000-0005-0000-0000-000090100000}"/>
    <cellStyle name="Input [yellow] 24 4" xfId="2300" xr:uid="{00000000-0005-0000-0000-000091100000}"/>
    <cellStyle name="Input [yellow] 24 4 2" xfId="4544" xr:uid="{00000000-0005-0000-0000-000092100000}"/>
    <cellStyle name="Input [yellow] 25" xfId="312" xr:uid="{00000000-0005-0000-0000-000093100000}"/>
    <cellStyle name="Input [yellow] 25 2" xfId="765" xr:uid="{00000000-0005-0000-0000-000094100000}"/>
    <cellStyle name="Input [yellow] 25 2 2" xfId="1588" xr:uid="{00000000-0005-0000-0000-000095100000}"/>
    <cellStyle name="Input [yellow] 25 2 2 2" xfId="3832" xr:uid="{00000000-0005-0000-0000-000096100000}"/>
    <cellStyle name="Input [yellow] 25 2 3" xfId="3046" xr:uid="{00000000-0005-0000-0000-000097100000}"/>
    <cellStyle name="Input [yellow] 25 3" xfId="1515" xr:uid="{00000000-0005-0000-0000-000098100000}"/>
    <cellStyle name="Input [yellow] 25 3 2" xfId="3759" xr:uid="{00000000-0005-0000-0000-000099100000}"/>
    <cellStyle name="Input [yellow] 25 4" xfId="2301" xr:uid="{00000000-0005-0000-0000-00009A100000}"/>
    <cellStyle name="Input [yellow] 25 4 2" xfId="4545" xr:uid="{00000000-0005-0000-0000-00009B100000}"/>
    <cellStyle name="Input [yellow] 26" xfId="313" xr:uid="{00000000-0005-0000-0000-00009C100000}"/>
    <cellStyle name="Input [yellow] 26 2" xfId="766" xr:uid="{00000000-0005-0000-0000-00009D100000}"/>
    <cellStyle name="Input [yellow] 26 2 2" xfId="1589" xr:uid="{00000000-0005-0000-0000-00009E100000}"/>
    <cellStyle name="Input [yellow] 26 2 2 2" xfId="3833" xr:uid="{00000000-0005-0000-0000-00009F100000}"/>
    <cellStyle name="Input [yellow] 26 2 3" xfId="3047" xr:uid="{00000000-0005-0000-0000-0000A0100000}"/>
    <cellStyle name="Input [yellow] 26 3" xfId="1516" xr:uid="{00000000-0005-0000-0000-0000A1100000}"/>
    <cellStyle name="Input [yellow] 26 3 2" xfId="3760" xr:uid="{00000000-0005-0000-0000-0000A2100000}"/>
    <cellStyle name="Input [yellow] 26 4" xfId="2302" xr:uid="{00000000-0005-0000-0000-0000A3100000}"/>
    <cellStyle name="Input [yellow] 26 4 2" xfId="4546" xr:uid="{00000000-0005-0000-0000-0000A4100000}"/>
    <cellStyle name="Input [yellow] 27" xfId="314" xr:uid="{00000000-0005-0000-0000-0000A5100000}"/>
    <cellStyle name="Input [yellow] 27 2" xfId="767" xr:uid="{00000000-0005-0000-0000-0000A6100000}"/>
    <cellStyle name="Input [yellow] 27 2 2" xfId="1590" xr:uid="{00000000-0005-0000-0000-0000A7100000}"/>
    <cellStyle name="Input [yellow] 27 2 2 2" xfId="3834" xr:uid="{00000000-0005-0000-0000-0000A8100000}"/>
    <cellStyle name="Input [yellow] 27 2 3" xfId="3048" xr:uid="{00000000-0005-0000-0000-0000A9100000}"/>
    <cellStyle name="Input [yellow] 27 3" xfId="1517" xr:uid="{00000000-0005-0000-0000-0000AA100000}"/>
    <cellStyle name="Input [yellow] 27 3 2" xfId="3761" xr:uid="{00000000-0005-0000-0000-0000AB100000}"/>
    <cellStyle name="Input [yellow] 27 4" xfId="2303" xr:uid="{00000000-0005-0000-0000-0000AC100000}"/>
    <cellStyle name="Input [yellow] 27 4 2" xfId="4547" xr:uid="{00000000-0005-0000-0000-0000AD100000}"/>
    <cellStyle name="Input [yellow] 28" xfId="315" xr:uid="{00000000-0005-0000-0000-0000AE100000}"/>
    <cellStyle name="Input [yellow] 28 2" xfId="768" xr:uid="{00000000-0005-0000-0000-0000AF100000}"/>
    <cellStyle name="Input [yellow] 28 2 2" xfId="1591" xr:uid="{00000000-0005-0000-0000-0000B0100000}"/>
    <cellStyle name="Input [yellow] 28 2 2 2" xfId="3835" xr:uid="{00000000-0005-0000-0000-0000B1100000}"/>
    <cellStyle name="Input [yellow] 28 2 3" xfId="3049" xr:uid="{00000000-0005-0000-0000-0000B2100000}"/>
    <cellStyle name="Input [yellow] 28 3" xfId="1518" xr:uid="{00000000-0005-0000-0000-0000B3100000}"/>
    <cellStyle name="Input [yellow] 28 3 2" xfId="3762" xr:uid="{00000000-0005-0000-0000-0000B4100000}"/>
    <cellStyle name="Input [yellow] 28 4" xfId="2304" xr:uid="{00000000-0005-0000-0000-0000B5100000}"/>
    <cellStyle name="Input [yellow] 28 4 2" xfId="4548" xr:uid="{00000000-0005-0000-0000-0000B6100000}"/>
    <cellStyle name="Input [yellow] 29" xfId="316" xr:uid="{00000000-0005-0000-0000-0000B7100000}"/>
    <cellStyle name="Input [yellow] 29 2" xfId="769" xr:uid="{00000000-0005-0000-0000-0000B8100000}"/>
    <cellStyle name="Input [yellow] 29 2 2" xfId="1592" xr:uid="{00000000-0005-0000-0000-0000B9100000}"/>
    <cellStyle name="Input [yellow] 29 2 2 2" xfId="3836" xr:uid="{00000000-0005-0000-0000-0000BA100000}"/>
    <cellStyle name="Input [yellow] 29 2 3" xfId="3050" xr:uid="{00000000-0005-0000-0000-0000BB100000}"/>
    <cellStyle name="Input [yellow] 29 3" xfId="1519" xr:uid="{00000000-0005-0000-0000-0000BC100000}"/>
    <cellStyle name="Input [yellow] 29 3 2" xfId="3763" xr:uid="{00000000-0005-0000-0000-0000BD100000}"/>
    <cellStyle name="Input [yellow] 29 4" xfId="2305" xr:uid="{00000000-0005-0000-0000-0000BE100000}"/>
    <cellStyle name="Input [yellow] 29 4 2" xfId="4549" xr:uid="{00000000-0005-0000-0000-0000BF100000}"/>
    <cellStyle name="Input [yellow] 3" xfId="317" xr:uid="{00000000-0005-0000-0000-0000C0100000}"/>
    <cellStyle name="Input [yellow] 3 2" xfId="770" xr:uid="{00000000-0005-0000-0000-0000C1100000}"/>
    <cellStyle name="Input [yellow] 3 2 2" xfId="1593" xr:uid="{00000000-0005-0000-0000-0000C2100000}"/>
    <cellStyle name="Input [yellow] 3 2 2 2" xfId="3837" xr:uid="{00000000-0005-0000-0000-0000C3100000}"/>
    <cellStyle name="Input [yellow] 3 2 3" xfId="3051" xr:uid="{00000000-0005-0000-0000-0000C4100000}"/>
    <cellStyle name="Input [yellow] 3 3" xfId="1520" xr:uid="{00000000-0005-0000-0000-0000C5100000}"/>
    <cellStyle name="Input [yellow] 3 3 2" xfId="3764" xr:uid="{00000000-0005-0000-0000-0000C6100000}"/>
    <cellStyle name="Input [yellow] 3 4" xfId="2306" xr:uid="{00000000-0005-0000-0000-0000C7100000}"/>
    <cellStyle name="Input [yellow] 3 4 2" xfId="4550" xr:uid="{00000000-0005-0000-0000-0000C8100000}"/>
    <cellStyle name="Input [yellow] 30" xfId="318" xr:uid="{00000000-0005-0000-0000-0000C9100000}"/>
    <cellStyle name="Input [yellow] 30 2" xfId="771" xr:uid="{00000000-0005-0000-0000-0000CA100000}"/>
    <cellStyle name="Input [yellow] 30 2 2" xfId="1594" xr:uid="{00000000-0005-0000-0000-0000CB100000}"/>
    <cellStyle name="Input [yellow] 30 2 2 2" xfId="3838" xr:uid="{00000000-0005-0000-0000-0000CC100000}"/>
    <cellStyle name="Input [yellow] 30 2 3" xfId="3052" xr:uid="{00000000-0005-0000-0000-0000CD100000}"/>
    <cellStyle name="Input [yellow] 30 3" xfId="1521" xr:uid="{00000000-0005-0000-0000-0000CE100000}"/>
    <cellStyle name="Input [yellow] 30 3 2" xfId="3765" xr:uid="{00000000-0005-0000-0000-0000CF100000}"/>
    <cellStyle name="Input [yellow] 30 4" xfId="2307" xr:uid="{00000000-0005-0000-0000-0000D0100000}"/>
    <cellStyle name="Input [yellow] 30 4 2" xfId="4551" xr:uid="{00000000-0005-0000-0000-0000D1100000}"/>
    <cellStyle name="Input [yellow] 31" xfId="319" xr:uid="{00000000-0005-0000-0000-0000D2100000}"/>
    <cellStyle name="Input [yellow] 31 2" xfId="772" xr:uid="{00000000-0005-0000-0000-0000D3100000}"/>
    <cellStyle name="Input [yellow] 31 2 2" xfId="1595" xr:uid="{00000000-0005-0000-0000-0000D4100000}"/>
    <cellStyle name="Input [yellow] 31 2 2 2" xfId="3839" xr:uid="{00000000-0005-0000-0000-0000D5100000}"/>
    <cellStyle name="Input [yellow] 31 2 3" xfId="3053" xr:uid="{00000000-0005-0000-0000-0000D6100000}"/>
    <cellStyle name="Input [yellow] 31 3" xfId="1522" xr:uid="{00000000-0005-0000-0000-0000D7100000}"/>
    <cellStyle name="Input [yellow] 31 3 2" xfId="3766" xr:uid="{00000000-0005-0000-0000-0000D8100000}"/>
    <cellStyle name="Input [yellow] 31 4" xfId="2308" xr:uid="{00000000-0005-0000-0000-0000D9100000}"/>
    <cellStyle name="Input [yellow] 31 4 2" xfId="4552" xr:uid="{00000000-0005-0000-0000-0000DA100000}"/>
    <cellStyle name="Input [yellow] 32" xfId="320" xr:uid="{00000000-0005-0000-0000-0000DB100000}"/>
    <cellStyle name="Input [yellow] 32 2" xfId="773" xr:uid="{00000000-0005-0000-0000-0000DC100000}"/>
    <cellStyle name="Input [yellow] 32 2 2" xfId="1596" xr:uid="{00000000-0005-0000-0000-0000DD100000}"/>
    <cellStyle name="Input [yellow] 32 2 2 2" xfId="3840" xr:uid="{00000000-0005-0000-0000-0000DE100000}"/>
    <cellStyle name="Input [yellow] 32 2 3" xfId="3054" xr:uid="{00000000-0005-0000-0000-0000DF100000}"/>
    <cellStyle name="Input [yellow] 32 3" xfId="1523" xr:uid="{00000000-0005-0000-0000-0000E0100000}"/>
    <cellStyle name="Input [yellow] 32 3 2" xfId="3767" xr:uid="{00000000-0005-0000-0000-0000E1100000}"/>
    <cellStyle name="Input [yellow] 32 4" xfId="2309" xr:uid="{00000000-0005-0000-0000-0000E2100000}"/>
    <cellStyle name="Input [yellow] 32 4 2" xfId="4553" xr:uid="{00000000-0005-0000-0000-0000E3100000}"/>
    <cellStyle name="Input [yellow] 33" xfId="321" xr:uid="{00000000-0005-0000-0000-0000E4100000}"/>
    <cellStyle name="Input [yellow] 33 2" xfId="774" xr:uid="{00000000-0005-0000-0000-0000E5100000}"/>
    <cellStyle name="Input [yellow] 33 2 2" xfId="1597" xr:uid="{00000000-0005-0000-0000-0000E6100000}"/>
    <cellStyle name="Input [yellow] 33 2 2 2" xfId="3841" xr:uid="{00000000-0005-0000-0000-0000E7100000}"/>
    <cellStyle name="Input [yellow] 33 2 3" xfId="3055" xr:uid="{00000000-0005-0000-0000-0000E8100000}"/>
    <cellStyle name="Input [yellow] 33 3" xfId="1524" xr:uid="{00000000-0005-0000-0000-0000E9100000}"/>
    <cellStyle name="Input [yellow] 33 3 2" xfId="3768" xr:uid="{00000000-0005-0000-0000-0000EA100000}"/>
    <cellStyle name="Input [yellow] 33 4" xfId="2310" xr:uid="{00000000-0005-0000-0000-0000EB100000}"/>
    <cellStyle name="Input [yellow] 33 4 2" xfId="4554" xr:uid="{00000000-0005-0000-0000-0000EC100000}"/>
    <cellStyle name="Input [yellow] 34" xfId="322" xr:uid="{00000000-0005-0000-0000-0000ED100000}"/>
    <cellStyle name="Input [yellow] 34 2" xfId="775" xr:uid="{00000000-0005-0000-0000-0000EE100000}"/>
    <cellStyle name="Input [yellow] 34 2 2" xfId="1598" xr:uid="{00000000-0005-0000-0000-0000EF100000}"/>
    <cellStyle name="Input [yellow] 34 2 2 2" xfId="3842" xr:uid="{00000000-0005-0000-0000-0000F0100000}"/>
    <cellStyle name="Input [yellow] 34 2 3" xfId="3056" xr:uid="{00000000-0005-0000-0000-0000F1100000}"/>
    <cellStyle name="Input [yellow] 34 3" xfId="1525" xr:uid="{00000000-0005-0000-0000-0000F2100000}"/>
    <cellStyle name="Input [yellow] 34 3 2" xfId="3769" xr:uid="{00000000-0005-0000-0000-0000F3100000}"/>
    <cellStyle name="Input [yellow] 34 4" xfId="2311" xr:uid="{00000000-0005-0000-0000-0000F4100000}"/>
    <cellStyle name="Input [yellow] 34 4 2" xfId="4555" xr:uid="{00000000-0005-0000-0000-0000F5100000}"/>
    <cellStyle name="Input [yellow] 35" xfId="323" xr:uid="{00000000-0005-0000-0000-0000F6100000}"/>
    <cellStyle name="Input [yellow] 35 2" xfId="776" xr:uid="{00000000-0005-0000-0000-0000F7100000}"/>
    <cellStyle name="Input [yellow] 35 2 2" xfId="1599" xr:uid="{00000000-0005-0000-0000-0000F8100000}"/>
    <cellStyle name="Input [yellow] 35 2 2 2" xfId="3843" xr:uid="{00000000-0005-0000-0000-0000F9100000}"/>
    <cellStyle name="Input [yellow] 35 2 3" xfId="3057" xr:uid="{00000000-0005-0000-0000-0000FA100000}"/>
    <cellStyle name="Input [yellow] 35 3" xfId="1526" xr:uid="{00000000-0005-0000-0000-0000FB100000}"/>
    <cellStyle name="Input [yellow] 35 3 2" xfId="3770" xr:uid="{00000000-0005-0000-0000-0000FC100000}"/>
    <cellStyle name="Input [yellow] 35 4" xfId="2312" xr:uid="{00000000-0005-0000-0000-0000FD100000}"/>
    <cellStyle name="Input [yellow] 35 4 2" xfId="4556" xr:uid="{00000000-0005-0000-0000-0000FE100000}"/>
    <cellStyle name="Input [yellow] 36" xfId="324" xr:uid="{00000000-0005-0000-0000-0000FF100000}"/>
    <cellStyle name="Input [yellow] 36 2" xfId="777" xr:uid="{00000000-0005-0000-0000-000000110000}"/>
    <cellStyle name="Input [yellow] 36 2 2" xfId="1600" xr:uid="{00000000-0005-0000-0000-000001110000}"/>
    <cellStyle name="Input [yellow] 36 2 2 2" xfId="3844" xr:uid="{00000000-0005-0000-0000-000002110000}"/>
    <cellStyle name="Input [yellow] 36 2 3" xfId="3058" xr:uid="{00000000-0005-0000-0000-000003110000}"/>
    <cellStyle name="Input [yellow] 36 3" xfId="1527" xr:uid="{00000000-0005-0000-0000-000004110000}"/>
    <cellStyle name="Input [yellow] 36 3 2" xfId="3771" xr:uid="{00000000-0005-0000-0000-000005110000}"/>
    <cellStyle name="Input [yellow] 36 4" xfId="2313" xr:uid="{00000000-0005-0000-0000-000006110000}"/>
    <cellStyle name="Input [yellow] 36 4 2" xfId="4557" xr:uid="{00000000-0005-0000-0000-000007110000}"/>
    <cellStyle name="Input [yellow] 37" xfId="325" xr:uid="{00000000-0005-0000-0000-000008110000}"/>
    <cellStyle name="Input [yellow] 37 2" xfId="778" xr:uid="{00000000-0005-0000-0000-000009110000}"/>
    <cellStyle name="Input [yellow] 37 2 2" xfId="1601" xr:uid="{00000000-0005-0000-0000-00000A110000}"/>
    <cellStyle name="Input [yellow] 37 2 2 2" xfId="3845" xr:uid="{00000000-0005-0000-0000-00000B110000}"/>
    <cellStyle name="Input [yellow] 37 2 3" xfId="3059" xr:uid="{00000000-0005-0000-0000-00000C110000}"/>
    <cellStyle name="Input [yellow] 37 3" xfId="1528" xr:uid="{00000000-0005-0000-0000-00000D110000}"/>
    <cellStyle name="Input [yellow] 37 3 2" xfId="3772" xr:uid="{00000000-0005-0000-0000-00000E110000}"/>
    <cellStyle name="Input [yellow] 37 4" xfId="2314" xr:uid="{00000000-0005-0000-0000-00000F110000}"/>
    <cellStyle name="Input [yellow] 37 4 2" xfId="4558" xr:uid="{00000000-0005-0000-0000-000010110000}"/>
    <cellStyle name="Input [yellow] 38" xfId="326" xr:uid="{00000000-0005-0000-0000-000011110000}"/>
    <cellStyle name="Input [yellow] 38 2" xfId="779" xr:uid="{00000000-0005-0000-0000-000012110000}"/>
    <cellStyle name="Input [yellow] 38 2 2" xfId="1602" xr:uid="{00000000-0005-0000-0000-000013110000}"/>
    <cellStyle name="Input [yellow] 38 2 2 2" xfId="3846" xr:uid="{00000000-0005-0000-0000-000014110000}"/>
    <cellStyle name="Input [yellow] 38 2 3" xfId="3060" xr:uid="{00000000-0005-0000-0000-000015110000}"/>
    <cellStyle name="Input [yellow] 38 3" xfId="1529" xr:uid="{00000000-0005-0000-0000-000016110000}"/>
    <cellStyle name="Input [yellow] 38 3 2" xfId="3773" xr:uid="{00000000-0005-0000-0000-000017110000}"/>
    <cellStyle name="Input [yellow] 38 4" xfId="2315" xr:uid="{00000000-0005-0000-0000-000018110000}"/>
    <cellStyle name="Input [yellow] 38 4 2" xfId="4559" xr:uid="{00000000-0005-0000-0000-000019110000}"/>
    <cellStyle name="Input [yellow] 39" xfId="327" xr:uid="{00000000-0005-0000-0000-00001A110000}"/>
    <cellStyle name="Input [yellow] 39 2" xfId="780" xr:uid="{00000000-0005-0000-0000-00001B110000}"/>
    <cellStyle name="Input [yellow] 39 2 2" xfId="1603" xr:uid="{00000000-0005-0000-0000-00001C110000}"/>
    <cellStyle name="Input [yellow] 39 2 2 2" xfId="3847" xr:uid="{00000000-0005-0000-0000-00001D110000}"/>
    <cellStyle name="Input [yellow] 39 2 3" xfId="3061" xr:uid="{00000000-0005-0000-0000-00001E110000}"/>
    <cellStyle name="Input [yellow] 39 3" xfId="1530" xr:uid="{00000000-0005-0000-0000-00001F110000}"/>
    <cellStyle name="Input [yellow] 39 3 2" xfId="3774" xr:uid="{00000000-0005-0000-0000-000020110000}"/>
    <cellStyle name="Input [yellow] 39 4" xfId="2316" xr:uid="{00000000-0005-0000-0000-000021110000}"/>
    <cellStyle name="Input [yellow] 39 4 2" xfId="4560" xr:uid="{00000000-0005-0000-0000-000022110000}"/>
    <cellStyle name="Input [yellow] 4" xfId="328" xr:uid="{00000000-0005-0000-0000-000023110000}"/>
    <cellStyle name="Input [yellow] 4 2" xfId="781" xr:uid="{00000000-0005-0000-0000-000024110000}"/>
    <cellStyle name="Input [yellow] 4 2 2" xfId="1604" xr:uid="{00000000-0005-0000-0000-000025110000}"/>
    <cellStyle name="Input [yellow] 4 2 2 2" xfId="3848" xr:uid="{00000000-0005-0000-0000-000026110000}"/>
    <cellStyle name="Input [yellow] 4 2 3" xfId="3062" xr:uid="{00000000-0005-0000-0000-000027110000}"/>
    <cellStyle name="Input [yellow] 4 3" xfId="1531" xr:uid="{00000000-0005-0000-0000-000028110000}"/>
    <cellStyle name="Input [yellow] 4 3 2" xfId="3775" xr:uid="{00000000-0005-0000-0000-000029110000}"/>
    <cellStyle name="Input [yellow] 4 4" xfId="2317" xr:uid="{00000000-0005-0000-0000-00002A110000}"/>
    <cellStyle name="Input [yellow] 4 4 2" xfId="4561" xr:uid="{00000000-0005-0000-0000-00002B110000}"/>
    <cellStyle name="Input [yellow] 40" xfId="329" xr:uid="{00000000-0005-0000-0000-00002C110000}"/>
    <cellStyle name="Input [yellow] 40 2" xfId="782" xr:uid="{00000000-0005-0000-0000-00002D110000}"/>
    <cellStyle name="Input [yellow] 40 2 2" xfId="1605" xr:uid="{00000000-0005-0000-0000-00002E110000}"/>
    <cellStyle name="Input [yellow] 40 2 2 2" xfId="3849" xr:uid="{00000000-0005-0000-0000-00002F110000}"/>
    <cellStyle name="Input [yellow] 40 2 3" xfId="3063" xr:uid="{00000000-0005-0000-0000-000030110000}"/>
    <cellStyle name="Input [yellow] 40 3" xfId="1532" xr:uid="{00000000-0005-0000-0000-000031110000}"/>
    <cellStyle name="Input [yellow] 40 3 2" xfId="3776" xr:uid="{00000000-0005-0000-0000-000032110000}"/>
    <cellStyle name="Input [yellow] 40 4" xfId="2318" xr:uid="{00000000-0005-0000-0000-000033110000}"/>
    <cellStyle name="Input [yellow] 40 4 2" xfId="4562" xr:uid="{00000000-0005-0000-0000-000034110000}"/>
    <cellStyle name="Input [yellow] 41" xfId="330" xr:uid="{00000000-0005-0000-0000-000035110000}"/>
    <cellStyle name="Input [yellow] 41 2" xfId="783" xr:uid="{00000000-0005-0000-0000-000036110000}"/>
    <cellStyle name="Input [yellow] 41 2 2" xfId="1606" xr:uid="{00000000-0005-0000-0000-000037110000}"/>
    <cellStyle name="Input [yellow] 41 2 2 2" xfId="3850" xr:uid="{00000000-0005-0000-0000-000038110000}"/>
    <cellStyle name="Input [yellow] 41 2 3" xfId="3064" xr:uid="{00000000-0005-0000-0000-000039110000}"/>
    <cellStyle name="Input [yellow] 41 3" xfId="1533" xr:uid="{00000000-0005-0000-0000-00003A110000}"/>
    <cellStyle name="Input [yellow] 41 3 2" xfId="3777" xr:uid="{00000000-0005-0000-0000-00003B110000}"/>
    <cellStyle name="Input [yellow] 41 4" xfId="2319" xr:uid="{00000000-0005-0000-0000-00003C110000}"/>
    <cellStyle name="Input [yellow] 41 4 2" xfId="4563" xr:uid="{00000000-0005-0000-0000-00003D110000}"/>
    <cellStyle name="Input [yellow] 42" xfId="331" xr:uid="{00000000-0005-0000-0000-00003E110000}"/>
    <cellStyle name="Input [yellow] 42 2" xfId="784" xr:uid="{00000000-0005-0000-0000-00003F110000}"/>
    <cellStyle name="Input [yellow] 42 2 2" xfId="1607" xr:uid="{00000000-0005-0000-0000-000040110000}"/>
    <cellStyle name="Input [yellow] 42 2 2 2" xfId="3851" xr:uid="{00000000-0005-0000-0000-000041110000}"/>
    <cellStyle name="Input [yellow] 42 2 3" xfId="3065" xr:uid="{00000000-0005-0000-0000-000042110000}"/>
    <cellStyle name="Input [yellow] 42 3" xfId="1534" xr:uid="{00000000-0005-0000-0000-000043110000}"/>
    <cellStyle name="Input [yellow] 42 3 2" xfId="3778" xr:uid="{00000000-0005-0000-0000-000044110000}"/>
    <cellStyle name="Input [yellow] 42 4" xfId="2320" xr:uid="{00000000-0005-0000-0000-000045110000}"/>
    <cellStyle name="Input [yellow] 42 4 2" xfId="4564" xr:uid="{00000000-0005-0000-0000-000046110000}"/>
    <cellStyle name="Input [yellow] 43" xfId="332" xr:uid="{00000000-0005-0000-0000-000047110000}"/>
    <cellStyle name="Input [yellow] 43 2" xfId="785" xr:uid="{00000000-0005-0000-0000-000048110000}"/>
    <cellStyle name="Input [yellow] 43 2 2" xfId="1608" xr:uid="{00000000-0005-0000-0000-000049110000}"/>
    <cellStyle name="Input [yellow] 43 2 2 2" xfId="3852" xr:uid="{00000000-0005-0000-0000-00004A110000}"/>
    <cellStyle name="Input [yellow] 43 2 3" xfId="3066" xr:uid="{00000000-0005-0000-0000-00004B110000}"/>
    <cellStyle name="Input [yellow] 43 3" xfId="1535" xr:uid="{00000000-0005-0000-0000-00004C110000}"/>
    <cellStyle name="Input [yellow] 43 3 2" xfId="3779" xr:uid="{00000000-0005-0000-0000-00004D110000}"/>
    <cellStyle name="Input [yellow] 43 4" xfId="2321" xr:uid="{00000000-0005-0000-0000-00004E110000}"/>
    <cellStyle name="Input [yellow] 43 4 2" xfId="4565" xr:uid="{00000000-0005-0000-0000-00004F110000}"/>
    <cellStyle name="Input [yellow] 44" xfId="333" xr:uid="{00000000-0005-0000-0000-000050110000}"/>
    <cellStyle name="Input [yellow] 44 2" xfId="786" xr:uid="{00000000-0005-0000-0000-000051110000}"/>
    <cellStyle name="Input [yellow] 44 2 2" xfId="1609" xr:uid="{00000000-0005-0000-0000-000052110000}"/>
    <cellStyle name="Input [yellow] 44 2 2 2" xfId="3853" xr:uid="{00000000-0005-0000-0000-000053110000}"/>
    <cellStyle name="Input [yellow] 44 2 3" xfId="3067" xr:uid="{00000000-0005-0000-0000-000054110000}"/>
    <cellStyle name="Input [yellow] 44 3" xfId="1536" xr:uid="{00000000-0005-0000-0000-000055110000}"/>
    <cellStyle name="Input [yellow] 44 3 2" xfId="3780" xr:uid="{00000000-0005-0000-0000-000056110000}"/>
    <cellStyle name="Input [yellow] 44 4" xfId="2322" xr:uid="{00000000-0005-0000-0000-000057110000}"/>
    <cellStyle name="Input [yellow] 44 4 2" xfId="4566" xr:uid="{00000000-0005-0000-0000-000058110000}"/>
    <cellStyle name="Input [yellow] 45" xfId="334" xr:uid="{00000000-0005-0000-0000-000059110000}"/>
    <cellStyle name="Input [yellow] 45 2" xfId="787" xr:uid="{00000000-0005-0000-0000-00005A110000}"/>
    <cellStyle name="Input [yellow] 45 2 2" xfId="1610" xr:uid="{00000000-0005-0000-0000-00005B110000}"/>
    <cellStyle name="Input [yellow] 45 2 2 2" xfId="3854" xr:uid="{00000000-0005-0000-0000-00005C110000}"/>
    <cellStyle name="Input [yellow] 45 2 3" xfId="3068" xr:uid="{00000000-0005-0000-0000-00005D110000}"/>
    <cellStyle name="Input [yellow] 45 3" xfId="1537" xr:uid="{00000000-0005-0000-0000-00005E110000}"/>
    <cellStyle name="Input [yellow] 45 3 2" xfId="3781" xr:uid="{00000000-0005-0000-0000-00005F110000}"/>
    <cellStyle name="Input [yellow] 45 4" xfId="2323" xr:uid="{00000000-0005-0000-0000-000060110000}"/>
    <cellStyle name="Input [yellow] 45 4 2" xfId="4567" xr:uid="{00000000-0005-0000-0000-000061110000}"/>
    <cellStyle name="Input [yellow] 46" xfId="335" xr:uid="{00000000-0005-0000-0000-000062110000}"/>
    <cellStyle name="Input [yellow] 46 2" xfId="788" xr:uid="{00000000-0005-0000-0000-000063110000}"/>
    <cellStyle name="Input [yellow] 46 2 2" xfId="1611" xr:uid="{00000000-0005-0000-0000-000064110000}"/>
    <cellStyle name="Input [yellow] 46 2 2 2" xfId="3855" xr:uid="{00000000-0005-0000-0000-000065110000}"/>
    <cellStyle name="Input [yellow] 46 2 3" xfId="3069" xr:uid="{00000000-0005-0000-0000-000066110000}"/>
    <cellStyle name="Input [yellow] 46 3" xfId="1538" xr:uid="{00000000-0005-0000-0000-000067110000}"/>
    <cellStyle name="Input [yellow] 46 3 2" xfId="3782" xr:uid="{00000000-0005-0000-0000-000068110000}"/>
    <cellStyle name="Input [yellow] 46 4" xfId="2324" xr:uid="{00000000-0005-0000-0000-000069110000}"/>
    <cellStyle name="Input [yellow] 46 4 2" xfId="4568" xr:uid="{00000000-0005-0000-0000-00006A110000}"/>
    <cellStyle name="Input [yellow] 47" xfId="336" xr:uid="{00000000-0005-0000-0000-00006B110000}"/>
    <cellStyle name="Input [yellow] 47 2" xfId="789" xr:uid="{00000000-0005-0000-0000-00006C110000}"/>
    <cellStyle name="Input [yellow] 47 2 2" xfId="1612" xr:uid="{00000000-0005-0000-0000-00006D110000}"/>
    <cellStyle name="Input [yellow] 47 2 2 2" xfId="3856" xr:uid="{00000000-0005-0000-0000-00006E110000}"/>
    <cellStyle name="Input [yellow] 47 2 3" xfId="3070" xr:uid="{00000000-0005-0000-0000-00006F110000}"/>
    <cellStyle name="Input [yellow] 47 3" xfId="1539" xr:uid="{00000000-0005-0000-0000-000070110000}"/>
    <cellStyle name="Input [yellow] 47 3 2" xfId="3783" xr:uid="{00000000-0005-0000-0000-000071110000}"/>
    <cellStyle name="Input [yellow] 47 4" xfId="2325" xr:uid="{00000000-0005-0000-0000-000072110000}"/>
    <cellStyle name="Input [yellow] 47 4 2" xfId="4569" xr:uid="{00000000-0005-0000-0000-000073110000}"/>
    <cellStyle name="Input [yellow] 48" xfId="337" xr:uid="{00000000-0005-0000-0000-000074110000}"/>
    <cellStyle name="Input [yellow] 48 2" xfId="790" xr:uid="{00000000-0005-0000-0000-000075110000}"/>
    <cellStyle name="Input [yellow] 48 2 2" xfId="1613" xr:uid="{00000000-0005-0000-0000-000076110000}"/>
    <cellStyle name="Input [yellow] 48 2 2 2" xfId="3857" xr:uid="{00000000-0005-0000-0000-000077110000}"/>
    <cellStyle name="Input [yellow] 48 2 3" xfId="3071" xr:uid="{00000000-0005-0000-0000-000078110000}"/>
    <cellStyle name="Input [yellow] 48 3" xfId="1540" xr:uid="{00000000-0005-0000-0000-000079110000}"/>
    <cellStyle name="Input [yellow] 48 3 2" xfId="3784" xr:uid="{00000000-0005-0000-0000-00007A110000}"/>
    <cellStyle name="Input [yellow] 48 4" xfId="2326" xr:uid="{00000000-0005-0000-0000-00007B110000}"/>
    <cellStyle name="Input [yellow] 48 4 2" xfId="4570" xr:uid="{00000000-0005-0000-0000-00007C110000}"/>
    <cellStyle name="Input [yellow] 49" xfId="338" xr:uid="{00000000-0005-0000-0000-00007D110000}"/>
    <cellStyle name="Input [yellow] 49 2" xfId="791" xr:uid="{00000000-0005-0000-0000-00007E110000}"/>
    <cellStyle name="Input [yellow] 49 2 2" xfId="1614" xr:uid="{00000000-0005-0000-0000-00007F110000}"/>
    <cellStyle name="Input [yellow] 49 2 2 2" xfId="3858" xr:uid="{00000000-0005-0000-0000-000080110000}"/>
    <cellStyle name="Input [yellow] 49 2 3" xfId="3072" xr:uid="{00000000-0005-0000-0000-000081110000}"/>
    <cellStyle name="Input [yellow] 49 3" xfId="1541" xr:uid="{00000000-0005-0000-0000-000082110000}"/>
    <cellStyle name="Input [yellow] 49 3 2" xfId="3785" xr:uid="{00000000-0005-0000-0000-000083110000}"/>
    <cellStyle name="Input [yellow] 49 4" xfId="2327" xr:uid="{00000000-0005-0000-0000-000084110000}"/>
    <cellStyle name="Input [yellow] 49 4 2" xfId="4571" xr:uid="{00000000-0005-0000-0000-000085110000}"/>
    <cellStyle name="Input [yellow] 5" xfId="339" xr:uid="{00000000-0005-0000-0000-000086110000}"/>
    <cellStyle name="Input [yellow] 5 2" xfId="792" xr:uid="{00000000-0005-0000-0000-000087110000}"/>
    <cellStyle name="Input [yellow] 5 2 2" xfId="1615" xr:uid="{00000000-0005-0000-0000-000088110000}"/>
    <cellStyle name="Input [yellow] 5 2 2 2" xfId="3859" xr:uid="{00000000-0005-0000-0000-000089110000}"/>
    <cellStyle name="Input [yellow] 5 2 3" xfId="3073" xr:uid="{00000000-0005-0000-0000-00008A110000}"/>
    <cellStyle name="Input [yellow] 5 3" xfId="1542" xr:uid="{00000000-0005-0000-0000-00008B110000}"/>
    <cellStyle name="Input [yellow] 5 3 2" xfId="3786" xr:uid="{00000000-0005-0000-0000-00008C110000}"/>
    <cellStyle name="Input [yellow] 5 4" xfId="2328" xr:uid="{00000000-0005-0000-0000-00008D110000}"/>
    <cellStyle name="Input [yellow] 5 4 2" xfId="4572" xr:uid="{00000000-0005-0000-0000-00008E110000}"/>
    <cellStyle name="Input [yellow] 50" xfId="340" xr:uid="{00000000-0005-0000-0000-00008F110000}"/>
    <cellStyle name="Input [yellow] 50 2" xfId="793" xr:uid="{00000000-0005-0000-0000-000090110000}"/>
    <cellStyle name="Input [yellow] 50 2 2" xfId="1616" xr:uid="{00000000-0005-0000-0000-000091110000}"/>
    <cellStyle name="Input [yellow] 50 2 2 2" xfId="3860" xr:uid="{00000000-0005-0000-0000-000092110000}"/>
    <cellStyle name="Input [yellow] 50 2 3" xfId="3074" xr:uid="{00000000-0005-0000-0000-000093110000}"/>
    <cellStyle name="Input [yellow] 50 3" xfId="1543" xr:uid="{00000000-0005-0000-0000-000094110000}"/>
    <cellStyle name="Input [yellow] 50 3 2" xfId="3787" xr:uid="{00000000-0005-0000-0000-000095110000}"/>
    <cellStyle name="Input [yellow] 50 4" xfId="2329" xr:uid="{00000000-0005-0000-0000-000096110000}"/>
    <cellStyle name="Input [yellow] 50 4 2" xfId="4573" xr:uid="{00000000-0005-0000-0000-000097110000}"/>
    <cellStyle name="Input [yellow] 51" xfId="341" xr:uid="{00000000-0005-0000-0000-000098110000}"/>
    <cellStyle name="Input [yellow] 51 2" xfId="794" xr:uid="{00000000-0005-0000-0000-000099110000}"/>
    <cellStyle name="Input [yellow] 51 2 2" xfId="1617" xr:uid="{00000000-0005-0000-0000-00009A110000}"/>
    <cellStyle name="Input [yellow] 51 2 2 2" xfId="3861" xr:uid="{00000000-0005-0000-0000-00009B110000}"/>
    <cellStyle name="Input [yellow] 51 2 3" xfId="3075" xr:uid="{00000000-0005-0000-0000-00009C110000}"/>
    <cellStyle name="Input [yellow] 51 3" xfId="1544" xr:uid="{00000000-0005-0000-0000-00009D110000}"/>
    <cellStyle name="Input [yellow] 51 3 2" xfId="3788" xr:uid="{00000000-0005-0000-0000-00009E110000}"/>
    <cellStyle name="Input [yellow] 51 4" xfId="2330" xr:uid="{00000000-0005-0000-0000-00009F110000}"/>
    <cellStyle name="Input [yellow] 51 4 2" xfId="4574" xr:uid="{00000000-0005-0000-0000-0000A0110000}"/>
    <cellStyle name="Input [yellow] 52" xfId="342" xr:uid="{00000000-0005-0000-0000-0000A1110000}"/>
    <cellStyle name="Input [yellow] 52 2" xfId="795" xr:uid="{00000000-0005-0000-0000-0000A2110000}"/>
    <cellStyle name="Input [yellow] 52 2 2" xfId="1618" xr:uid="{00000000-0005-0000-0000-0000A3110000}"/>
    <cellStyle name="Input [yellow] 52 2 2 2" xfId="3862" xr:uid="{00000000-0005-0000-0000-0000A4110000}"/>
    <cellStyle name="Input [yellow] 52 2 3" xfId="3076" xr:uid="{00000000-0005-0000-0000-0000A5110000}"/>
    <cellStyle name="Input [yellow] 52 3" xfId="1545" xr:uid="{00000000-0005-0000-0000-0000A6110000}"/>
    <cellStyle name="Input [yellow] 52 3 2" xfId="3789" xr:uid="{00000000-0005-0000-0000-0000A7110000}"/>
    <cellStyle name="Input [yellow] 52 4" xfId="2331" xr:uid="{00000000-0005-0000-0000-0000A8110000}"/>
    <cellStyle name="Input [yellow] 52 4 2" xfId="4575" xr:uid="{00000000-0005-0000-0000-0000A9110000}"/>
    <cellStyle name="Input [yellow] 53" xfId="343" xr:uid="{00000000-0005-0000-0000-0000AA110000}"/>
    <cellStyle name="Input [yellow] 54" xfId="747" xr:uid="{00000000-0005-0000-0000-0000AB110000}"/>
    <cellStyle name="Input [yellow] 54 2" xfId="1570" xr:uid="{00000000-0005-0000-0000-0000AC110000}"/>
    <cellStyle name="Input [yellow] 54 2 2" xfId="3814" xr:uid="{00000000-0005-0000-0000-0000AD110000}"/>
    <cellStyle name="Input [yellow] 54 3" xfId="3028" xr:uid="{00000000-0005-0000-0000-0000AE110000}"/>
    <cellStyle name="Input [yellow] 55" xfId="1497" xr:uid="{00000000-0005-0000-0000-0000AF110000}"/>
    <cellStyle name="Input [yellow] 55 2" xfId="3741" xr:uid="{00000000-0005-0000-0000-0000B0110000}"/>
    <cellStyle name="Input [yellow] 56" xfId="2283" xr:uid="{00000000-0005-0000-0000-0000B1110000}"/>
    <cellStyle name="Input [yellow] 56 2" xfId="4527" xr:uid="{00000000-0005-0000-0000-0000B2110000}"/>
    <cellStyle name="Input [yellow] 6" xfId="344" xr:uid="{00000000-0005-0000-0000-0000B3110000}"/>
    <cellStyle name="Input [yellow] 6 2" xfId="796" xr:uid="{00000000-0005-0000-0000-0000B4110000}"/>
    <cellStyle name="Input [yellow] 6 2 2" xfId="1619" xr:uid="{00000000-0005-0000-0000-0000B5110000}"/>
    <cellStyle name="Input [yellow] 6 2 2 2" xfId="3863" xr:uid="{00000000-0005-0000-0000-0000B6110000}"/>
    <cellStyle name="Input [yellow] 6 2 3" xfId="3077" xr:uid="{00000000-0005-0000-0000-0000B7110000}"/>
    <cellStyle name="Input [yellow] 6 3" xfId="1546" xr:uid="{00000000-0005-0000-0000-0000B8110000}"/>
    <cellStyle name="Input [yellow] 6 3 2" xfId="3790" xr:uid="{00000000-0005-0000-0000-0000B9110000}"/>
    <cellStyle name="Input [yellow] 6 4" xfId="2332" xr:uid="{00000000-0005-0000-0000-0000BA110000}"/>
    <cellStyle name="Input [yellow] 6 4 2" xfId="4576" xr:uid="{00000000-0005-0000-0000-0000BB110000}"/>
    <cellStyle name="Input [yellow] 7" xfId="345" xr:uid="{00000000-0005-0000-0000-0000BC110000}"/>
    <cellStyle name="Input [yellow] 7 2" xfId="797" xr:uid="{00000000-0005-0000-0000-0000BD110000}"/>
    <cellStyle name="Input [yellow] 7 2 2" xfId="1620" xr:uid="{00000000-0005-0000-0000-0000BE110000}"/>
    <cellStyle name="Input [yellow] 7 2 2 2" xfId="3864" xr:uid="{00000000-0005-0000-0000-0000BF110000}"/>
    <cellStyle name="Input [yellow] 7 2 3" xfId="3078" xr:uid="{00000000-0005-0000-0000-0000C0110000}"/>
    <cellStyle name="Input [yellow] 7 3" xfId="1547" xr:uid="{00000000-0005-0000-0000-0000C1110000}"/>
    <cellStyle name="Input [yellow] 7 3 2" xfId="3791" xr:uid="{00000000-0005-0000-0000-0000C2110000}"/>
    <cellStyle name="Input [yellow] 7 4" xfId="2333" xr:uid="{00000000-0005-0000-0000-0000C3110000}"/>
    <cellStyle name="Input [yellow] 7 4 2" xfId="4577" xr:uid="{00000000-0005-0000-0000-0000C4110000}"/>
    <cellStyle name="Input [yellow] 8" xfId="346" xr:uid="{00000000-0005-0000-0000-0000C5110000}"/>
    <cellStyle name="Input [yellow] 8 2" xfId="798" xr:uid="{00000000-0005-0000-0000-0000C6110000}"/>
    <cellStyle name="Input [yellow] 8 2 2" xfId="1621" xr:uid="{00000000-0005-0000-0000-0000C7110000}"/>
    <cellStyle name="Input [yellow] 8 2 2 2" xfId="3865" xr:uid="{00000000-0005-0000-0000-0000C8110000}"/>
    <cellStyle name="Input [yellow] 8 2 3" xfId="3079" xr:uid="{00000000-0005-0000-0000-0000C9110000}"/>
    <cellStyle name="Input [yellow] 8 3" xfId="1548" xr:uid="{00000000-0005-0000-0000-0000CA110000}"/>
    <cellStyle name="Input [yellow] 8 3 2" xfId="3792" xr:uid="{00000000-0005-0000-0000-0000CB110000}"/>
    <cellStyle name="Input [yellow] 8 4" xfId="2334" xr:uid="{00000000-0005-0000-0000-0000CC110000}"/>
    <cellStyle name="Input [yellow] 8 4 2" xfId="4578" xr:uid="{00000000-0005-0000-0000-0000CD110000}"/>
    <cellStyle name="Input [yellow] 9" xfId="347" xr:uid="{00000000-0005-0000-0000-0000CE110000}"/>
    <cellStyle name="Input [yellow] 9 2" xfId="799" xr:uid="{00000000-0005-0000-0000-0000CF110000}"/>
    <cellStyle name="Input [yellow] 9 2 2" xfId="1622" xr:uid="{00000000-0005-0000-0000-0000D0110000}"/>
    <cellStyle name="Input [yellow] 9 2 2 2" xfId="3866" xr:uid="{00000000-0005-0000-0000-0000D1110000}"/>
    <cellStyle name="Input [yellow] 9 2 3" xfId="3080" xr:uid="{00000000-0005-0000-0000-0000D2110000}"/>
    <cellStyle name="Input [yellow] 9 3" xfId="1549" xr:uid="{00000000-0005-0000-0000-0000D3110000}"/>
    <cellStyle name="Input [yellow] 9 3 2" xfId="3793" xr:uid="{00000000-0005-0000-0000-0000D4110000}"/>
    <cellStyle name="Input [yellow] 9 4" xfId="2335" xr:uid="{00000000-0005-0000-0000-0000D5110000}"/>
    <cellStyle name="Input [yellow] 9 4 2" xfId="4579" xr:uid="{00000000-0005-0000-0000-0000D6110000}"/>
    <cellStyle name="Link Currency (0)" xfId="348" xr:uid="{00000000-0005-0000-0000-0000D7110000}"/>
    <cellStyle name="Link Currency (2)" xfId="349" xr:uid="{00000000-0005-0000-0000-0000D8110000}"/>
    <cellStyle name="Link Units (0)" xfId="350" xr:uid="{00000000-0005-0000-0000-0000D9110000}"/>
    <cellStyle name="Link Units (1)" xfId="351" xr:uid="{00000000-0005-0000-0000-0000DA110000}"/>
    <cellStyle name="Link Units (2)" xfId="352" xr:uid="{00000000-0005-0000-0000-0000DB110000}"/>
    <cellStyle name="Model" xfId="353" xr:uid="{00000000-0005-0000-0000-0000DC110000}"/>
    <cellStyle name="Model 2" xfId="354" xr:uid="{00000000-0005-0000-0000-0000DD110000}"/>
    <cellStyle name="no dec" xfId="355" xr:uid="{00000000-0005-0000-0000-0000DE110000}"/>
    <cellStyle name="Normal" xfId="0" builtinId="0"/>
    <cellStyle name="Normal - Style1" xfId="356" xr:uid="{00000000-0005-0000-0000-0000E0110000}"/>
    <cellStyle name="Normal - Style1 2" xfId="357" xr:uid="{00000000-0005-0000-0000-0000E1110000}"/>
    <cellStyle name="Normal 10" xfId="358" xr:uid="{00000000-0005-0000-0000-0000E2110000}"/>
    <cellStyle name="Normal 10 10" xfId="359" xr:uid="{00000000-0005-0000-0000-0000E3110000}"/>
    <cellStyle name="Normal 10 11" xfId="360" xr:uid="{00000000-0005-0000-0000-0000E4110000}"/>
    <cellStyle name="Normal 10 12" xfId="361" xr:uid="{00000000-0005-0000-0000-0000E5110000}"/>
    <cellStyle name="Normal 10 13" xfId="362" xr:uid="{00000000-0005-0000-0000-0000E6110000}"/>
    <cellStyle name="Normal 10 14" xfId="363" xr:uid="{00000000-0005-0000-0000-0000E7110000}"/>
    <cellStyle name="Normal 10 15" xfId="364" xr:uid="{00000000-0005-0000-0000-0000E8110000}"/>
    <cellStyle name="Normal 10 16" xfId="365" xr:uid="{00000000-0005-0000-0000-0000E9110000}"/>
    <cellStyle name="Normal 10 17" xfId="366" xr:uid="{00000000-0005-0000-0000-0000EA110000}"/>
    <cellStyle name="Normal 10 18" xfId="367" xr:uid="{00000000-0005-0000-0000-0000EB110000}"/>
    <cellStyle name="Normal 10 19" xfId="368" xr:uid="{00000000-0005-0000-0000-0000EC110000}"/>
    <cellStyle name="Normal 10 2" xfId="369" xr:uid="{00000000-0005-0000-0000-0000ED110000}"/>
    <cellStyle name="Normal 10 2 2" xfId="1320" xr:uid="{00000000-0005-0000-0000-0000EE110000}"/>
    <cellStyle name="Normal 10 20" xfId="370" xr:uid="{00000000-0005-0000-0000-0000EF110000}"/>
    <cellStyle name="Normal 10 21" xfId="371" xr:uid="{00000000-0005-0000-0000-0000F0110000}"/>
    <cellStyle name="Normal 10 3" xfId="372" xr:uid="{00000000-0005-0000-0000-0000F1110000}"/>
    <cellStyle name="Normal 10 4" xfId="373" xr:uid="{00000000-0005-0000-0000-0000F2110000}"/>
    <cellStyle name="Normal 10 5" xfId="374" xr:uid="{00000000-0005-0000-0000-0000F3110000}"/>
    <cellStyle name="Normal 10 6" xfId="375" xr:uid="{00000000-0005-0000-0000-0000F4110000}"/>
    <cellStyle name="Normal 10 7" xfId="376" xr:uid="{00000000-0005-0000-0000-0000F5110000}"/>
    <cellStyle name="Normal 10 8" xfId="377" xr:uid="{00000000-0005-0000-0000-0000F6110000}"/>
    <cellStyle name="Normal 10 9" xfId="378" xr:uid="{00000000-0005-0000-0000-0000F7110000}"/>
    <cellStyle name="Normal 10_BS S-Sch" xfId="379" xr:uid="{00000000-0005-0000-0000-0000F8110000}"/>
    <cellStyle name="Normal 11" xfId="380" xr:uid="{00000000-0005-0000-0000-0000F9110000}"/>
    <cellStyle name="Normal 11 10" xfId="381" xr:uid="{00000000-0005-0000-0000-0000FA110000}"/>
    <cellStyle name="Normal 11 11" xfId="382" xr:uid="{00000000-0005-0000-0000-0000FB110000}"/>
    <cellStyle name="Normal 11 12" xfId="383" xr:uid="{00000000-0005-0000-0000-0000FC110000}"/>
    <cellStyle name="Normal 11 13" xfId="384" xr:uid="{00000000-0005-0000-0000-0000FD110000}"/>
    <cellStyle name="Normal 11 14" xfId="385" xr:uid="{00000000-0005-0000-0000-0000FE110000}"/>
    <cellStyle name="Normal 11 15" xfId="386" xr:uid="{00000000-0005-0000-0000-0000FF110000}"/>
    <cellStyle name="Normal 11 16" xfId="387" xr:uid="{00000000-0005-0000-0000-000000120000}"/>
    <cellStyle name="Normal 11 17" xfId="388" xr:uid="{00000000-0005-0000-0000-000001120000}"/>
    <cellStyle name="Normal 11 18" xfId="389" xr:uid="{00000000-0005-0000-0000-000002120000}"/>
    <cellStyle name="Normal 11 19" xfId="390" xr:uid="{00000000-0005-0000-0000-000003120000}"/>
    <cellStyle name="Normal 11 2" xfId="391" xr:uid="{00000000-0005-0000-0000-000004120000}"/>
    <cellStyle name="Normal 11 20" xfId="392" xr:uid="{00000000-0005-0000-0000-000005120000}"/>
    <cellStyle name="Normal 11 21" xfId="393" xr:uid="{00000000-0005-0000-0000-000006120000}"/>
    <cellStyle name="Normal 11 3" xfId="394" xr:uid="{00000000-0005-0000-0000-000007120000}"/>
    <cellStyle name="Normal 11 4" xfId="395" xr:uid="{00000000-0005-0000-0000-000008120000}"/>
    <cellStyle name="Normal 11 5" xfId="396" xr:uid="{00000000-0005-0000-0000-000009120000}"/>
    <cellStyle name="Normal 11 6" xfId="397" xr:uid="{00000000-0005-0000-0000-00000A120000}"/>
    <cellStyle name="Normal 11 7" xfId="398" xr:uid="{00000000-0005-0000-0000-00000B120000}"/>
    <cellStyle name="Normal 11 8" xfId="399" xr:uid="{00000000-0005-0000-0000-00000C120000}"/>
    <cellStyle name="Normal 11 9" xfId="400" xr:uid="{00000000-0005-0000-0000-00000D120000}"/>
    <cellStyle name="Normal 11_BS S-Sch" xfId="401" xr:uid="{00000000-0005-0000-0000-00000E120000}"/>
    <cellStyle name="Normal 12" xfId="402" xr:uid="{00000000-0005-0000-0000-00000F120000}"/>
    <cellStyle name="Normal 13" xfId="403" xr:uid="{00000000-0005-0000-0000-000010120000}"/>
    <cellStyle name="Normal 14" xfId="404" xr:uid="{00000000-0005-0000-0000-000011120000}"/>
    <cellStyle name="Normal 15" xfId="32" xr:uid="{00000000-0005-0000-0000-000012120000}"/>
    <cellStyle name="Normal 15 2" xfId="405" xr:uid="{00000000-0005-0000-0000-000013120000}"/>
    <cellStyle name="Normal 16" xfId="406" xr:uid="{00000000-0005-0000-0000-000014120000}"/>
    <cellStyle name="Normal 17" xfId="407" xr:uid="{00000000-0005-0000-0000-000015120000}"/>
    <cellStyle name="Normal 18" xfId="408" xr:uid="{00000000-0005-0000-0000-000016120000}"/>
    <cellStyle name="Normal 18 10" xfId="409" xr:uid="{00000000-0005-0000-0000-000017120000}"/>
    <cellStyle name="Normal 18 11" xfId="410" xr:uid="{00000000-0005-0000-0000-000018120000}"/>
    <cellStyle name="Normal 18 12" xfId="411" xr:uid="{00000000-0005-0000-0000-000019120000}"/>
    <cellStyle name="Normal 18 13" xfId="412" xr:uid="{00000000-0005-0000-0000-00001A120000}"/>
    <cellStyle name="Normal 18 14" xfId="413" xr:uid="{00000000-0005-0000-0000-00001B120000}"/>
    <cellStyle name="Normal 18 15" xfId="414" xr:uid="{00000000-0005-0000-0000-00001C120000}"/>
    <cellStyle name="Normal 18 16" xfId="415" xr:uid="{00000000-0005-0000-0000-00001D120000}"/>
    <cellStyle name="Normal 18 17" xfId="416" xr:uid="{00000000-0005-0000-0000-00001E120000}"/>
    <cellStyle name="Normal 18 18" xfId="417" xr:uid="{00000000-0005-0000-0000-00001F120000}"/>
    <cellStyle name="Normal 18 19" xfId="418" xr:uid="{00000000-0005-0000-0000-000020120000}"/>
    <cellStyle name="Normal 18 2" xfId="419" xr:uid="{00000000-0005-0000-0000-000021120000}"/>
    <cellStyle name="Normal 18 20" xfId="420" xr:uid="{00000000-0005-0000-0000-000022120000}"/>
    <cellStyle name="Normal 18 21" xfId="421" xr:uid="{00000000-0005-0000-0000-000023120000}"/>
    <cellStyle name="Normal 18 3" xfId="422" xr:uid="{00000000-0005-0000-0000-000024120000}"/>
    <cellStyle name="Normal 18 4" xfId="423" xr:uid="{00000000-0005-0000-0000-000025120000}"/>
    <cellStyle name="Normal 18 5" xfId="424" xr:uid="{00000000-0005-0000-0000-000026120000}"/>
    <cellStyle name="Normal 18 6" xfId="425" xr:uid="{00000000-0005-0000-0000-000027120000}"/>
    <cellStyle name="Normal 18 7" xfId="426" xr:uid="{00000000-0005-0000-0000-000028120000}"/>
    <cellStyle name="Normal 18 8" xfId="427" xr:uid="{00000000-0005-0000-0000-000029120000}"/>
    <cellStyle name="Normal 18 9" xfId="428" xr:uid="{00000000-0005-0000-0000-00002A120000}"/>
    <cellStyle name="Normal 18_BS S-Sch" xfId="429" xr:uid="{00000000-0005-0000-0000-00002B120000}"/>
    <cellStyle name="Normal 183 2" xfId="5093" xr:uid="{00000000-0005-0000-0000-00002C120000}"/>
    <cellStyle name="Normal 19" xfId="599" xr:uid="{00000000-0005-0000-0000-00002D120000}"/>
    <cellStyle name="Normal 2" xfId="11" xr:uid="{00000000-0005-0000-0000-00002E120000}"/>
    <cellStyle name="Normal 2 10" xfId="430" xr:uid="{00000000-0005-0000-0000-00002F120000}"/>
    <cellStyle name="Normal 2 11" xfId="431" xr:uid="{00000000-0005-0000-0000-000030120000}"/>
    <cellStyle name="Normal 2 12" xfId="432" xr:uid="{00000000-0005-0000-0000-000031120000}"/>
    <cellStyle name="Normal 2 13" xfId="433" xr:uid="{00000000-0005-0000-0000-000032120000}"/>
    <cellStyle name="Normal 2 14" xfId="434" xr:uid="{00000000-0005-0000-0000-000033120000}"/>
    <cellStyle name="Normal 2 15" xfId="435" xr:uid="{00000000-0005-0000-0000-000034120000}"/>
    <cellStyle name="Normal 2 16" xfId="436" xr:uid="{00000000-0005-0000-0000-000035120000}"/>
    <cellStyle name="Normal 2 17" xfId="437" xr:uid="{00000000-0005-0000-0000-000036120000}"/>
    <cellStyle name="Normal 2 18" xfId="438" xr:uid="{00000000-0005-0000-0000-000037120000}"/>
    <cellStyle name="Normal 2 19" xfId="439" xr:uid="{00000000-0005-0000-0000-000038120000}"/>
    <cellStyle name="Normal 2 2" xfId="33" xr:uid="{00000000-0005-0000-0000-000039120000}"/>
    <cellStyle name="Normal 2 2 2" xfId="440" xr:uid="{00000000-0005-0000-0000-00003A120000}"/>
    <cellStyle name="Normal 2 20" xfId="441" xr:uid="{00000000-0005-0000-0000-00003B120000}"/>
    <cellStyle name="Normal 2 21" xfId="442" xr:uid="{00000000-0005-0000-0000-00003C120000}"/>
    <cellStyle name="Normal 2 22" xfId="443" xr:uid="{00000000-0005-0000-0000-00003D120000}"/>
    <cellStyle name="Normal 2 23" xfId="444" xr:uid="{00000000-0005-0000-0000-00003E120000}"/>
    <cellStyle name="Normal 2 24" xfId="445" xr:uid="{00000000-0005-0000-0000-00003F120000}"/>
    <cellStyle name="Normal 2 25" xfId="446" xr:uid="{00000000-0005-0000-0000-000040120000}"/>
    <cellStyle name="Normal 2 26" xfId="447" xr:uid="{00000000-0005-0000-0000-000041120000}"/>
    <cellStyle name="Normal 2 27" xfId="448" xr:uid="{00000000-0005-0000-0000-000042120000}"/>
    <cellStyle name="Normal 2 28" xfId="449" xr:uid="{00000000-0005-0000-0000-000043120000}"/>
    <cellStyle name="Normal 2 29" xfId="450" xr:uid="{00000000-0005-0000-0000-000044120000}"/>
    <cellStyle name="Normal 2 3" xfId="451" xr:uid="{00000000-0005-0000-0000-000045120000}"/>
    <cellStyle name="Normal 2 30" xfId="452" xr:uid="{00000000-0005-0000-0000-000046120000}"/>
    <cellStyle name="Normal 2 31" xfId="453" xr:uid="{00000000-0005-0000-0000-000047120000}"/>
    <cellStyle name="Normal 2 32" xfId="454" xr:uid="{00000000-0005-0000-0000-000048120000}"/>
    <cellStyle name="Normal 2 33" xfId="455" xr:uid="{00000000-0005-0000-0000-000049120000}"/>
    <cellStyle name="Normal 2 34" xfId="456" xr:uid="{00000000-0005-0000-0000-00004A120000}"/>
    <cellStyle name="Normal 2 35" xfId="457" xr:uid="{00000000-0005-0000-0000-00004B120000}"/>
    <cellStyle name="Normal 2 36" xfId="458" xr:uid="{00000000-0005-0000-0000-00004C120000}"/>
    <cellStyle name="Normal 2 37" xfId="459" xr:uid="{00000000-0005-0000-0000-00004D120000}"/>
    <cellStyle name="Normal 2 38" xfId="460" xr:uid="{00000000-0005-0000-0000-00004E120000}"/>
    <cellStyle name="Normal 2 39" xfId="461" xr:uid="{00000000-0005-0000-0000-00004F120000}"/>
    <cellStyle name="Normal 2 4" xfId="462" xr:uid="{00000000-0005-0000-0000-000050120000}"/>
    <cellStyle name="Normal 2 40" xfId="463" xr:uid="{00000000-0005-0000-0000-000051120000}"/>
    <cellStyle name="Normal 2 41" xfId="464" xr:uid="{00000000-0005-0000-0000-000052120000}"/>
    <cellStyle name="Normal 2 42" xfId="465" xr:uid="{00000000-0005-0000-0000-000053120000}"/>
    <cellStyle name="Normal 2 43" xfId="466" xr:uid="{00000000-0005-0000-0000-000054120000}"/>
    <cellStyle name="Normal 2 44" xfId="467" xr:uid="{00000000-0005-0000-0000-000055120000}"/>
    <cellStyle name="Normal 2 45" xfId="468" xr:uid="{00000000-0005-0000-0000-000056120000}"/>
    <cellStyle name="Normal 2 46" xfId="469" xr:uid="{00000000-0005-0000-0000-000057120000}"/>
    <cellStyle name="Normal 2 47" xfId="470" xr:uid="{00000000-0005-0000-0000-000058120000}"/>
    <cellStyle name="Normal 2 48" xfId="471" xr:uid="{00000000-0005-0000-0000-000059120000}"/>
    <cellStyle name="Normal 2 49" xfId="472" xr:uid="{00000000-0005-0000-0000-00005A120000}"/>
    <cellStyle name="Normal 2 5" xfId="473" xr:uid="{00000000-0005-0000-0000-00005B120000}"/>
    <cellStyle name="Normal 2 50" xfId="474" xr:uid="{00000000-0005-0000-0000-00005C120000}"/>
    <cellStyle name="Normal 2 51" xfId="475" xr:uid="{00000000-0005-0000-0000-00005D120000}"/>
    <cellStyle name="Normal 2 52" xfId="476" xr:uid="{00000000-0005-0000-0000-00005E120000}"/>
    <cellStyle name="Normal 2 53" xfId="477" xr:uid="{00000000-0005-0000-0000-00005F120000}"/>
    <cellStyle name="Normal 2 54" xfId="478" xr:uid="{00000000-0005-0000-0000-000060120000}"/>
    <cellStyle name="Normal 2 55" xfId="479" xr:uid="{00000000-0005-0000-0000-000061120000}"/>
    <cellStyle name="Normal 2 56" xfId="480" xr:uid="{00000000-0005-0000-0000-000062120000}"/>
    <cellStyle name="Normal 2 57" xfId="481" xr:uid="{00000000-0005-0000-0000-000063120000}"/>
    <cellStyle name="Normal 2 58" xfId="482" xr:uid="{00000000-0005-0000-0000-000064120000}"/>
    <cellStyle name="Normal 2 59" xfId="483" xr:uid="{00000000-0005-0000-0000-000065120000}"/>
    <cellStyle name="Normal 2 6" xfId="484" xr:uid="{00000000-0005-0000-0000-000066120000}"/>
    <cellStyle name="Normal 2 60" xfId="485" xr:uid="{00000000-0005-0000-0000-000067120000}"/>
    <cellStyle name="Normal 2 61" xfId="486" xr:uid="{00000000-0005-0000-0000-000068120000}"/>
    <cellStyle name="Normal 2 62" xfId="487" xr:uid="{00000000-0005-0000-0000-000069120000}"/>
    <cellStyle name="Normal 2 63" xfId="488" xr:uid="{00000000-0005-0000-0000-00006A120000}"/>
    <cellStyle name="Normal 2 64" xfId="489" xr:uid="{00000000-0005-0000-0000-00006B120000}"/>
    <cellStyle name="Normal 2 65" xfId="490" xr:uid="{00000000-0005-0000-0000-00006C120000}"/>
    <cellStyle name="Normal 2 66" xfId="491" xr:uid="{00000000-0005-0000-0000-00006D120000}"/>
    <cellStyle name="Normal 2 67" xfId="492" xr:uid="{00000000-0005-0000-0000-00006E120000}"/>
    <cellStyle name="Normal 2 68" xfId="493" xr:uid="{00000000-0005-0000-0000-00006F120000}"/>
    <cellStyle name="Normal 2 69" xfId="494" xr:uid="{00000000-0005-0000-0000-000070120000}"/>
    <cellStyle name="Normal 2 7" xfId="495" xr:uid="{00000000-0005-0000-0000-000071120000}"/>
    <cellStyle name="Normal 2 70" xfId="496" xr:uid="{00000000-0005-0000-0000-000072120000}"/>
    <cellStyle name="Normal 2 71" xfId="497" xr:uid="{00000000-0005-0000-0000-000073120000}"/>
    <cellStyle name="Normal 2 72" xfId="498" xr:uid="{00000000-0005-0000-0000-000074120000}"/>
    <cellStyle name="Normal 2 73" xfId="499" xr:uid="{00000000-0005-0000-0000-000075120000}"/>
    <cellStyle name="Normal 2 74" xfId="500" xr:uid="{00000000-0005-0000-0000-000076120000}"/>
    <cellStyle name="Normal 2 75" xfId="501" xr:uid="{00000000-0005-0000-0000-000077120000}"/>
    <cellStyle name="Normal 2 76" xfId="502" xr:uid="{00000000-0005-0000-0000-000078120000}"/>
    <cellStyle name="Normal 2 77" xfId="503" xr:uid="{00000000-0005-0000-0000-000079120000}"/>
    <cellStyle name="Normal 2 78" xfId="504" xr:uid="{00000000-0005-0000-0000-00007A120000}"/>
    <cellStyle name="Normal 2 79" xfId="505" xr:uid="{00000000-0005-0000-0000-00007B120000}"/>
    <cellStyle name="Normal 2 8" xfId="506" xr:uid="{00000000-0005-0000-0000-00007C120000}"/>
    <cellStyle name="Normal 2 80" xfId="507" xr:uid="{00000000-0005-0000-0000-00007D120000}"/>
    <cellStyle name="Normal 2 81" xfId="508" xr:uid="{00000000-0005-0000-0000-00007E120000}"/>
    <cellStyle name="Normal 2 82" xfId="509" xr:uid="{00000000-0005-0000-0000-00007F120000}"/>
    <cellStyle name="Normal 2 83" xfId="510" xr:uid="{00000000-0005-0000-0000-000080120000}"/>
    <cellStyle name="Normal 2 84" xfId="511" xr:uid="{00000000-0005-0000-0000-000081120000}"/>
    <cellStyle name="Normal 2 85" xfId="512" xr:uid="{00000000-0005-0000-0000-000082120000}"/>
    <cellStyle name="Normal 2 86" xfId="513" xr:uid="{00000000-0005-0000-0000-000083120000}"/>
    <cellStyle name="Normal 2 87" xfId="514" xr:uid="{00000000-0005-0000-0000-000084120000}"/>
    <cellStyle name="Normal 2 88" xfId="515" xr:uid="{00000000-0005-0000-0000-000085120000}"/>
    <cellStyle name="Normal 2 89" xfId="516" xr:uid="{00000000-0005-0000-0000-000086120000}"/>
    <cellStyle name="Normal 2 9" xfId="517" xr:uid="{00000000-0005-0000-0000-000087120000}"/>
    <cellStyle name="Normal 2 90" xfId="5096" xr:uid="{00000000-0005-0000-0000-000088120000}"/>
    <cellStyle name="Normal 2_BS S-Sch" xfId="518" xr:uid="{00000000-0005-0000-0000-000089120000}"/>
    <cellStyle name="Normal 20" xfId="519" xr:uid="{00000000-0005-0000-0000-00008A120000}"/>
    <cellStyle name="Normal 21" xfId="818" xr:uid="{00000000-0005-0000-0000-00008B120000}"/>
    <cellStyle name="Normal 22" xfId="819" xr:uid="{00000000-0005-0000-0000-00008C120000}"/>
    <cellStyle name="Normal 23" xfId="820" xr:uid="{00000000-0005-0000-0000-00008D120000}"/>
    <cellStyle name="Normal 24" xfId="822" xr:uid="{00000000-0005-0000-0000-00008E120000}"/>
    <cellStyle name="Normal 25" xfId="520" xr:uid="{00000000-0005-0000-0000-00008F120000}"/>
    <cellStyle name="Normal 26" xfId="521" xr:uid="{00000000-0005-0000-0000-000090120000}"/>
    <cellStyle name="Normal 27" xfId="823" xr:uid="{00000000-0005-0000-0000-000091120000}"/>
    <cellStyle name="Normal 28" xfId="725" xr:uid="{00000000-0005-0000-0000-000092120000}"/>
    <cellStyle name="Normal 29" xfId="830" xr:uid="{00000000-0005-0000-0000-000093120000}"/>
    <cellStyle name="Normal 3" xfId="4" xr:uid="{00000000-0005-0000-0000-000094120000}"/>
    <cellStyle name="Normal 3 10" xfId="522" xr:uid="{00000000-0005-0000-0000-000095120000}"/>
    <cellStyle name="Normal 3 11" xfId="523" xr:uid="{00000000-0005-0000-0000-000096120000}"/>
    <cellStyle name="Normal 3 12" xfId="524" xr:uid="{00000000-0005-0000-0000-000097120000}"/>
    <cellStyle name="Normal 3 13" xfId="525" xr:uid="{00000000-0005-0000-0000-000098120000}"/>
    <cellStyle name="Normal 3 14" xfId="526" xr:uid="{00000000-0005-0000-0000-000099120000}"/>
    <cellStyle name="Normal 3 15" xfId="527" xr:uid="{00000000-0005-0000-0000-00009A120000}"/>
    <cellStyle name="Normal 3 16" xfId="528" xr:uid="{00000000-0005-0000-0000-00009B120000}"/>
    <cellStyle name="Normal 3 17" xfId="529" xr:uid="{00000000-0005-0000-0000-00009C120000}"/>
    <cellStyle name="Normal 3 18" xfId="530" xr:uid="{00000000-0005-0000-0000-00009D120000}"/>
    <cellStyle name="Normal 3 19" xfId="531" xr:uid="{00000000-0005-0000-0000-00009E120000}"/>
    <cellStyle name="Normal 3 2" xfId="25" xr:uid="{00000000-0005-0000-0000-00009F120000}"/>
    <cellStyle name="Normal 3 2 2" xfId="35" xr:uid="{00000000-0005-0000-0000-0000A0120000}"/>
    <cellStyle name="Normal 3 2 3" xfId="532" xr:uid="{00000000-0005-0000-0000-0000A1120000}"/>
    <cellStyle name="Normal 3 20" xfId="533" xr:uid="{00000000-0005-0000-0000-0000A2120000}"/>
    <cellStyle name="Normal 3 21" xfId="534" xr:uid="{00000000-0005-0000-0000-0000A3120000}"/>
    <cellStyle name="Normal 3 22" xfId="535" xr:uid="{00000000-0005-0000-0000-0000A4120000}"/>
    <cellStyle name="Normal 3 23" xfId="536" xr:uid="{00000000-0005-0000-0000-0000A5120000}"/>
    <cellStyle name="Normal 3 24" xfId="537" xr:uid="{00000000-0005-0000-0000-0000A6120000}"/>
    <cellStyle name="Normal 3 25" xfId="538" xr:uid="{00000000-0005-0000-0000-0000A7120000}"/>
    <cellStyle name="Normal 3 26" xfId="539" xr:uid="{00000000-0005-0000-0000-0000A8120000}"/>
    <cellStyle name="Normal 3 27" xfId="540" xr:uid="{00000000-0005-0000-0000-0000A9120000}"/>
    <cellStyle name="Normal 3 28" xfId="541" xr:uid="{00000000-0005-0000-0000-0000AA120000}"/>
    <cellStyle name="Normal 3 29" xfId="542" xr:uid="{00000000-0005-0000-0000-0000AB120000}"/>
    <cellStyle name="Normal 3 3" xfId="34" xr:uid="{00000000-0005-0000-0000-0000AC120000}"/>
    <cellStyle name="Normal 3 3 2" xfId="543" xr:uid="{00000000-0005-0000-0000-0000AD120000}"/>
    <cellStyle name="Normal 3 30" xfId="544" xr:uid="{00000000-0005-0000-0000-0000AE120000}"/>
    <cellStyle name="Normal 3 31" xfId="545" xr:uid="{00000000-0005-0000-0000-0000AF120000}"/>
    <cellStyle name="Normal 3 32" xfId="546" xr:uid="{00000000-0005-0000-0000-0000B0120000}"/>
    <cellStyle name="Normal 3 33" xfId="547" xr:uid="{00000000-0005-0000-0000-0000B1120000}"/>
    <cellStyle name="Normal 3 34" xfId="548" xr:uid="{00000000-0005-0000-0000-0000B2120000}"/>
    <cellStyle name="Normal 3 35" xfId="549" xr:uid="{00000000-0005-0000-0000-0000B3120000}"/>
    <cellStyle name="Normal 3 36" xfId="550" xr:uid="{00000000-0005-0000-0000-0000B4120000}"/>
    <cellStyle name="Normal 3 37" xfId="551" xr:uid="{00000000-0005-0000-0000-0000B5120000}"/>
    <cellStyle name="Normal 3 38" xfId="552" xr:uid="{00000000-0005-0000-0000-0000B6120000}"/>
    <cellStyle name="Normal 3 39" xfId="553" xr:uid="{00000000-0005-0000-0000-0000B7120000}"/>
    <cellStyle name="Normal 3 4" xfId="554" xr:uid="{00000000-0005-0000-0000-0000B8120000}"/>
    <cellStyle name="Normal 3 40" xfId="555" xr:uid="{00000000-0005-0000-0000-0000B9120000}"/>
    <cellStyle name="Normal 3 41" xfId="556" xr:uid="{00000000-0005-0000-0000-0000BA120000}"/>
    <cellStyle name="Normal 3 42" xfId="557" xr:uid="{00000000-0005-0000-0000-0000BB120000}"/>
    <cellStyle name="Normal 3 43" xfId="558" xr:uid="{00000000-0005-0000-0000-0000BC120000}"/>
    <cellStyle name="Normal 3 44" xfId="559" xr:uid="{00000000-0005-0000-0000-0000BD120000}"/>
    <cellStyle name="Normal 3 45" xfId="560" xr:uid="{00000000-0005-0000-0000-0000BE120000}"/>
    <cellStyle name="Normal 3 46" xfId="561" xr:uid="{00000000-0005-0000-0000-0000BF120000}"/>
    <cellStyle name="Normal 3 47" xfId="562" xr:uid="{00000000-0005-0000-0000-0000C0120000}"/>
    <cellStyle name="Normal 3 48" xfId="563" xr:uid="{00000000-0005-0000-0000-0000C1120000}"/>
    <cellStyle name="Normal 3 49" xfId="564" xr:uid="{00000000-0005-0000-0000-0000C2120000}"/>
    <cellStyle name="Normal 3 5" xfId="565" xr:uid="{00000000-0005-0000-0000-0000C3120000}"/>
    <cellStyle name="Normal 3 50" xfId="566" xr:uid="{00000000-0005-0000-0000-0000C4120000}"/>
    <cellStyle name="Normal 3 51" xfId="567" xr:uid="{00000000-0005-0000-0000-0000C5120000}"/>
    <cellStyle name="Normal 3 52" xfId="568" xr:uid="{00000000-0005-0000-0000-0000C6120000}"/>
    <cellStyle name="Normal 3 53" xfId="569" xr:uid="{00000000-0005-0000-0000-0000C7120000}"/>
    <cellStyle name="Normal 3 54" xfId="5097" xr:uid="{00000000-0005-0000-0000-0000C8120000}"/>
    <cellStyle name="Normal 3 6" xfId="570" xr:uid="{00000000-0005-0000-0000-0000C9120000}"/>
    <cellStyle name="Normal 3 7" xfId="571" xr:uid="{00000000-0005-0000-0000-0000CA120000}"/>
    <cellStyle name="Normal 3 8" xfId="572" xr:uid="{00000000-0005-0000-0000-0000CB120000}"/>
    <cellStyle name="Normal 3 9" xfId="573" xr:uid="{00000000-0005-0000-0000-0000CC120000}"/>
    <cellStyle name="Normal 30" xfId="726" xr:uid="{00000000-0005-0000-0000-0000CD120000}"/>
    <cellStyle name="Normal 31" xfId="831" xr:uid="{00000000-0005-0000-0000-0000CE120000}"/>
    <cellStyle name="Normal 32" xfId="834" xr:uid="{00000000-0005-0000-0000-0000CF120000}"/>
    <cellStyle name="Normal 33" xfId="574" xr:uid="{00000000-0005-0000-0000-0000D0120000}"/>
    <cellStyle name="Normal 33 10" xfId="575" xr:uid="{00000000-0005-0000-0000-0000D1120000}"/>
    <cellStyle name="Normal 33 11" xfId="576" xr:uid="{00000000-0005-0000-0000-0000D2120000}"/>
    <cellStyle name="Normal 33 12" xfId="577" xr:uid="{00000000-0005-0000-0000-0000D3120000}"/>
    <cellStyle name="Normal 33 13" xfId="578" xr:uid="{00000000-0005-0000-0000-0000D4120000}"/>
    <cellStyle name="Normal 33 14" xfId="579" xr:uid="{00000000-0005-0000-0000-0000D5120000}"/>
    <cellStyle name="Normal 33 15" xfId="580" xr:uid="{00000000-0005-0000-0000-0000D6120000}"/>
    <cellStyle name="Normal 33 16" xfId="581" xr:uid="{00000000-0005-0000-0000-0000D7120000}"/>
    <cellStyle name="Normal 33 17" xfId="582" xr:uid="{00000000-0005-0000-0000-0000D8120000}"/>
    <cellStyle name="Normal 33 18" xfId="583" xr:uid="{00000000-0005-0000-0000-0000D9120000}"/>
    <cellStyle name="Normal 33 19" xfId="584" xr:uid="{00000000-0005-0000-0000-0000DA120000}"/>
    <cellStyle name="Normal 33 2" xfId="585" xr:uid="{00000000-0005-0000-0000-0000DB120000}"/>
    <cellStyle name="Normal 33 20" xfId="586" xr:uid="{00000000-0005-0000-0000-0000DC120000}"/>
    <cellStyle name="Normal 33 21" xfId="587" xr:uid="{00000000-0005-0000-0000-0000DD120000}"/>
    <cellStyle name="Normal 33 3" xfId="588" xr:uid="{00000000-0005-0000-0000-0000DE120000}"/>
    <cellStyle name="Normal 33 4" xfId="589" xr:uid="{00000000-0005-0000-0000-0000DF120000}"/>
    <cellStyle name="Normal 33 5" xfId="590" xr:uid="{00000000-0005-0000-0000-0000E0120000}"/>
    <cellStyle name="Normal 33 6" xfId="591" xr:uid="{00000000-0005-0000-0000-0000E1120000}"/>
    <cellStyle name="Normal 33 7" xfId="592" xr:uid="{00000000-0005-0000-0000-0000E2120000}"/>
    <cellStyle name="Normal 33 8" xfId="593" xr:uid="{00000000-0005-0000-0000-0000E3120000}"/>
    <cellStyle name="Normal 33 9" xfId="594" xr:uid="{00000000-0005-0000-0000-0000E4120000}"/>
    <cellStyle name="Normal 33_BS S-Sch" xfId="595" xr:uid="{00000000-0005-0000-0000-0000E5120000}"/>
    <cellStyle name="Normal 34" xfId="596" xr:uid="{00000000-0005-0000-0000-0000E6120000}"/>
    <cellStyle name="Normal 35" xfId="835" xr:uid="{00000000-0005-0000-0000-0000E7120000}"/>
    <cellStyle name="Normal 36" xfId="597" xr:uid="{00000000-0005-0000-0000-0000E8120000}"/>
    <cellStyle name="Normal 37" xfId="833" xr:uid="{00000000-0005-0000-0000-0000E9120000}"/>
    <cellStyle name="Normal 38" xfId="837" xr:uid="{00000000-0005-0000-0000-0000EA120000}"/>
    <cellStyle name="Normal 39" xfId="598" xr:uid="{00000000-0005-0000-0000-0000EB120000}"/>
    <cellStyle name="Normal 4" xfId="30" xr:uid="{00000000-0005-0000-0000-0000EC120000}"/>
    <cellStyle name="Normal 4 10" xfId="600" xr:uid="{00000000-0005-0000-0000-0000ED120000}"/>
    <cellStyle name="Normal 4 11" xfId="601" xr:uid="{00000000-0005-0000-0000-0000EE120000}"/>
    <cellStyle name="Normal 4 12" xfId="602" xr:uid="{00000000-0005-0000-0000-0000EF120000}"/>
    <cellStyle name="Normal 4 13" xfId="603" xr:uid="{00000000-0005-0000-0000-0000F0120000}"/>
    <cellStyle name="Normal 4 14" xfId="604" xr:uid="{00000000-0005-0000-0000-0000F1120000}"/>
    <cellStyle name="Normal 4 15" xfId="605" xr:uid="{00000000-0005-0000-0000-0000F2120000}"/>
    <cellStyle name="Normal 4 16" xfId="606" xr:uid="{00000000-0005-0000-0000-0000F3120000}"/>
    <cellStyle name="Normal 4 2" xfId="607" xr:uid="{00000000-0005-0000-0000-0000F4120000}"/>
    <cellStyle name="Normal 4 3" xfId="608" xr:uid="{00000000-0005-0000-0000-0000F5120000}"/>
    <cellStyle name="Normal 4 4" xfId="609" xr:uid="{00000000-0005-0000-0000-0000F6120000}"/>
    <cellStyle name="Normal 4 5" xfId="610" xr:uid="{00000000-0005-0000-0000-0000F7120000}"/>
    <cellStyle name="Normal 4 6" xfId="611" xr:uid="{00000000-0005-0000-0000-0000F8120000}"/>
    <cellStyle name="Normal 4 7" xfId="612" xr:uid="{00000000-0005-0000-0000-0000F9120000}"/>
    <cellStyle name="Normal 4 8" xfId="613" xr:uid="{00000000-0005-0000-0000-0000FA120000}"/>
    <cellStyle name="Normal 4 9" xfId="614" xr:uid="{00000000-0005-0000-0000-0000FB120000}"/>
    <cellStyle name="Normal 4_BS S-Sch" xfId="615" xr:uid="{00000000-0005-0000-0000-0000FC120000}"/>
    <cellStyle name="Normal 40" xfId="616" xr:uid="{00000000-0005-0000-0000-0000FD120000}"/>
    <cellStyle name="Normal 41" xfId="838" xr:uid="{00000000-0005-0000-0000-0000FE120000}"/>
    <cellStyle name="Normal 42" xfId="839" xr:uid="{00000000-0005-0000-0000-0000FF120000}"/>
    <cellStyle name="Normal 43" xfId="832" xr:uid="{00000000-0005-0000-0000-000000130000}"/>
    <cellStyle name="Normal 44" xfId="617" xr:uid="{00000000-0005-0000-0000-000001130000}"/>
    <cellStyle name="Normal 45" xfId="840" xr:uid="{00000000-0005-0000-0000-000002130000}"/>
    <cellStyle name="Normal 46" xfId="733" xr:uid="{00000000-0005-0000-0000-000003130000}"/>
    <cellStyle name="Normal 47" xfId="843" xr:uid="{00000000-0005-0000-0000-000004130000}"/>
    <cellStyle name="Normal 48" xfId="845" xr:uid="{00000000-0005-0000-0000-000005130000}"/>
    <cellStyle name="Normal 49" xfId="850" xr:uid="{00000000-0005-0000-0000-000006130000}"/>
    <cellStyle name="Normal 5" xfId="31" xr:uid="{00000000-0005-0000-0000-000007130000}"/>
    <cellStyle name="Normal 5 10" xfId="619" xr:uid="{00000000-0005-0000-0000-000008130000}"/>
    <cellStyle name="Normal 5 11" xfId="620" xr:uid="{00000000-0005-0000-0000-000009130000}"/>
    <cellStyle name="Normal 5 12" xfId="621" xr:uid="{00000000-0005-0000-0000-00000A130000}"/>
    <cellStyle name="Normal 5 13" xfId="622" xr:uid="{00000000-0005-0000-0000-00000B130000}"/>
    <cellStyle name="Normal 5 14" xfId="623" xr:uid="{00000000-0005-0000-0000-00000C130000}"/>
    <cellStyle name="Normal 5 15" xfId="618" xr:uid="{00000000-0005-0000-0000-00000D130000}"/>
    <cellStyle name="Normal 5 2" xfId="624" xr:uid="{00000000-0005-0000-0000-00000E130000}"/>
    <cellStyle name="Normal 5 3" xfId="625" xr:uid="{00000000-0005-0000-0000-00000F130000}"/>
    <cellStyle name="Normal 5 4" xfId="626" xr:uid="{00000000-0005-0000-0000-000010130000}"/>
    <cellStyle name="Normal 5 5" xfId="627" xr:uid="{00000000-0005-0000-0000-000011130000}"/>
    <cellStyle name="Normal 5 6" xfId="628" xr:uid="{00000000-0005-0000-0000-000012130000}"/>
    <cellStyle name="Normal 5 7" xfId="629" xr:uid="{00000000-0005-0000-0000-000013130000}"/>
    <cellStyle name="Normal 5 8" xfId="630" xr:uid="{00000000-0005-0000-0000-000014130000}"/>
    <cellStyle name="Normal 5 9" xfId="631" xr:uid="{00000000-0005-0000-0000-000015130000}"/>
    <cellStyle name="Normal 50" xfId="851" xr:uid="{00000000-0005-0000-0000-000016130000}"/>
    <cellStyle name="Normal 51" xfId="849" xr:uid="{00000000-0005-0000-0000-000017130000}"/>
    <cellStyle name="Normal 57" xfId="632" xr:uid="{00000000-0005-0000-0000-000018130000}"/>
    <cellStyle name="Normal 6" xfId="633" xr:uid="{00000000-0005-0000-0000-000019130000}"/>
    <cellStyle name="Normal 6 2" xfId="634" xr:uid="{00000000-0005-0000-0000-00001A130000}"/>
    <cellStyle name="Normal 6 3" xfId="635" xr:uid="{00000000-0005-0000-0000-00001B130000}"/>
    <cellStyle name="Normal 61" xfId="2830" xr:uid="{00000000-0005-0000-0000-00001C130000}"/>
    <cellStyle name="Normal 7" xfId="636" xr:uid="{00000000-0005-0000-0000-00001D130000}"/>
    <cellStyle name="Normal 7 2" xfId="637" xr:uid="{00000000-0005-0000-0000-00001E130000}"/>
    <cellStyle name="Normal 7 3" xfId="638" xr:uid="{00000000-0005-0000-0000-00001F130000}"/>
    <cellStyle name="Normal 7_BS S-Sch" xfId="639" xr:uid="{00000000-0005-0000-0000-000020130000}"/>
    <cellStyle name="Normal 8" xfId="640" xr:uid="{00000000-0005-0000-0000-000021130000}"/>
    <cellStyle name="Normal 8 2" xfId="641" xr:uid="{00000000-0005-0000-0000-000022130000}"/>
    <cellStyle name="Normal 8_BS S-Sch" xfId="642" xr:uid="{00000000-0005-0000-0000-000023130000}"/>
    <cellStyle name="Normal 9" xfId="643" xr:uid="{00000000-0005-0000-0000-000024130000}"/>
    <cellStyle name="Normal 9 10" xfId="644" xr:uid="{00000000-0005-0000-0000-000025130000}"/>
    <cellStyle name="Normal 9 11" xfId="645" xr:uid="{00000000-0005-0000-0000-000026130000}"/>
    <cellStyle name="Normal 9 12" xfId="646" xr:uid="{00000000-0005-0000-0000-000027130000}"/>
    <cellStyle name="Normal 9 13" xfId="647" xr:uid="{00000000-0005-0000-0000-000028130000}"/>
    <cellStyle name="Normal 9 14" xfId="648" xr:uid="{00000000-0005-0000-0000-000029130000}"/>
    <cellStyle name="Normal 9 15" xfId="649" xr:uid="{00000000-0005-0000-0000-00002A130000}"/>
    <cellStyle name="Normal 9 2" xfId="650" xr:uid="{00000000-0005-0000-0000-00002B130000}"/>
    <cellStyle name="Normal 9 3" xfId="651" xr:uid="{00000000-0005-0000-0000-00002C130000}"/>
    <cellStyle name="Normal 9 4" xfId="652" xr:uid="{00000000-0005-0000-0000-00002D130000}"/>
    <cellStyle name="Normal 9 5" xfId="653" xr:uid="{00000000-0005-0000-0000-00002E130000}"/>
    <cellStyle name="Normal 9 6" xfId="654" xr:uid="{00000000-0005-0000-0000-00002F130000}"/>
    <cellStyle name="Normal 9 7" xfId="655" xr:uid="{00000000-0005-0000-0000-000030130000}"/>
    <cellStyle name="Normal 9 8" xfId="656" xr:uid="{00000000-0005-0000-0000-000031130000}"/>
    <cellStyle name="Normal 9 9" xfId="657" xr:uid="{00000000-0005-0000-0000-000032130000}"/>
    <cellStyle name="Normal 98" xfId="5099" xr:uid="{00000000-0005-0000-0000-000033130000}"/>
    <cellStyle name="Note 2" xfId="658" xr:uid="{00000000-0005-0000-0000-000034130000}"/>
    <cellStyle name="Output Amounts" xfId="659" xr:uid="{00000000-0005-0000-0000-000035130000}"/>
    <cellStyle name="Output Column Headings" xfId="660" xr:uid="{00000000-0005-0000-0000-000036130000}"/>
    <cellStyle name="Output Line Items" xfId="661" xr:uid="{00000000-0005-0000-0000-000037130000}"/>
    <cellStyle name="Output Report Heading" xfId="662" xr:uid="{00000000-0005-0000-0000-000038130000}"/>
    <cellStyle name="Output Report Title" xfId="663" xr:uid="{00000000-0005-0000-0000-000039130000}"/>
    <cellStyle name="Percent" xfId="3" builtinId="5"/>
    <cellStyle name="Percent [0]" xfId="664" xr:uid="{00000000-0005-0000-0000-00003B130000}"/>
    <cellStyle name="Percent [00]" xfId="665" xr:uid="{00000000-0005-0000-0000-00003C130000}"/>
    <cellStyle name="Percent [2]" xfId="666" xr:uid="{00000000-0005-0000-0000-00003D130000}"/>
    <cellStyle name="Percent [2] 2" xfId="667" xr:uid="{00000000-0005-0000-0000-00003E130000}"/>
    <cellStyle name="Percent 2" xfId="668" xr:uid="{00000000-0005-0000-0000-00003F130000}"/>
    <cellStyle name="Percent 2 10" xfId="669" xr:uid="{00000000-0005-0000-0000-000040130000}"/>
    <cellStyle name="Percent 2 11" xfId="670" xr:uid="{00000000-0005-0000-0000-000041130000}"/>
    <cellStyle name="Percent 2 12" xfId="671" xr:uid="{00000000-0005-0000-0000-000042130000}"/>
    <cellStyle name="Percent 2 13" xfId="672" xr:uid="{00000000-0005-0000-0000-000043130000}"/>
    <cellStyle name="Percent 2 14" xfId="673" xr:uid="{00000000-0005-0000-0000-000044130000}"/>
    <cellStyle name="Percent 2 15" xfId="674" xr:uid="{00000000-0005-0000-0000-000045130000}"/>
    <cellStyle name="Percent 2 16" xfId="675" xr:uid="{00000000-0005-0000-0000-000046130000}"/>
    <cellStyle name="Percent 2 17" xfId="676" xr:uid="{00000000-0005-0000-0000-000047130000}"/>
    <cellStyle name="Percent 2 18" xfId="677" xr:uid="{00000000-0005-0000-0000-000048130000}"/>
    <cellStyle name="Percent 2 19" xfId="678" xr:uid="{00000000-0005-0000-0000-000049130000}"/>
    <cellStyle name="Percent 2 2" xfId="679" xr:uid="{00000000-0005-0000-0000-00004A130000}"/>
    <cellStyle name="Percent 2 20" xfId="680" xr:uid="{00000000-0005-0000-0000-00004B130000}"/>
    <cellStyle name="Percent 2 21" xfId="681" xr:uid="{00000000-0005-0000-0000-00004C130000}"/>
    <cellStyle name="Percent 2 22" xfId="682" xr:uid="{00000000-0005-0000-0000-00004D130000}"/>
    <cellStyle name="Percent 2 23" xfId="683" xr:uid="{00000000-0005-0000-0000-00004E130000}"/>
    <cellStyle name="Percent 2 24" xfId="684" xr:uid="{00000000-0005-0000-0000-00004F130000}"/>
    <cellStyle name="Percent 2 25" xfId="685" xr:uid="{00000000-0005-0000-0000-000050130000}"/>
    <cellStyle name="Percent 2 26" xfId="686" xr:uid="{00000000-0005-0000-0000-000051130000}"/>
    <cellStyle name="Percent 2 3" xfId="687" xr:uid="{00000000-0005-0000-0000-000052130000}"/>
    <cellStyle name="Percent 2 4" xfId="688" xr:uid="{00000000-0005-0000-0000-000053130000}"/>
    <cellStyle name="Percent 2 5" xfId="689" xr:uid="{00000000-0005-0000-0000-000054130000}"/>
    <cellStyle name="Percent 2 6" xfId="690" xr:uid="{00000000-0005-0000-0000-000055130000}"/>
    <cellStyle name="Percent 2 7" xfId="691" xr:uid="{00000000-0005-0000-0000-000056130000}"/>
    <cellStyle name="Percent 2 8" xfId="692" xr:uid="{00000000-0005-0000-0000-000057130000}"/>
    <cellStyle name="Percent 2 9" xfId="693" xr:uid="{00000000-0005-0000-0000-000058130000}"/>
    <cellStyle name="Percent 3" xfId="5103" xr:uid="{00000000-0005-0000-0000-000059130000}"/>
    <cellStyle name="Percent 32" xfId="29" xr:uid="{00000000-0005-0000-0000-00005A130000}"/>
    <cellStyle name="Percent 7" xfId="694" xr:uid="{00000000-0005-0000-0000-00005B130000}"/>
    <cellStyle name="PrePop Currency (0)" xfId="695" xr:uid="{00000000-0005-0000-0000-00005C130000}"/>
    <cellStyle name="PrePop Currency (2)" xfId="696" xr:uid="{00000000-0005-0000-0000-00005D130000}"/>
    <cellStyle name="PrePop Units (0)" xfId="697" xr:uid="{00000000-0005-0000-0000-00005E130000}"/>
    <cellStyle name="PrePop Units (1)" xfId="698" xr:uid="{00000000-0005-0000-0000-00005F130000}"/>
    <cellStyle name="PrePop Units (2)" xfId="699" xr:uid="{00000000-0005-0000-0000-000060130000}"/>
    <cellStyle name="RevList" xfId="700" xr:uid="{00000000-0005-0000-0000-000061130000}"/>
    <cellStyle name="SAPBEXaggItem" xfId="701" xr:uid="{00000000-0005-0000-0000-000062130000}"/>
    <cellStyle name="SAPBEXaggItem 2" xfId="722" xr:uid="{00000000-0005-0000-0000-000063130000}"/>
    <cellStyle name="SAPBEXaggItem 2 2" xfId="1037" xr:uid="{00000000-0005-0000-0000-000064130000}"/>
    <cellStyle name="SAPBEXaggItem 2 2 2" xfId="1825" xr:uid="{00000000-0005-0000-0000-000065130000}"/>
    <cellStyle name="SAPBEXaggItem 2 2 2 2" xfId="4069" xr:uid="{00000000-0005-0000-0000-000066130000}"/>
    <cellStyle name="SAPBEXaggItem 2 2 3" xfId="2549" xr:uid="{00000000-0005-0000-0000-000067130000}"/>
    <cellStyle name="SAPBEXaggItem 2 2 3 2" xfId="4793" xr:uid="{00000000-0005-0000-0000-000068130000}"/>
    <cellStyle name="SAPBEXaggItem 2 2 4" xfId="3283" xr:uid="{00000000-0005-0000-0000-000069130000}"/>
    <cellStyle name="SAPBEXaggItem 2 3" xfId="1290" xr:uid="{00000000-0005-0000-0000-00006A130000}"/>
    <cellStyle name="SAPBEXaggItem 2 3 2" xfId="2077" xr:uid="{00000000-0005-0000-0000-00006B130000}"/>
    <cellStyle name="SAPBEXaggItem 2 3 2 2" xfId="4321" xr:uid="{00000000-0005-0000-0000-00006C130000}"/>
    <cellStyle name="SAPBEXaggItem 2 3 3" xfId="2800" xr:uid="{00000000-0005-0000-0000-00006D130000}"/>
    <cellStyle name="SAPBEXaggItem 2 3 3 2" xfId="5044" xr:uid="{00000000-0005-0000-0000-00006E130000}"/>
    <cellStyle name="SAPBEXaggItem 2 3 4" xfId="3535" xr:uid="{00000000-0005-0000-0000-00006F130000}"/>
    <cellStyle name="SAPBEXaggItem 2 4" xfId="1557" xr:uid="{00000000-0005-0000-0000-000070130000}"/>
    <cellStyle name="SAPBEXaggItem 2 4 2" xfId="3801" xr:uid="{00000000-0005-0000-0000-000071130000}"/>
    <cellStyle name="SAPBEXaggItem 2 5" xfId="3015" xr:uid="{00000000-0005-0000-0000-000072130000}"/>
    <cellStyle name="SAPBEXaggItem 3" xfId="1029" xr:uid="{00000000-0005-0000-0000-000073130000}"/>
    <cellStyle name="SAPBEXaggItem 3 2" xfId="1817" xr:uid="{00000000-0005-0000-0000-000074130000}"/>
    <cellStyle name="SAPBEXaggItem 3 2 2" xfId="4061" xr:uid="{00000000-0005-0000-0000-000075130000}"/>
    <cellStyle name="SAPBEXaggItem 3 3" xfId="2541" xr:uid="{00000000-0005-0000-0000-000076130000}"/>
    <cellStyle name="SAPBEXaggItem 3 3 2" xfId="4785" xr:uid="{00000000-0005-0000-0000-000077130000}"/>
    <cellStyle name="SAPBEXaggItem 3 4" xfId="3275" xr:uid="{00000000-0005-0000-0000-000078130000}"/>
    <cellStyle name="SAPBEXaggItem 4" xfId="1283" xr:uid="{00000000-0005-0000-0000-000079130000}"/>
    <cellStyle name="SAPBEXaggItem 4 2" xfId="2070" xr:uid="{00000000-0005-0000-0000-00007A130000}"/>
    <cellStyle name="SAPBEXaggItem 4 2 2" xfId="4314" xr:uid="{00000000-0005-0000-0000-00007B130000}"/>
    <cellStyle name="SAPBEXaggItem 4 3" xfId="2793" xr:uid="{00000000-0005-0000-0000-00007C130000}"/>
    <cellStyle name="SAPBEXaggItem 4 3 2" xfId="5037" xr:uid="{00000000-0005-0000-0000-00007D130000}"/>
    <cellStyle name="SAPBEXaggItem 4 4" xfId="3528" xr:uid="{00000000-0005-0000-0000-00007E130000}"/>
    <cellStyle name="SAPBEXaggItem 5" xfId="1550" xr:uid="{00000000-0005-0000-0000-00007F130000}"/>
    <cellStyle name="SAPBEXaggItem 5 2" xfId="3794" xr:uid="{00000000-0005-0000-0000-000080130000}"/>
    <cellStyle name="SAPBEXaggItem 6" xfId="3008" xr:uid="{00000000-0005-0000-0000-000081130000}"/>
    <cellStyle name="SAPBEXchaText" xfId="702" xr:uid="{00000000-0005-0000-0000-000082130000}"/>
    <cellStyle name="SAPBEXstdData" xfId="703" xr:uid="{00000000-0005-0000-0000-000083130000}"/>
    <cellStyle name="SAPBEXstdData 2" xfId="721" xr:uid="{00000000-0005-0000-0000-000084130000}"/>
    <cellStyle name="SAPBEXstdData 2 2" xfId="1036" xr:uid="{00000000-0005-0000-0000-000085130000}"/>
    <cellStyle name="SAPBEXstdData 2 2 2" xfId="1824" xr:uid="{00000000-0005-0000-0000-000086130000}"/>
    <cellStyle name="SAPBEXstdData 2 2 2 2" xfId="4068" xr:uid="{00000000-0005-0000-0000-000087130000}"/>
    <cellStyle name="SAPBEXstdData 2 2 3" xfId="2548" xr:uid="{00000000-0005-0000-0000-000088130000}"/>
    <cellStyle name="SAPBEXstdData 2 2 3 2" xfId="4792" xr:uid="{00000000-0005-0000-0000-000089130000}"/>
    <cellStyle name="SAPBEXstdData 2 2 4" xfId="3282" xr:uid="{00000000-0005-0000-0000-00008A130000}"/>
    <cellStyle name="SAPBEXstdData 2 3" xfId="1289" xr:uid="{00000000-0005-0000-0000-00008B130000}"/>
    <cellStyle name="SAPBEXstdData 2 3 2" xfId="2076" xr:uid="{00000000-0005-0000-0000-00008C130000}"/>
    <cellStyle name="SAPBEXstdData 2 3 2 2" xfId="4320" xr:uid="{00000000-0005-0000-0000-00008D130000}"/>
    <cellStyle name="SAPBEXstdData 2 3 3" xfId="2799" xr:uid="{00000000-0005-0000-0000-00008E130000}"/>
    <cellStyle name="SAPBEXstdData 2 3 3 2" xfId="5043" xr:uid="{00000000-0005-0000-0000-00008F130000}"/>
    <cellStyle name="SAPBEXstdData 2 3 4" xfId="3534" xr:uid="{00000000-0005-0000-0000-000090130000}"/>
    <cellStyle name="SAPBEXstdData 2 4" xfId="1556" xr:uid="{00000000-0005-0000-0000-000091130000}"/>
    <cellStyle name="SAPBEXstdData 2 4 2" xfId="3800" xr:uid="{00000000-0005-0000-0000-000092130000}"/>
    <cellStyle name="SAPBEXstdData 2 5" xfId="3014" xr:uid="{00000000-0005-0000-0000-000093130000}"/>
    <cellStyle name="SAPBEXstdData 3" xfId="1030" xr:uid="{00000000-0005-0000-0000-000094130000}"/>
    <cellStyle name="SAPBEXstdData 3 2" xfId="1818" xr:uid="{00000000-0005-0000-0000-000095130000}"/>
    <cellStyle name="SAPBEXstdData 3 2 2" xfId="4062" xr:uid="{00000000-0005-0000-0000-000096130000}"/>
    <cellStyle name="SAPBEXstdData 3 3" xfId="2542" xr:uid="{00000000-0005-0000-0000-000097130000}"/>
    <cellStyle name="SAPBEXstdData 3 3 2" xfId="4786" xr:uid="{00000000-0005-0000-0000-000098130000}"/>
    <cellStyle name="SAPBEXstdData 3 4" xfId="3276" xr:uid="{00000000-0005-0000-0000-000099130000}"/>
    <cellStyle name="SAPBEXstdData 4" xfId="1284" xr:uid="{00000000-0005-0000-0000-00009A130000}"/>
    <cellStyle name="SAPBEXstdData 4 2" xfId="2071" xr:uid="{00000000-0005-0000-0000-00009B130000}"/>
    <cellStyle name="SAPBEXstdData 4 2 2" xfId="4315" xr:uid="{00000000-0005-0000-0000-00009C130000}"/>
    <cellStyle name="SAPBEXstdData 4 3" xfId="2794" xr:uid="{00000000-0005-0000-0000-00009D130000}"/>
    <cellStyle name="SAPBEXstdData 4 3 2" xfId="5038" xr:uid="{00000000-0005-0000-0000-00009E130000}"/>
    <cellStyle name="SAPBEXstdData 4 4" xfId="3529" xr:uid="{00000000-0005-0000-0000-00009F130000}"/>
    <cellStyle name="SAPBEXstdData 5" xfId="1551" xr:uid="{00000000-0005-0000-0000-0000A0130000}"/>
    <cellStyle name="SAPBEXstdData 5 2" xfId="3795" xr:uid="{00000000-0005-0000-0000-0000A1130000}"/>
    <cellStyle name="SAPBEXstdData 6" xfId="3009" xr:uid="{00000000-0005-0000-0000-0000A2130000}"/>
    <cellStyle name="SAPBEXstdItem" xfId="704" xr:uid="{00000000-0005-0000-0000-0000A3130000}"/>
    <cellStyle name="SAPBEXstdItem 2" xfId="720" xr:uid="{00000000-0005-0000-0000-0000A4130000}"/>
    <cellStyle name="SAPBEXstdItem 2 2" xfId="1035" xr:uid="{00000000-0005-0000-0000-0000A5130000}"/>
    <cellStyle name="SAPBEXstdItem 2 2 2" xfId="1823" xr:uid="{00000000-0005-0000-0000-0000A6130000}"/>
    <cellStyle name="SAPBEXstdItem 2 2 2 2" xfId="4067" xr:uid="{00000000-0005-0000-0000-0000A7130000}"/>
    <cellStyle name="SAPBEXstdItem 2 2 3" xfId="2547" xr:uid="{00000000-0005-0000-0000-0000A8130000}"/>
    <cellStyle name="SAPBEXstdItem 2 2 3 2" xfId="4791" xr:uid="{00000000-0005-0000-0000-0000A9130000}"/>
    <cellStyle name="SAPBEXstdItem 2 2 4" xfId="3281" xr:uid="{00000000-0005-0000-0000-0000AA130000}"/>
    <cellStyle name="SAPBEXstdItem 2 3" xfId="1288" xr:uid="{00000000-0005-0000-0000-0000AB130000}"/>
    <cellStyle name="SAPBEXstdItem 2 3 2" xfId="2075" xr:uid="{00000000-0005-0000-0000-0000AC130000}"/>
    <cellStyle name="SAPBEXstdItem 2 3 2 2" xfId="4319" xr:uid="{00000000-0005-0000-0000-0000AD130000}"/>
    <cellStyle name="SAPBEXstdItem 2 3 3" xfId="2798" xr:uid="{00000000-0005-0000-0000-0000AE130000}"/>
    <cellStyle name="SAPBEXstdItem 2 3 3 2" xfId="5042" xr:uid="{00000000-0005-0000-0000-0000AF130000}"/>
    <cellStyle name="SAPBEXstdItem 2 3 4" xfId="3533" xr:uid="{00000000-0005-0000-0000-0000B0130000}"/>
    <cellStyle name="SAPBEXstdItem 2 4" xfId="1555" xr:uid="{00000000-0005-0000-0000-0000B1130000}"/>
    <cellStyle name="SAPBEXstdItem 2 4 2" xfId="3799" xr:uid="{00000000-0005-0000-0000-0000B2130000}"/>
    <cellStyle name="SAPBEXstdItem 2 5" xfId="3013" xr:uid="{00000000-0005-0000-0000-0000B3130000}"/>
    <cellStyle name="SAPBEXstdItem 3" xfId="1031" xr:uid="{00000000-0005-0000-0000-0000B4130000}"/>
    <cellStyle name="SAPBEXstdItem 3 2" xfId="1819" xr:uid="{00000000-0005-0000-0000-0000B5130000}"/>
    <cellStyle name="SAPBEXstdItem 3 2 2" xfId="4063" xr:uid="{00000000-0005-0000-0000-0000B6130000}"/>
    <cellStyle name="SAPBEXstdItem 3 3" xfId="2543" xr:uid="{00000000-0005-0000-0000-0000B7130000}"/>
    <cellStyle name="SAPBEXstdItem 3 3 2" xfId="4787" xr:uid="{00000000-0005-0000-0000-0000B8130000}"/>
    <cellStyle name="SAPBEXstdItem 3 4" xfId="3277" xr:uid="{00000000-0005-0000-0000-0000B9130000}"/>
    <cellStyle name="SAPBEXstdItem 4" xfId="1285" xr:uid="{00000000-0005-0000-0000-0000BA130000}"/>
    <cellStyle name="SAPBEXstdItem 4 2" xfId="2072" xr:uid="{00000000-0005-0000-0000-0000BB130000}"/>
    <cellStyle name="SAPBEXstdItem 4 2 2" xfId="4316" xr:uid="{00000000-0005-0000-0000-0000BC130000}"/>
    <cellStyle name="SAPBEXstdItem 4 3" xfId="2795" xr:uid="{00000000-0005-0000-0000-0000BD130000}"/>
    <cellStyle name="SAPBEXstdItem 4 3 2" xfId="5039" xr:uid="{00000000-0005-0000-0000-0000BE130000}"/>
    <cellStyle name="SAPBEXstdItem 4 4" xfId="3530" xr:uid="{00000000-0005-0000-0000-0000BF130000}"/>
    <cellStyle name="SAPBEXstdItem 5" xfId="1552" xr:uid="{00000000-0005-0000-0000-0000C0130000}"/>
    <cellStyle name="SAPBEXstdItem 5 2" xfId="3796" xr:uid="{00000000-0005-0000-0000-0000C1130000}"/>
    <cellStyle name="SAPBEXstdItem 6" xfId="3010" xr:uid="{00000000-0005-0000-0000-0000C2130000}"/>
    <cellStyle name="SAPBEXstdItemX" xfId="705" xr:uid="{00000000-0005-0000-0000-0000C3130000}"/>
    <cellStyle name="SAPBEXstdItemX 2" xfId="719" xr:uid="{00000000-0005-0000-0000-0000C4130000}"/>
    <cellStyle name="SAPBEXstdItemX 2 2" xfId="1034" xr:uid="{00000000-0005-0000-0000-0000C5130000}"/>
    <cellStyle name="SAPBEXstdItemX 2 2 2" xfId="1822" xr:uid="{00000000-0005-0000-0000-0000C6130000}"/>
    <cellStyle name="SAPBEXstdItemX 2 2 2 2" xfId="4066" xr:uid="{00000000-0005-0000-0000-0000C7130000}"/>
    <cellStyle name="SAPBEXstdItemX 2 2 3" xfId="2546" xr:uid="{00000000-0005-0000-0000-0000C8130000}"/>
    <cellStyle name="SAPBEXstdItemX 2 2 3 2" xfId="4790" xr:uid="{00000000-0005-0000-0000-0000C9130000}"/>
    <cellStyle name="SAPBEXstdItemX 2 2 4" xfId="3280" xr:uid="{00000000-0005-0000-0000-0000CA130000}"/>
    <cellStyle name="SAPBEXstdItemX 2 3" xfId="1287" xr:uid="{00000000-0005-0000-0000-0000CB130000}"/>
    <cellStyle name="SAPBEXstdItemX 2 3 2" xfId="2074" xr:uid="{00000000-0005-0000-0000-0000CC130000}"/>
    <cellStyle name="SAPBEXstdItemX 2 3 2 2" xfId="4318" xr:uid="{00000000-0005-0000-0000-0000CD130000}"/>
    <cellStyle name="SAPBEXstdItemX 2 3 3" xfId="2797" xr:uid="{00000000-0005-0000-0000-0000CE130000}"/>
    <cellStyle name="SAPBEXstdItemX 2 3 3 2" xfId="5041" xr:uid="{00000000-0005-0000-0000-0000CF130000}"/>
    <cellStyle name="SAPBEXstdItemX 2 3 4" xfId="3532" xr:uid="{00000000-0005-0000-0000-0000D0130000}"/>
    <cellStyle name="SAPBEXstdItemX 2 4" xfId="1554" xr:uid="{00000000-0005-0000-0000-0000D1130000}"/>
    <cellStyle name="SAPBEXstdItemX 2 4 2" xfId="3798" xr:uid="{00000000-0005-0000-0000-0000D2130000}"/>
    <cellStyle name="SAPBEXstdItemX 2 5" xfId="3012" xr:uid="{00000000-0005-0000-0000-0000D3130000}"/>
    <cellStyle name="SAPBEXstdItemX 3" xfId="1032" xr:uid="{00000000-0005-0000-0000-0000D4130000}"/>
    <cellStyle name="SAPBEXstdItemX 3 2" xfId="1820" xr:uid="{00000000-0005-0000-0000-0000D5130000}"/>
    <cellStyle name="SAPBEXstdItemX 3 2 2" xfId="4064" xr:uid="{00000000-0005-0000-0000-0000D6130000}"/>
    <cellStyle name="SAPBEXstdItemX 3 3" xfId="2544" xr:uid="{00000000-0005-0000-0000-0000D7130000}"/>
    <cellStyle name="SAPBEXstdItemX 3 3 2" xfId="4788" xr:uid="{00000000-0005-0000-0000-0000D8130000}"/>
    <cellStyle name="SAPBEXstdItemX 3 4" xfId="3278" xr:uid="{00000000-0005-0000-0000-0000D9130000}"/>
    <cellStyle name="SAPBEXstdItemX 4" xfId="1286" xr:uid="{00000000-0005-0000-0000-0000DA130000}"/>
    <cellStyle name="SAPBEXstdItemX 4 2" xfId="2073" xr:uid="{00000000-0005-0000-0000-0000DB130000}"/>
    <cellStyle name="SAPBEXstdItemX 4 2 2" xfId="4317" xr:uid="{00000000-0005-0000-0000-0000DC130000}"/>
    <cellStyle name="SAPBEXstdItemX 4 3" xfId="2796" xr:uid="{00000000-0005-0000-0000-0000DD130000}"/>
    <cellStyle name="SAPBEXstdItemX 4 3 2" xfId="5040" xr:uid="{00000000-0005-0000-0000-0000DE130000}"/>
    <cellStyle name="SAPBEXstdItemX 4 4" xfId="3531" xr:uid="{00000000-0005-0000-0000-0000DF130000}"/>
    <cellStyle name="SAPBEXstdItemX 5" xfId="1553" xr:uid="{00000000-0005-0000-0000-0000E0130000}"/>
    <cellStyle name="SAPBEXstdItemX 5 2" xfId="3797" xr:uid="{00000000-0005-0000-0000-0000E1130000}"/>
    <cellStyle name="SAPBEXstdItemX 6" xfId="3011" xr:uid="{00000000-0005-0000-0000-0000E2130000}"/>
    <cellStyle name="Standard_NEGS" xfId="706" xr:uid="{00000000-0005-0000-0000-0000E3130000}"/>
    <cellStyle name="Style 1" xfId="707" xr:uid="{00000000-0005-0000-0000-0000E4130000}"/>
    <cellStyle name="subhead" xfId="708" xr:uid="{00000000-0005-0000-0000-0000E5130000}"/>
    <cellStyle name="subhead 2" xfId="709" xr:uid="{00000000-0005-0000-0000-0000E6130000}"/>
    <cellStyle name="Subtotal" xfId="710" xr:uid="{00000000-0005-0000-0000-0000E7130000}"/>
    <cellStyle name="Text Indent A" xfId="711" xr:uid="{00000000-0005-0000-0000-0000E8130000}"/>
    <cellStyle name="Text Indent B" xfId="712" xr:uid="{00000000-0005-0000-0000-0000E9130000}"/>
    <cellStyle name="Text Indent C" xfId="713" xr:uid="{00000000-0005-0000-0000-0000EA130000}"/>
    <cellStyle name="Times New Roman" xfId="714" xr:uid="{00000000-0005-0000-0000-0000EB130000}"/>
    <cellStyle name="Tusental (0)_pldt" xfId="715" xr:uid="{00000000-0005-0000-0000-0000EC130000}"/>
    <cellStyle name="Tusental_pldt" xfId="716" xr:uid="{00000000-0005-0000-0000-0000ED130000}"/>
    <cellStyle name="Valuta (0)_pldt" xfId="717" xr:uid="{00000000-0005-0000-0000-0000EE130000}"/>
    <cellStyle name="Valuta_pldt" xfId="718" xr:uid="{00000000-0005-0000-0000-0000EF13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elcome/Desktop/IL&amp;FS/RK%20Working/Provision-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K%20Associates%20File\Valuation%20sheet%20for%20SFA%20Meenakshi.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welcome\Desktop\IL&amp;FS\RK%20Working\Final%20files\IL&amp;FS%20current%20assets%20Valuation-%202018.xlsx" TargetMode="External"/><Relationship Id="rId1" Type="http://schemas.openxmlformats.org/officeDocument/2006/relationships/externalLinkPath" Target="IL&amp;FS%20current%20assets%20Valuation-%202018.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18.xlsx" TargetMode="External"/><Relationship Id="rId1" Type="http://schemas.openxmlformats.org/officeDocument/2006/relationships/externalLinkPath" Target="Arbitration%20Claims%20-%202018.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welcome\Desktop\IL&amp;FS\RK%20Working\Final%20files\Arbitration%20Claims%20-%202023.xlsx" TargetMode="External"/><Relationship Id="rId1" Type="http://schemas.openxmlformats.org/officeDocument/2006/relationships/externalLinkPath" Target="Arbitration%20Claims%2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Provisions TR 2023"/>
      <sheetName val="Provision ICD &amp; Others Loan"/>
      <sheetName val="Provision RPT. Loan"/>
    </sheetNames>
    <sheetDataSet>
      <sheetData sheetId="0"/>
      <sheetData sheetId="1">
        <row r="4">
          <cell r="L4">
            <v>261.36419721795426</v>
          </cell>
          <cell r="M4">
            <v>143.27985291488253</v>
          </cell>
        </row>
        <row r="31">
          <cell r="M31">
            <v>99.753717544970158</v>
          </cell>
        </row>
      </sheetData>
      <sheetData sheetId="2">
        <row r="21">
          <cell r="C21">
            <v>378.27929265400007</v>
          </cell>
        </row>
      </sheetData>
      <sheetData sheetId="3">
        <row r="19">
          <cell r="C19">
            <v>192.91485704100003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SUMMARY"/>
      <sheetName val="Intangible Asset- I"/>
      <sheetName val="Non-Current Investment- V"/>
      <sheetName val="LT L&amp;A- II"/>
      <sheetName val="ONCFA- III"/>
      <sheetName val="ONCA- IV"/>
      <sheetName val="Anx. to ONCA- IV(i)"/>
      <sheetName val="Inventory- V"/>
      <sheetName val="Trade Receivables- VI"/>
      <sheetName val="Cash &amp; Cash Equivalents- VII"/>
      <sheetName val="ST L&amp;A- VIII"/>
      <sheetName val="OCFA- IX"/>
      <sheetName val="CTA- X"/>
      <sheetName val="OCA- XI"/>
      <sheetName val="MSEDCL Assets"/>
      <sheetName val="SECL Assets"/>
      <sheetName val="WCL Assets"/>
      <sheetName val="Sheet4"/>
    </sheetNames>
    <sheetDataSet>
      <sheetData sheetId="0" refreshError="1"/>
      <sheetData sheetId="1" refreshError="1">
        <row r="5">
          <cell r="B5" t="str">
            <v>Figures in INR Lakhs</v>
          </cell>
        </row>
        <row r="16">
          <cell r="B16" t="str">
            <v>REMARKS &amp; NOTES:-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
      <sheetName val="SUMMARY-2018"/>
      <sheetName val="Intangible Assets"/>
      <sheetName val="NCI-I"/>
      <sheetName val="Provisions TR 2018"/>
      <sheetName val="Trade Receivable-II"/>
      <sheetName val="Provision-2018"/>
      <sheetName val="Loans-III"/>
      <sheetName val="Loan-Deposits"/>
      <sheetName val="Loans and Other Assets-III"/>
      <sheetName val="Interest Accrued-IV"/>
      <sheetName val="Claim for PBG-V"/>
      <sheetName val="Other Receivables-VI"/>
      <sheetName val="Margin Money-VII"/>
      <sheetName val="Tax Assets-VIII"/>
      <sheetName val="Non-Current Inventories-IX"/>
      <sheetName val="Retention Money-X"/>
      <sheetName val="ONCA-VI"/>
      <sheetName val="INVENTORY-VII"/>
      <sheetName val="Cash &amp; Cash Equivalents-XI"/>
      <sheetName val="OCA-XI"/>
      <sheetName val="Balances statutory Athority"/>
      <sheetName val="Debenture-2018"/>
      <sheetName val="Preferred - 2018"/>
      <sheetName val="MSEDCL Assets"/>
      <sheetName val="SECL Assets"/>
      <sheetName val="WCL Assets"/>
      <sheetName val="Sheet4"/>
    </sheetNames>
    <sheetDataSet>
      <sheetData sheetId="0" refreshError="1"/>
      <sheetData sheetId="1"/>
      <sheetData sheetId="2" refreshError="1"/>
      <sheetData sheetId="3">
        <row r="10">
          <cell r="D10">
            <v>56.55</v>
          </cell>
          <cell r="H10">
            <v>60.997381557744873</v>
          </cell>
          <cell r="I10">
            <v>60.997381557744873</v>
          </cell>
        </row>
      </sheetData>
      <sheetData sheetId="4" refreshError="1"/>
      <sheetData sheetId="5">
        <row r="8">
          <cell r="D8">
            <v>264.43521027179679</v>
          </cell>
          <cell r="K8">
            <v>170.01901940781846</v>
          </cell>
          <cell r="L8">
            <v>84.594992611175982</v>
          </cell>
        </row>
      </sheetData>
      <sheetData sheetId="6" refreshError="1"/>
      <sheetData sheetId="7" refreshError="1"/>
      <sheetData sheetId="8" refreshError="1"/>
      <sheetData sheetId="9">
        <row r="12">
          <cell r="D12">
            <v>635.41533778271639</v>
          </cell>
          <cell r="K12">
            <v>470.2370652978916</v>
          </cell>
          <cell r="L12">
            <v>347.84566351703859</v>
          </cell>
        </row>
      </sheetData>
      <sheetData sheetId="10">
        <row r="6">
          <cell r="K6">
            <v>113.77301613212488</v>
          </cell>
          <cell r="L6">
            <v>25.9081778796</v>
          </cell>
        </row>
        <row r="7">
          <cell r="D7">
            <v>285.63818505399996</v>
          </cell>
        </row>
      </sheetData>
      <sheetData sheetId="11">
        <row r="6">
          <cell r="D6">
            <v>29.18</v>
          </cell>
          <cell r="E6">
            <v>23.344000000000001</v>
          </cell>
          <cell r="F6">
            <v>11.672000000000001</v>
          </cell>
        </row>
      </sheetData>
      <sheetData sheetId="12">
        <row r="7">
          <cell r="D7">
            <v>30.369999999999997</v>
          </cell>
          <cell r="K7">
            <v>16.851640622297648</v>
          </cell>
          <cell r="L7">
            <v>0</v>
          </cell>
        </row>
      </sheetData>
      <sheetData sheetId="13">
        <row r="7">
          <cell r="D7">
            <v>10.35</v>
          </cell>
          <cell r="E7">
            <v>10.35</v>
          </cell>
          <cell r="F7">
            <v>10.35</v>
          </cell>
        </row>
      </sheetData>
      <sheetData sheetId="14">
        <row r="8">
          <cell r="D8">
            <v>370.88</v>
          </cell>
          <cell r="E8">
            <v>370.88</v>
          </cell>
          <cell r="F8">
            <v>0</v>
          </cell>
        </row>
      </sheetData>
      <sheetData sheetId="15">
        <row r="7">
          <cell r="D7">
            <v>882.08</v>
          </cell>
          <cell r="K7">
            <v>398.35932722178131</v>
          </cell>
          <cell r="L7">
            <v>168.62164770212416</v>
          </cell>
        </row>
      </sheetData>
      <sheetData sheetId="16">
        <row r="7">
          <cell r="D7">
            <v>485.18</v>
          </cell>
          <cell r="K7">
            <v>233.40788922954471</v>
          </cell>
          <cell r="L7">
            <v>111.08067567965</v>
          </cell>
        </row>
      </sheetData>
      <sheetData sheetId="17" refreshError="1"/>
      <sheetData sheetId="18" refreshError="1"/>
      <sheetData sheetId="19">
        <row r="10">
          <cell r="D10">
            <v>22.660000000000004</v>
          </cell>
          <cell r="E10">
            <v>18.11</v>
          </cell>
          <cell r="F10">
            <v>18.11</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ECCL"/>
      <sheetName val="SPVs"/>
      <sheetName val="Brindavan"/>
      <sheetName val="AS-17"/>
      <sheetName val="AS-19"/>
      <sheetName val="Award Summary 2018 "/>
    </sheetNames>
    <sheetDataSet>
      <sheetData sheetId="0" refreshError="1"/>
      <sheetData sheetId="1" refreshError="1"/>
      <sheetData sheetId="2" refreshError="1"/>
      <sheetData sheetId="3">
        <row r="10">
          <cell r="C10">
            <v>37.680330000000005</v>
          </cell>
        </row>
      </sheetData>
      <sheetData sheetId="4">
        <row r="10">
          <cell r="C10">
            <v>229.84714000000002</v>
          </cell>
        </row>
      </sheetData>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ward Summary-2023 "/>
      <sheetName val="Nagaland"/>
      <sheetName val="HEL"/>
      <sheetName val="CEL"/>
      <sheetName val="PTTL"/>
      <sheetName val="BETL"/>
      <sheetName val="Brindavan"/>
      <sheetName val="DDPL"/>
      <sheetName val="BAPL"/>
      <sheetName val="IECCL"/>
      <sheetName val="Awards summary"/>
      <sheetName val="SPVs"/>
      <sheetName val="VSV II Summary"/>
      <sheetName val="Workings"/>
    </sheetNames>
    <sheetDataSet>
      <sheetData sheetId="0"/>
      <sheetData sheetId="1">
        <row r="12">
          <cell r="C12">
            <v>382.9059863581009</v>
          </cell>
        </row>
      </sheetData>
      <sheetData sheetId="2">
        <row r="11">
          <cell r="C11">
            <v>15.505625979166666</v>
          </cell>
        </row>
      </sheetData>
      <sheetData sheetId="3">
        <row r="11">
          <cell r="C11">
            <v>109.45434097916666</v>
          </cell>
        </row>
      </sheetData>
      <sheetData sheetId="4">
        <row r="12">
          <cell r="C12">
            <v>88.245156562500014</v>
          </cell>
        </row>
      </sheetData>
      <sheetData sheetId="5">
        <row r="12">
          <cell r="C12">
            <v>160.39837582404425</v>
          </cell>
        </row>
      </sheetData>
      <sheetData sheetId="6"/>
      <sheetData sheetId="7">
        <row r="10">
          <cell r="C10">
            <v>35.868244750000002</v>
          </cell>
        </row>
      </sheetData>
      <sheetData sheetId="8">
        <row r="10">
          <cell r="C10">
            <v>25.929827291666669</v>
          </cell>
        </row>
      </sheetData>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hyperlink" Target="mailto:=@subtotal(9,D4:D40)"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subtotal(9,F3:F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subtotal(9,F3:F2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ayatrihighways.com/project-CE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
  <sheetViews>
    <sheetView workbookViewId="0">
      <selection activeCell="B21" sqref="B21"/>
    </sheetView>
  </sheetViews>
  <sheetFormatPr defaultColWidth="9.109375" defaultRowHeight="14.4"/>
  <cols>
    <col min="2" max="2" width="39.88671875" bestFit="1" customWidth="1"/>
    <col min="3" max="3" width="16.88671875" customWidth="1"/>
    <col min="4" max="4" width="18.88671875" customWidth="1"/>
  </cols>
  <sheetData>
    <row r="1" spans="1:14" ht="15.6">
      <c r="A1" s="1" t="s">
        <v>0</v>
      </c>
      <c r="B1" s="1" t="s">
        <v>1</v>
      </c>
      <c r="C1" s="382" t="s">
        <v>2</v>
      </c>
      <c r="D1" s="382"/>
      <c r="E1" s="382"/>
      <c r="F1" s="382"/>
      <c r="G1" s="382"/>
      <c r="H1" s="382"/>
      <c r="I1" s="382"/>
      <c r="J1" s="382"/>
      <c r="K1" s="382"/>
      <c r="L1" s="382"/>
      <c r="M1" s="382"/>
      <c r="N1" s="382"/>
    </row>
    <row r="2" spans="1:14">
      <c r="B2" s="2" t="s">
        <v>16</v>
      </c>
    </row>
    <row r="4" spans="1:14" ht="15" thickBot="1">
      <c r="B4" s="3" t="s">
        <v>5</v>
      </c>
    </row>
    <row r="5" spans="1:14">
      <c r="A5" s="6" t="s">
        <v>18</v>
      </c>
      <c r="B5" s="7" t="s">
        <v>17</v>
      </c>
      <c r="C5" s="7" t="s">
        <v>3</v>
      </c>
      <c r="D5" s="8" t="s">
        <v>13</v>
      </c>
    </row>
    <row r="6" spans="1:14">
      <c r="A6" s="9"/>
      <c r="B6" s="3"/>
      <c r="D6" s="10"/>
    </row>
    <row r="7" spans="1:14">
      <c r="A7" s="9">
        <v>1</v>
      </c>
      <c r="B7" t="s">
        <v>6</v>
      </c>
      <c r="C7" s="4" t="e">
        <f>+#REF!+#REF!</f>
        <v>#REF!</v>
      </c>
      <c r="D7" s="10" t="e">
        <f>+#REF!</f>
        <v>#REF!</v>
      </c>
    </row>
    <row r="8" spans="1:14">
      <c r="A8" s="9">
        <v>2</v>
      </c>
      <c r="B8" t="s">
        <v>7</v>
      </c>
      <c r="C8" s="4" t="e">
        <f>+#REF!</f>
        <v>#REF!</v>
      </c>
      <c r="D8" s="10"/>
    </row>
    <row r="9" spans="1:14">
      <c r="A9" s="9">
        <v>3</v>
      </c>
      <c r="B9" t="s">
        <v>8</v>
      </c>
      <c r="C9" s="4" t="e">
        <f>+#REF!</f>
        <v>#REF!</v>
      </c>
      <c r="D9" s="10"/>
    </row>
    <row r="10" spans="1:14">
      <c r="A10" s="9">
        <v>4</v>
      </c>
      <c r="B10" t="s">
        <v>9</v>
      </c>
      <c r="C10" s="4" t="e">
        <f>+#REF!</f>
        <v>#REF!</v>
      </c>
      <c r="D10" s="10" t="e">
        <f>+#REF!</f>
        <v>#REF!</v>
      </c>
    </row>
    <row r="11" spans="1:14">
      <c r="A11" s="9">
        <v>5</v>
      </c>
      <c r="B11" t="s">
        <v>4</v>
      </c>
      <c r="C11" s="4" t="e">
        <f>+#REF!</f>
        <v>#REF!</v>
      </c>
      <c r="D11" s="10" t="e">
        <f>+#REF!</f>
        <v>#REF!</v>
      </c>
    </row>
    <row r="12" spans="1:14">
      <c r="A12" s="9">
        <v>7</v>
      </c>
      <c r="B12" t="s">
        <v>10</v>
      </c>
      <c r="C12" s="4" t="e">
        <f>+#REF!</f>
        <v>#REF!</v>
      </c>
      <c r="D12" s="10"/>
    </row>
    <row r="13" spans="1:14">
      <c r="A13" s="9">
        <v>8</v>
      </c>
      <c r="B13" t="s">
        <v>11</v>
      </c>
      <c r="C13" s="4"/>
      <c r="D13" s="10">
        <v>20153353</v>
      </c>
    </row>
    <row r="14" spans="1:14">
      <c r="A14" s="9">
        <v>9</v>
      </c>
      <c r="B14" t="s">
        <v>12</v>
      </c>
      <c r="C14" s="4" t="e">
        <f>+#REF!</f>
        <v>#REF!</v>
      </c>
      <c r="D14" s="11" t="e">
        <f>+#REF!</f>
        <v>#REF!</v>
      </c>
    </row>
    <row r="15" spans="1:14">
      <c r="A15" s="12"/>
      <c r="C15" s="4"/>
      <c r="D15" s="10"/>
    </row>
    <row r="16" spans="1:14" ht="15" thickBot="1">
      <c r="A16" s="12"/>
      <c r="C16" s="5" t="e">
        <f>SUM(C7:C15)</f>
        <v>#REF!</v>
      </c>
      <c r="D16" s="13" t="e">
        <f>SUM(D7:D15)</f>
        <v>#REF!</v>
      </c>
    </row>
    <row r="17" spans="1:4" ht="15" thickTop="1">
      <c r="A17" s="12"/>
      <c r="B17" t="s">
        <v>14</v>
      </c>
      <c r="C17" s="3" t="e">
        <f>+C16+D16</f>
        <v>#REF!</v>
      </c>
      <c r="D17" s="10"/>
    </row>
    <row r="18" spans="1:4" ht="15" thickBot="1">
      <c r="A18" s="14"/>
      <c r="B18" s="15" t="s">
        <v>15</v>
      </c>
      <c r="C18" s="15"/>
      <c r="D18" s="16"/>
    </row>
    <row r="20" spans="1:4" s="17" customFormat="1" ht="36">
      <c r="B20" s="18" t="s">
        <v>19</v>
      </c>
      <c r="C20" s="19" t="e">
        <f>+C16/C17*100</f>
        <v>#REF!</v>
      </c>
    </row>
    <row r="21" spans="1:4">
      <c r="C21" s="4"/>
    </row>
  </sheetData>
  <mergeCells count="1">
    <mergeCell ref="C1:N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499984740745262"/>
  </sheetPr>
  <dimension ref="B2:N19"/>
  <sheetViews>
    <sheetView workbookViewId="0">
      <selection activeCell="I6" sqref="I6"/>
    </sheetView>
  </sheetViews>
  <sheetFormatPr defaultRowHeight="14.4"/>
  <cols>
    <col min="2" max="2" width="9.6640625" customWidth="1"/>
    <col min="3" max="3" width="13.88671875" customWidth="1"/>
    <col min="7" max="7" width="8.88671875" customWidth="1"/>
    <col min="8" max="8" width="10.109375" customWidth="1"/>
    <col min="9" max="9" width="70.88671875" customWidth="1"/>
  </cols>
  <sheetData>
    <row r="2" spans="2:14" ht="14.4" customHeight="1">
      <c r="B2" s="440" t="s">
        <v>580</v>
      </c>
      <c r="C2" s="441"/>
      <c r="D2" s="441"/>
      <c r="E2" s="441"/>
      <c r="F2" s="441"/>
      <c r="G2" s="441"/>
      <c r="H2" s="441"/>
      <c r="I2" s="441"/>
    </row>
    <row r="3" spans="2:14" ht="14.4" customHeight="1">
      <c r="B3" s="438" t="s">
        <v>93</v>
      </c>
      <c r="C3" s="439"/>
      <c r="D3" s="439"/>
      <c r="E3" s="439"/>
      <c r="F3" s="439"/>
      <c r="G3" s="439"/>
      <c r="H3" s="439"/>
      <c r="I3" s="439"/>
    </row>
    <row r="4" spans="2:14" ht="48">
      <c r="B4" s="24" t="s">
        <v>0</v>
      </c>
      <c r="C4" s="24" t="s">
        <v>69</v>
      </c>
      <c r="D4" s="37" t="s">
        <v>64</v>
      </c>
      <c r="E4" s="24" t="s">
        <v>526</v>
      </c>
      <c r="F4" s="24" t="s">
        <v>527</v>
      </c>
      <c r="G4" s="24" t="s">
        <v>142</v>
      </c>
      <c r="H4" s="24" t="s">
        <v>143</v>
      </c>
      <c r="I4" s="24" t="s">
        <v>22</v>
      </c>
    </row>
    <row r="5" spans="2:14" ht="14.4" customHeight="1">
      <c r="B5" s="436" t="s">
        <v>92</v>
      </c>
      <c r="C5" s="437"/>
      <c r="D5" s="437"/>
      <c r="E5" s="437"/>
      <c r="F5" s="437"/>
      <c r="G5" s="437"/>
      <c r="H5" s="437"/>
      <c r="I5" s="454"/>
    </row>
    <row r="6" spans="2:14" ht="200.25" customHeight="1">
      <c r="B6" s="54">
        <v>1</v>
      </c>
      <c r="C6" s="59" t="s">
        <v>123</v>
      </c>
      <c r="D6" s="60">
        <f>1.38+0.02</f>
        <v>1.4</v>
      </c>
      <c r="E6" s="60">
        <f>F18</f>
        <v>0</v>
      </c>
      <c r="F6" s="60">
        <f>G18</f>
        <v>1.4</v>
      </c>
      <c r="G6" s="60">
        <f>L19</f>
        <v>1.1783519905731838</v>
      </c>
      <c r="H6" s="60">
        <v>0</v>
      </c>
      <c r="I6" s="75" t="s">
        <v>687</v>
      </c>
      <c r="K6" s="47">
        <v>0</v>
      </c>
    </row>
    <row r="7" spans="2:14">
      <c r="B7" s="38"/>
      <c r="C7" s="36" t="s">
        <v>23</v>
      </c>
      <c r="D7" s="61">
        <f>SUM(D3:D6)</f>
        <v>1.4</v>
      </c>
      <c r="E7" s="61">
        <f t="shared" ref="E7:F7" si="0">SUM(E3:E6)</f>
        <v>0</v>
      </c>
      <c r="F7" s="61">
        <f t="shared" si="0"/>
        <v>1.4</v>
      </c>
      <c r="G7" s="319">
        <f>G6</f>
        <v>1.1783519905731838</v>
      </c>
      <c r="H7" s="319">
        <f>H6</f>
        <v>0</v>
      </c>
      <c r="I7" s="38"/>
    </row>
    <row r="8" spans="2:14" ht="14.4" customHeight="1">
      <c r="B8" s="442" t="s">
        <v>20</v>
      </c>
      <c r="C8" s="443"/>
      <c r="D8" s="443"/>
      <c r="E8" s="443"/>
      <c r="F8" s="443"/>
      <c r="G8" s="443"/>
      <c r="H8" s="443"/>
      <c r="I8" s="443"/>
    </row>
    <row r="9" spans="2:14" ht="109.2" customHeight="1">
      <c r="B9" s="444" t="s">
        <v>702</v>
      </c>
      <c r="C9" s="445"/>
      <c r="D9" s="445"/>
      <c r="E9" s="445"/>
      <c r="F9" s="445"/>
      <c r="G9" s="445"/>
      <c r="H9" s="445"/>
      <c r="I9" s="445"/>
    </row>
    <row r="11" spans="2:14" ht="57.6">
      <c r="B11" s="119" t="s">
        <v>581</v>
      </c>
      <c r="C11" s="120"/>
      <c r="D11" s="120"/>
      <c r="E11" s="120"/>
      <c r="F11" s="120"/>
      <c r="G11" s="120"/>
      <c r="H11" s="120"/>
    </row>
    <row r="12" spans="2:14" ht="43.2">
      <c r="B12" s="376" t="s">
        <v>582</v>
      </c>
      <c r="C12" s="376" t="s">
        <v>185</v>
      </c>
      <c r="D12" s="374" t="s">
        <v>567</v>
      </c>
      <c r="E12" s="375" t="s">
        <v>568</v>
      </c>
      <c r="F12" s="375" t="s">
        <v>556</v>
      </c>
      <c r="G12" s="375" t="s">
        <v>527</v>
      </c>
      <c r="H12" s="375" t="s">
        <v>528</v>
      </c>
      <c r="K12" s="304" t="s">
        <v>529</v>
      </c>
      <c r="L12" s="305">
        <v>1</v>
      </c>
      <c r="M12" s="123">
        <f>L12+1</f>
        <v>2</v>
      </c>
      <c r="N12" s="123">
        <f t="shared" ref="N12" si="1">M12+1</f>
        <v>3</v>
      </c>
    </row>
    <row r="13" spans="2:14" ht="57.6">
      <c r="B13" s="377" t="s">
        <v>583</v>
      </c>
      <c r="C13" s="377" t="s">
        <v>427</v>
      </c>
      <c r="D13" s="378">
        <v>12.27</v>
      </c>
      <c r="E13" s="378">
        <f>0.55-E14</f>
        <v>0.53</v>
      </c>
      <c r="F13" s="120"/>
      <c r="G13" s="266">
        <f>E13</f>
        <v>0.53</v>
      </c>
      <c r="H13" s="120"/>
      <c r="K13" s="255" t="s">
        <v>64</v>
      </c>
      <c r="L13" s="240">
        <f>E18</f>
        <v>1.4</v>
      </c>
      <c r="M13" s="241"/>
      <c r="N13" s="241"/>
    </row>
    <row r="14" spans="2:14">
      <c r="B14" s="377" t="s">
        <v>584</v>
      </c>
      <c r="C14" s="377" t="s">
        <v>427</v>
      </c>
      <c r="D14" s="378">
        <v>0.02</v>
      </c>
      <c r="E14" s="378">
        <f>D14</f>
        <v>0.02</v>
      </c>
      <c r="F14" s="120"/>
      <c r="G14" s="266">
        <f t="shared" ref="G14:G17" si="2">E14</f>
        <v>0.02</v>
      </c>
      <c r="H14" s="120"/>
      <c r="K14" s="239" t="s">
        <v>559</v>
      </c>
      <c r="L14" s="240">
        <f>F18</f>
        <v>0</v>
      </c>
      <c r="M14" s="240">
        <f>G18</f>
        <v>1.4</v>
      </c>
      <c r="N14" s="240">
        <f>K11</f>
        <v>0</v>
      </c>
    </row>
    <row r="15" spans="2:14">
      <c r="B15" s="377" t="s">
        <v>584</v>
      </c>
      <c r="C15" s="377" t="s">
        <v>245</v>
      </c>
      <c r="D15" s="378">
        <v>15.91</v>
      </c>
      <c r="E15" s="378">
        <v>0</v>
      </c>
      <c r="F15" s="120"/>
      <c r="G15" s="266">
        <f t="shared" si="2"/>
        <v>0</v>
      </c>
      <c r="H15" s="120"/>
      <c r="K15" s="239" t="s">
        <v>532</v>
      </c>
      <c r="L15" s="241">
        <v>1</v>
      </c>
      <c r="M15" s="241">
        <f>L15+1</f>
        <v>2</v>
      </c>
      <c r="N15" s="241">
        <f t="shared" ref="N15" si="3">M15+1</f>
        <v>3</v>
      </c>
    </row>
    <row r="16" spans="2:14">
      <c r="B16" s="377" t="s">
        <v>584</v>
      </c>
      <c r="C16" s="377" t="s">
        <v>271</v>
      </c>
      <c r="D16" s="378">
        <f>1.98</f>
        <v>1.98</v>
      </c>
      <c r="E16" s="378">
        <v>0.85</v>
      </c>
      <c r="F16" s="120"/>
      <c r="G16" s="266">
        <f t="shared" si="2"/>
        <v>0.85</v>
      </c>
      <c r="H16" s="120"/>
      <c r="K16" s="239" t="s">
        <v>533</v>
      </c>
      <c r="L16" s="242">
        <f>1/(1+$L$17)^L15</f>
        <v>0.9174311926605504</v>
      </c>
      <c r="M16" s="242">
        <f t="shared" ref="M16:N16" si="4">1/(1+$L$17)^M15</f>
        <v>0.84167999326655996</v>
      </c>
      <c r="N16" s="242">
        <f t="shared" si="4"/>
        <v>0.77218348006106419</v>
      </c>
    </row>
    <row r="17" spans="2:14">
      <c r="B17" s="377" t="s">
        <v>584</v>
      </c>
      <c r="C17" s="377" t="s">
        <v>585</v>
      </c>
      <c r="D17" s="378">
        <v>0.19</v>
      </c>
      <c r="E17" s="378">
        <v>0</v>
      </c>
      <c r="F17" s="120"/>
      <c r="G17" s="266">
        <f t="shared" si="2"/>
        <v>0</v>
      </c>
      <c r="H17" s="120"/>
      <c r="K17" s="239" t="s">
        <v>534</v>
      </c>
      <c r="L17" s="243">
        <v>0.09</v>
      </c>
      <c r="M17" s="241"/>
      <c r="N17" s="241"/>
    </row>
    <row r="18" spans="2:14">
      <c r="B18" s="379" t="s">
        <v>586</v>
      </c>
      <c r="C18" s="379"/>
      <c r="D18" s="380">
        <f>SUM(D13:D17)</f>
        <v>30.37</v>
      </c>
      <c r="E18" s="380">
        <f>SUM(E13:E17)</f>
        <v>1.4</v>
      </c>
      <c r="F18" s="380">
        <f t="shared" ref="F18:H18" si="5">SUM(F13:F17)</f>
        <v>0</v>
      </c>
      <c r="G18" s="380">
        <f>SUM(G13:G17)</f>
        <v>1.4</v>
      </c>
      <c r="H18" s="380">
        <f t="shared" si="5"/>
        <v>0</v>
      </c>
      <c r="K18" s="239" t="s">
        <v>535</v>
      </c>
      <c r="L18" s="240">
        <f>L14*L16</f>
        <v>0</v>
      </c>
      <c r="M18" s="240">
        <f t="shared" ref="M18:N18" si="6">M14*M16</f>
        <v>1.1783519905731838</v>
      </c>
      <c r="N18" s="240">
        <f t="shared" si="6"/>
        <v>0</v>
      </c>
    </row>
    <row r="19" spans="2:14" ht="86.4">
      <c r="K19" s="244" t="s">
        <v>576</v>
      </c>
      <c r="L19" s="245">
        <f>SUM(L18:M18)</f>
        <v>1.1783519905731838</v>
      </c>
      <c r="M19" s="238"/>
      <c r="N19" s="238"/>
    </row>
  </sheetData>
  <mergeCells count="5">
    <mergeCell ref="B5:I5"/>
    <mergeCell ref="B3:I3"/>
    <mergeCell ref="B2:I2"/>
    <mergeCell ref="B8:I8"/>
    <mergeCell ref="B9:I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2" tint="-0.89999084444715716"/>
  </sheetPr>
  <dimension ref="B2:I9"/>
  <sheetViews>
    <sheetView topLeftCell="B1" workbookViewId="0">
      <selection activeCell="B9" sqref="B9:G9"/>
    </sheetView>
  </sheetViews>
  <sheetFormatPr defaultRowHeight="14.4"/>
  <cols>
    <col min="1" max="1" width="20.33203125" customWidth="1"/>
    <col min="3" max="3" width="22.88671875" customWidth="1"/>
    <col min="4" max="4" width="12.33203125" customWidth="1"/>
    <col min="5" max="5" width="15.33203125" customWidth="1"/>
    <col min="6" max="6" width="30.6640625" customWidth="1"/>
    <col min="7" max="7" width="58.109375" customWidth="1"/>
  </cols>
  <sheetData>
    <row r="2" spans="2:9">
      <c r="B2" s="449" t="s">
        <v>587</v>
      </c>
      <c r="C2" s="450"/>
      <c r="D2" s="450"/>
      <c r="E2" s="450"/>
      <c r="F2" s="450"/>
      <c r="G2" s="451"/>
    </row>
    <row r="3" spans="2:9" ht="14.4" customHeight="1">
      <c r="B3" s="425" t="str">
        <f>'SUMMARY-2023'!B3</f>
        <v>Details as on 31st March 2023</v>
      </c>
      <c r="C3" s="452"/>
      <c r="D3" s="452"/>
      <c r="E3" s="452"/>
      <c r="F3" s="452"/>
      <c r="G3" s="453"/>
    </row>
    <row r="4" spans="2:9" ht="36">
      <c r="B4" s="24" t="s">
        <v>0</v>
      </c>
      <c r="C4" s="24" t="s">
        <v>69</v>
      </c>
      <c r="D4" s="37" t="s">
        <v>64</v>
      </c>
      <c r="E4" s="24" t="s">
        <v>142</v>
      </c>
      <c r="F4" s="24" t="s">
        <v>143</v>
      </c>
      <c r="G4" s="24" t="s">
        <v>22</v>
      </c>
    </row>
    <row r="5" spans="2:9">
      <c r="B5" s="425" t="str">
        <f>'SUMMARY-2023'!B5</f>
        <v>Figures in INR Crores</v>
      </c>
      <c r="C5" s="426"/>
      <c r="D5" s="426"/>
      <c r="E5" s="426"/>
      <c r="F5" s="426"/>
      <c r="G5" s="427"/>
    </row>
    <row r="6" spans="2:9" ht="87.75" customHeight="1">
      <c r="B6" s="54">
        <v>1</v>
      </c>
      <c r="C6" s="77" t="s">
        <v>145</v>
      </c>
      <c r="D6" s="76">
        <v>24.2</v>
      </c>
      <c r="E6" s="60">
        <f t="shared" ref="E6" si="0">$D6*H6</f>
        <v>24.2</v>
      </c>
      <c r="F6" s="60">
        <f t="shared" ref="F6" si="1">$D6*I6</f>
        <v>24.2</v>
      </c>
      <c r="G6" s="75" t="s">
        <v>688</v>
      </c>
      <c r="H6" s="47">
        <v>1</v>
      </c>
      <c r="I6" s="47">
        <v>1</v>
      </c>
    </row>
    <row r="7" spans="2:9">
      <c r="B7" s="38"/>
      <c r="C7" s="36" t="s">
        <v>23</v>
      </c>
      <c r="D7" s="61">
        <f>SUM(D6:D6)</f>
        <v>24.2</v>
      </c>
      <c r="E7" s="61">
        <f>SUM(E6:E6)</f>
        <v>24.2</v>
      </c>
      <c r="F7" s="61">
        <f>SUM(F6:F6)</f>
        <v>24.2</v>
      </c>
      <c r="G7" s="38"/>
    </row>
    <row r="8" spans="2:9">
      <c r="B8" s="396" t="s">
        <v>20</v>
      </c>
      <c r="C8" s="397"/>
      <c r="D8" s="397"/>
      <c r="E8" s="397"/>
      <c r="F8" s="397"/>
      <c r="G8" s="428"/>
    </row>
    <row r="9" spans="2:9" ht="105" customHeight="1">
      <c r="B9" s="399" t="s">
        <v>703</v>
      </c>
      <c r="C9" s="399"/>
      <c r="D9" s="399"/>
      <c r="E9" s="399"/>
      <c r="F9" s="399"/>
      <c r="G9" s="399"/>
    </row>
  </sheetData>
  <mergeCells count="5">
    <mergeCell ref="B2:G2"/>
    <mergeCell ref="B3:G3"/>
    <mergeCell ref="B5:G5"/>
    <mergeCell ref="B8:G8"/>
    <mergeCell ref="B9:G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B2:I29"/>
  <sheetViews>
    <sheetView workbookViewId="0">
      <selection activeCell="G6" sqref="G6"/>
    </sheetView>
  </sheetViews>
  <sheetFormatPr defaultRowHeight="14.4"/>
  <cols>
    <col min="1" max="1" width="3.33203125" customWidth="1"/>
    <col min="2" max="2" width="5.6640625" customWidth="1"/>
    <col min="3" max="3" width="22.33203125" customWidth="1"/>
    <col min="4" max="4" width="13.109375" customWidth="1"/>
    <col min="5" max="5" width="15.44140625" customWidth="1"/>
    <col min="6" max="6" width="19.33203125" customWidth="1"/>
    <col min="7" max="7" width="62.33203125" customWidth="1"/>
  </cols>
  <sheetData>
    <row r="2" spans="2:9">
      <c r="B2" s="449" t="s">
        <v>99</v>
      </c>
      <c r="C2" s="450"/>
      <c r="D2" s="450"/>
      <c r="E2" s="450"/>
      <c r="F2" s="450"/>
      <c r="G2" s="451"/>
    </row>
    <row r="3" spans="2:9">
      <c r="B3" s="425" t="str">
        <f>'SUMMARY-2023'!B3</f>
        <v>Details as on 31st March 2023</v>
      </c>
      <c r="C3" s="426"/>
      <c r="D3" s="426"/>
      <c r="E3" s="426"/>
      <c r="F3" s="426"/>
      <c r="G3" s="427"/>
    </row>
    <row r="4" spans="2:9" ht="24">
      <c r="B4" s="24" t="s">
        <v>0</v>
      </c>
      <c r="C4" s="24" t="s">
        <v>69</v>
      </c>
      <c r="D4" s="37" t="s">
        <v>64</v>
      </c>
      <c r="E4" s="24" t="s">
        <v>142</v>
      </c>
      <c r="F4" s="24" t="s">
        <v>143</v>
      </c>
      <c r="G4" s="24" t="s">
        <v>22</v>
      </c>
    </row>
    <row r="5" spans="2:9">
      <c r="B5" s="425" t="str">
        <f>'SUMMARY-2023'!B5</f>
        <v>Figures in INR Crores</v>
      </c>
      <c r="C5" s="426"/>
      <c r="D5" s="426"/>
      <c r="E5" s="426"/>
      <c r="F5" s="426"/>
      <c r="G5" s="427"/>
    </row>
    <row r="6" spans="2:9" ht="187.2">
      <c r="B6" s="41">
        <v>1</v>
      </c>
      <c r="C6" s="59" t="s">
        <v>612</v>
      </c>
      <c r="D6" s="60">
        <f>20.31+41.38</f>
        <v>61.69</v>
      </c>
      <c r="E6" s="60">
        <f>E27</f>
        <v>60.442583199999994</v>
      </c>
      <c r="F6" s="60">
        <v>0</v>
      </c>
      <c r="G6" s="97" t="s">
        <v>662</v>
      </c>
      <c r="H6" s="47">
        <v>1</v>
      </c>
      <c r="I6" s="47">
        <v>1</v>
      </c>
    </row>
    <row r="7" spans="2:9">
      <c r="B7" s="38"/>
      <c r="C7" s="79" t="s">
        <v>23</v>
      </c>
      <c r="D7" s="61">
        <f>SUM(D6:D6)</f>
        <v>61.69</v>
      </c>
      <c r="E7" s="61">
        <f>SUM(E6:E6)</f>
        <v>60.442583199999994</v>
      </c>
      <c r="F7" s="61">
        <f>SUM(F6:F6)</f>
        <v>0</v>
      </c>
      <c r="G7" s="38"/>
    </row>
    <row r="8" spans="2:9">
      <c r="B8" s="396" t="str">
        <f>[2]SUMMARY!B16</f>
        <v>REMARKS &amp; NOTES:-</v>
      </c>
      <c r="C8" s="397"/>
      <c r="D8" s="397"/>
      <c r="E8" s="397"/>
      <c r="F8" s="397"/>
      <c r="G8" s="428"/>
    </row>
    <row r="9" spans="2:9" ht="124.5" customHeight="1">
      <c r="B9" s="399" t="s">
        <v>703</v>
      </c>
      <c r="C9" s="399"/>
      <c r="D9" s="399"/>
      <c r="E9" s="399"/>
      <c r="F9" s="399"/>
      <c r="G9" s="399"/>
    </row>
    <row r="13" spans="2:9">
      <c r="C13" s="264" t="s">
        <v>589</v>
      </c>
      <c r="D13" s="120"/>
      <c r="E13" s="120"/>
      <c r="F13" s="120"/>
    </row>
    <row r="14" spans="2:9">
      <c r="C14" s="273" t="s">
        <v>590</v>
      </c>
      <c r="D14" s="273" t="s">
        <v>591</v>
      </c>
      <c r="E14" s="273" t="s">
        <v>592</v>
      </c>
      <c r="F14" s="274" t="s">
        <v>22</v>
      </c>
    </row>
    <row r="15" spans="2:9" ht="28.8">
      <c r="C15" s="265" t="s">
        <v>593</v>
      </c>
      <c r="D15" s="266">
        <v>2.73</v>
      </c>
      <c r="E15" s="266">
        <f>D15</f>
        <v>2.73</v>
      </c>
      <c r="F15" s="275" t="s">
        <v>594</v>
      </c>
    </row>
    <row r="16" spans="2:9" ht="28.8">
      <c r="C16" s="268" t="s">
        <v>595</v>
      </c>
      <c r="D16" s="266">
        <v>0</v>
      </c>
      <c r="E16" s="266">
        <f t="shared" ref="E16:E22" si="0">D16</f>
        <v>0</v>
      </c>
      <c r="F16" s="275"/>
    </row>
    <row r="17" spans="3:6" ht="28.8">
      <c r="C17" s="265" t="s">
        <v>596</v>
      </c>
      <c r="D17" s="266">
        <v>0.88967220000000002</v>
      </c>
      <c r="E17" s="266">
        <f t="shared" si="0"/>
        <v>0.88967220000000002</v>
      </c>
      <c r="F17" s="119" t="s">
        <v>611</v>
      </c>
    </row>
    <row r="18" spans="3:6" ht="28.8">
      <c r="C18" s="269" t="s">
        <v>597</v>
      </c>
      <c r="D18" s="266">
        <v>7.1876999999999996E-2</v>
      </c>
      <c r="E18" s="266">
        <f t="shared" si="0"/>
        <v>7.1876999999999996E-2</v>
      </c>
      <c r="F18" s="119" t="s">
        <v>611</v>
      </c>
    </row>
    <row r="19" spans="3:6" ht="28.8">
      <c r="C19" s="269" t="s">
        <v>598</v>
      </c>
      <c r="D19" s="266">
        <v>1.7133951999999999</v>
      </c>
      <c r="E19" s="266">
        <f t="shared" si="0"/>
        <v>1.7133951999999999</v>
      </c>
      <c r="F19" s="119" t="s">
        <v>611</v>
      </c>
    </row>
    <row r="20" spans="3:6" ht="28.8">
      <c r="C20" s="265" t="s">
        <v>599</v>
      </c>
      <c r="D20" s="266">
        <v>2.5332899999999998E-2</v>
      </c>
      <c r="E20" s="266">
        <f t="shared" si="0"/>
        <v>2.5332899999999998E-2</v>
      </c>
      <c r="F20" s="119" t="s">
        <v>611</v>
      </c>
    </row>
    <row r="21" spans="3:6" ht="28.8">
      <c r="C21" s="265" t="s">
        <v>600</v>
      </c>
      <c r="D21" s="266">
        <v>11.0521785</v>
      </c>
      <c r="E21" s="266">
        <f t="shared" si="0"/>
        <v>11.0521785</v>
      </c>
      <c r="F21" s="276" t="s">
        <v>601</v>
      </c>
    </row>
    <row r="22" spans="3:6" ht="28.8">
      <c r="C22" s="265" t="s">
        <v>602</v>
      </c>
      <c r="D22" s="266">
        <v>5.4001273999999997</v>
      </c>
      <c r="E22" s="266">
        <f t="shared" si="0"/>
        <v>5.4001273999999997</v>
      </c>
      <c r="F22" s="276" t="s">
        <v>603</v>
      </c>
    </row>
    <row r="23" spans="3:6" ht="28.8">
      <c r="C23" s="277" t="s">
        <v>604</v>
      </c>
      <c r="D23" s="266"/>
      <c r="E23" s="266"/>
      <c r="F23" s="119"/>
    </row>
    <row r="24" spans="3:6" ht="86.4">
      <c r="C24" s="265" t="s">
        <v>605</v>
      </c>
      <c r="D24" s="266">
        <f>38.46-6.3</f>
        <v>32.160000000000004</v>
      </c>
      <c r="E24" s="266">
        <v>31.66</v>
      </c>
      <c r="F24" s="270" t="s">
        <v>606</v>
      </c>
    </row>
    <row r="25" spans="3:6" ht="57.6">
      <c r="C25" s="268" t="s">
        <v>607</v>
      </c>
      <c r="D25" s="267">
        <v>6.9</v>
      </c>
      <c r="E25" s="267">
        <v>6.9</v>
      </c>
      <c r="F25" s="270" t="s">
        <v>608</v>
      </c>
    </row>
    <row r="26" spans="3:6">
      <c r="C26" s="265"/>
      <c r="D26" s="120"/>
      <c r="E26" s="120"/>
      <c r="F26" s="120"/>
    </row>
    <row r="27" spans="3:6">
      <c r="C27" s="265" t="s">
        <v>21</v>
      </c>
      <c r="D27" s="271">
        <f>SUM(D15:D25)</f>
        <v>60.942583200000001</v>
      </c>
      <c r="E27" s="271">
        <f>SUM(E15:E25)</f>
        <v>60.442583199999994</v>
      </c>
      <c r="F27" s="120"/>
    </row>
    <row r="28" spans="3:6">
      <c r="C28" s="265" t="s">
        <v>609</v>
      </c>
      <c r="D28" s="120">
        <v>61.69</v>
      </c>
      <c r="E28" s="120"/>
      <c r="F28" s="120"/>
    </row>
    <row r="29" spans="3:6">
      <c r="C29" s="265" t="s">
        <v>610</v>
      </c>
      <c r="D29" s="272">
        <f>D27-D28</f>
        <v>-0.74741679999999633</v>
      </c>
      <c r="E29" s="120"/>
      <c r="F29" s="120"/>
    </row>
  </sheetData>
  <mergeCells count="5">
    <mergeCell ref="B2:G2"/>
    <mergeCell ref="B3:G3"/>
    <mergeCell ref="B5:G5"/>
    <mergeCell ref="B8:G8"/>
    <mergeCell ref="B9:G9"/>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sheetPr>
  <dimension ref="B2:N58"/>
  <sheetViews>
    <sheetView topLeftCell="A7" workbookViewId="0">
      <selection activeCell="B9" sqref="B9:J9"/>
    </sheetView>
  </sheetViews>
  <sheetFormatPr defaultRowHeight="14.4"/>
  <cols>
    <col min="1" max="1" width="4.109375" customWidth="1"/>
    <col min="3" max="3" width="49.77734375" customWidth="1"/>
    <col min="4" max="4" width="14.44140625" customWidth="1"/>
    <col min="5" max="6" width="0" hidden="1" customWidth="1"/>
    <col min="7" max="7" width="9.44140625" hidden="1" customWidth="1"/>
    <col min="9" max="9" width="13.88671875" customWidth="1"/>
    <col min="10" max="10" width="34.88671875" customWidth="1"/>
    <col min="11" max="11" width="61.109375" customWidth="1"/>
  </cols>
  <sheetData>
    <row r="2" spans="2:12" ht="14.4" customHeight="1">
      <c r="B2" s="440" t="s">
        <v>680</v>
      </c>
      <c r="C2" s="441"/>
      <c r="D2" s="441"/>
      <c r="E2" s="441"/>
      <c r="F2" s="441"/>
      <c r="G2" s="441"/>
      <c r="H2" s="441"/>
      <c r="I2" s="441"/>
      <c r="J2" s="441"/>
    </row>
    <row r="3" spans="2:12" ht="14.4" customHeight="1">
      <c r="B3" s="438" t="str">
        <f>'SUMMARY-2023'!B3</f>
        <v>Details as on 31st March 2023</v>
      </c>
      <c r="C3" s="439"/>
      <c r="D3" s="439"/>
      <c r="E3" s="439"/>
      <c r="F3" s="439"/>
      <c r="G3" s="439"/>
      <c r="H3" s="439"/>
      <c r="I3" s="439"/>
      <c r="J3" s="439"/>
    </row>
    <row r="4" spans="2:12" ht="36">
      <c r="B4" s="24" t="s">
        <v>0</v>
      </c>
      <c r="C4" s="24" t="s">
        <v>69</v>
      </c>
      <c r="D4" s="37" t="s">
        <v>64</v>
      </c>
      <c r="E4" s="24" t="s">
        <v>526</v>
      </c>
      <c r="F4" s="24" t="s">
        <v>527</v>
      </c>
      <c r="G4" s="24" t="s">
        <v>528</v>
      </c>
      <c r="H4" s="24" t="s">
        <v>142</v>
      </c>
      <c r="I4" s="24" t="s">
        <v>143</v>
      </c>
      <c r="J4" s="24" t="s">
        <v>22</v>
      </c>
    </row>
    <row r="5" spans="2:12" ht="14.4" customHeight="1">
      <c r="B5" s="436" t="str">
        <f>'SUMMARY-2023'!B5</f>
        <v>Figures in INR Crores</v>
      </c>
      <c r="C5" s="437"/>
      <c r="D5" s="437"/>
      <c r="E5" s="437"/>
      <c r="F5" s="437"/>
      <c r="G5" s="437"/>
      <c r="H5" s="437"/>
      <c r="I5" s="437"/>
      <c r="J5" s="437"/>
    </row>
    <row r="6" spans="2:12" ht="249" customHeight="1">
      <c r="B6" s="41">
        <v>1</v>
      </c>
      <c r="C6" s="59" t="s">
        <v>131</v>
      </c>
      <c r="D6" s="60">
        <f>1.2+2.13</f>
        <v>3.33</v>
      </c>
      <c r="E6" s="60">
        <f>E16</f>
        <v>0.5709832829999999</v>
      </c>
      <c r="F6" s="60">
        <f>F16</f>
        <v>2.1667281910000007</v>
      </c>
      <c r="G6" s="60">
        <f>G16</f>
        <v>0.59186000000000005</v>
      </c>
      <c r="H6" s="60">
        <f>L24</f>
        <v>2.804554158032214</v>
      </c>
      <c r="I6" s="60">
        <f>L25</f>
        <v>2.1325407864000008</v>
      </c>
      <c r="J6" s="381" t="s">
        <v>706</v>
      </c>
      <c r="L6" s="47">
        <v>0.3</v>
      </c>
    </row>
    <row r="7" spans="2:12">
      <c r="B7" s="38"/>
      <c r="C7" s="36" t="s">
        <v>23</v>
      </c>
      <c r="D7" s="61">
        <f>SUM(D3:D6)</f>
        <v>3.33</v>
      </c>
      <c r="E7" s="61">
        <f>SUM(E3:E6)</f>
        <v>0.5709832829999999</v>
      </c>
      <c r="F7" s="61">
        <f>SUM(F3:F6)</f>
        <v>2.1667281910000007</v>
      </c>
      <c r="G7" s="61">
        <f>G6</f>
        <v>0.59186000000000005</v>
      </c>
      <c r="H7" s="319">
        <f>H6</f>
        <v>2.804554158032214</v>
      </c>
      <c r="I7" s="319">
        <f>I6</f>
        <v>2.1325407864000008</v>
      </c>
      <c r="J7" s="38"/>
    </row>
    <row r="8" spans="2:12" ht="14.4" customHeight="1">
      <c r="B8" s="457" t="s">
        <v>20</v>
      </c>
      <c r="C8" s="458"/>
      <c r="D8" s="458"/>
      <c r="E8" s="458"/>
      <c r="F8" s="458"/>
      <c r="G8" s="458"/>
      <c r="H8" s="458"/>
      <c r="I8" s="458"/>
      <c r="J8" s="458"/>
    </row>
    <row r="9" spans="2:12" ht="114" customHeight="1">
      <c r="B9" s="444" t="s">
        <v>704</v>
      </c>
      <c r="C9" s="445"/>
      <c r="D9" s="445"/>
      <c r="E9" s="445"/>
      <c r="F9" s="445"/>
      <c r="G9" s="445"/>
      <c r="H9" s="445"/>
      <c r="I9" s="445"/>
      <c r="J9" s="445"/>
    </row>
    <row r="12" spans="2:12">
      <c r="G12">
        <f>H7/D7</f>
        <v>0.84220845586552973</v>
      </c>
      <c r="H12">
        <f>I7/H7</f>
        <v>0.76038495469678347</v>
      </c>
    </row>
    <row r="15" spans="2:12">
      <c r="B15" s="278" t="s">
        <v>420</v>
      </c>
      <c r="C15" s="179"/>
      <c r="D15" s="179"/>
      <c r="E15" s="456" t="s">
        <v>613</v>
      </c>
      <c r="F15" s="456"/>
      <c r="G15" s="456"/>
      <c r="H15" s="179"/>
    </row>
    <row r="16" spans="2:12">
      <c r="B16" s="179"/>
      <c r="C16" s="278"/>
      <c r="D16" s="332">
        <f>SUBTOTAL(9,D18:D171)</f>
        <v>3.3295714740000002</v>
      </c>
      <c r="E16" s="332">
        <f t="shared" ref="E16:G16" si="0">SUBTOTAL(9,E18:E171)</f>
        <v>0.5709832829999999</v>
      </c>
      <c r="F16" s="332">
        <f t="shared" si="0"/>
        <v>2.1667281910000007</v>
      </c>
      <c r="G16" s="332">
        <f t="shared" si="0"/>
        <v>0.59186000000000005</v>
      </c>
      <c r="H16" s="179"/>
    </row>
    <row r="17" spans="2:14" ht="43.2">
      <c r="B17" s="279" t="s">
        <v>185</v>
      </c>
      <c r="C17" s="279" t="s">
        <v>421</v>
      </c>
      <c r="D17" s="280" t="s">
        <v>456</v>
      </c>
      <c r="E17" s="280" t="s">
        <v>556</v>
      </c>
      <c r="F17" s="280" t="s">
        <v>557</v>
      </c>
      <c r="G17" s="280" t="s">
        <v>558</v>
      </c>
      <c r="H17" s="280" t="s">
        <v>614</v>
      </c>
      <c r="K17" s="238" t="s">
        <v>529</v>
      </c>
      <c r="L17" s="123">
        <v>1</v>
      </c>
      <c r="M17" s="123">
        <f>L17+1</f>
        <v>2</v>
      </c>
      <c r="N17" s="123">
        <f t="shared" ref="N17" si="1">M17+1</f>
        <v>3</v>
      </c>
    </row>
    <row r="18" spans="2:14">
      <c r="B18" s="179" t="s">
        <v>290</v>
      </c>
      <c r="C18" s="208" t="s">
        <v>424</v>
      </c>
      <c r="D18" s="330">
        <v>4.9999999999999979E-4</v>
      </c>
      <c r="E18" s="330">
        <f>D18</f>
        <v>4.9999999999999979E-4</v>
      </c>
      <c r="F18" s="330"/>
      <c r="G18" s="330"/>
      <c r="H18" s="455" t="s">
        <v>615</v>
      </c>
      <c r="K18" s="255" t="s">
        <v>64</v>
      </c>
      <c r="L18" s="240">
        <f>D7</f>
        <v>3.33</v>
      </c>
      <c r="M18" s="241"/>
      <c r="N18" s="241"/>
    </row>
    <row r="19" spans="2:14">
      <c r="B19" s="179" t="s">
        <v>290</v>
      </c>
      <c r="C19" s="208" t="s">
        <v>425</v>
      </c>
      <c r="D19" s="330">
        <v>1.9E-3</v>
      </c>
      <c r="E19" s="330">
        <f>D19</f>
        <v>1.9E-3</v>
      </c>
      <c r="F19" s="330"/>
      <c r="G19" s="330"/>
      <c r="H19" s="455"/>
      <c r="K19" s="239" t="s">
        <v>559</v>
      </c>
      <c r="L19" s="240">
        <f>E16</f>
        <v>0.5709832829999999</v>
      </c>
      <c r="M19" s="240">
        <f>F16</f>
        <v>2.1667281910000007</v>
      </c>
      <c r="N19" s="240">
        <f>G16</f>
        <v>0.59186000000000005</v>
      </c>
    </row>
    <row r="20" spans="2:14">
      <c r="B20" s="179" t="s">
        <v>271</v>
      </c>
      <c r="C20" s="208" t="s">
        <v>426</v>
      </c>
      <c r="D20" s="330">
        <v>3.3432000000000003E-2</v>
      </c>
      <c r="E20" s="330"/>
      <c r="F20" s="330">
        <f>D20</f>
        <v>3.3432000000000003E-2</v>
      </c>
      <c r="G20" s="330"/>
      <c r="H20" s="455"/>
      <c r="K20" s="239" t="s">
        <v>532</v>
      </c>
      <c r="L20" s="241">
        <v>1</v>
      </c>
      <c r="M20" s="241">
        <f>L20+1</f>
        <v>2</v>
      </c>
      <c r="N20" s="241">
        <f t="shared" ref="N20" si="2">M20+1</f>
        <v>3</v>
      </c>
    </row>
    <row r="21" spans="2:14">
      <c r="B21" s="179" t="s">
        <v>427</v>
      </c>
      <c r="C21" s="208" t="s">
        <v>428</v>
      </c>
      <c r="D21" s="331">
        <v>1.2999999999999999E-3</v>
      </c>
      <c r="E21" s="330"/>
      <c r="F21" s="330">
        <f>D21</f>
        <v>1.2999999999999999E-3</v>
      </c>
      <c r="G21" s="330"/>
      <c r="H21" s="455"/>
      <c r="K21" s="239" t="s">
        <v>533</v>
      </c>
      <c r="L21" s="242">
        <f>1/(1+$L$22)^L20</f>
        <v>0.9174311926605504</v>
      </c>
      <c r="M21" s="242">
        <f t="shared" ref="M21:N21" si="3">1/(1+$L$22)^M20</f>
        <v>0.84167999326655996</v>
      </c>
      <c r="N21" s="242">
        <f t="shared" si="3"/>
        <v>0.77218348006106419</v>
      </c>
    </row>
    <row r="22" spans="2:14">
      <c r="B22" s="179" t="s">
        <v>290</v>
      </c>
      <c r="C22" s="208" t="s">
        <v>429</v>
      </c>
      <c r="D22" s="330">
        <v>8.3310000000000003E-4</v>
      </c>
      <c r="E22" s="330">
        <f>D22</f>
        <v>8.3310000000000003E-4</v>
      </c>
      <c r="F22" s="330"/>
      <c r="G22" s="330"/>
      <c r="H22" s="455"/>
      <c r="K22" s="239" t="s">
        <v>534</v>
      </c>
      <c r="L22" s="243">
        <v>0.09</v>
      </c>
      <c r="M22" s="241"/>
      <c r="N22" s="241"/>
    </row>
    <row r="23" spans="2:14">
      <c r="B23" s="179" t="s">
        <v>253</v>
      </c>
      <c r="C23" s="208" t="s">
        <v>264</v>
      </c>
      <c r="D23" s="330">
        <v>5.0033300000000003E-2</v>
      </c>
      <c r="E23" s="330"/>
      <c r="F23" s="330">
        <v>5.0033300000000003E-2</v>
      </c>
      <c r="G23" s="330"/>
      <c r="H23" s="455"/>
      <c r="K23" s="239" t="s">
        <v>535</v>
      </c>
      <c r="L23" s="240">
        <f>L19*L21</f>
        <v>0.52383787431192652</v>
      </c>
      <c r="M23" s="240">
        <f t="shared" ref="M23:N23" si="4">M19*M21</f>
        <v>1.8236917692113461</v>
      </c>
      <c r="N23" s="240">
        <f t="shared" si="4"/>
        <v>0.45702451450894149</v>
      </c>
    </row>
    <row r="24" spans="2:14" ht="22.2" customHeight="1">
      <c r="B24" s="179" t="s">
        <v>232</v>
      </c>
      <c r="C24" s="208" t="s">
        <v>430</v>
      </c>
      <c r="D24" s="330">
        <v>3.0759000000000002E-2</v>
      </c>
      <c r="E24" s="330">
        <f>D24</f>
        <v>3.0759000000000002E-2</v>
      </c>
      <c r="F24" s="330"/>
      <c r="G24" s="330"/>
      <c r="H24" s="455"/>
      <c r="K24" s="244" t="s">
        <v>616</v>
      </c>
      <c r="L24" s="245">
        <f>SUM(L23:N23)</f>
        <v>2.804554158032214</v>
      </c>
      <c r="M24" s="238"/>
      <c r="N24" s="238"/>
    </row>
    <row r="25" spans="2:14">
      <c r="B25" s="179" t="s">
        <v>232</v>
      </c>
      <c r="C25" s="208" t="s">
        <v>431</v>
      </c>
      <c r="D25" s="330">
        <v>0.90526816799999998</v>
      </c>
      <c r="E25" s="330"/>
      <c r="F25" s="330">
        <f>D25</f>
        <v>0.90526816799999998</v>
      </c>
      <c r="G25" s="330"/>
      <c r="H25" s="455"/>
      <c r="L25" s="258">
        <f>(L19*0.75)+(M19*0.65)+(N19*0.5)</f>
        <v>2.1325407864000008</v>
      </c>
    </row>
    <row r="26" spans="2:14">
      <c r="B26" s="179" t="s">
        <v>290</v>
      </c>
      <c r="C26" s="208" t="s">
        <v>432</v>
      </c>
      <c r="D26" s="330">
        <v>1.2327299999999999E-2</v>
      </c>
      <c r="E26" s="330">
        <f t="shared" ref="E26:E27" si="5">D26</f>
        <v>1.2327299999999999E-2</v>
      </c>
      <c r="F26" s="330"/>
      <c r="G26" s="330"/>
      <c r="H26" s="455"/>
    </row>
    <row r="27" spans="2:14">
      <c r="B27" s="179" t="s">
        <v>290</v>
      </c>
      <c r="C27" s="208" t="s">
        <v>415</v>
      </c>
      <c r="D27" s="330">
        <v>-3.200000002980232E-8</v>
      </c>
      <c r="E27" s="330">
        <f t="shared" si="5"/>
        <v>-3.200000002980232E-8</v>
      </c>
      <c r="F27" s="330"/>
      <c r="G27" s="330"/>
      <c r="H27" s="455"/>
    </row>
    <row r="28" spans="2:14">
      <c r="B28" s="179" t="s">
        <v>232</v>
      </c>
      <c r="C28" s="208" t="s">
        <v>363</v>
      </c>
      <c r="D28" s="330">
        <v>0.54300569700000001</v>
      </c>
      <c r="E28" s="330"/>
      <c r="F28" s="330">
        <f>D28</f>
        <v>0.54300569700000001</v>
      </c>
      <c r="G28" s="330"/>
      <c r="H28" s="455"/>
    </row>
    <row r="29" spans="2:14">
      <c r="B29" s="179" t="s">
        <v>271</v>
      </c>
      <c r="C29" s="208" t="s">
        <v>433</v>
      </c>
      <c r="D29" s="330">
        <v>0.58840982600000002</v>
      </c>
      <c r="E29" s="330"/>
      <c r="F29" s="330">
        <f>D29</f>
        <v>0.58840982600000002</v>
      </c>
      <c r="G29" s="330"/>
      <c r="H29" s="455"/>
    </row>
    <row r="30" spans="2:14">
      <c r="B30" s="179" t="s">
        <v>434</v>
      </c>
      <c r="C30" s="208" t="s">
        <v>434</v>
      </c>
      <c r="D30" s="330">
        <v>-0.97722500000000001</v>
      </c>
      <c r="E30" s="330"/>
      <c r="F30" s="330">
        <f>D30</f>
        <v>-0.97722500000000001</v>
      </c>
      <c r="G30" s="330"/>
      <c r="H30" s="455"/>
    </row>
    <row r="31" spans="2:14">
      <c r="B31" s="179" t="s">
        <v>290</v>
      </c>
      <c r="C31" s="208" t="s">
        <v>435</v>
      </c>
      <c r="D31" s="330">
        <v>2.1000000000000001E-2</v>
      </c>
      <c r="E31" s="330">
        <f t="shared" ref="E31:E33" si="6">D31</f>
        <v>2.1000000000000001E-2</v>
      </c>
      <c r="F31" s="330"/>
      <c r="G31" s="330"/>
      <c r="H31" s="455"/>
    </row>
    <row r="32" spans="2:14">
      <c r="B32" s="179" t="s">
        <v>290</v>
      </c>
      <c r="C32" s="208" t="s">
        <v>436</v>
      </c>
      <c r="D32" s="330">
        <v>2.3839999999999998E-3</v>
      </c>
      <c r="E32" s="330">
        <f t="shared" si="6"/>
        <v>2.3839999999999998E-3</v>
      </c>
      <c r="F32" s="330"/>
      <c r="G32" s="330"/>
      <c r="H32" s="455"/>
    </row>
    <row r="33" spans="2:8">
      <c r="B33" s="179" t="s">
        <v>290</v>
      </c>
      <c r="C33" s="208" t="s">
        <v>437</v>
      </c>
      <c r="D33" s="330">
        <v>2.7000000000000001E-3</v>
      </c>
      <c r="E33" s="330">
        <f t="shared" si="6"/>
        <v>2.7000000000000001E-3</v>
      </c>
      <c r="F33" s="330"/>
      <c r="G33" s="330"/>
      <c r="H33" s="455"/>
    </row>
    <row r="34" spans="2:8">
      <c r="B34" s="179" t="s">
        <v>271</v>
      </c>
      <c r="C34" s="208" t="s">
        <v>438</v>
      </c>
      <c r="D34" s="330">
        <v>0.13893</v>
      </c>
      <c r="E34" s="330"/>
      <c r="F34" s="330">
        <f>D34</f>
        <v>0.13893</v>
      </c>
      <c r="G34" s="330"/>
      <c r="H34" s="455"/>
    </row>
    <row r="35" spans="2:8">
      <c r="B35" s="179" t="s">
        <v>271</v>
      </c>
      <c r="C35" s="208" t="s">
        <v>439</v>
      </c>
      <c r="D35" s="330">
        <v>5.5530000000000003E-2</v>
      </c>
      <c r="E35" s="330"/>
      <c r="F35" s="330">
        <f>D35</f>
        <v>5.5530000000000003E-2</v>
      </c>
      <c r="G35" s="330"/>
      <c r="H35" s="455"/>
    </row>
    <row r="36" spans="2:8">
      <c r="B36" s="179" t="s">
        <v>434</v>
      </c>
      <c r="C36" s="208" t="s">
        <v>440</v>
      </c>
      <c r="D36" s="330">
        <v>7.6859999999999998E-2</v>
      </c>
      <c r="E36" s="330"/>
      <c r="F36" s="330">
        <f>D36</f>
        <v>7.6859999999999998E-2</v>
      </c>
      <c r="G36" s="330"/>
      <c r="H36" s="455"/>
    </row>
    <row r="37" spans="2:8">
      <c r="B37" s="179" t="s">
        <v>290</v>
      </c>
      <c r="C37" s="208" t="s">
        <v>441</v>
      </c>
      <c r="D37" s="330">
        <v>2.1000000000000001E-2</v>
      </c>
      <c r="E37" s="330">
        <f t="shared" ref="E37:E38" si="7">D37</f>
        <v>2.1000000000000001E-2</v>
      </c>
      <c r="F37" s="330"/>
      <c r="G37" s="330"/>
      <c r="H37" s="455"/>
    </row>
    <row r="38" spans="2:8">
      <c r="B38" s="179" t="s">
        <v>290</v>
      </c>
      <c r="C38" s="208" t="s">
        <v>442</v>
      </c>
      <c r="D38" s="330">
        <v>-5.0000000000000001E-4</v>
      </c>
      <c r="E38" s="330">
        <f t="shared" si="7"/>
        <v>-5.0000000000000001E-4</v>
      </c>
      <c r="F38" s="330"/>
      <c r="G38" s="330"/>
      <c r="H38" s="455"/>
    </row>
    <row r="39" spans="2:8">
      <c r="B39" s="179" t="s">
        <v>188</v>
      </c>
      <c r="C39" s="208" t="s">
        <v>443</v>
      </c>
      <c r="D39" s="331">
        <v>-1.6499999999999996E-3</v>
      </c>
      <c r="E39" s="330"/>
      <c r="F39" s="330">
        <f>D39</f>
        <v>-1.6499999999999996E-3</v>
      </c>
      <c r="G39" s="330"/>
      <c r="H39" s="455"/>
    </row>
    <row r="40" spans="2:8">
      <c r="B40" s="179" t="s">
        <v>188</v>
      </c>
      <c r="C40" s="208" t="s">
        <v>444</v>
      </c>
      <c r="D40" s="331">
        <v>6.0000000000000001E-3</v>
      </c>
      <c r="E40" s="330"/>
      <c r="F40" s="330">
        <f>D40</f>
        <v>6.0000000000000001E-3</v>
      </c>
      <c r="G40" s="330"/>
      <c r="H40" s="455"/>
    </row>
    <row r="41" spans="2:8">
      <c r="B41" s="179" t="s">
        <v>188</v>
      </c>
      <c r="C41" s="208" t="s">
        <v>445</v>
      </c>
      <c r="D41" s="331">
        <v>5.7000000000000002E-3</v>
      </c>
      <c r="E41" s="330"/>
      <c r="F41" s="330">
        <f>D41</f>
        <v>5.7000000000000002E-3</v>
      </c>
      <c r="G41" s="330"/>
      <c r="H41" s="455"/>
    </row>
    <row r="42" spans="2:8">
      <c r="B42" s="179" t="s">
        <v>188</v>
      </c>
      <c r="C42" s="208" t="s">
        <v>446</v>
      </c>
      <c r="D42" s="331">
        <v>0.53138839999999998</v>
      </c>
      <c r="E42" s="330"/>
      <c r="F42" s="330">
        <f>D42</f>
        <v>0.53138839999999998</v>
      </c>
      <c r="G42" s="330"/>
      <c r="H42" s="455"/>
    </row>
    <row r="43" spans="2:8">
      <c r="B43" s="179" t="s">
        <v>427</v>
      </c>
      <c r="C43" s="208" t="s">
        <v>203</v>
      </c>
      <c r="D43" s="331">
        <v>1.346E-2</v>
      </c>
      <c r="E43" s="330"/>
      <c r="F43" s="330"/>
      <c r="G43" s="330">
        <f>D43</f>
        <v>1.346E-2</v>
      </c>
      <c r="H43" s="455"/>
    </row>
    <row r="44" spans="2:8">
      <c r="B44" s="179" t="s">
        <v>188</v>
      </c>
      <c r="C44" s="208" t="s">
        <v>447</v>
      </c>
      <c r="D44" s="331">
        <v>7.5665800000000005E-2</v>
      </c>
      <c r="E44" s="330"/>
      <c r="F44" s="330">
        <f>D44</f>
        <v>7.5665800000000005E-2</v>
      </c>
      <c r="G44" s="330"/>
      <c r="H44" s="455"/>
    </row>
    <row r="45" spans="2:8">
      <c r="B45" s="179" t="s">
        <v>232</v>
      </c>
      <c r="C45" s="208" t="s">
        <v>243</v>
      </c>
      <c r="D45" s="330">
        <v>0.45417491500000001</v>
      </c>
      <c r="E45" s="330">
        <f>D45</f>
        <v>0.45417491500000001</v>
      </c>
      <c r="F45" s="330"/>
      <c r="G45" s="330"/>
      <c r="H45" s="455"/>
    </row>
    <row r="46" spans="2:8">
      <c r="B46" s="179" t="s">
        <v>427</v>
      </c>
      <c r="C46" s="208" t="s">
        <v>448</v>
      </c>
      <c r="D46" s="331">
        <v>0.13</v>
      </c>
      <c r="E46" s="330"/>
      <c r="F46" s="330"/>
      <c r="G46" s="330">
        <f>D46</f>
        <v>0.13</v>
      </c>
      <c r="H46" s="455"/>
    </row>
    <row r="47" spans="2:8">
      <c r="B47" s="179" t="s">
        <v>232</v>
      </c>
      <c r="C47" s="208" t="s">
        <v>241</v>
      </c>
      <c r="D47" s="330">
        <v>9.9866700000000003E-2</v>
      </c>
      <c r="E47" s="330"/>
      <c r="F47" s="330">
        <f>D47</f>
        <v>9.9866700000000003E-2</v>
      </c>
      <c r="G47" s="330"/>
      <c r="H47" s="455"/>
    </row>
    <row r="48" spans="2:8">
      <c r="B48" s="179" t="s">
        <v>290</v>
      </c>
      <c r="C48" s="208" t="s">
        <v>449</v>
      </c>
      <c r="D48" s="330">
        <v>8.8999999999999999E-3</v>
      </c>
      <c r="E48" s="330">
        <f>D48</f>
        <v>8.8999999999999999E-3</v>
      </c>
      <c r="F48" s="330"/>
      <c r="G48" s="330"/>
      <c r="H48" s="455"/>
    </row>
    <row r="49" spans="2:8">
      <c r="B49" s="179" t="s">
        <v>188</v>
      </c>
      <c r="C49" s="208" t="s">
        <v>189</v>
      </c>
      <c r="D49" s="331">
        <v>4.4999999999999997E-3</v>
      </c>
      <c r="E49" s="330"/>
      <c r="F49" s="330">
        <f>D49</f>
        <v>4.4999999999999997E-3</v>
      </c>
      <c r="G49" s="330"/>
      <c r="H49" s="455"/>
    </row>
    <row r="50" spans="2:8">
      <c r="B50" s="179" t="s">
        <v>427</v>
      </c>
      <c r="C50" s="208" t="s">
        <v>198</v>
      </c>
      <c r="D50" s="331">
        <v>2.7237999999999998E-2</v>
      </c>
      <c r="E50" s="330"/>
      <c r="F50" s="330">
        <f>D50</f>
        <v>2.7237999999999998E-2</v>
      </c>
      <c r="G50" s="330"/>
      <c r="H50" s="455"/>
    </row>
    <row r="51" spans="2:8">
      <c r="B51" s="179" t="s">
        <v>434</v>
      </c>
      <c r="C51" s="208" t="s">
        <v>450</v>
      </c>
      <c r="D51" s="330">
        <v>-1.7492E-3</v>
      </c>
      <c r="E51" s="330"/>
      <c r="F51" s="330">
        <f>D51</f>
        <v>-1.7492E-3</v>
      </c>
      <c r="G51" s="330"/>
      <c r="H51" s="455"/>
    </row>
    <row r="52" spans="2:8">
      <c r="B52" s="179" t="s">
        <v>290</v>
      </c>
      <c r="C52" s="208" t="s">
        <v>451</v>
      </c>
      <c r="D52" s="330">
        <v>-3.5500000000000001E-4</v>
      </c>
      <c r="E52" s="330">
        <f t="shared" ref="E52:E53" si="8">D52</f>
        <v>-3.5500000000000001E-4</v>
      </c>
      <c r="F52" s="330"/>
      <c r="G52" s="330"/>
      <c r="H52" s="455"/>
    </row>
    <row r="53" spans="2:8">
      <c r="B53" s="179" t="s">
        <v>290</v>
      </c>
      <c r="C53" s="208" t="s">
        <v>452</v>
      </c>
      <c r="D53" s="330">
        <v>3.81E-3</v>
      </c>
      <c r="E53" s="330">
        <f t="shared" si="8"/>
        <v>3.81E-3</v>
      </c>
      <c r="F53" s="330"/>
      <c r="G53" s="330"/>
      <c r="H53" s="455"/>
    </row>
    <row r="54" spans="2:8">
      <c r="B54" s="179" t="s">
        <v>232</v>
      </c>
      <c r="C54" s="208" t="s">
        <v>453</v>
      </c>
      <c r="D54" s="330">
        <v>0.44840000000000002</v>
      </c>
      <c r="E54" s="330"/>
      <c r="F54" s="330"/>
      <c r="G54" s="330">
        <f>D54</f>
        <v>0.44840000000000002</v>
      </c>
      <c r="H54" s="455"/>
    </row>
    <row r="55" spans="2:8">
      <c r="B55" s="179" t="s">
        <v>427</v>
      </c>
      <c r="C55" s="208" t="s">
        <v>202</v>
      </c>
      <c r="D55" s="331">
        <v>3.2669999999999999E-3</v>
      </c>
      <c r="E55" s="330"/>
      <c r="F55" s="330">
        <f>D55</f>
        <v>3.2669999999999999E-3</v>
      </c>
      <c r="G55" s="330"/>
      <c r="H55" s="455"/>
    </row>
    <row r="56" spans="2:8">
      <c r="B56" s="179" t="s">
        <v>427</v>
      </c>
      <c r="C56" s="208" t="s">
        <v>215</v>
      </c>
      <c r="D56" s="331">
        <v>-1.0425E-3</v>
      </c>
      <c r="E56" s="330"/>
      <c r="F56" s="330">
        <f>D56</f>
        <v>-1.0425E-3</v>
      </c>
      <c r="G56" s="330"/>
      <c r="H56" s="455"/>
    </row>
    <row r="57" spans="2:8">
      <c r="B57" s="179" t="s">
        <v>271</v>
      </c>
      <c r="C57" s="208" t="s">
        <v>454</v>
      </c>
      <c r="D57" s="330">
        <v>2.0000000000000235E-3</v>
      </c>
      <c r="E57" s="330"/>
      <c r="F57" s="330">
        <f>D57</f>
        <v>2.0000000000000235E-3</v>
      </c>
      <c r="G57" s="330"/>
      <c r="H57" s="455"/>
    </row>
    <row r="58" spans="2:8">
      <c r="B58" s="179" t="s">
        <v>290</v>
      </c>
      <c r="C58" s="208" t="s">
        <v>455</v>
      </c>
      <c r="D58" s="330">
        <v>1.155E-2</v>
      </c>
      <c r="E58" s="330">
        <f>D58</f>
        <v>1.155E-2</v>
      </c>
      <c r="F58" s="330"/>
      <c r="G58" s="330"/>
      <c r="H58" s="455"/>
    </row>
  </sheetData>
  <mergeCells count="7">
    <mergeCell ref="H18:H58"/>
    <mergeCell ref="E15:G15"/>
    <mergeCell ref="B3:J3"/>
    <mergeCell ref="B2:J2"/>
    <mergeCell ref="B5:J5"/>
    <mergeCell ref="B8:J8"/>
    <mergeCell ref="B9:J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6" tint="-0.249977111117893"/>
  </sheetPr>
  <dimension ref="A2:M108"/>
  <sheetViews>
    <sheetView topLeftCell="A7" zoomScaleNormal="100" workbookViewId="0">
      <selection activeCell="G13" sqref="G13"/>
    </sheetView>
  </sheetViews>
  <sheetFormatPr defaultRowHeight="14.4"/>
  <cols>
    <col min="1" max="1" width="4.44140625" customWidth="1"/>
    <col min="3" max="3" width="23.6640625" customWidth="1"/>
    <col min="4" max="4" width="18.33203125" customWidth="1"/>
    <col min="5" max="5" width="14.33203125" customWidth="1"/>
    <col min="6" max="6" width="13.33203125" customWidth="1"/>
    <col min="7" max="7" width="65.33203125" customWidth="1"/>
    <col min="9" max="9" width="13.44140625" customWidth="1"/>
  </cols>
  <sheetData>
    <row r="2" spans="1:13">
      <c r="B2" s="449" t="s">
        <v>681</v>
      </c>
      <c r="C2" s="450"/>
      <c r="D2" s="450"/>
      <c r="E2" s="450"/>
      <c r="F2" s="450"/>
      <c r="G2" s="451"/>
    </row>
    <row r="3" spans="1:13">
      <c r="B3" s="425" t="str">
        <f>'SUMMARY-2023'!B3</f>
        <v>Details as on 31st March 2023</v>
      </c>
      <c r="C3" s="426"/>
      <c r="D3" s="426"/>
      <c r="E3" s="426"/>
      <c r="F3" s="426"/>
      <c r="G3" s="427"/>
    </row>
    <row r="4" spans="1:13" ht="24">
      <c r="B4" s="24" t="s">
        <v>0</v>
      </c>
      <c r="C4" s="24" t="s">
        <v>69</v>
      </c>
      <c r="D4" s="37" t="s">
        <v>64</v>
      </c>
      <c r="E4" s="24" t="s">
        <v>142</v>
      </c>
      <c r="F4" s="24" t="s">
        <v>143</v>
      </c>
      <c r="G4" s="24" t="s">
        <v>22</v>
      </c>
    </row>
    <row r="5" spans="1:13">
      <c r="B5" s="425" t="str">
        <f>'SUMMARY-2023'!B5</f>
        <v>Figures in INR Crores</v>
      </c>
      <c r="C5" s="426"/>
      <c r="D5" s="426"/>
      <c r="E5" s="426"/>
      <c r="F5" s="426"/>
      <c r="G5" s="427"/>
    </row>
    <row r="6" spans="1:13" ht="159.6">
      <c r="B6" s="41">
        <v>1</v>
      </c>
      <c r="C6" s="59" t="s">
        <v>132</v>
      </c>
      <c r="D6" s="60">
        <f>18.51+13.32</f>
        <v>31.830000000000002</v>
      </c>
      <c r="E6" s="60">
        <f>H106/10^2</f>
        <v>39.885949376999946</v>
      </c>
      <c r="F6" s="60">
        <f>I105/10^2*100%+H105/10^2*50%</f>
        <v>34.080957165999941</v>
      </c>
      <c r="G6" s="112" t="s">
        <v>693</v>
      </c>
      <c r="I6" s="47">
        <v>0.3</v>
      </c>
    </row>
    <row r="7" spans="1:13">
      <c r="B7" s="38"/>
      <c r="C7" s="36" t="s">
        <v>23</v>
      </c>
      <c r="D7" s="61">
        <f>SUM(D3:D6)</f>
        <v>31.830000000000002</v>
      </c>
      <c r="E7" s="61">
        <f>SUM(E3:E6)</f>
        <v>39.885949376999946</v>
      </c>
      <c r="F7" s="61">
        <f>SUM(F3:F6)</f>
        <v>34.080957165999941</v>
      </c>
      <c r="G7" s="38"/>
    </row>
    <row r="8" spans="1:13">
      <c r="B8" s="459" t="s">
        <v>20</v>
      </c>
      <c r="C8" s="460"/>
      <c r="D8" s="460"/>
      <c r="E8" s="460"/>
      <c r="F8" s="460"/>
      <c r="G8" s="461"/>
    </row>
    <row r="9" spans="1:13" ht="126.75" customHeight="1">
      <c r="B9" s="399" t="s">
        <v>704</v>
      </c>
      <c r="C9" s="399"/>
      <c r="D9" s="399"/>
      <c r="E9" s="399"/>
      <c r="F9" s="399"/>
      <c r="G9" s="399"/>
    </row>
    <row r="12" spans="1:13">
      <c r="M12" t="s">
        <v>459</v>
      </c>
    </row>
    <row r="15" spans="1:13">
      <c r="A15" s="195" t="s">
        <v>512</v>
      </c>
    </row>
    <row r="16" spans="1:13" ht="100.8">
      <c r="A16" s="199" t="s">
        <v>185</v>
      </c>
      <c r="B16" s="199" t="s">
        <v>421</v>
      </c>
      <c r="C16" s="199" t="s">
        <v>456</v>
      </c>
      <c r="D16" s="187" t="s">
        <v>457</v>
      </c>
      <c r="E16" s="187" t="s">
        <v>458</v>
      </c>
      <c r="F16" s="187" t="s">
        <v>507</v>
      </c>
      <c r="H16" s="366" t="s">
        <v>470</v>
      </c>
      <c r="I16" s="366" t="s">
        <v>459</v>
      </c>
    </row>
    <row r="17" spans="1:9">
      <c r="A17" s="183" t="s">
        <v>290</v>
      </c>
      <c r="B17" s="183" t="s">
        <v>424</v>
      </c>
      <c r="C17" s="281">
        <v>144.46332870000003</v>
      </c>
      <c r="D17" s="184" t="s">
        <v>459</v>
      </c>
      <c r="E17" s="185">
        <v>42811</v>
      </c>
      <c r="F17" s="183" t="s">
        <v>508</v>
      </c>
      <c r="H17">
        <f>IF(D17=$H$16,C17,0)</f>
        <v>0</v>
      </c>
      <c r="I17">
        <f>IF(D17=$I$16,C17,0)</f>
        <v>144.46332870000003</v>
      </c>
    </row>
    <row r="18" spans="1:9">
      <c r="A18" s="183" t="s">
        <v>253</v>
      </c>
      <c r="B18" s="183" t="s">
        <v>460</v>
      </c>
      <c r="C18" s="281">
        <v>5.8709999999999998E-2</v>
      </c>
      <c r="D18" s="184" t="s">
        <v>461</v>
      </c>
      <c r="E18" s="186">
        <v>43101</v>
      </c>
      <c r="F18" s="183" t="s">
        <v>508</v>
      </c>
      <c r="H18">
        <f t="shared" ref="H18:H81" si="0">IF(D18=$H$16,C18,0)</f>
        <v>0</v>
      </c>
      <c r="I18">
        <f t="shared" ref="I18:I81" si="1">IF(D18=$I$16,C18,0)</f>
        <v>0</v>
      </c>
    </row>
    <row r="19" spans="1:9">
      <c r="A19" s="183" t="s">
        <v>290</v>
      </c>
      <c r="B19" s="183" t="s">
        <v>425</v>
      </c>
      <c r="C19" s="281">
        <v>76.906415500000008</v>
      </c>
      <c r="D19" s="184" t="s">
        <v>459</v>
      </c>
      <c r="E19" s="185">
        <v>42811</v>
      </c>
      <c r="F19" s="183" t="s">
        <v>508</v>
      </c>
      <c r="H19">
        <f t="shared" si="0"/>
        <v>0</v>
      </c>
      <c r="I19">
        <f t="shared" si="1"/>
        <v>76.906415500000008</v>
      </c>
    </row>
    <row r="20" spans="1:9">
      <c r="A20" s="183" t="s">
        <v>462</v>
      </c>
      <c r="B20" s="183" t="s">
        <v>426</v>
      </c>
      <c r="C20" s="281">
        <v>19.077128099999964</v>
      </c>
      <c r="D20" s="184" t="s">
        <v>459</v>
      </c>
      <c r="E20" s="186">
        <v>43252</v>
      </c>
      <c r="F20" s="183" t="s">
        <v>508</v>
      </c>
      <c r="H20">
        <f t="shared" si="0"/>
        <v>0</v>
      </c>
      <c r="I20">
        <f t="shared" si="1"/>
        <v>19.077128099999964</v>
      </c>
    </row>
    <row r="21" spans="1:9">
      <c r="A21" s="183" t="s">
        <v>188</v>
      </c>
      <c r="B21" s="183" t="s">
        <v>463</v>
      </c>
      <c r="C21" s="281">
        <v>-0.64041000000000003</v>
      </c>
      <c r="D21" s="184" t="s">
        <v>459</v>
      </c>
      <c r="E21" s="185">
        <v>43160</v>
      </c>
      <c r="F21" s="183" t="s">
        <v>508</v>
      </c>
      <c r="H21">
        <f t="shared" si="0"/>
        <v>0</v>
      </c>
      <c r="I21">
        <f t="shared" si="1"/>
        <v>-0.64041000000000003</v>
      </c>
    </row>
    <row r="22" spans="1:9">
      <c r="A22" s="183" t="s">
        <v>194</v>
      </c>
      <c r="B22" s="183" t="s">
        <v>464</v>
      </c>
      <c r="C22" s="281">
        <v>-6.9999999999999999E-4</v>
      </c>
      <c r="D22" s="184" t="s">
        <v>459</v>
      </c>
      <c r="E22" s="186">
        <v>41699</v>
      </c>
      <c r="F22" s="183" t="s">
        <v>508</v>
      </c>
      <c r="H22">
        <f t="shared" si="0"/>
        <v>0</v>
      </c>
      <c r="I22">
        <f t="shared" si="1"/>
        <v>-6.9999999999999999E-4</v>
      </c>
    </row>
    <row r="23" spans="1:9">
      <c r="A23" s="183" t="s">
        <v>194</v>
      </c>
      <c r="B23" s="183" t="s">
        <v>428</v>
      </c>
      <c r="C23" s="281">
        <v>26.529915800000005</v>
      </c>
      <c r="D23" s="184" t="s">
        <v>459</v>
      </c>
      <c r="E23" s="186">
        <v>41699</v>
      </c>
      <c r="F23" s="183" t="s">
        <v>508</v>
      </c>
      <c r="H23">
        <f t="shared" si="0"/>
        <v>0</v>
      </c>
      <c r="I23">
        <f t="shared" si="1"/>
        <v>26.529915800000005</v>
      </c>
    </row>
    <row r="24" spans="1:9">
      <c r="A24" s="183" t="s">
        <v>253</v>
      </c>
      <c r="B24" s="183" t="s">
        <v>465</v>
      </c>
      <c r="C24" s="281">
        <v>1.8999999994412065E-6</v>
      </c>
      <c r="D24" s="184" t="s">
        <v>459</v>
      </c>
      <c r="E24" s="185">
        <v>42430</v>
      </c>
      <c r="F24" s="183" t="s">
        <v>508</v>
      </c>
      <c r="H24">
        <f t="shared" si="0"/>
        <v>0</v>
      </c>
      <c r="I24">
        <f t="shared" si="1"/>
        <v>1.8999999994412065E-6</v>
      </c>
    </row>
    <row r="25" spans="1:9">
      <c r="A25" s="183" t="s">
        <v>253</v>
      </c>
      <c r="B25" s="183" t="s">
        <v>466</v>
      </c>
      <c r="C25" s="281">
        <v>18.065549999999998</v>
      </c>
      <c r="D25" s="184" t="s">
        <v>459</v>
      </c>
      <c r="E25" s="186">
        <v>42795</v>
      </c>
      <c r="F25" s="183" t="s">
        <v>508</v>
      </c>
      <c r="H25">
        <f t="shared" si="0"/>
        <v>0</v>
      </c>
      <c r="I25">
        <f t="shared" si="1"/>
        <v>18.065549999999998</v>
      </c>
    </row>
    <row r="26" spans="1:9">
      <c r="A26" s="183" t="s">
        <v>188</v>
      </c>
      <c r="B26" s="183" t="s">
        <v>467</v>
      </c>
      <c r="C26" s="281">
        <v>0.29120000000000001</v>
      </c>
      <c r="D26" s="184" t="s">
        <v>468</v>
      </c>
      <c r="E26" s="185">
        <v>43983</v>
      </c>
      <c r="F26" s="184" t="s">
        <v>509</v>
      </c>
      <c r="H26">
        <f t="shared" si="0"/>
        <v>0</v>
      </c>
      <c r="I26">
        <f t="shared" si="1"/>
        <v>0</v>
      </c>
    </row>
    <row r="27" spans="1:9">
      <c r="A27" s="183" t="s">
        <v>290</v>
      </c>
      <c r="B27" s="183" t="s">
        <v>429</v>
      </c>
      <c r="C27" s="281">
        <v>121.95575679999999</v>
      </c>
      <c r="D27" s="184" t="s">
        <v>459</v>
      </c>
      <c r="E27" s="185">
        <v>43176</v>
      </c>
      <c r="F27" s="183" t="s">
        <v>508</v>
      </c>
      <c r="H27">
        <f t="shared" si="0"/>
        <v>0</v>
      </c>
      <c r="I27">
        <f t="shared" si="1"/>
        <v>121.95575679999999</v>
      </c>
    </row>
    <row r="28" spans="1:9">
      <c r="A28" s="183" t="s">
        <v>290</v>
      </c>
      <c r="B28" s="183" t="s">
        <v>469</v>
      </c>
      <c r="C28" s="281">
        <v>60.527499900000002</v>
      </c>
      <c r="D28" s="184" t="s">
        <v>459</v>
      </c>
      <c r="E28" s="185">
        <v>43176</v>
      </c>
      <c r="F28" s="183" t="s">
        <v>508</v>
      </c>
      <c r="H28">
        <f t="shared" si="0"/>
        <v>0</v>
      </c>
      <c r="I28">
        <f t="shared" si="1"/>
        <v>60.527499900000002</v>
      </c>
    </row>
    <row r="29" spans="1:9">
      <c r="A29" s="183" t="s">
        <v>253</v>
      </c>
      <c r="B29" s="183" t="s">
        <v>264</v>
      </c>
      <c r="C29" s="281">
        <v>107.44310990000001</v>
      </c>
      <c r="D29" s="184" t="s">
        <v>470</v>
      </c>
      <c r="E29" s="186">
        <v>44713</v>
      </c>
      <c r="F29" s="184" t="s">
        <v>510</v>
      </c>
      <c r="H29">
        <f>IF(D29=$H$16,C29,0)</f>
        <v>107.44310990000001</v>
      </c>
      <c r="I29">
        <f t="shared" si="1"/>
        <v>0</v>
      </c>
    </row>
    <row r="30" spans="1:9">
      <c r="A30" s="183" t="s">
        <v>232</v>
      </c>
      <c r="B30" s="183" t="s">
        <v>430</v>
      </c>
      <c r="C30" s="281">
        <v>309.36065370000011</v>
      </c>
      <c r="D30" s="184" t="s">
        <v>461</v>
      </c>
      <c r="E30" s="185">
        <v>43176</v>
      </c>
      <c r="F30" s="183" t="s">
        <v>508</v>
      </c>
      <c r="H30">
        <f t="shared" si="0"/>
        <v>0</v>
      </c>
      <c r="I30">
        <f t="shared" si="1"/>
        <v>0</v>
      </c>
    </row>
    <row r="31" spans="1:9">
      <c r="A31" s="183" t="s">
        <v>232</v>
      </c>
      <c r="B31" s="183" t="s">
        <v>431</v>
      </c>
      <c r="C31" s="281">
        <v>218.82694559999996</v>
      </c>
      <c r="D31" s="184" t="s">
        <v>470</v>
      </c>
      <c r="E31" s="185">
        <v>43160</v>
      </c>
      <c r="F31" s="184" t="s">
        <v>510</v>
      </c>
      <c r="H31">
        <f t="shared" si="0"/>
        <v>218.82694559999996</v>
      </c>
      <c r="I31">
        <f t="shared" si="1"/>
        <v>0</v>
      </c>
    </row>
    <row r="32" spans="1:9">
      <c r="A32" s="183" t="s">
        <v>290</v>
      </c>
      <c r="B32" s="183" t="s">
        <v>432</v>
      </c>
      <c r="C32" s="281">
        <v>234.20642530000029</v>
      </c>
      <c r="D32" s="184" t="s">
        <v>459</v>
      </c>
      <c r="E32" s="185">
        <v>42446</v>
      </c>
      <c r="F32" s="183" t="s">
        <v>508</v>
      </c>
      <c r="H32">
        <f t="shared" si="0"/>
        <v>0</v>
      </c>
      <c r="I32">
        <f t="shared" si="1"/>
        <v>234.20642530000029</v>
      </c>
    </row>
    <row r="33" spans="1:9">
      <c r="A33" s="183" t="s">
        <v>290</v>
      </c>
      <c r="B33" s="183" t="s">
        <v>471</v>
      </c>
      <c r="C33" s="281">
        <v>25.019337599999957</v>
      </c>
      <c r="D33" s="184" t="s">
        <v>459</v>
      </c>
      <c r="E33" s="185">
        <v>42446</v>
      </c>
      <c r="F33" s="183" t="s">
        <v>508</v>
      </c>
      <c r="H33">
        <f t="shared" si="0"/>
        <v>0</v>
      </c>
      <c r="I33">
        <f t="shared" si="1"/>
        <v>25.019337599999957</v>
      </c>
    </row>
    <row r="34" spans="1:9">
      <c r="A34" s="183" t="s">
        <v>290</v>
      </c>
      <c r="B34" s="183" t="s">
        <v>415</v>
      </c>
      <c r="C34" s="281">
        <v>-175.03627010000261</v>
      </c>
      <c r="D34" s="184" t="s">
        <v>459</v>
      </c>
      <c r="E34" s="186">
        <v>41699</v>
      </c>
      <c r="F34" s="183" t="s">
        <v>508</v>
      </c>
      <c r="H34">
        <f t="shared" si="0"/>
        <v>0</v>
      </c>
      <c r="I34">
        <f t="shared" si="1"/>
        <v>-175.03627010000261</v>
      </c>
    </row>
    <row r="35" spans="1:9">
      <c r="A35" s="183" t="s">
        <v>232</v>
      </c>
      <c r="B35" s="183" t="s">
        <v>363</v>
      </c>
      <c r="C35" s="281">
        <v>121.82387739999999</v>
      </c>
      <c r="D35" s="184" t="s">
        <v>461</v>
      </c>
      <c r="E35" s="185">
        <v>43160</v>
      </c>
      <c r="F35" s="183" t="s">
        <v>508</v>
      </c>
      <c r="H35">
        <f t="shared" si="0"/>
        <v>0</v>
      </c>
      <c r="I35">
        <f t="shared" si="1"/>
        <v>0</v>
      </c>
    </row>
    <row r="36" spans="1:9">
      <c r="A36" s="183" t="s">
        <v>462</v>
      </c>
      <c r="B36" s="183" t="s">
        <v>433</v>
      </c>
      <c r="C36" s="281">
        <v>1.8003814</v>
      </c>
      <c r="D36" s="184" t="s">
        <v>459</v>
      </c>
      <c r="E36" s="185">
        <v>43160</v>
      </c>
      <c r="F36" s="183" t="s">
        <v>508</v>
      </c>
      <c r="H36">
        <f t="shared" si="0"/>
        <v>0</v>
      </c>
      <c r="I36">
        <f t="shared" si="1"/>
        <v>1.8003814</v>
      </c>
    </row>
    <row r="37" spans="1:9">
      <c r="A37" s="183" t="s">
        <v>434</v>
      </c>
      <c r="B37" s="183" t="s">
        <v>434</v>
      </c>
      <c r="C37" s="281">
        <v>-3223.2299109999999</v>
      </c>
      <c r="D37" s="184" t="s">
        <v>472</v>
      </c>
      <c r="E37" s="186">
        <v>42064</v>
      </c>
      <c r="F37" s="183" t="s">
        <v>508</v>
      </c>
      <c r="H37">
        <f t="shared" si="0"/>
        <v>0</v>
      </c>
      <c r="I37">
        <f t="shared" si="1"/>
        <v>0</v>
      </c>
    </row>
    <row r="38" spans="1:9">
      <c r="A38" s="183" t="s">
        <v>188</v>
      </c>
      <c r="B38" s="183" t="s">
        <v>327</v>
      </c>
      <c r="C38" s="281">
        <v>81.897162799999975</v>
      </c>
      <c r="D38" s="184" t="s">
        <v>468</v>
      </c>
      <c r="E38" s="185">
        <v>43313</v>
      </c>
      <c r="F38" s="183" t="s">
        <v>508</v>
      </c>
      <c r="H38">
        <f t="shared" si="0"/>
        <v>0</v>
      </c>
      <c r="I38">
        <f t="shared" si="1"/>
        <v>0</v>
      </c>
    </row>
    <row r="39" spans="1:9">
      <c r="A39" s="183" t="s">
        <v>290</v>
      </c>
      <c r="B39" s="183" t="s">
        <v>435</v>
      </c>
      <c r="C39" s="281">
        <v>43.460923000000037</v>
      </c>
      <c r="D39" s="184" t="s">
        <v>459</v>
      </c>
      <c r="E39" s="185">
        <v>43177</v>
      </c>
      <c r="F39" s="183" t="s">
        <v>508</v>
      </c>
      <c r="H39">
        <f t="shared" si="0"/>
        <v>0</v>
      </c>
      <c r="I39">
        <f t="shared" si="1"/>
        <v>43.460923000000037</v>
      </c>
    </row>
    <row r="40" spans="1:9">
      <c r="A40" s="183" t="s">
        <v>232</v>
      </c>
      <c r="B40" s="183" t="s">
        <v>473</v>
      </c>
      <c r="C40" s="281">
        <v>82.775370199999927</v>
      </c>
      <c r="D40" s="184" t="s">
        <v>461</v>
      </c>
      <c r="E40" s="185">
        <v>43177</v>
      </c>
      <c r="F40" s="183" t="s">
        <v>508</v>
      </c>
      <c r="H40">
        <f t="shared" si="0"/>
        <v>0</v>
      </c>
      <c r="I40">
        <f t="shared" si="1"/>
        <v>0</v>
      </c>
    </row>
    <row r="41" spans="1:9">
      <c r="A41" s="183" t="s">
        <v>290</v>
      </c>
      <c r="B41" s="183" t="s">
        <v>474</v>
      </c>
      <c r="C41" s="281">
        <v>10.295949999999999</v>
      </c>
      <c r="D41" s="184" t="s">
        <v>468</v>
      </c>
      <c r="E41" s="185">
        <v>42812</v>
      </c>
      <c r="F41" s="183" t="s">
        <v>508</v>
      </c>
      <c r="H41">
        <f t="shared" si="0"/>
        <v>0</v>
      </c>
      <c r="I41">
        <f t="shared" si="1"/>
        <v>0</v>
      </c>
    </row>
    <row r="42" spans="1:9">
      <c r="A42" s="183" t="s">
        <v>290</v>
      </c>
      <c r="B42" s="183" t="s">
        <v>436</v>
      </c>
      <c r="C42" s="281">
        <v>63.814610000000002</v>
      </c>
      <c r="D42" s="184" t="s">
        <v>468</v>
      </c>
      <c r="E42" s="185">
        <v>42812</v>
      </c>
      <c r="F42" s="183" t="s">
        <v>508</v>
      </c>
      <c r="H42">
        <f t="shared" si="0"/>
        <v>0</v>
      </c>
      <c r="I42">
        <f t="shared" si="1"/>
        <v>0</v>
      </c>
    </row>
    <row r="43" spans="1:9">
      <c r="A43" s="183" t="s">
        <v>253</v>
      </c>
      <c r="B43" s="183" t="s">
        <v>254</v>
      </c>
      <c r="C43" s="281">
        <v>-2.58276499999881</v>
      </c>
      <c r="D43" s="184" t="s">
        <v>459</v>
      </c>
      <c r="E43" s="185">
        <v>42430</v>
      </c>
      <c r="F43" s="183" t="s">
        <v>508</v>
      </c>
      <c r="H43">
        <f t="shared" si="0"/>
        <v>0</v>
      </c>
      <c r="I43">
        <f t="shared" si="1"/>
        <v>-2.58276499999881</v>
      </c>
    </row>
    <row r="44" spans="1:9">
      <c r="A44" s="183" t="s">
        <v>188</v>
      </c>
      <c r="B44" s="183" t="s">
        <v>475</v>
      </c>
      <c r="C44" s="281">
        <v>-5.0489999999999993E-2</v>
      </c>
      <c r="D44" s="184" t="s">
        <v>468</v>
      </c>
      <c r="E44" s="185">
        <v>43891</v>
      </c>
      <c r="F44" s="184" t="s">
        <v>509</v>
      </c>
      <c r="H44">
        <f t="shared" si="0"/>
        <v>0</v>
      </c>
      <c r="I44">
        <f t="shared" si="1"/>
        <v>0</v>
      </c>
    </row>
    <row r="45" spans="1:9">
      <c r="A45" s="183" t="s">
        <v>194</v>
      </c>
      <c r="B45" s="183" t="s">
        <v>476</v>
      </c>
      <c r="C45" s="281">
        <v>0.30871000000000004</v>
      </c>
      <c r="D45" s="184" t="s">
        <v>477</v>
      </c>
      <c r="E45" s="185">
        <v>40969</v>
      </c>
      <c r="F45" s="183" t="s">
        <v>508</v>
      </c>
      <c r="H45">
        <f t="shared" si="0"/>
        <v>0</v>
      </c>
      <c r="I45">
        <f t="shared" si="1"/>
        <v>0</v>
      </c>
    </row>
    <row r="46" spans="1:9">
      <c r="A46" s="183" t="s">
        <v>462</v>
      </c>
      <c r="B46" s="183" t="s">
        <v>478</v>
      </c>
      <c r="C46" s="281">
        <v>0.75717999999999996</v>
      </c>
      <c r="D46" s="184" t="s">
        <v>459</v>
      </c>
      <c r="E46" s="185">
        <v>43160</v>
      </c>
      <c r="F46" s="183" t="s">
        <v>508</v>
      </c>
      <c r="H46">
        <f t="shared" si="0"/>
        <v>0</v>
      </c>
      <c r="I46">
        <f t="shared" si="1"/>
        <v>0.75717999999999996</v>
      </c>
    </row>
    <row r="47" spans="1:9">
      <c r="A47" s="183" t="s">
        <v>290</v>
      </c>
      <c r="B47" s="183" t="s">
        <v>479</v>
      </c>
      <c r="C47" s="281">
        <v>116.9891025</v>
      </c>
      <c r="D47" s="184" t="s">
        <v>468</v>
      </c>
      <c r="E47" s="185">
        <v>43177</v>
      </c>
      <c r="F47" s="183" t="s">
        <v>508</v>
      </c>
      <c r="H47">
        <f t="shared" si="0"/>
        <v>0</v>
      </c>
      <c r="I47">
        <f t="shared" si="1"/>
        <v>0</v>
      </c>
    </row>
    <row r="48" spans="1:9">
      <c r="A48" s="183" t="s">
        <v>462</v>
      </c>
      <c r="B48" s="183" t="s">
        <v>480</v>
      </c>
      <c r="C48" s="281">
        <v>31.09454790000003</v>
      </c>
      <c r="D48" s="184" t="s">
        <v>459</v>
      </c>
      <c r="E48" s="185">
        <v>43160</v>
      </c>
      <c r="F48" s="183" t="s">
        <v>508</v>
      </c>
      <c r="H48">
        <f t="shared" si="0"/>
        <v>0</v>
      </c>
      <c r="I48">
        <f t="shared" si="1"/>
        <v>31.09454790000003</v>
      </c>
    </row>
    <row r="49" spans="1:9">
      <c r="A49" s="183" t="s">
        <v>194</v>
      </c>
      <c r="B49" s="183" t="s">
        <v>328</v>
      </c>
      <c r="C49" s="281">
        <v>20.981354199999998</v>
      </c>
      <c r="D49" s="184" t="s">
        <v>459</v>
      </c>
      <c r="E49" s="185">
        <v>40969</v>
      </c>
      <c r="F49" s="183" t="s">
        <v>508</v>
      </c>
      <c r="H49">
        <f t="shared" si="0"/>
        <v>0</v>
      </c>
      <c r="I49">
        <f t="shared" si="1"/>
        <v>20.981354199999998</v>
      </c>
    </row>
    <row r="50" spans="1:9">
      <c r="A50" s="183" t="s">
        <v>462</v>
      </c>
      <c r="B50" s="183" t="s">
        <v>481</v>
      </c>
      <c r="C50" s="281">
        <v>-0.94214999999999993</v>
      </c>
      <c r="D50" s="184" t="s">
        <v>459</v>
      </c>
      <c r="E50" s="186">
        <v>42064</v>
      </c>
      <c r="F50" s="183" t="s">
        <v>508</v>
      </c>
      <c r="H50">
        <f t="shared" si="0"/>
        <v>0</v>
      </c>
      <c r="I50">
        <f t="shared" si="1"/>
        <v>-0.94214999999999993</v>
      </c>
    </row>
    <row r="51" spans="1:9">
      <c r="A51" s="183" t="s">
        <v>290</v>
      </c>
      <c r="B51" s="183" t="s">
        <v>437</v>
      </c>
      <c r="C51" s="281">
        <v>27.156270099999912</v>
      </c>
      <c r="D51" s="184" t="s">
        <v>459</v>
      </c>
      <c r="E51" s="185">
        <v>43177</v>
      </c>
      <c r="F51" s="183" t="s">
        <v>508</v>
      </c>
      <c r="H51">
        <f t="shared" si="0"/>
        <v>0</v>
      </c>
      <c r="I51">
        <f t="shared" si="1"/>
        <v>27.156270099999912</v>
      </c>
    </row>
    <row r="52" spans="1:9">
      <c r="A52" s="183" t="s">
        <v>434</v>
      </c>
      <c r="B52" s="183" t="s">
        <v>438</v>
      </c>
      <c r="C52" s="281">
        <v>30.928799000000001</v>
      </c>
      <c r="D52" s="184" t="s">
        <v>472</v>
      </c>
      <c r="E52" s="186">
        <v>42064</v>
      </c>
      <c r="F52" s="183" t="s">
        <v>508</v>
      </c>
      <c r="H52">
        <f t="shared" si="0"/>
        <v>0</v>
      </c>
      <c r="I52">
        <f t="shared" si="1"/>
        <v>0</v>
      </c>
    </row>
    <row r="53" spans="1:9">
      <c r="A53" s="183" t="s">
        <v>462</v>
      </c>
      <c r="B53" s="183" t="s">
        <v>439</v>
      </c>
      <c r="C53" s="281">
        <v>24.369222199999999</v>
      </c>
      <c r="D53" s="184" t="s">
        <v>461</v>
      </c>
      <c r="E53" s="185">
        <v>43160</v>
      </c>
      <c r="F53" s="183" t="s">
        <v>508</v>
      </c>
      <c r="H53">
        <f t="shared" si="0"/>
        <v>0</v>
      </c>
      <c r="I53">
        <f t="shared" si="1"/>
        <v>0</v>
      </c>
    </row>
    <row r="54" spans="1:9">
      <c r="A54" s="262" t="s">
        <v>427</v>
      </c>
      <c r="B54" s="183" t="s">
        <v>197</v>
      </c>
      <c r="C54" s="281">
        <v>0.34957540000000004</v>
      </c>
      <c r="D54" s="184" t="s">
        <v>459</v>
      </c>
      <c r="E54" s="186">
        <v>41699</v>
      </c>
      <c r="F54" s="183" t="s">
        <v>508</v>
      </c>
      <c r="H54">
        <f t="shared" si="0"/>
        <v>0</v>
      </c>
      <c r="I54">
        <f t="shared" si="1"/>
        <v>0.34957540000000004</v>
      </c>
    </row>
    <row r="55" spans="1:9">
      <c r="A55" s="183" t="s">
        <v>188</v>
      </c>
      <c r="B55" s="183" t="s">
        <v>482</v>
      </c>
      <c r="C55" s="281">
        <v>-2.4300000000000003E-3</v>
      </c>
      <c r="D55" s="184" t="s">
        <v>472</v>
      </c>
      <c r="E55" s="185">
        <v>43160</v>
      </c>
      <c r="F55" s="183" t="s">
        <v>508</v>
      </c>
      <c r="H55">
        <f t="shared" si="0"/>
        <v>0</v>
      </c>
      <c r="I55">
        <f t="shared" si="1"/>
        <v>0</v>
      </c>
    </row>
    <row r="56" spans="1:9">
      <c r="A56" s="183" t="s">
        <v>188</v>
      </c>
      <c r="B56" s="183" t="s">
        <v>483</v>
      </c>
      <c r="C56" s="281">
        <v>1.3465381000000001</v>
      </c>
      <c r="D56" s="184" t="s">
        <v>459</v>
      </c>
      <c r="E56" s="185">
        <v>43160</v>
      </c>
      <c r="F56" s="183" t="s">
        <v>508</v>
      </c>
      <c r="H56">
        <f t="shared" si="0"/>
        <v>0</v>
      </c>
      <c r="I56">
        <f t="shared" si="1"/>
        <v>1.3465381000000001</v>
      </c>
    </row>
    <row r="57" spans="1:9">
      <c r="A57" s="183" t="s">
        <v>462</v>
      </c>
      <c r="B57" s="183" t="s">
        <v>484</v>
      </c>
      <c r="C57" s="281">
        <v>-6.9960145000036595</v>
      </c>
      <c r="D57" s="184" t="s">
        <v>459</v>
      </c>
      <c r="E57" s="186">
        <v>42064</v>
      </c>
      <c r="F57" s="183" t="s">
        <v>508</v>
      </c>
      <c r="H57">
        <f t="shared" si="0"/>
        <v>0</v>
      </c>
      <c r="I57">
        <f t="shared" si="1"/>
        <v>-6.9960145000036595</v>
      </c>
    </row>
    <row r="58" spans="1:9">
      <c r="A58" s="183" t="s">
        <v>232</v>
      </c>
      <c r="B58" s="183" t="s">
        <v>485</v>
      </c>
      <c r="C58" s="281">
        <v>112.98688379999999</v>
      </c>
      <c r="D58" s="184" t="s">
        <v>472</v>
      </c>
      <c r="E58" s="186">
        <v>43160</v>
      </c>
      <c r="F58" s="183" t="s">
        <v>508</v>
      </c>
      <c r="H58">
        <f t="shared" si="0"/>
        <v>0</v>
      </c>
      <c r="I58">
        <f t="shared" si="1"/>
        <v>0</v>
      </c>
    </row>
    <row r="59" spans="1:9">
      <c r="A59" s="183" t="s">
        <v>194</v>
      </c>
      <c r="B59" s="183" t="s">
        <v>486</v>
      </c>
      <c r="C59" s="281">
        <v>1.0330611999999999</v>
      </c>
      <c r="D59" s="184" t="s">
        <v>472</v>
      </c>
      <c r="E59" s="186">
        <v>40969</v>
      </c>
      <c r="F59" s="183" t="s">
        <v>508</v>
      </c>
      <c r="H59">
        <f t="shared" si="0"/>
        <v>0</v>
      </c>
      <c r="I59">
        <f t="shared" si="1"/>
        <v>0</v>
      </c>
    </row>
    <row r="60" spans="1:9">
      <c r="A60" s="183" t="s">
        <v>245</v>
      </c>
      <c r="B60" s="183" t="s">
        <v>487</v>
      </c>
      <c r="C60" s="281">
        <v>67.581009299999991</v>
      </c>
      <c r="D60" s="184" t="s">
        <v>472</v>
      </c>
      <c r="E60" s="185">
        <v>42795</v>
      </c>
      <c r="F60" s="183" t="s">
        <v>508</v>
      </c>
      <c r="H60">
        <f t="shared" si="0"/>
        <v>0</v>
      </c>
      <c r="I60">
        <f t="shared" si="1"/>
        <v>0</v>
      </c>
    </row>
    <row r="61" spans="1:9">
      <c r="A61" s="183" t="s">
        <v>245</v>
      </c>
      <c r="B61" s="183" t="s">
        <v>488</v>
      </c>
      <c r="C61" s="281">
        <v>4.6378300000000001</v>
      </c>
      <c r="D61" s="184" t="s">
        <v>472</v>
      </c>
      <c r="E61" s="185">
        <v>42795</v>
      </c>
      <c r="F61" s="183" t="s">
        <v>508</v>
      </c>
      <c r="H61">
        <f t="shared" si="0"/>
        <v>0</v>
      </c>
      <c r="I61">
        <f t="shared" si="1"/>
        <v>0</v>
      </c>
    </row>
    <row r="62" spans="1:9">
      <c r="A62" s="183" t="s">
        <v>245</v>
      </c>
      <c r="B62" s="183" t="s">
        <v>440</v>
      </c>
      <c r="C62" s="281">
        <v>10.448349499999997</v>
      </c>
      <c r="D62" s="184" t="s">
        <v>472</v>
      </c>
      <c r="E62" s="185">
        <v>42795</v>
      </c>
      <c r="F62" s="183" t="s">
        <v>508</v>
      </c>
      <c r="H62">
        <f t="shared" si="0"/>
        <v>0</v>
      </c>
      <c r="I62">
        <f t="shared" si="1"/>
        <v>0</v>
      </c>
    </row>
    <row r="63" spans="1:9">
      <c r="A63" s="183" t="s">
        <v>462</v>
      </c>
      <c r="B63" s="183" t="s">
        <v>489</v>
      </c>
      <c r="C63" s="281">
        <v>-0.13035199999999997</v>
      </c>
      <c r="D63" s="184" t="s">
        <v>459</v>
      </c>
      <c r="E63" s="186">
        <v>42064</v>
      </c>
      <c r="F63" s="183" t="s">
        <v>508</v>
      </c>
      <c r="H63">
        <f t="shared" si="0"/>
        <v>0</v>
      </c>
      <c r="I63">
        <f t="shared" si="1"/>
        <v>-0.13035199999999997</v>
      </c>
    </row>
    <row r="64" spans="1:9">
      <c r="A64" s="183" t="s">
        <v>462</v>
      </c>
      <c r="B64" s="183" t="s">
        <v>490</v>
      </c>
      <c r="C64" s="281">
        <v>-1.000000000003638E-6</v>
      </c>
      <c r="D64" s="184" t="s">
        <v>459</v>
      </c>
      <c r="E64" s="186">
        <v>42064</v>
      </c>
      <c r="F64" s="183" t="s">
        <v>508</v>
      </c>
      <c r="H64">
        <f t="shared" si="0"/>
        <v>0</v>
      </c>
      <c r="I64">
        <f t="shared" si="1"/>
        <v>-1.000000000003638E-6</v>
      </c>
    </row>
    <row r="65" spans="1:9">
      <c r="A65" s="183" t="s">
        <v>290</v>
      </c>
      <c r="B65" s="183" t="s">
        <v>441</v>
      </c>
      <c r="C65" s="281">
        <v>421.74452599999989</v>
      </c>
      <c r="D65" s="184" t="s">
        <v>459</v>
      </c>
      <c r="E65" s="185">
        <v>43177</v>
      </c>
      <c r="F65" s="183" t="s">
        <v>508</v>
      </c>
      <c r="H65">
        <f t="shared" si="0"/>
        <v>0</v>
      </c>
      <c r="I65">
        <f t="shared" si="1"/>
        <v>421.74452599999989</v>
      </c>
    </row>
    <row r="66" spans="1:9">
      <c r="A66" s="183" t="s">
        <v>290</v>
      </c>
      <c r="B66" s="183" t="s">
        <v>442</v>
      </c>
      <c r="C66" s="281">
        <v>35.181597700000012</v>
      </c>
      <c r="D66" s="184" t="s">
        <v>468</v>
      </c>
      <c r="E66" s="185">
        <v>43177</v>
      </c>
      <c r="F66" s="183" t="s">
        <v>508</v>
      </c>
      <c r="H66">
        <f t="shared" si="0"/>
        <v>0</v>
      </c>
      <c r="I66">
        <f t="shared" si="1"/>
        <v>0</v>
      </c>
    </row>
    <row r="67" spans="1:9">
      <c r="A67" s="183" t="s">
        <v>194</v>
      </c>
      <c r="B67" s="183" t="s">
        <v>491</v>
      </c>
      <c r="C67" s="281">
        <v>-0.12524000000000002</v>
      </c>
      <c r="D67" s="184" t="s">
        <v>459</v>
      </c>
      <c r="E67" s="186">
        <v>41699</v>
      </c>
      <c r="F67" s="183" t="s">
        <v>508</v>
      </c>
      <c r="H67">
        <f t="shared" si="0"/>
        <v>0</v>
      </c>
      <c r="I67">
        <f t="shared" si="1"/>
        <v>-0.12524000000000002</v>
      </c>
    </row>
    <row r="68" spans="1:9">
      <c r="A68" s="183" t="s">
        <v>188</v>
      </c>
      <c r="B68" s="183" t="s">
        <v>444</v>
      </c>
      <c r="C68" s="281">
        <v>75.381589899999994</v>
      </c>
      <c r="D68" s="184" t="s">
        <v>470</v>
      </c>
      <c r="E68" s="185">
        <v>43160</v>
      </c>
      <c r="F68" s="184" t="s">
        <v>510</v>
      </c>
      <c r="H68">
        <f t="shared" si="0"/>
        <v>75.381589899999994</v>
      </c>
      <c r="I68">
        <f t="shared" si="1"/>
        <v>0</v>
      </c>
    </row>
    <row r="69" spans="1:9">
      <c r="A69" s="183" t="s">
        <v>188</v>
      </c>
      <c r="B69" s="183" t="s">
        <v>445</v>
      </c>
      <c r="C69" s="281">
        <v>31.676136299999978</v>
      </c>
      <c r="D69" s="184" t="s">
        <v>470</v>
      </c>
      <c r="E69" s="185">
        <v>43070</v>
      </c>
      <c r="F69" s="184" t="s">
        <v>510</v>
      </c>
      <c r="H69">
        <f t="shared" si="0"/>
        <v>31.676136299999978</v>
      </c>
      <c r="I69">
        <f t="shared" si="1"/>
        <v>0</v>
      </c>
    </row>
    <row r="70" spans="1:9">
      <c r="A70" s="183" t="s">
        <v>188</v>
      </c>
      <c r="B70" s="183" t="s">
        <v>446</v>
      </c>
      <c r="C70" s="281">
        <v>8.3200756000000187</v>
      </c>
      <c r="D70" s="184" t="s">
        <v>459</v>
      </c>
      <c r="E70" s="185">
        <v>43191</v>
      </c>
      <c r="F70" s="183" t="s">
        <v>508</v>
      </c>
      <c r="H70">
        <f t="shared" si="0"/>
        <v>0</v>
      </c>
      <c r="I70">
        <f t="shared" si="1"/>
        <v>8.3200756000000187</v>
      </c>
    </row>
    <row r="71" spans="1:9">
      <c r="A71" s="183" t="s">
        <v>194</v>
      </c>
      <c r="B71" s="183" t="s">
        <v>492</v>
      </c>
      <c r="C71" s="281">
        <v>0.27767999999999998</v>
      </c>
      <c r="D71" s="184" t="s">
        <v>459</v>
      </c>
      <c r="E71" s="184">
        <v>2012</v>
      </c>
      <c r="F71" s="183" t="s">
        <v>508</v>
      </c>
      <c r="H71">
        <f t="shared" si="0"/>
        <v>0</v>
      </c>
      <c r="I71">
        <f t="shared" si="1"/>
        <v>0.27767999999999998</v>
      </c>
    </row>
    <row r="72" spans="1:9">
      <c r="A72" s="183" t="s">
        <v>232</v>
      </c>
      <c r="B72" s="183" t="s">
        <v>239</v>
      </c>
      <c r="C72" s="281">
        <v>168.40715740000002</v>
      </c>
      <c r="D72" s="184" t="s">
        <v>468</v>
      </c>
      <c r="E72" s="184">
        <v>2018</v>
      </c>
      <c r="F72" s="183" t="s">
        <v>508</v>
      </c>
      <c r="H72">
        <f t="shared" si="0"/>
        <v>0</v>
      </c>
      <c r="I72">
        <f t="shared" si="1"/>
        <v>0</v>
      </c>
    </row>
    <row r="73" spans="1:9">
      <c r="A73" s="183" t="s">
        <v>253</v>
      </c>
      <c r="B73" s="183" t="s">
        <v>493</v>
      </c>
      <c r="C73" s="281">
        <v>76.660439999999994</v>
      </c>
      <c r="D73" s="184" t="s">
        <v>459</v>
      </c>
      <c r="E73" s="185">
        <v>43160</v>
      </c>
      <c r="F73" s="183" t="s">
        <v>508</v>
      </c>
      <c r="H73">
        <f t="shared" si="0"/>
        <v>0</v>
      </c>
      <c r="I73">
        <f t="shared" si="1"/>
        <v>76.660439999999994</v>
      </c>
    </row>
    <row r="74" spans="1:9">
      <c r="A74" s="183" t="s">
        <v>462</v>
      </c>
      <c r="B74" s="183" t="s">
        <v>494</v>
      </c>
      <c r="C74" s="281">
        <v>-0.5645</v>
      </c>
      <c r="D74" s="184" t="s">
        <v>461</v>
      </c>
      <c r="E74" s="186">
        <v>42064</v>
      </c>
      <c r="F74" s="183" t="s">
        <v>508</v>
      </c>
      <c r="H74">
        <f t="shared" si="0"/>
        <v>0</v>
      </c>
      <c r="I74">
        <f t="shared" si="1"/>
        <v>0</v>
      </c>
    </row>
    <row r="75" spans="1:9">
      <c r="A75" s="183" t="s">
        <v>194</v>
      </c>
      <c r="B75" s="183" t="s">
        <v>203</v>
      </c>
      <c r="C75" s="281">
        <v>13.362340499999997</v>
      </c>
      <c r="D75" s="184" t="s">
        <v>470</v>
      </c>
      <c r="E75" s="184">
        <v>2018</v>
      </c>
      <c r="F75" s="184" t="s">
        <v>510</v>
      </c>
      <c r="H75">
        <f t="shared" si="0"/>
        <v>13.362340499999997</v>
      </c>
      <c r="I75">
        <f t="shared" si="1"/>
        <v>0</v>
      </c>
    </row>
    <row r="76" spans="1:9">
      <c r="A76" s="183" t="s">
        <v>462</v>
      </c>
      <c r="B76" s="183" t="s">
        <v>495</v>
      </c>
      <c r="C76" s="281">
        <v>-5.2809780000000011</v>
      </c>
      <c r="D76" s="184" t="s">
        <v>459</v>
      </c>
      <c r="E76" s="186">
        <v>42064</v>
      </c>
      <c r="F76" s="183" t="s">
        <v>508</v>
      </c>
      <c r="H76">
        <f t="shared" si="0"/>
        <v>0</v>
      </c>
      <c r="I76">
        <f t="shared" si="1"/>
        <v>-5.2809780000000011</v>
      </c>
    </row>
    <row r="77" spans="1:9">
      <c r="A77" s="183" t="s">
        <v>462</v>
      </c>
      <c r="B77" s="183" t="s">
        <v>496</v>
      </c>
      <c r="C77" s="281">
        <v>-40.204210100001085</v>
      </c>
      <c r="D77" s="184" t="s">
        <v>459</v>
      </c>
      <c r="E77" s="186">
        <v>42064</v>
      </c>
      <c r="F77" s="183" t="s">
        <v>508</v>
      </c>
      <c r="H77">
        <f t="shared" si="0"/>
        <v>0</v>
      </c>
      <c r="I77">
        <f t="shared" si="1"/>
        <v>-40.204210100001085</v>
      </c>
    </row>
    <row r="78" spans="1:9">
      <c r="A78" s="183" t="s">
        <v>188</v>
      </c>
      <c r="B78" s="183" t="s">
        <v>447</v>
      </c>
      <c r="C78" s="281">
        <v>50.842014300000002</v>
      </c>
      <c r="D78" s="184" t="s">
        <v>459</v>
      </c>
      <c r="E78" s="185">
        <v>42887</v>
      </c>
      <c r="F78" s="183" t="s">
        <v>508</v>
      </c>
      <c r="H78">
        <f t="shared" si="0"/>
        <v>0</v>
      </c>
      <c r="I78">
        <f t="shared" si="1"/>
        <v>50.842014300000002</v>
      </c>
    </row>
    <row r="79" spans="1:9">
      <c r="A79" s="183" t="s">
        <v>232</v>
      </c>
      <c r="B79" s="183" t="s">
        <v>243</v>
      </c>
      <c r="C79" s="281">
        <v>924.88389340000003</v>
      </c>
      <c r="D79" s="184" t="s">
        <v>459</v>
      </c>
      <c r="E79" s="184">
        <v>2018</v>
      </c>
      <c r="F79" s="183" t="s">
        <v>508</v>
      </c>
      <c r="H79">
        <f t="shared" si="0"/>
        <v>0</v>
      </c>
      <c r="I79">
        <f t="shared" si="1"/>
        <v>924.88389340000003</v>
      </c>
    </row>
    <row r="80" spans="1:9">
      <c r="A80" s="183" t="s">
        <v>290</v>
      </c>
      <c r="B80" s="183" t="s">
        <v>497</v>
      </c>
      <c r="C80" s="281">
        <v>21.011120300000002</v>
      </c>
      <c r="D80" s="184" t="s">
        <v>468</v>
      </c>
      <c r="E80" s="185">
        <v>42795</v>
      </c>
      <c r="F80" s="183" t="s">
        <v>508</v>
      </c>
      <c r="H80">
        <f t="shared" si="0"/>
        <v>0</v>
      </c>
      <c r="I80">
        <f t="shared" si="1"/>
        <v>0</v>
      </c>
    </row>
    <row r="81" spans="1:9">
      <c r="A81" s="183" t="s">
        <v>253</v>
      </c>
      <c r="B81" s="183" t="s">
        <v>256</v>
      </c>
      <c r="C81" s="281">
        <v>1.8030899999999999</v>
      </c>
      <c r="D81" s="184" t="s">
        <v>468</v>
      </c>
      <c r="E81" s="185">
        <v>40969</v>
      </c>
      <c r="F81" s="183" t="s">
        <v>508</v>
      </c>
      <c r="H81">
        <f t="shared" si="0"/>
        <v>0</v>
      </c>
      <c r="I81">
        <f t="shared" si="1"/>
        <v>0</v>
      </c>
    </row>
    <row r="82" spans="1:9">
      <c r="A82" s="183" t="s">
        <v>462</v>
      </c>
      <c r="B82" s="183" t="s">
        <v>498</v>
      </c>
      <c r="C82" s="281">
        <v>-1.7131299999999998</v>
      </c>
      <c r="D82" s="184" t="s">
        <v>459</v>
      </c>
      <c r="E82" s="186">
        <v>42064</v>
      </c>
      <c r="F82" s="183" t="s">
        <v>508</v>
      </c>
      <c r="H82">
        <f t="shared" ref="H82:H104" si="2">IF(D82=$H$16,C82,0)</f>
        <v>0</v>
      </c>
      <c r="I82">
        <f t="shared" ref="I82:I104" si="3">IF(D82=$I$16,C82,0)</f>
        <v>-1.7131299999999998</v>
      </c>
    </row>
    <row r="83" spans="1:9">
      <c r="A83" s="183" t="s">
        <v>232</v>
      </c>
      <c r="B83" s="183" t="s">
        <v>241</v>
      </c>
      <c r="C83" s="281">
        <v>337.72805209999984</v>
      </c>
      <c r="D83" s="184" t="s">
        <v>468</v>
      </c>
      <c r="E83" s="184">
        <v>2018</v>
      </c>
      <c r="F83" s="183" t="s">
        <v>508</v>
      </c>
      <c r="H83">
        <f t="shared" si="2"/>
        <v>0</v>
      </c>
      <c r="I83">
        <f t="shared" si="3"/>
        <v>0</v>
      </c>
    </row>
    <row r="84" spans="1:9">
      <c r="A84" s="183" t="s">
        <v>188</v>
      </c>
      <c r="B84" s="183" t="s">
        <v>499</v>
      </c>
      <c r="C84" s="281">
        <v>8.0988999999999992E-3</v>
      </c>
      <c r="D84" s="184" t="s">
        <v>472</v>
      </c>
      <c r="E84" s="185">
        <v>43466</v>
      </c>
      <c r="F84" s="184" t="s">
        <v>509</v>
      </c>
      <c r="H84">
        <f t="shared" si="2"/>
        <v>0</v>
      </c>
      <c r="I84">
        <f t="shared" si="3"/>
        <v>0</v>
      </c>
    </row>
    <row r="85" spans="1:9">
      <c r="A85" s="183" t="s">
        <v>462</v>
      </c>
      <c r="B85" s="183" t="s">
        <v>500</v>
      </c>
      <c r="C85" s="281">
        <v>37.236775700000081</v>
      </c>
      <c r="D85" s="184" t="s">
        <v>459</v>
      </c>
      <c r="E85" s="185">
        <v>43160</v>
      </c>
      <c r="F85" s="183" t="s">
        <v>508</v>
      </c>
      <c r="H85">
        <f t="shared" si="2"/>
        <v>0</v>
      </c>
      <c r="I85">
        <f t="shared" si="3"/>
        <v>37.236775700000081</v>
      </c>
    </row>
    <row r="86" spans="1:9">
      <c r="A86" s="183" t="s">
        <v>290</v>
      </c>
      <c r="B86" s="183" t="s">
        <v>449</v>
      </c>
      <c r="C86" s="281">
        <v>115.20422259999998</v>
      </c>
      <c r="D86" s="184" t="s">
        <v>459</v>
      </c>
      <c r="E86" s="185">
        <v>43177</v>
      </c>
      <c r="F86" s="183" t="s">
        <v>508</v>
      </c>
      <c r="H86">
        <f t="shared" si="2"/>
        <v>0</v>
      </c>
      <c r="I86">
        <f t="shared" si="3"/>
        <v>115.20422259999998</v>
      </c>
    </row>
    <row r="87" spans="1:9">
      <c r="A87" s="183" t="s">
        <v>253</v>
      </c>
      <c r="B87" s="183" t="s">
        <v>501</v>
      </c>
      <c r="C87" s="281">
        <v>158.17978239999951</v>
      </c>
      <c r="D87" s="184" t="s">
        <v>461</v>
      </c>
      <c r="E87" s="185">
        <v>43160</v>
      </c>
      <c r="F87" s="183" t="s">
        <v>508</v>
      </c>
      <c r="H87">
        <f t="shared" si="2"/>
        <v>0</v>
      </c>
      <c r="I87">
        <f t="shared" si="3"/>
        <v>0</v>
      </c>
    </row>
    <row r="88" spans="1:9">
      <c r="A88" s="183" t="s">
        <v>188</v>
      </c>
      <c r="B88" s="183" t="s">
        <v>189</v>
      </c>
      <c r="C88" s="281">
        <v>28.011751599999979</v>
      </c>
      <c r="D88" s="184" t="s">
        <v>468</v>
      </c>
      <c r="E88" s="185">
        <v>43252</v>
      </c>
      <c r="F88" s="183" t="s">
        <v>508</v>
      </c>
      <c r="H88">
        <f t="shared" si="2"/>
        <v>0</v>
      </c>
      <c r="I88">
        <f t="shared" si="3"/>
        <v>0</v>
      </c>
    </row>
    <row r="89" spans="1:9">
      <c r="A89" s="183" t="s">
        <v>188</v>
      </c>
      <c r="B89" s="183" t="s">
        <v>502</v>
      </c>
      <c r="C89" s="281">
        <v>-1.8563603999999998</v>
      </c>
      <c r="D89" s="184" t="s">
        <v>459</v>
      </c>
      <c r="E89" s="185">
        <v>43160</v>
      </c>
      <c r="F89" s="183" t="s">
        <v>508</v>
      </c>
      <c r="H89">
        <f t="shared" si="2"/>
        <v>0</v>
      </c>
      <c r="I89">
        <f t="shared" si="3"/>
        <v>-1.8563603999999998</v>
      </c>
    </row>
    <row r="90" spans="1:9">
      <c r="A90" s="183" t="s">
        <v>194</v>
      </c>
      <c r="B90" s="183" t="s">
        <v>198</v>
      </c>
      <c r="C90" s="281">
        <v>60.414793099999997</v>
      </c>
      <c r="D90" s="184" t="s">
        <v>461</v>
      </c>
      <c r="E90" s="184">
        <v>2018</v>
      </c>
      <c r="F90" s="183" t="s">
        <v>508</v>
      </c>
      <c r="H90">
        <f t="shared" si="2"/>
        <v>0</v>
      </c>
      <c r="I90">
        <f t="shared" si="3"/>
        <v>0</v>
      </c>
    </row>
    <row r="91" spans="1:9">
      <c r="A91" s="183" t="s">
        <v>192</v>
      </c>
      <c r="B91" s="183" t="s">
        <v>192</v>
      </c>
      <c r="C91" s="281">
        <v>297.26942859999997</v>
      </c>
      <c r="D91" s="184" t="s">
        <v>477</v>
      </c>
      <c r="E91" s="185">
        <v>41699</v>
      </c>
      <c r="F91" s="183" t="s">
        <v>508</v>
      </c>
      <c r="H91">
        <f t="shared" si="2"/>
        <v>0</v>
      </c>
      <c r="I91">
        <f t="shared" si="3"/>
        <v>0</v>
      </c>
    </row>
    <row r="92" spans="1:9">
      <c r="A92" s="183" t="s">
        <v>194</v>
      </c>
      <c r="B92" s="183" t="s">
        <v>503</v>
      </c>
      <c r="C92" s="281">
        <v>16.816310000000001</v>
      </c>
      <c r="D92" s="184" t="s">
        <v>459</v>
      </c>
      <c r="E92" s="184">
        <v>2019</v>
      </c>
      <c r="F92" s="183" t="s">
        <v>508</v>
      </c>
      <c r="H92">
        <f t="shared" si="2"/>
        <v>0</v>
      </c>
      <c r="I92">
        <f t="shared" si="3"/>
        <v>16.816310000000001</v>
      </c>
    </row>
    <row r="93" spans="1:9">
      <c r="A93" s="183" t="s">
        <v>253</v>
      </c>
      <c r="B93" s="183" t="s">
        <v>266</v>
      </c>
      <c r="C93" s="281">
        <v>2.1849600000000002</v>
      </c>
      <c r="D93" s="184" t="s">
        <v>459</v>
      </c>
      <c r="E93" s="185">
        <v>40969</v>
      </c>
      <c r="F93" s="183" t="s">
        <v>508</v>
      </c>
      <c r="H93">
        <f t="shared" si="2"/>
        <v>0</v>
      </c>
      <c r="I93">
        <f t="shared" si="3"/>
        <v>2.1849600000000002</v>
      </c>
    </row>
    <row r="94" spans="1:9">
      <c r="A94" s="183" t="s">
        <v>290</v>
      </c>
      <c r="B94" s="183" t="s">
        <v>450</v>
      </c>
      <c r="C94" s="281">
        <v>1.3266500000000001</v>
      </c>
      <c r="D94" s="184" t="s">
        <v>472</v>
      </c>
      <c r="E94" s="185">
        <v>43177</v>
      </c>
      <c r="F94" s="183" t="s">
        <v>508</v>
      </c>
      <c r="H94">
        <f t="shared" si="2"/>
        <v>0</v>
      </c>
      <c r="I94">
        <f t="shared" si="3"/>
        <v>0</v>
      </c>
    </row>
    <row r="95" spans="1:9">
      <c r="A95" s="183" t="s">
        <v>290</v>
      </c>
      <c r="B95" s="183" t="s">
        <v>451</v>
      </c>
      <c r="C95" s="281">
        <v>83.79836619999999</v>
      </c>
      <c r="D95" s="184" t="s">
        <v>468</v>
      </c>
      <c r="E95" s="185">
        <v>43177</v>
      </c>
      <c r="F95" s="183" t="s">
        <v>508</v>
      </c>
      <c r="H95">
        <f t="shared" si="2"/>
        <v>0</v>
      </c>
      <c r="I95">
        <f t="shared" si="3"/>
        <v>0</v>
      </c>
    </row>
    <row r="96" spans="1:9">
      <c r="A96" s="183" t="s">
        <v>462</v>
      </c>
      <c r="B96" s="183" t="s">
        <v>504</v>
      </c>
      <c r="C96" s="281">
        <v>-2.4230690999999998</v>
      </c>
      <c r="D96" s="184" t="s">
        <v>472</v>
      </c>
      <c r="E96" s="186">
        <v>42064</v>
      </c>
      <c r="F96" s="183" t="s">
        <v>508</v>
      </c>
      <c r="H96">
        <f t="shared" si="2"/>
        <v>0</v>
      </c>
      <c r="I96">
        <f t="shared" si="3"/>
        <v>0</v>
      </c>
    </row>
    <row r="97" spans="1:9">
      <c r="A97" s="183" t="s">
        <v>290</v>
      </c>
      <c r="B97" s="183" t="s">
        <v>452</v>
      </c>
      <c r="C97" s="281">
        <v>82.249444399999973</v>
      </c>
      <c r="D97" s="184" t="s">
        <v>459</v>
      </c>
      <c r="E97" s="185">
        <v>43177</v>
      </c>
      <c r="F97" s="183" t="s">
        <v>508</v>
      </c>
      <c r="H97">
        <f t="shared" si="2"/>
        <v>0</v>
      </c>
      <c r="I97">
        <f t="shared" si="3"/>
        <v>82.249444399999973</v>
      </c>
    </row>
    <row r="98" spans="1:9">
      <c r="A98" s="183" t="s">
        <v>194</v>
      </c>
      <c r="B98" s="183" t="s">
        <v>505</v>
      </c>
      <c r="C98" s="281">
        <v>9.7676216999999994</v>
      </c>
      <c r="D98" s="184" t="s">
        <v>459</v>
      </c>
      <c r="E98" s="185">
        <v>40986</v>
      </c>
      <c r="F98" s="183" t="s">
        <v>508</v>
      </c>
      <c r="H98">
        <f t="shared" si="2"/>
        <v>0</v>
      </c>
      <c r="I98">
        <f t="shared" si="3"/>
        <v>9.7676216999999994</v>
      </c>
    </row>
    <row r="99" spans="1:9">
      <c r="A99" s="183" t="s">
        <v>232</v>
      </c>
      <c r="B99" s="183" t="s">
        <v>453</v>
      </c>
      <c r="C99" s="281">
        <v>714.30832000000009</v>
      </c>
      <c r="D99" s="184" t="s">
        <v>470</v>
      </c>
      <c r="E99" s="185">
        <v>44986</v>
      </c>
      <c r="F99" s="184" t="s">
        <v>510</v>
      </c>
      <c r="H99">
        <f t="shared" si="2"/>
        <v>714.30832000000009</v>
      </c>
      <c r="I99">
        <f t="shared" si="3"/>
        <v>0</v>
      </c>
    </row>
    <row r="100" spans="1:9">
      <c r="A100" s="183" t="s">
        <v>194</v>
      </c>
      <c r="B100" s="183" t="s">
        <v>202</v>
      </c>
      <c r="C100" s="281">
        <v>14.3797505</v>
      </c>
      <c r="D100" s="184" t="s">
        <v>459</v>
      </c>
      <c r="E100" s="185">
        <v>40986</v>
      </c>
      <c r="F100" s="183" t="s">
        <v>508</v>
      </c>
      <c r="H100">
        <f t="shared" si="2"/>
        <v>0</v>
      </c>
      <c r="I100">
        <f t="shared" si="3"/>
        <v>14.3797505</v>
      </c>
    </row>
    <row r="101" spans="1:9">
      <c r="A101" s="183" t="s">
        <v>194</v>
      </c>
      <c r="B101" s="183" t="s">
        <v>215</v>
      </c>
      <c r="C101" s="281">
        <v>4.0030000000000003E-2</v>
      </c>
      <c r="D101" s="184" t="s">
        <v>459</v>
      </c>
      <c r="E101" s="185">
        <v>40986</v>
      </c>
      <c r="F101" s="183" t="s">
        <v>508</v>
      </c>
      <c r="H101">
        <f t="shared" si="2"/>
        <v>0</v>
      </c>
      <c r="I101">
        <f t="shared" si="3"/>
        <v>4.0030000000000003E-2</v>
      </c>
    </row>
    <row r="102" spans="1:9">
      <c r="A102" s="183" t="s">
        <v>462</v>
      </c>
      <c r="B102" s="183" t="s">
        <v>454</v>
      </c>
      <c r="C102" s="281">
        <v>62.950976400000577</v>
      </c>
      <c r="D102" s="184" t="s">
        <v>459</v>
      </c>
      <c r="E102" s="185">
        <v>43160</v>
      </c>
      <c r="F102" s="183" t="s">
        <v>508</v>
      </c>
      <c r="H102">
        <f t="shared" si="2"/>
        <v>0</v>
      </c>
      <c r="I102">
        <f t="shared" si="3"/>
        <v>62.950976400000577</v>
      </c>
    </row>
    <row r="103" spans="1:9">
      <c r="A103" s="183" t="s">
        <v>290</v>
      </c>
      <c r="B103" s="183" t="s">
        <v>455</v>
      </c>
      <c r="C103" s="281">
        <v>385.84822629999996</v>
      </c>
      <c r="D103" s="184" t="s">
        <v>459</v>
      </c>
      <c r="E103" s="185">
        <v>42812</v>
      </c>
      <c r="F103" s="183" t="s">
        <v>508</v>
      </c>
      <c r="H103">
        <f t="shared" si="2"/>
        <v>0</v>
      </c>
      <c r="I103">
        <f t="shared" si="3"/>
        <v>385.84822629999996</v>
      </c>
    </row>
    <row r="104" spans="1:9">
      <c r="A104" s="183" t="s">
        <v>290</v>
      </c>
      <c r="B104" s="183" t="s">
        <v>506</v>
      </c>
      <c r="C104" s="281">
        <f>191.0372002-3.1</f>
        <v>187.93720020000001</v>
      </c>
      <c r="D104" s="184" t="s">
        <v>468</v>
      </c>
      <c r="E104" s="185">
        <v>43177</v>
      </c>
      <c r="F104" s="183" t="s">
        <v>508</v>
      </c>
      <c r="H104">
        <f t="shared" si="2"/>
        <v>0</v>
      </c>
      <c r="I104">
        <f t="shared" si="3"/>
        <v>0</v>
      </c>
    </row>
    <row r="105" spans="1:9">
      <c r="B105" s="282" t="s">
        <v>21</v>
      </c>
      <c r="C105" s="283">
        <f>SUM(C17:C104)</f>
        <v>3183.0021276999937</v>
      </c>
      <c r="H105">
        <f>SUM(H17:H104)</f>
        <v>1160.9984422</v>
      </c>
      <c r="I105">
        <f>SUM(I17:I104)</f>
        <v>2827.596495499994</v>
      </c>
    </row>
    <row r="106" spans="1:9">
      <c r="H106">
        <f>H105+I105</f>
        <v>3988.5949376999943</v>
      </c>
    </row>
    <row r="108" spans="1:9">
      <c r="C108" s="150"/>
    </row>
  </sheetData>
  <autoFilter ref="A16:F105" xr:uid="{00000000-0009-0000-0000-00000D000000}"/>
  <mergeCells count="5">
    <mergeCell ref="B2:G2"/>
    <mergeCell ref="B3:G3"/>
    <mergeCell ref="B5:G5"/>
    <mergeCell ref="B8:G8"/>
    <mergeCell ref="B9:G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B2:M18"/>
  <sheetViews>
    <sheetView topLeftCell="A7" workbookViewId="0">
      <selection activeCell="B9" sqref="B9:G9"/>
    </sheetView>
  </sheetViews>
  <sheetFormatPr defaultRowHeight="14.4"/>
  <cols>
    <col min="2" max="2" width="29.6640625" customWidth="1"/>
    <col min="3" max="3" width="16.33203125" customWidth="1"/>
    <col min="4" max="4" width="13.88671875" customWidth="1"/>
    <col min="5" max="5" width="15.88671875" customWidth="1"/>
    <col min="6" max="6" width="17.5546875" customWidth="1"/>
    <col min="7" max="7" width="63.109375" customWidth="1"/>
  </cols>
  <sheetData>
    <row r="2" spans="2:13">
      <c r="B2" s="449" t="s">
        <v>135</v>
      </c>
      <c r="C2" s="450"/>
      <c r="D2" s="450"/>
      <c r="E2" s="450"/>
      <c r="F2" s="450"/>
      <c r="G2" s="451"/>
    </row>
    <row r="3" spans="2:13">
      <c r="B3" s="425" t="str">
        <f>'SUMMARY-2023'!B3</f>
        <v>Details as on 31st March 2023</v>
      </c>
      <c r="C3" s="426"/>
      <c r="D3" s="426"/>
      <c r="E3" s="426"/>
      <c r="F3" s="426"/>
      <c r="G3" s="427"/>
    </row>
    <row r="4" spans="2:13" ht="24">
      <c r="B4" s="24" t="s">
        <v>0</v>
      </c>
      <c r="C4" s="24" t="s">
        <v>69</v>
      </c>
      <c r="D4" s="37" t="s">
        <v>64</v>
      </c>
      <c r="E4" s="24" t="s">
        <v>142</v>
      </c>
      <c r="F4" s="24" t="s">
        <v>143</v>
      </c>
      <c r="G4" s="24" t="s">
        <v>22</v>
      </c>
    </row>
    <row r="5" spans="2:13">
      <c r="B5" s="425" t="str">
        <f>'SUMMARY-2023'!B5</f>
        <v>Figures in INR Crores</v>
      </c>
      <c r="C5" s="426"/>
      <c r="D5" s="426"/>
      <c r="E5" s="426"/>
      <c r="F5" s="426"/>
      <c r="G5" s="427"/>
    </row>
    <row r="6" spans="2:13" ht="171">
      <c r="B6" s="41">
        <v>1</v>
      </c>
      <c r="C6" s="80" t="s">
        <v>135</v>
      </c>
      <c r="D6" s="60">
        <f>36.56+88.58</f>
        <v>125.14</v>
      </c>
      <c r="E6" s="60">
        <f>C17</f>
        <v>87.17</v>
      </c>
      <c r="F6" s="60">
        <v>0</v>
      </c>
      <c r="G6" s="112" t="s">
        <v>690</v>
      </c>
      <c r="H6" s="462"/>
      <c r="I6" s="463"/>
      <c r="J6" s="463"/>
      <c r="K6" s="463"/>
      <c r="L6" s="463"/>
      <c r="M6" s="463"/>
    </row>
    <row r="7" spans="2:13">
      <c r="B7" s="38"/>
      <c r="C7" s="36" t="s">
        <v>23</v>
      </c>
      <c r="D7" s="61">
        <f>SUM(D3:D6)</f>
        <v>125.14</v>
      </c>
      <c r="E7" s="61">
        <f>SUM(E3:E6)</f>
        <v>87.17</v>
      </c>
      <c r="F7" s="61">
        <f>SUM(F3:F6)</f>
        <v>0</v>
      </c>
      <c r="G7" s="38"/>
    </row>
    <row r="8" spans="2:13">
      <c r="B8" s="459" t="s">
        <v>20</v>
      </c>
      <c r="C8" s="460"/>
      <c r="D8" s="460"/>
      <c r="E8" s="460"/>
      <c r="F8" s="460"/>
      <c r="G8" s="461"/>
    </row>
    <row r="9" spans="2:13" ht="104.25" customHeight="1">
      <c r="B9" s="399" t="s">
        <v>704</v>
      </c>
      <c r="C9" s="399"/>
      <c r="D9" s="399"/>
      <c r="E9" s="399"/>
      <c r="F9" s="399"/>
      <c r="G9" s="399"/>
    </row>
    <row r="14" spans="2:13">
      <c r="B14" s="287" t="s">
        <v>619</v>
      </c>
      <c r="C14" s="287" t="s">
        <v>620</v>
      </c>
      <c r="D14" s="287" t="s">
        <v>621</v>
      </c>
    </row>
    <row r="15" spans="2:13" ht="15" customHeight="1">
      <c r="B15" s="179" t="s">
        <v>622</v>
      </c>
      <c r="C15" s="288">
        <v>22.357543263999986</v>
      </c>
      <c r="D15" s="464" t="s">
        <v>623</v>
      </c>
      <c r="E15" s="47">
        <v>0.9</v>
      </c>
    </row>
    <row r="16" spans="2:13">
      <c r="B16" s="179" t="s">
        <v>624</v>
      </c>
      <c r="C16" s="288">
        <v>15.614450885</v>
      </c>
      <c r="D16" s="465"/>
      <c r="E16" s="47">
        <v>0.9</v>
      </c>
    </row>
    <row r="17" spans="2:4">
      <c r="B17" s="179" t="s">
        <v>625</v>
      </c>
      <c r="C17" s="288">
        <f>125.14-37.97</f>
        <v>87.17</v>
      </c>
      <c r="D17" s="179"/>
    </row>
    <row r="18" spans="2:4">
      <c r="B18" s="287" t="s">
        <v>21</v>
      </c>
      <c r="C18" s="289">
        <f>SUM(C15:C17)</f>
        <v>125.14199414899998</v>
      </c>
      <c r="D18" s="278"/>
    </row>
  </sheetData>
  <mergeCells count="7">
    <mergeCell ref="H6:M6"/>
    <mergeCell ref="D15:D16"/>
    <mergeCell ref="B2:G2"/>
    <mergeCell ref="B3:G3"/>
    <mergeCell ref="B5:G5"/>
    <mergeCell ref="B8:G8"/>
    <mergeCell ref="B9:G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sheetPr>
  <dimension ref="B2:R43"/>
  <sheetViews>
    <sheetView topLeftCell="A7" workbookViewId="0">
      <selection activeCell="B9" sqref="B9:K9"/>
    </sheetView>
  </sheetViews>
  <sheetFormatPr defaultRowHeight="14.4"/>
  <cols>
    <col min="3" max="3" width="14.6640625" customWidth="1"/>
    <col min="4" max="4" width="14.88671875" customWidth="1"/>
    <col min="7" max="7" width="7.88671875" customWidth="1"/>
    <col min="8" max="8" width="14.33203125" customWidth="1"/>
    <col min="10" max="10" width="11.109375" customWidth="1"/>
    <col min="11" max="11" width="65.5546875" customWidth="1"/>
  </cols>
  <sheetData>
    <row r="2" spans="2:18" ht="14.4" customHeight="1">
      <c r="B2" s="469" t="s">
        <v>68</v>
      </c>
      <c r="C2" s="469"/>
      <c r="D2" s="469"/>
      <c r="E2" s="469"/>
      <c r="F2" s="469"/>
      <c r="G2" s="469"/>
      <c r="H2" s="469"/>
      <c r="I2" s="469"/>
      <c r="J2" s="469"/>
      <c r="K2" s="469"/>
    </row>
    <row r="3" spans="2:18" ht="14.4" customHeight="1">
      <c r="B3" s="467" t="str">
        <f>'SUMMARY-2023'!B3</f>
        <v>Details as on 31st March 2023</v>
      </c>
      <c r="C3" s="467"/>
      <c r="D3" s="467"/>
      <c r="E3" s="467"/>
      <c r="F3" s="467"/>
      <c r="G3" s="467"/>
      <c r="H3" s="467"/>
      <c r="I3" s="467"/>
      <c r="J3" s="467"/>
      <c r="K3" s="467"/>
    </row>
    <row r="4" spans="2:18" ht="36">
      <c r="B4" s="24" t="s">
        <v>0</v>
      </c>
      <c r="C4" s="24" t="s">
        <v>69</v>
      </c>
      <c r="D4" s="37" t="s">
        <v>64</v>
      </c>
      <c r="E4" s="24" t="s">
        <v>526</v>
      </c>
      <c r="F4" s="24" t="s">
        <v>527</v>
      </c>
      <c r="G4" s="24" t="s">
        <v>528</v>
      </c>
      <c r="H4" s="24" t="s">
        <v>654</v>
      </c>
      <c r="I4" s="24" t="s">
        <v>142</v>
      </c>
      <c r="J4" s="24" t="s">
        <v>143</v>
      </c>
      <c r="K4" s="24" t="s">
        <v>22</v>
      </c>
    </row>
    <row r="5" spans="2:18" ht="14.4" customHeight="1">
      <c r="B5" s="467" t="str">
        <f>'SUMMARY-2023'!B5</f>
        <v>Figures in INR Crores</v>
      </c>
      <c r="C5" s="467"/>
      <c r="D5" s="467"/>
      <c r="E5" s="467"/>
      <c r="F5" s="467"/>
      <c r="G5" s="467"/>
      <c r="H5" s="467"/>
      <c r="I5" s="467"/>
      <c r="J5" s="467"/>
      <c r="K5" s="467"/>
    </row>
    <row r="6" spans="2:18" ht="205.2">
      <c r="B6" s="25">
        <v>1</v>
      </c>
      <c r="C6" s="334" t="s">
        <v>134</v>
      </c>
      <c r="D6" s="335">
        <f>377.5+109.33</f>
        <v>486.83</v>
      </c>
      <c r="E6" s="335">
        <f>E15</f>
        <v>54.811631451377608</v>
      </c>
      <c r="F6" s="335">
        <f>F15</f>
        <v>100.70340412500001</v>
      </c>
      <c r="G6" s="302">
        <f>G15</f>
        <v>0</v>
      </c>
      <c r="H6" s="335">
        <f>I15</f>
        <v>331.31381885140979</v>
      </c>
      <c r="I6" s="335">
        <f>N22</f>
        <v>383.53130505851493</v>
      </c>
      <c r="J6" s="335">
        <f>N23</f>
        <v>106.56593626978322</v>
      </c>
      <c r="K6" s="112" t="s">
        <v>691</v>
      </c>
      <c r="M6" s="47">
        <v>0.3</v>
      </c>
    </row>
    <row r="7" spans="2:18">
      <c r="B7" s="38"/>
      <c r="C7" s="336" t="s">
        <v>23</v>
      </c>
      <c r="D7" s="61">
        <f>SUM(D3:D6)</f>
        <v>486.83</v>
      </c>
      <c r="E7" s="61">
        <f>SUM(E3:E6)</f>
        <v>54.811631451377608</v>
      </c>
      <c r="F7" s="61">
        <f>SUM(F3:F6)</f>
        <v>100.70340412500001</v>
      </c>
      <c r="G7" s="61">
        <f t="shared" ref="G7:I7" si="0">SUM(G3:G6)</f>
        <v>0</v>
      </c>
      <c r="H7" s="61">
        <f t="shared" si="0"/>
        <v>331.31381885140979</v>
      </c>
      <c r="I7" s="61">
        <f t="shared" si="0"/>
        <v>383.53130505851493</v>
      </c>
      <c r="J7" s="61">
        <f>SUM(J3:J6)</f>
        <v>106.56593626978322</v>
      </c>
      <c r="K7" s="61"/>
    </row>
    <row r="8" spans="2:18" ht="14.4" customHeight="1">
      <c r="B8" s="468" t="s">
        <v>20</v>
      </c>
      <c r="C8" s="468"/>
      <c r="D8" s="468"/>
      <c r="E8" s="468"/>
      <c r="F8" s="468"/>
      <c r="G8" s="468"/>
      <c r="H8" s="468"/>
      <c r="I8" s="468"/>
      <c r="J8" s="468"/>
      <c r="K8" s="468"/>
    </row>
    <row r="9" spans="2:18" ht="105" customHeight="1">
      <c r="B9" s="399" t="s">
        <v>704</v>
      </c>
      <c r="C9" s="399"/>
      <c r="D9" s="399"/>
      <c r="E9" s="399"/>
      <c r="F9" s="399"/>
      <c r="G9" s="399"/>
      <c r="H9" s="399"/>
      <c r="I9" s="399"/>
      <c r="J9" s="399"/>
      <c r="K9" s="399"/>
    </row>
    <row r="14" spans="2:18">
      <c r="B14" s="470" t="s">
        <v>682</v>
      </c>
      <c r="C14" s="471"/>
      <c r="D14" s="472"/>
      <c r="E14" s="466" t="s">
        <v>626</v>
      </c>
      <c r="F14" s="466"/>
      <c r="G14" s="466"/>
      <c r="H14" s="466"/>
      <c r="I14" s="466"/>
    </row>
    <row r="15" spans="2:18" ht="36.6">
      <c r="B15" s="179"/>
      <c r="C15" s="291" t="s">
        <v>627</v>
      </c>
      <c r="D15" s="292">
        <f>SUBTOTAL(9,D17:D74)</f>
        <v>486.83327424361977</v>
      </c>
      <c r="E15" s="292">
        <f t="shared" ref="E15:I15" si="1">SUBTOTAL(9,E17:E74)</f>
        <v>54.811631451377608</v>
      </c>
      <c r="F15" s="292">
        <f t="shared" si="1"/>
        <v>100.70340412500001</v>
      </c>
      <c r="G15" s="292">
        <f t="shared" si="1"/>
        <v>0</v>
      </c>
      <c r="H15" s="296">
        <f t="shared" si="1"/>
        <v>261.77233410000002</v>
      </c>
      <c r="I15" s="292">
        <f t="shared" si="1"/>
        <v>331.31381885140979</v>
      </c>
      <c r="M15" s="238" t="s">
        <v>529</v>
      </c>
      <c r="N15" s="123">
        <v>1</v>
      </c>
      <c r="O15" s="123">
        <f>N15+1</f>
        <v>2</v>
      </c>
      <c r="P15" s="123">
        <f t="shared" ref="P15:Q15" si="2">O15+1</f>
        <v>3</v>
      </c>
      <c r="Q15" s="123">
        <f t="shared" si="2"/>
        <v>4</v>
      </c>
      <c r="R15" s="123"/>
    </row>
    <row r="16" spans="2:18" ht="48">
      <c r="B16" s="293" t="s">
        <v>185</v>
      </c>
      <c r="C16" s="293" t="s">
        <v>628</v>
      </c>
      <c r="D16" s="294" t="s">
        <v>629</v>
      </c>
      <c r="E16" s="294" t="s">
        <v>556</v>
      </c>
      <c r="F16" s="294" t="s">
        <v>527</v>
      </c>
      <c r="G16" s="294" t="s">
        <v>528</v>
      </c>
      <c r="H16" s="297" t="s">
        <v>569</v>
      </c>
      <c r="I16" s="294" t="s">
        <v>654</v>
      </c>
      <c r="J16" t="s">
        <v>630</v>
      </c>
      <c r="M16" s="239" t="s">
        <v>530</v>
      </c>
      <c r="N16" s="240">
        <f>D7</f>
        <v>486.83</v>
      </c>
      <c r="O16" s="241"/>
      <c r="P16" s="241"/>
      <c r="Q16" s="241"/>
      <c r="R16" s="241"/>
    </row>
    <row r="17" spans="2:18">
      <c r="B17" s="179" t="s">
        <v>253</v>
      </c>
      <c r="C17" s="179" t="s">
        <v>631</v>
      </c>
      <c r="D17" s="210">
        <v>127.3344198158324</v>
      </c>
      <c r="E17" s="210">
        <v>41.64</v>
      </c>
      <c r="F17" s="210">
        <v>85.69</v>
      </c>
      <c r="G17" s="210">
        <v>0</v>
      </c>
      <c r="H17" s="298"/>
      <c r="I17" s="210">
        <v>0</v>
      </c>
      <c r="M17" s="239" t="s">
        <v>531</v>
      </c>
      <c r="N17" s="240">
        <f>E15</f>
        <v>54.811631451377608</v>
      </c>
      <c r="O17" s="240">
        <f>F15</f>
        <v>100.70340412500001</v>
      </c>
      <c r="P17" s="240">
        <f>G15</f>
        <v>0</v>
      </c>
      <c r="Q17" s="240">
        <f>I15</f>
        <v>331.31381885140979</v>
      </c>
      <c r="R17" s="240"/>
    </row>
    <row r="18" spans="2:18">
      <c r="B18" s="179" t="s">
        <v>253</v>
      </c>
      <c r="C18" s="179" t="s">
        <v>256</v>
      </c>
      <c r="D18" s="210">
        <v>261.77233410000002</v>
      </c>
      <c r="E18" s="210"/>
      <c r="F18" s="210">
        <v>0</v>
      </c>
      <c r="G18" s="210"/>
      <c r="H18" s="298">
        <v>261.77233410000002</v>
      </c>
      <c r="I18" s="210">
        <v>261.77233410000002</v>
      </c>
      <c r="M18" s="239" t="s">
        <v>532</v>
      </c>
      <c r="N18" s="241">
        <v>1</v>
      </c>
      <c r="O18" s="241">
        <f>N18+1</f>
        <v>2</v>
      </c>
      <c r="P18" s="241">
        <f t="shared" ref="P18:Q18" si="3">O18+1</f>
        <v>3</v>
      </c>
      <c r="Q18" s="241">
        <f t="shared" si="3"/>
        <v>4</v>
      </c>
      <c r="R18" s="241"/>
    </row>
    <row r="19" spans="2:18">
      <c r="B19" s="179" t="s">
        <v>271</v>
      </c>
      <c r="C19" s="179" t="s">
        <v>632</v>
      </c>
      <c r="D19" s="210">
        <v>10.068920017</v>
      </c>
      <c r="E19" s="210">
        <v>5.4619200169999997</v>
      </c>
      <c r="F19" s="210"/>
      <c r="G19" s="210"/>
      <c r="H19" s="298"/>
      <c r="I19" s="210">
        <f>4.607</f>
        <v>4.6070000000000002</v>
      </c>
      <c r="M19" s="239" t="s">
        <v>533</v>
      </c>
      <c r="N19" s="242">
        <f>1/(1+$N$20)^N18</f>
        <v>0.9174311926605504</v>
      </c>
      <c r="O19" s="242">
        <f t="shared" ref="O19:P19" si="4">1/(1+$N$20)^O18</f>
        <v>0.84167999326655996</v>
      </c>
      <c r="P19" s="242">
        <f t="shared" si="4"/>
        <v>0.77218348006106419</v>
      </c>
      <c r="Q19" s="364">
        <v>0.75</v>
      </c>
      <c r="R19" s="242"/>
    </row>
    <row r="20" spans="2:18">
      <c r="B20" s="179" t="s">
        <v>271</v>
      </c>
      <c r="C20" s="179" t="s">
        <v>633</v>
      </c>
      <c r="D20" s="210">
        <v>6.4759529639999984</v>
      </c>
      <c r="E20" s="210"/>
      <c r="F20" s="210"/>
      <c r="G20" s="210"/>
      <c r="H20" s="298"/>
      <c r="I20" s="210">
        <f>D20</f>
        <v>6.4759529639999984</v>
      </c>
      <c r="M20" s="239" t="s">
        <v>534</v>
      </c>
      <c r="N20" s="243">
        <v>0.09</v>
      </c>
      <c r="O20" s="241"/>
      <c r="P20" s="241"/>
      <c r="Q20" s="241"/>
      <c r="R20" s="241"/>
    </row>
    <row r="21" spans="2:18">
      <c r="B21" s="179" t="s">
        <v>271</v>
      </c>
      <c r="C21" s="179" t="s">
        <v>439</v>
      </c>
      <c r="D21" s="210">
        <v>2.1731400359999999</v>
      </c>
      <c r="E21" s="210"/>
      <c r="F21" s="210"/>
      <c r="G21" s="210"/>
      <c r="H21" s="298"/>
      <c r="I21" s="210">
        <f>D21</f>
        <v>2.1731400359999999</v>
      </c>
      <c r="M21" s="239" t="s">
        <v>535</v>
      </c>
      <c r="N21" s="240">
        <f>N17*N19</f>
        <v>50.285900414107893</v>
      </c>
      <c r="O21" s="240">
        <f t="shared" ref="O21:Q21" si="5">O17*O19</f>
        <v>84.760040505849673</v>
      </c>
      <c r="P21" s="240">
        <f t="shared" si="5"/>
        <v>0</v>
      </c>
      <c r="Q21" s="240">
        <f t="shared" si="5"/>
        <v>248.48536413855734</v>
      </c>
      <c r="R21" s="240"/>
    </row>
    <row r="22" spans="2:18" ht="57.6">
      <c r="B22" s="179" t="s">
        <v>271</v>
      </c>
      <c r="C22" s="179" t="s">
        <v>634</v>
      </c>
      <c r="D22" s="210">
        <v>1.491526377</v>
      </c>
      <c r="E22" s="210"/>
      <c r="F22" s="210"/>
      <c r="G22" s="210"/>
      <c r="H22" s="298"/>
      <c r="I22" s="210">
        <f>D22</f>
        <v>1.491526377</v>
      </c>
      <c r="M22" s="244" t="s">
        <v>536</v>
      </c>
      <c r="N22" s="245">
        <f>SUM(N21:R21)</f>
        <v>383.53130505851493</v>
      </c>
      <c r="O22" s="238"/>
      <c r="P22" s="238"/>
      <c r="Q22" s="238"/>
      <c r="R22" s="295"/>
    </row>
    <row r="23" spans="2:18">
      <c r="B23" s="179" t="s">
        <v>232</v>
      </c>
      <c r="C23" s="179" t="s">
        <v>635</v>
      </c>
      <c r="D23" s="210">
        <v>2.7858592</v>
      </c>
      <c r="E23" s="210"/>
      <c r="F23" s="210"/>
      <c r="G23" s="210"/>
      <c r="H23" s="298"/>
      <c r="I23" s="210">
        <f>D23</f>
        <v>2.7858592</v>
      </c>
      <c r="M23" s="365" t="s">
        <v>683</v>
      </c>
      <c r="N23" s="258">
        <f>(N17*75%)+(O17*65%)+(P17*50%)</f>
        <v>106.56593626978322</v>
      </c>
    </row>
    <row r="24" spans="2:18">
      <c r="B24" s="179" t="s">
        <v>232</v>
      </c>
      <c r="C24" s="179" t="s">
        <v>636</v>
      </c>
      <c r="D24" s="210">
        <v>13.50424533363098</v>
      </c>
      <c r="E24" s="210"/>
      <c r="F24" s="210"/>
      <c r="G24" s="210"/>
      <c r="H24" s="298"/>
      <c r="I24" s="210">
        <f>D24</f>
        <v>13.50424533363098</v>
      </c>
    </row>
    <row r="25" spans="2:18">
      <c r="B25" s="179" t="s">
        <v>232</v>
      </c>
      <c r="C25" s="179" t="s">
        <v>637</v>
      </c>
      <c r="D25" s="210">
        <v>1.8258754588410615</v>
      </c>
      <c r="E25" s="210">
        <f>D25</f>
        <v>1.8258754588410615</v>
      </c>
      <c r="F25" s="210"/>
      <c r="G25" s="210"/>
      <c r="H25" s="298"/>
      <c r="I25" s="210"/>
    </row>
    <row r="26" spans="2:18">
      <c r="B26" s="179" t="s">
        <v>188</v>
      </c>
      <c r="C26" s="179" t="s">
        <v>638</v>
      </c>
      <c r="D26" s="210">
        <v>0.37999997655749918</v>
      </c>
      <c r="E26" s="210"/>
      <c r="F26" s="210"/>
      <c r="G26" s="210"/>
      <c r="H26" s="298"/>
      <c r="I26" s="210">
        <f>D26</f>
        <v>0.37999997655749918</v>
      </c>
    </row>
    <row r="27" spans="2:18">
      <c r="B27" s="179" t="s">
        <v>188</v>
      </c>
      <c r="C27" s="179" t="s">
        <v>639</v>
      </c>
      <c r="D27" s="210">
        <v>1.2300000132212012</v>
      </c>
      <c r="E27" s="210"/>
      <c r="F27" s="210"/>
      <c r="G27" s="210"/>
      <c r="H27" s="298"/>
      <c r="I27" s="210">
        <f>D27</f>
        <v>1.2300000132212012</v>
      </c>
    </row>
    <row r="28" spans="2:18">
      <c r="B28" s="179" t="s">
        <v>290</v>
      </c>
      <c r="C28" s="179" t="s">
        <v>640</v>
      </c>
      <c r="D28" s="210">
        <v>1.1556518078559636E-2</v>
      </c>
      <c r="E28" s="210">
        <f>D28</f>
        <v>1.1556518078559636E-2</v>
      </c>
      <c r="F28" s="210"/>
      <c r="G28" s="210"/>
      <c r="H28" s="298"/>
      <c r="I28" s="210"/>
    </row>
    <row r="29" spans="2:18">
      <c r="B29" s="179" t="s">
        <v>290</v>
      </c>
      <c r="C29" s="179" t="s">
        <v>641</v>
      </c>
      <c r="D29" s="210">
        <v>6.3663968360900876E-3</v>
      </c>
      <c r="E29" s="210">
        <f>D29</f>
        <v>6.3663968360900876E-3</v>
      </c>
      <c r="F29" s="210"/>
      <c r="G29" s="210"/>
      <c r="H29" s="298"/>
      <c r="I29" s="210"/>
    </row>
    <row r="30" spans="2:18">
      <c r="B30" s="179" t="s">
        <v>427</v>
      </c>
      <c r="C30" s="179" t="s">
        <v>198</v>
      </c>
      <c r="D30" s="210">
        <v>7.0015133599999997</v>
      </c>
      <c r="E30" s="210"/>
      <c r="F30" s="210">
        <f>D30</f>
        <v>7.0015133599999997</v>
      </c>
      <c r="G30" s="210"/>
      <c r="H30" s="298"/>
      <c r="I30" s="210"/>
    </row>
    <row r="31" spans="2:18">
      <c r="B31" s="179" t="s">
        <v>427</v>
      </c>
      <c r="C31" s="179" t="s">
        <v>202</v>
      </c>
      <c r="D31" s="210">
        <v>4.2021410719999999</v>
      </c>
      <c r="E31" s="210"/>
      <c r="F31" s="210">
        <f>D31</f>
        <v>4.2021410719999999</v>
      </c>
      <c r="G31" s="210"/>
      <c r="H31" s="298"/>
      <c r="I31" s="210"/>
    </row>
    <row r="32" spans="2:18">
      <c r="B32" s="179" t="s">
        <v>427</v>
      </c>
      <c r="C32" s="179" t="s">
        <v>642</v>
      </c>
      <c r="D32" s="210">
        <v>3.8097496930000005</v>
      </c>
      <c r="E32" s="210"/>
      <c r="F32" s="210">
        <f>D32</f>
        <v>3.8097496930000005</v>
      </c>
      <c r="G32" s="210"/>
      <c r="H32" s="298"/>
      <c r="I32" s="210"/>
    </row>
    <row r="33" spans="2:9">
      <c r="B33" s="179" t="s">
        <v>427</v>
      </c>
      <c r="C33" s="179" t="s">
        <v>643</v>
      </c>
      <c r="D33" s="210">
        <f>3.015+0.02</f>
        <v>3.0350000000000001</v>
      </c>
      <c r="E33" s="210"/>
      <c r="F33" s="210"/>
      <c r="G33" s="210"/>
      <c r="H33" s="298"/>
      <c r="I33" s="210">
        <f t="shared" ref="I33:I42" si="6">D33</f>
        <v>3.0350000000000001</v>
      </c>
    </row>
    <row r="34" spans="2:9">
      <c r="B34" s="179" t="s">
        <v>271</v>
      </c>
      <c r="C34" s="179" t="s">
        <v>644</v>
      </c>
      <c r="D34" s="210">
        <v>10.645639879000001</v>
      </c>
      <c r="E34" s="210"/>
      <c r="F34" s="210"/>
      <c r="G34" s="210"/>
      <c r="H34" s="298"/>
      <c r="I34" s="210">
        <f t="shared" si="6"/>
        <v>10.645639879000001</v>
      </c>
    </row>
    <row r="35" spans="2:9">
      <c r="B35" s="179" t="s">
        <v>427</v>
      </c>
      <c r="C35" s="179" t="s">
        <v>645</v>
      </c>
      <c r="D35" s="210">
        <v>1.3842173</v>
      </c>
      <c r="E35" s="210"/>
      <c r="F35" s="210"/>
      <c r="G35" s="210"/>
      <c r="H35" s="298"/>
      <c r="I35" s="210">
        <f t="shared" si="6"/>
        <v>1.3842173</v>
      </c>
    </row>
    <row r="36" spans="2:9">
      <c r="B36" s="179" t="s">
        <v>646</v>
      </c>
      <c r="C36" s="179" t="s">
        <v>647</v>
      </c>
      <c r="D36" s="210">
        <v>0.20124549999999999</v>
      </c>
      <c r="E36" s="210"/>
      <c r="F36" s="210"/>
      <c r="G36" s="210"/>
      <c r="H36" s="298"/>
      <c r="I36" s="210">
        <f t="shared" si="6"/>
        <v>0.20124549999999999</v>
      </c>
    </row>
    <row r="37" spans="2:9">
      <c r="B37" s="179" t="s">
        <v>427</v>
      </c>
      <c r="C37" s="179" t="s">
        <v>648</v>
      </c>
      <c r="D37" s="210">
        <v>0.23168230000000001</v>
      </c>
      <c r="E37" s="210"/>
      <c r="F37" s="210"/>
      <c r="G37" s="210"/>
      <c r="H37" s="298"/>
      <c r="I37" s="210">
        <f t="shared" si="6"/>
        <v>0.23168230000000001</v>
      </c>
    </row>
    <row r="38" spans="2:9">
      <c r="B38" s="179" t="s">
        <v>290</v>
      </c>
      <c r="C38" s="179" t="s">
        <v>649</v>
      </c>
      <c r="D38" s="210">
        <v>0.74498743200000006</v>
      </c>
      <c r="E38" s="210"/>
      <c r="F38" s="210"/>
      <c r="G38" s="210"/>
      <c r="H38" s="298"/>
      <c r="I38" s="210">
        <f t="shared" si="6"/>
        <v>0.74498743200000006</v>
      </c>
    </row>
    <row r="39" spans="2:9">
      <c r="B39" s="179" t="s">
        <v>290</v>
      </c>
      <c r="C39" s="179" t="s">
        <v>442</v>
      </c>
      <c r="D39" s="210">
        <v>6.6991350379999997</v>
      </c>
      <c r="E39" s="210"/>
      <c r="F39" s="210"/>
      <c r="G39" s="210"/>
      <c r="H39" s="298"/>
      <c r="I39" s="210">
        <f t="shared" si="6"/>
        <v>6.6991350379999997</v>
      </c>
    </row>
    <row r="40" spans="2:9">
      <c r="B40" s="179" t="s">
        <v>290</v>
      </c>
      <c r="C40" s="179" t="s">
        <v>650</v>
      </c>
      <c r="D40" s="210">
        <v>10.282499494</v>
      </c>
      <c r="E40" s="210"/>
      <c r="F40" s="210"/>
      <c r="G40" s="210"/>
      <c r="H40" s="298"/>
      <c r="I40" s="210">
        <f t="shared" si="6"/>
        <v>10.282499494</v>
      </c>
    </row>
    <row r="41" spans="2:9">
      <c r="B41" s="179" t="s">
        <v>290</v>
      </c>
      <c r="C41" s="179" t="s">
        <v>651</v>
      </c>
      <c r="D41" s="210">
        <v>1.460083064</v>
      </c>
      <c r="E41" s="210"/>
      <c r="F41" s="210"/>
      <c r="G41" s="210"/>
      <c r="H41" s="298"/>
      <c r="I41" s="210">
        <f t="shared" si="6"/>
        <v>1.460083064</v>
      </c>
    </row>
    <row r="42" spans="2:9">
      <c r="B42" s="179" t="s">
        <v>290</v>
      </c>
      <c r="C42" s="179" t="s">
        <v>652</v>
      </c>
      <c r="D42" s="210">
        <v>2.2092708439999997</v>
      </c>
      <c r="E42" s="210"/>
      <c r="F42" s="210"/>
      <c r="G42" s="210"/>
      <c r="H42" s="298"/>
      <c r="I42" s="210">
        <f t="shared" si="6"/>
        <v>2.2092708439999997</v>
      </c>
    </row>
    <row r="43" spans="2:9">
      <c r="B43" s="179" t="s">
        <v>232</v>
      </c>
      <c r="C43" s="179" t="s">
        <v>653</v>
      </c>
      <c r="D43" s="210">
        <v>5.8659130606218994</v>
      </c>
      <c r="E43" s="210">
        <f>D43</f>
        <v>5.8659130606218994</v>
      </c>
      <c r="F43" s="210"/>
      <c r="G43" s="210"/>
      <c r="H43" s="298"/>
      <c r="I43" s="210"/>
    </row>
  </sheetData>
  <mergeCells count="7">
    <mergeCell ref="E14:I14"/>
    <mergeCell ref="B5:K5"/>
    <mergeCell ref="B8:K8"/>
    <mergeCell ref="B9:K9"/>
    <mergeCell ref="B2:K2"/>
    <mergeCell ref="B3:K3"/>
    <mergeCell ref="B14:D14"/>
  </mergeCells>
  <hyperlinks>
    <hyperlink ref="D15" r:id="rId1" display="=@subtotal(9,D4:D40)"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L196"/>
  <sheetViews>
    <sheetView topLeftCell="A26" workbookViewId="0">
      <selection activeCell="G9" sqref="G9"/>
    </sheetView>
  </sheetViews>
  <sheetFormatPr defaultRowHeight="14.4"/>
  <cols>
    <col min="2" max="2" width="5.6640625" customWidth="1"/>
    <col min="3" max="3" width="17.88671875" customWidth="1"/>
    <col min="4" max="4" width="13.109375" customWidth="1"/>
    <col min="5" max="5" width="15.44140625" customWidth="1"/>
    <col min="6" max="6" width="14.5546875" customWidth="1"/>
    <col min="7" max="7" width="33.44140625" customWidth="1"/>
    <col min="8" max="8" width="20.33203125" customWidth="1"/>
    <col min="9" max="9" width="11.6640625" customWidth="1"/>
    <col min="10" max="10" width="12.6640625" customWidth="1"/>
    <col min="11" max="11" width="14.33203125" customWidth="1"/>
    <col min="12" max="12" width="27.44140625" customWidth="1"/>
  </cols>
  <sheetData>
    <row r="2" spans="2:12">
      <c r="B2" s="449" t="s">
        <v>68</v>
      </c>
      <c r="C2" s="450"/>
      <c r="D2" s="450"/>
      <c r="E2" s="450"/>
      <c r="F2" s="450"/>
      <c r="G2" s="451"/>
    </row>
    <row r="3" spans="2:12">
      <c r="B3" s="425" t="str">
        <f>'SUMMARY-2023'!B3</f>
        <v>Details as on 31st March 2023</v>
      </c>
      <c r="C3" s="426"/>
      <c r="D3" s="426"/>
      <c r="E3" s="426"/>
      <c r="F3" s="426"/>
      <c r="G3" s="427"/>
    </row>
    <row r="4" spans="2:12" ht="24">
      <c r="B4" s="24" t="s">
        <v>0</v>
      </c>
      <c r="C4" s="24" t="s">
        <v>69</v>
      </c>
      <c r="D4" s="37" t="s">
        <v>64</v>
      </c>
      <c r="E4" s="24" t="s">
        <v>142</v>
      </c>
      <c r="F4" s="24" t="s">
        <v>143</v>
      </c>
      <c r="G4" s="24" t="s">
        <v>22</v>
      </c>
    </row>
    <row r="5" spans="2:12">
      <c r="B5" s="425" t="str">
        <f>'SUMMARY-2023'!B5</f>
        <v>Figures in INR Crores</v>
      </c>
      <c r="C5" s="426"/>
      <c r="D5" s="426"/>
      <c r="E5" s="426"/>
      <c r="F5" s="426"/>
      <c r="G5" s="427"/>
    </row>
    <row r="6" spans="2:12" ht="100.2" customHeight="1">
      <c r="B6" s="284">
        <v>1</v>
      </c>
      <c r="C6" s="285" t="s">
        <v>131</v>
      </c>
      <c r="D6" s="260">
        <v>1.2</v>
      </c>
      <c r="E6" s="260">
        <f t="shared" ref="E6:F9" si="0">D6*H6</f>
        <v>0</v>
      </c>
      <c r="F6" s="260">
        <f t="shared" si="0"/>
        <v>0</v>
      </c>
      <c r="G6" s="286" t="s">
        <v>172</v>
      </c>
      <c r="H6" s="47">
        <v>0</v>
      </c>
      <c r="I6" s="47">
        <v>0</v>
      </c>
    </row>
    <row r="7" spans="2:12" ht="100.2" customHeight="1">
      <c r="B7" s="259">
        <v>2</v>
      </c>
      <c r="C7" s="285" t="s">
        <v>132</v>
      </c>
      <c r="D7" s="260">
        <v>18.510000000000002</v>
      </c>
      <c r="E7" s="260">
        <v>4.46</v>
      </c>
      <c r="F7" s="260">
        <v>4.46</v>
      </c>
      <c r="G7" s="286" t="s">
        <v>617</v>
      </c>
      <c r="H7" s="47">
        <v>0</v>
      </c>
      <c r="I7" s="47">
        <v>0.75</v>
      </c>
    </row>
    <row r="8" spans="2:12" ht="100.2" customHeight="1">
      <c r="B8" s="259">
        <v>3</v>
      </c>
      <c r="C8" s="290" t="s">
        <v>135</v>
      </c>
      <c r="D8" s="260">
        <v>36.56</v>
      </c>
      <c r="E8" s="260">
        <f t="shared" si="0"/>
        <v>0</v>
      </c>
      <c r="F8" s="260">
        <f t="shared" si="0"/>
        <v>0</v>
      </c>
      <c r="G8" s="261" t="s">
        <v>618</v>
      </c>
      <c r="H8" s="47">
        <v>0</v>
      </c>
      <c r="I8" s="47">
        <v>0</v>
      </c>
    </row>
    <row r="9" spans="2:12" ht="100.2" customHeight="1">
      <c r="B9" s="54">
        <v>4</v>
      </c>
      <c r="C9" s="59" t="s">
        <v>134</v>
      </c>
      <c r="D9" s="76">
        <v>377.5</v>
      </c>
      <c r="E9" s="76">
        <f t="shared" si="0"/>
        <v>264.25</v>
      </c>
      <c r="F9" s="76">
        <f t="shared" si="0"/>
        <v>132.125</v>
      </c>
      <c r="G9" s="75" t="s">
        <v>175</v>
      </c>
      <c r="H9" s="47">
        <v>0.7</v>
      </c>
      <c r="I9" s="47">
        <v>0.5</v>
      </c>
    </row>
    <row r="10" spans="2:12">
      <c r="B10" s="38"/>
      <c r="C10" s="36" t="s">
        <v>23</v>
      </c>
      <c r="D10" s="61">
        <f>SUM(D6:D9)</f>
        <v>433.77</v>
      </c>
      <c r="E10" s="61">
        <f>SUM(E6:E9)</f>
        <v>268.70999999999998</v>
      </c>
      <c r="F10" s="61">
        <f>SUM(F6:F9)</f>
        <v>136.58500000000001</v>
      </c>
      <c r="G10" s="38"/>
    </row>
    <row r="11" spans="2:12">
      <c r="B11" s="459" t="str">
        <f>[2]SUMMARY!B16</f>
        <v>REMARKS &amp; NOTES:-</v>
      </c>
      <c r="C11" s="460"/>
      <c r="D11" s="460"/>
      <c r="E11" s="460"/>
      <c r="F11" s="460"/>
      <c r="G11" s="461"/>
    </row>
    <row r="12" spans="2:12" ht="108.75" customHeight="1">
      <c r="B12" s="399" t="s">
        <v>80</v>
      </c>
      <c r="C12" s="399"/>
      <c r="D12" s="399"/>
      <c r="E12" s="399"/>
      <c r="F12" s="399"/>
      <c r="G12" s="399"/>
    </row>
    <row r="15" spans="2:12">
      <c r="G15" s="194" t="s">
        <v>511</v>
      </c>
      <c r="H15" s="194"/>
      <c r="I15" s="194"/>
      <c r="J15" s="194"/>
      <c r="K15" s="194"/>
      <c r="L15" s="194"/>
    </row>
    <row r="16" spans="2:12" ht="63.6" customHeight="1">
      <c r="G16" s="180" t="s">
        <v>185</v>
      </c>
      <c r="H16" s="180" t="s">
        <v>421</v>
      </c>
      <c r="I16" s="180" t="s">
        <v>456</v>
      </c>
      <c r="J16" s="188" t="s">
        <v>457</v>
      </c>
      <c r="K16" s="188" t="s">
        <v>458</v>
      </c>
      <c r="L16" s="188" t="s">
        <v>507</v>
      </c>
    </row>
    <row r="17" spans="7:12" hidden="1">
      <c r="G17" s="189" t="s">
        <v>290</v>
      </c>
      <c r="H17" s="189" t="s">
        <v>424</v>
      </c>
      <c r="I17" s="190">
        <v>144.46332870000003</v>
      </c>
      <c r="J17" s="191" t="s">
        <v>459</v>
      </c>
      <c r="K17" s="192">
        <v>42811</v>
      </c>
      <c r="L17" s="189" t="s">
        <v>508</v>
      </c>
    </row>
    <row r="18" spans="7:12" hidden="1">
      <c r="G18" s="189" t="s">
        <v>253</v>
      </c>
      <c r="H18" s="189" t="s">
        <v>460</v>
      </c>
      <c r="I18" s="190">
        <v>5.8709999999999998E-2</v>
      </c>
      <c r="J18" s="191" t="s">
        <v>461</v>
      </c>
      <c r="K18" s="193">
        <v>43101</v>
      </c>
      <c r="L18" s="189" t="s">
        <v>508</v>
      </c>
    </row>
    <row r="19" spans="7:12" hidden="1">
      <c r="G19" s="189" t="s">
        <v>290</v>
      </c>
      <c r="H19" s="189" t="s">
        <v>425</v>
      </c>
      <c r="I19" s="190">
        <v>76.906415500000008</v>
      </c>
      <c r="J19" s="191" t="s">
        <v>459</v>
      </c>
      <c r="K19" s="192">
        <v>42811</v>
      </c>
      <c r="L19" s="189" t="s">
        <v>508</v>
      </c>
    </row>
    <row r="20" spans="7:12" hidden="1">
      <c r="G20" s="189" t="s">
        <v>462</v>
      </c>
      <c r="H20" s="189" t="s">
        <v>426</v>
      </c>
      <c r="I20" s="190">
        <v>19.077128099999964</v>
      </c>
      <c r="J20" s="191" t="s">
        <v>459</v>
      </c>
      <c r="K20" s="193">
        <v>43252</v>
      </c>
      <c r="L20" s="189" t="s">
        <v>508</v>
      </c>
    </row>
    <row r="21" spans="7:12" hidden="1">
      <c r="G21" s="189" t="s">
        <v>188</v>
      </c>
      <c r="H21" s="189" t="s">
        <v>463</v>
      </c>
      <c r="I21" s="190">
        <v>-0.64041000000000003</v>
      </c>
      <c r="J21" s="191" t="s">
        <v>459</v>
      </c>
      <c r="K21" s="192">
        <v>43160</v>
      </c>
      <c r="L21" s="189" t="s">
        <v>508</v>
      </c>
    </row>
    <row r="22" spans="7:12" hidden="1">
      <c r="G22" s="189" t="s">
        <v>194</v>
      </c>
      <c r="H22" s="189" t="s">
        <v>464</v>
      </c>
      <c r="I22" s="190">
        <v>-6.9999999999999999E-4</v>
      </c>
      <c r="J22" s="191" t="s">
        <v>459</v>
      </c>
      <c r="K22" s="193">
        <v>41699</v>
      </c>
      <c r="L22" s="189" t="s">
        <v>508</v>
      </c>
    </row>
    <row r="23" spans="7:12" hidden="1">
      <c r="G23" s="189" t="s">
        <v>194</v>
      </c>
      <c r="H23" s="189" t="s">
        <v>428</v>
      </c>
      <c r="I23" s="190">
        <v>26.529915800000005</v>
      </c>
      <c r="J23" s="191" t="s">
        <v>459</v>
      </c>
      <c r="K23" s="193">
        <v>41699</v>
      </c>
      <c r="L23" s="189" t="s">
        <v>508</v>
      </c>
    </row>
    <row r="24" spans="7:12" hidden="1">
      <c r="G24" s="189" t="s">
        <v>253</v>
      </c>
      <c r="H24" s="189" t="s">
        <v>465</v>
      </c>
      <c r="I24" s="190">
        <v>1.8999999994412065E-6</v>
      </c>
      <c r="J24" s="191" t="s">
        <v>459</v>
      </c>
      <c r="K24" s="192">
        <v>42430</v>
      </c>
      <c r="L24" s="189" t="s">
        <v>508</v>
      </c>
    </row>
    <row r="25" spans="7:12" hidden="1">
      <c r="G25" s="189" t="s">
        <v>253</v>
      </c>
      <c r="H25" s="189" t="s">
        <v>466</v>
      </c>
      <c r="I25" s="190">
        <v>18.065549999999998</v>
      </c>
      <c r="J25" s="191" t="s">
        <v>459</v>
      </c>
      <c r="K25" s="193">
        <v>42795</v>
      </c>
      <c r="L25" s="189" t="s">
        <v>508</v>
      </c>
    </row>
    <row r="26" spans="7:12">
      <c r="G26" s="189" t="s">
        <v>188</v>
      </c>
      <c r="H26" s="189" t="s">
        <v>467</v>
      </c>
      <c r="I26" s="190">
        <v>0.29120000000000001</v>
      </c>
      <c r="J26" s="191" t="s">
        <v>468</v>
      </c>
      <c r="K26" s="192">
        <v>43983</v>
      </c>
      <c r="L26" s="191" t="s">
        <v>509</v>
      </c>
    </row>
    <row r="27" spans="7:12" hidden="1">
      <c r="G27" s="189" t="s">
        <v>290</v>
      </c>
      <c r="H27" s="189" t="s">
        <v>429</v>
      </c>
      <c r="I27" s="190">
        <v>121.95575679999999</v>
      </c>
      <c r="J27" s="191" t="s">
        <v>459</v>
      </c>
      <c r="K27" s="192">
        <v>43176</v>
      </c>
      <c r="L27" s="189" t="s">
        <v>508</v>
      </c>
    </row>
    <row r="28" spans="7:12" hidden="1">
      <c r="G28" s="189" t="s">
        <v>290</v>
      </c>
      <c r="H28" s="189" t="s">
        <v>469</v>
      </c>
      <c r="I28" s="190">
        <v>60.527499900000002</v>
      </c>
      <c r="J28" s="191" t="s">
        <v>459</v>
      </c>
      <c r="K28" s="192">
        <v>43176</v>
      </c>
      <c r="L28" s="189" t="s">
        <v>508</v>
      </c>
    </row>
    <row r="29" spans="7:12">
      <c r="G29" s="189" t="s">
        <v>253</v>
      </c>
      <c r="H29" s="189" t="s">
        <v>264</v>
      </c>
      <c r="I29" s="190">
        <v>107.44310990000001</v>
      </c>
      <c r="J29" s="191" t="s">
        <v>470</v>
      </c>
      <c r="K29" s="193">
        <v>44713</v>
      </c>
      <c r="L29" s="191" t="s">
        <v>510</v>
      </c>
    </row>
    <row r="30" spans="7:12" hidden="1">
      <c r="G30" s="189" t="s">
        <v>232</v>
      </c>
      <c r="H30" s="189" t="s">
        <v>430</v>
      </c>
      <c r="I30" s="190">
        <v>309.36065370000011</v>
      </c>
      <c r="J30" s="191" t="s">
        <v>461</v>
      </c>
      <c r="K30" s="192">
        <v>43176</v>
      </c>
      <c r="L30" s="189" t="s">
        <v>508</v>
      </c>
    </row>
    <row r="31" spans="7:12">
      <c r="G31" s="189" t="s">
        <v>232</v>
      </c>
      <c r="H31" s="189" t="s">
        <v>431</v>
      </c>
      <c r="I31" s="190">
        <v>218.82694559999996</v>
      </c>
      <c r="J31" s="191" t="s">
        <v>470</v>
      </c>
      <c r="K31" s="192">
        <v>43160</v>
      </c>
      <c r="L31" s="191" t="s">
        <v>510</v>
      </c>
    </row>
    <row r="32" spans="7:12" hidden="1">
      <c r="G32" s="189" t="s">
        <v>290</v>
      </c>
      <c r="H32" s="189" t="s">
        <v>432</v>
      </c>
      <c r="I32" s="190">
        <v>234.20642530000029</v>
      </c>
      <c r="J32" s="191" t="s">
        <v>459</v>
      </c>
      <c r="K32" s="192">
        <v>42446</v>
      </c>
      <c r="L32" s="189" t="s">
        <v>508</v>
      </c>
    </row>
    <row r="33" spans="7:12" hidden="1">
      <c r="G33" s="189" t="s">
        <v>290</v>
      </c>
      <c r="H33" s="189" t="s">
        <v>471</v>
      </c>
      <c r="I33" s="190">
        <v>25.019337599999957</v>
      </c>
      <c r="J33" s="191" t="s">
        <v>459</v>
      </c>
      <c r="K33" s="192">
        <v>42446</v>
      </c>
      <c r="L33" s="189" t="s">
        <v>508</v>
      </c>
    </row>
    <row r="34" spans="7:12" hidden="1">
      <c r="G34" s="189" t="s">
        <v>290</v>
      </c>
      <c r="H34" s="189" t="s">
        <v>415</v>
      </c>
      <c r="I34" s="190">
        <v>-175.03627010000261</v>
      </c>
      <c r="J34" s="191" t="s">
        <v>459</v>
      </c>
      <c r="K34" s="193">
        <v>41699</v>
      </c>
      <c r="L34" s="189" t="s">
        <v>508</v>
      </c>
    </row>
    <row r="35" spans="7:12" hidden="1">
      <c r="G35" s="189" t="s">
        <v>232</v>
      </c>
      <c r="H35" s="189" t="s">
        <v>363</v>
      </c>
      <c r="I35" s="190">
        <v>121.82387739999999</v>
      </c>
      <c r="J35" s="191" t="s">
        <v>461</v>
      </c>
      <c r="K35" s="192">
        <v>43160</v>
      </c>
      <c r="L35" s="189" t="s">
        <v>508</v>
      </c>
    </row>
    <row r="36" spans="7:12" hidden="1">
      <c r="G36" s="189" t="s">
        <v>462</v>
      </c>
      <c r="H36" s="189" t="s">
        <v>433</v>
      </c>
      <c r="I36" s="190">
        <v>1.8003814</v>
      </c>
      <c r="J36" s="191" t="s">
        <v>459</v>
      </c>
      <c r="K36" s="192">
        <v>43160</v>
      </c>
      <c r="L36" s="189" t="s">
        <v>508</v>
      </c>
    </row>
    <row r="37" spans="7:12" hidden="1">
      <c r="G37" s="189" t="s">
        <v>434</v>
      </c>
      <c r="H37" s="189" t="s">
        <v>434</v>
      </c>
      <c r="I37" s="190">
        <v>-3223.2299109999999</v>
      </c>
      <c r="J37" s="191" t="s">
        <v>472</v>
      </c>
      <c r="K37" s="193">
        <v>42064</v>
      </c>
      <c r="L37" s="189" t="s">
        <v>508</v>
      </c>
    </row>
    <row r="38" spans="7:12" hidden="1">
      <c r="G38" s="189" t="s">
        <v>188</v>
      </c>
      <c r="H38" s="189" t="s">
        <v>327</v>
      </c>
      <c r="I38" s="190">
        <v>81.897162799999975</v>
      </c>
      <c r="J38" s="191" t="s">
        <v>468</v>
      </c>
      <c r="K38" s="192">
        <v>43313</v>
      </c>
      <c r="L38" s="189" t="s">
        <v>508</v>
      </c>
    </row>
    <row r="39" spans="7:12" hidden="1">
      <c r="G39" s="189" t="s">
        <v>290</v>
      </c>
      <c r="H39" s="189" t="s">
        <v>435</v>
      </c>
      <c r="I39" s="190">
        <v>43.460923000000037</v>
      </c>
      <c r="J39" s="191" t="s">
        <v>459</v>
      </c>
      <c r="K39" s="192">
        <v>43177</v>
      </c>
      <c r="L39" s="189" t="s">
        <v>508</v>
      </c>
    </row>
    <row r="40" spans="7:12" hidden="1">
      <c r="G40" s="189" t="s">
        <v>232</v>
      </c>
      <c r="H40" s="189" t="s">
        <v>473</v>
      </c>
      <c r="I40" s="190">
        <v>82.775370199999927</v>
      </c>
      <c r="J40" s="191" t="s">
        <v>461</v>
      </c>
      <c r="K40" s="192">
        <v>43177</v>
      </c>
      <c r="L40" s="189" t="s">
        <v>508</v>
      </c>
    </row>
    <row r="41" spans="7:12" hidden="1">
      <c r="G41" s="189" t="s">
        <v>290</v>
      </c>
      <c r="H41" s="189" t="s">
        <v>474</v>
      </c>
      <c r="I41" s="190">
        <v>10.295949999999999</v>
      </c>
      <c r="J41" s="191" t="s">
        <v>468</v>
      </c>
      <c r="K41" s="192">
        <v>42812</v>
      </c>
      <c r="L41" s="189" t="s">
        <v>508</v>
      </c>
    </row>
    <row r="42" spans="7:12" hidden="1">
      <c r="G42" s="189" t="s">
        <v>290</v>
      </c>
      <c r="H42" s="189" t="s">
        <v>436</v>
      </c>
      <c r="I42" s="190">
        <v>63.814610000000002</v>
      </c>
      <c r="J42" s="191" t="s">
        <v>468</v>
      </c>
      <c r="K42" s="192">
        <v>42812</v>
      </c>
      <c r="L42" s="189" t="s">
        <v>508</v>
      </c>
    </row>
    <row r="43" spans="7:12" hidden="1">
      <c r="G43" s="189" t="s">
        <v>253</v>
      </c>
      <c r="H43" s="189" t="s">
        <v>254</v>
      </c>
      <c r="I43" s="190">
        <v>-2.58276499999881</v>
      </c>
      <c r="J43" s="191" t="s">
        <v>459</v>
      </c>
      <c r="K43" s="192">
        <v>42430</v>
      </c>
      <c r="L43" s="189" t="s">
        <v>508</v>
      </c>
    </row>
    <row r="44" spans="7:12">
      <c r="G44" s="189" t="s">
        <v>188</v>
      </c>
      <c r="H44" s="189" t="s">
        <v>475</v>
      </c>
      <c r="I44" s="190">
        <v>-5.0489999999999993E-2</v>
      </c>
      <c r="J44" s="191" t="s">
        <v>468</v>
      </c>
      <c r="K44" s="192">
        <v>43891</v>
      </c>
      <c r="L44" s="191" t="s">
        <v>509</v>
      </c>
    </row>
    <row r="45" spans="7:12" hidden="1">
      <c r="G45" s="189" t="s">
        <v>194</v>
      </c>
      <c r="H45" s="189" t="s">
        <v>476</v>
      </c>
      <c r="I45" s="190">
        <v>0.30871000000000004</v>
      </c>
      <c r="J45" s="191" t="s">
        <v>477</v>
      </c>
      <c r="K45" s="192">
        <v>40969</v>
      </c>
      <c r="L45" s="189" t="s">
        <v>508</v>
      </c>
    </row>
    <row r="46" spans="7:12" hidden="1">
      <c r="G46" s="189" t="s">
        <v>462</v>
      </c>
      <c r="H46" s="189" t="s">
        <v>478</v>
      </c>
      <c r="I46" s="190">
        <v>0.75717999999999996</v>
      </c>
      <c r="J46" s="191" t="s">
        <v>459</v>
      </c>
      <c r="K46" s="192">
        <v>43160</v>
      </c>
      <c r="L46" s="189" t="s">
        <v>508</v>
      </c>
    </row>
    <row r="47" spans="7:12" hidden="1">
      <c r="G47" s="189" t="s">
        <v>290</v>
      </c>
      <c r="H47" s="189" t="s">
        <v>479</v>
      </c>
      <c r="I47" s="190">
        <v>116.9891025</v>
      </c>
      <c r="J47" s="191" t="s">
        <v>468</v>
      </c>
      <c r="K47" s="192">
        <v>43177</v>
      </c>
      <c r="L47" s="189" t="s">
        <v>508</v>
      </c>
    </row>
    <row r="48" spans="7:12" hidden="1">
      <c r="G48" s="189" t="s">
        <v>462</v>
      </c>
      <c r="H48" s="189" t="s">
        <v>480</v>
      </c>
      <c r="I48" s="190">
        <v>31.09454790000003</v>
      </c>
      <c r="J48" s="191" t="s">
        <v>459</v>
      </c>
      <c r="K48" s="192">
        <v>43160</v>
      </c>
      <c r="L48" s="189" t="s">
        <v>508</v>
      </c>
    </row>
    <row r="49" spans="7:12" hidden="1">
      <c r="G49" s="189" t="s">
        <v>194</v>
      </c>
      <c r="H49" s="189" t="s">
        <v>328</v>
      </c>
      <c r="I49" s="190">
        <v>20.981354199999998</v>
      </c>
      <c r="J49" s="191" t="s">
        <v>459</v>
      </c>
      <c r="K49" s="192">
        <v>40969</v>
      </c>
      <c r="L49" s="189" t="s">
        <v>508</v>
      </c>
    </row>
    <row r="50" spans="7:12" hidden="1">
      <c r="G50" s="189" t="s">
        <v>462</v>
      </c>
      <c r="H50" s="189" t="s">
        <v>481</v>
      </c>
      <c r="I50" s="190">
        <v>-0.94214999999999993</v>
      </c>
      <c r="J50" s="191" t="s">
        <v>459</v>
      </c>
      <c r="K50" s="193">
        <v>42064</v>
      </c>
      <c r="L50" s="189" t="s">
        <v>508</v>
      </c>
    </row>
    <row r="51" spans="7:12" hidden="1">
      <c r="G51" s="189" t="s">
        <v>290</v>
      </c>
      <c r="H51" s="189" t="s">
        <v>437</v>
      </c>
      <c r="I51" s="190">
        <v>27.156270099999912</v>
      </c>
      <c r="J51" s="191" t="s">
        <v>459</v>
      </c>
      <c r="K51" s="192">
        <v>43177</v>
      </c>
      <c r="L51" s="189" t="s">
        <v>508</v>
      </c>
    </row>
    <row r="52" spans="7:12" hidden="1">
      <c r="G52" s="189" t="s">
        <v>434</v>
      </c>
      <c r="H52" s="189" t="s">
        <v>438</v>
      </c>
      <c r="I52" s="190">
        <v>30.928799000000001</v>
      </c>
      <c r="J52" s="191" t="s">
        <v>472</v>
      </c>
      <c r="K52" s="193">
        <v>42064</v>
      </c>
      <c r="L52" s="189" t="s">
        <v>508</v>
      </c>
    </row>
    <row r="53" spans="7:12" hidden="1">
      <c r="G53" s="189" t="s">
        <v>462</v>
      </c>
      <c r="H53" s="189" t="s">
        <v>439</v>
      </c>
      <c r="I53" s="190">
        <v>24.369222199999999</v>
      </c>
      <c r="J53" s="191" t="s">
        <v>461</v>
      </c>
      <c r="K53" s="192">
        <v>43160</v>
      </c>
      <c r="L53" s="189" t="s">
        <v>508</v>
      </c>
    </row>
    <row r="54" spans="7:12" hidden="1">
      <c r="G54" s="179" t="s">
        <v>427</v>
      </c>
      <c r="H54" s="189" t="s">
        <v>197</v>
      </c>
      <c r="I54" s="190">
        <v>0.34957540000000004</v>
      </c>
      <c r="J54" s="191" t="s">
        <v>459</v>
      </c>
      <c r="K54" s="193">
        <v>41699</v>
      </c>
      <c r="L54" s="189" t="s">
        <v>508</v>
      </c>
    </row>
    <row r="55" spans="7:12" hidden="1">
      <c r="G55" s="189" t="s">
        <v>188</v>
      </c>
      <c r="H55" s="189" t="s">
        <v>482</v>
      </c>
      <c r="I55" s="190">
        <v>-2.4300000000000003E-3</v>
      </c>
      <c r="J55" s="191" t="s">
        <v>472</v>
      </c>
      <c r="K55" s="192">
        <v>43160</v>
      </c>
      <c r="L55" s="189" t="s">
        <v>508</v>
      </c>
    </row>
    <row r="56" spans="7:12" hidden="1">
      <c r="G56" s="189" t="s">
        <v>188</v>
      </c>
      <c r="H56" s="189" t="s">
        <v>483</v>
      </c>
      <c r="I56" s="190">
        <v>1.3465381000000001</v>
      </c>
      <c r="J56" s="191" t="s">
        <v>459</v>
      </c>
      <c r="K56" s="192">
        <v>43160</v>
      </c>
      <c r="L56" s="189" t="s">
        <v>508</v>
      </c>
    </row>
    <row r="57" spans="7:12" hidden="1">
      <c r="G57" s="189" t="s">
        <v>462</v>
      </c>
      <c r="H57" s="189" t="s">
        <v>484</v>
      </c>
      <c r="I57" s="190">
        <v>-6.9960145000036595</v>
      </c>
      <c r="J57" s="191" t="s">
        <v>459</v>
      </c>
      <c r="K57" s="193">
        <v>42064</v>
      </c>
      <c r="L57" s="189" t="s">
        <v>508</v>
      </c>
    </row>
    <row r="58" spans="7:12" hidden="1">
      <c r="G58" s="189" t="s">
        <v>232</v>
      </c>
      <c r="H58" s="189" t="s">
        <v>485</v>
      </c>
      <c r="I58" s="190">
        <v>112.98688379999999</v>
      </c>
      <c r="J58" s="191" t="s">
        <v>472</v>
      </c>
      <c r="K58" s="193">
        <v>43160</v>
      </c>
      <c r="L58" s="189" t="s">
        <v>508</v>
      </c>
    </row>
    <row r="59" spans="7:12" hidden="1">
      <c r="G59" s="189" t="s">
        <v>194</v>
      </c>
      <c r="H59" s="189" t="s">
        <v>486</v>
      </c>
      <c r="I59" s="190">
        <v>1.0330611999999999</v>
      </c>
      <c r="J59" s="191" t="s">
        <v>472</v>
      </c>
      <c r="K59" s="193">
        <v>40969</v>
      </c>
      <c r="L59" s="189" t="s">
        <v>508</v>
      </c>
    </row>
    <row r="60" spans="7:12" hidden="1">
      <c r="G60" s="189" t="s">
        <v>245</v>
      </c>
      <c r="H60" s="189" t="s">
        <v>487</v>
      </c>
      <c r="I60" s="190">
        <v>67.581009299999991</v>
      </c>
      <c r="J60" s="191" t="s">
        <v>472</v>
      </c>
      <c r="K60" s="192">
        <v>42795</v>
      </c>
      <c r="L60" s="189" t="s">
        <v>508</v>
      </c>
    </row>
    <row r="61" spans="7:12" hidden="1">
      <c r="G61" s="189" t="s">
        <v>245</v>
      </c>
      <c r="H61" s="189" t="s">
        <v>488</v>
      </c>
      <c r="I61" s="190">
        <v>4.6378300000000001</v>
      </c>
      <c r="J61" s="191" t="s">
        <v>472</v>
      </c>
      <c r="K61" s="192">
        <v>42795</v>
      </c>
      <c r="L61" s="189" t="s">
        <v>508</v>
      </c>
    </row>
    <row r="62" spans="7:12" hidden="1">
      <c r="G62" s="189" t="s">
        <v>245</v>
      </c>
      <c r="H62" s="189" t="s">
        <v>440</v>
      </c>
      <c r="I62" s="190">
        <v>10.448349499999997</v>
      </c>
      <c r="J62" s="191" t="s">
        <v>472</v>
      </c>
      <c r="K62" s="192">
        <v>42795</v>
      </c>
      <c r="L62" s="189" t="s">
        <v>508</v>
      </c>
    </row>
    <row r="63" spans="7:12" hidden="1">
      <c r="G63" s="189" t="s">
        <v>462</v>
      </c>
      <c r="H63" s="189" t="s">
        <v>489</v>
      </c>
      <c r="I63" s="190">
        <v>-0.13035199999999997</v>
      </c>
      <c r="J63" s="191" t="s">
        <v>459</v>
      </c>
      <c r="K63" s="193">
        <v>42064</v>
      </c>
      <c r="L63" s="189" t="s">
        <v>508</v>
      </c>
    </row>
    <row r="64" spans="7:12" hidden="1">
      <c r="G64" s="189" t="s">
        <v>462</v>
      </c>
      <c r="H64" s="189" t="s">
        <v>490</v>
      </c>
      <c r="I64" s="190">
        <v>-1.000000000003638E-6</v>
      </c>
      <c r="J64" s="191" t="s">
        <v>459</v>
      </c>
      <c r="K64" s="193">
        <v>42064</v>
      </c>
      <c r="L64" s="189" t="s">
        <v>508</v>
      </c>
    </row>
    <row r="65" spans="7:12" hidden="1">
      <c r="G65" s="189" t="s">
        <v>290</v>
      </c>
      <c r="H65" s="189" t="s">
        <v>441</v>
      </c>
      <c r="I65" s="190">
        <v>421.74452599999989</v>
      </c>
      <c r="J65" s="191" t="s">
        <v>459</v>
      </c>
      <c r="K65" s="192">
        <v>43177</v>
      </c>
      <c r="L65" s="189" t="s">
        <v>508</v>
      </c>
    </row>
    <row r="66" spans="7:12" hidden="1">
      <c r="G66" s="189" t="s">
        <v>290</v>
      </c>
      <c r="H66" s="189" t="s">
        <v>442</v>
      </c>
      <c r="I66" s="190">
        <v>35.181597700000012</v>
      </c>
      <c r="J66" s="191" t="s">
        <v>468</v>
      </c>
      <c r="K66" s="192">
        <v>43177</v>
      </c>
      <c r="L66" s="189" t="s">
        <v>508</v>
      </c>
    </row>
    <row r="67" spans="7:12" hidden="1">
      <c r="G67" s="189" t="s">
        <v>194</v>
      </c>
      <c r="H67" s="189" t="s">
        <v>491</v>
      </c>
      <c r="I67" s="190">
        <v>-0.12524000000000002</v>
      </c>
      <c r="J67" s="191" t="s">
        <v>459</v>
      </c>
      <c r="K67" s="193">
        <v>41699</v>
      </c>
      <c r="L67" s="189" t="s">
        <v>508</v>
      </c>
    </row>
    <row r="68" spans="7:12">
      <c r="G68" s="189" t="s">
        <v>188</v>
      </c>
      <c r="H68" s="189" t="s">
        <v>444</v>
      </c>
      <c r="I68" s="190">
        <v>75.381589899999994</v>
      </c>
      <c r="J68" s="191" t="s">
        <v>470</v>
      </c>
      <c r="K68" s="192">
        <v>43160</v>
      </c>
      <c r="L68" s="191" t="s">
        <v>510</v>
      </c>
    </row>
    <row r="69" spans="7:12">
      <c r="G69" s="189" t="s">
        <v>188</v>
      </c>
      <c r="H69" s="189" t="s">
        <v>445</v>
      </c>
      <c r="I69" s="190">
        <v>31.676136299999978</v>
      </c>
      <c r="J69" s="191" t="s">
        <v>470</v>
      </c>
      <c r="K69" s="192">
        <v>43070</v>
      </c>
      <c r="L69" s="191" t="s">
        <v>510</v>
      </c>
    </row>
    <row r="70" spans="7:12" hidden="1">
      <c r="G70" s="189" t="s">
        <v>188</v>
      </c>
      <c r="H70" s="189" t="s">
        <v>446</v>
      </c>
      <c r="I70" s="190">
        <v>8.3200756000000187</v>
      </c>
      <c r="J70" s="191" t="s">
        <v>459</v>
      </c>
      <c r="K70" s="192">
        <v>43191</v>
      </c>
      <c r="L70" s="189" t="s">
        <v>508</v>
      </c>
    </row>
    <row r="71" spans="7:12" hidden="1">
      <c r="G71" s="189" t="s">
        <v>194</v>
      </c>
      <c r="H71" s="189" t="s">
        <v>492</v>
      </c>
      <c r="I71" s="190">
        <v>0.27767999999999998</v>
      </c>
      <c r="J71" s="191" t="s">
        <v>459</v>
      </c>
      <c r="K71" s="191">
        <v>2012</v>
      </c>
      <c r="L71" s="189" t="s">
        <v>508</v>
      </c>
    </row>
    <row r="72" spans="7:12" hidden="1">
      <c r="G72" s="189" t="s">
        <v>232</v>
      </c>
      <c r="H72" s="189" t="s">
        <v>239</v>
      </c>
      <c r="I72" s="190">
        <v>168.40715740000002</v>
      </c>
      <c r="J72" s="191" t="s">
        <v>468</v>
      </c>
      <c r="K72" s="191">
        <v>2018</v>
      </c>
      <c r="L72" s="189" t="s">
        <v>508</v>
      </c>
    </row>
    <row r="73" spans="7:12" hidden="1">
      <c r="G73" s="189" t="s">
        <v>253</v>
      </c>
      <c r="H73" s="189" t="s">
        <v>493</v>
      </c>
      <c r="I73" s="190">
        <v>76.660439999999994</v>
      </c>
      <c r="J73" s="191" t="s">
        <v>459</v>
      </c>
      <c r="K73" s="192">
        <v>43160</v>
      </c>
      <c r="L73" s="189" t="s">
        <v>508</v>
      </c>
    </row>
    <row r="74" spans="7:12" hidden="1">
      <c r="G74" s="189" t="s">
        <v>462</v>
      </c>
      <c r="H74" s="189" t="s">
        <v>494</v>
      </c>
      <c r="I74" s="190">
        <v>-0.5645</v>
      </c>
      <c r="J74" s="191" t="s">
        <v>461</v>
      </c>
      <c r="K74" s="193">
        <v>42064</v>
      </c>
      <c r="L74" s="189" t="s">
        <v>508</v>
      </c>
    </row>
    <row r="75" spans="7:12">
      <c r="G75" s="189" t="s">
        <v>194</v>
      </c>
      <c r="H75" s="189" t="s">
        <v>203</v>
      </c>
      <c r="I75" s="190">
        <v>13.362340499999997</v>
      </c>
      <c r="J75" s="191" t="s">
        <v>470</v>
      </c>
      <c r="K75" s="191">
        <v>2018</v>
      </c>
      <c r="L75" s="191" t="s">
        <v>510</v>
      </c>
    </row>
    <row r="76" spans="7:12" hidden="1">
      <c r="G76" s="189" t="s">
        <v>462</v>
      </c>
      <c r="H76" s="189" t="s">
        <v>495</v>
      </c>
      <c r="I76" s="190">
        <v>-5.2809780000000011</v>
      </c>
      <c r="J76" s="191" t="s">
        <v>459</v>
      </c>
      <c r="K76" s="193">
        <v>42064</v>
      </c>
      <c r="L76" s="189" t="s">
        <v>508</v>
      </c>
    </row>
    <row r="77" spans="7:12" hidden="1">
      <c r="G77" s="189" t="s">
        <v>462</v>
      </c>
      <c r="H77" s="189" t="s">
        <v>496</v>
      </c>
      <c r="I77" s="190">
        <v>-40.204210100001085</v>
      </c>
      <c r="J77" s="191" t="s">
        <v>459</v>
      </c>
      <c r="K77" s="193">
        <v>42064</v>
      </c>
      <c r="L77" s="189" t="s">
        <v>508</v>
      </c>
    </row>
    <row r="78" spans="7:12" hidden="1">
      <c r="G78" s="189" t="s">
        <v>188</v>
      </c>
      <c r="H78" s="189" t="s">
        <v>447</v>
      </c>
      <c r="I78" s="190">
        <v>50.842014300000002</v>
      </c>
      <c r="J78" s="191" t="s">
        <v>459</v>
      </c>
      <c r="K78" s="192">
        <v>42887</v>
      </c>
      <c r="L78" s="189" t="s">
        <v>508</v>
      </c>
    </row>
    <row r="79" spans="7:12" hidden="1">
      <c r="G79" s="189" t="s">
        <v>232</v>
      </c>
      <c r="H79" s="189" t="s">
        <v>243</v>
      </c>
      <c r="I79" s="190">
        <v>924.88389340000003</v>
      </c>
      <c r="J79" s="191" t="s">
        <v>459</v>
      </c>
      <c r="K79" s="191">
        <v>2018</v>
      </c>
      <c r="L79" s="189" t="s">
        <v>508</v>
      </c>
    </row>
    <row r="80" spans="7:12" hidden="1">
      <c r="G80" s="189" t="s">
        <v>290</v>
      </c>
      <c r="H80" s="189" t="s">
        <v>497</v>
      </c>
      <c r="I80" s="190">
        <v>21.011120300000002</v>
      </c>
      <c r="J80" s="191" t="s">
        <v>468</v>
      </c>
      <c r="K80" s="192">
        <v>42795</v>
      </c>
      <c r="L80" s="189" t="s">
        <v>508</v>
      </c>
    </row>
    <row r="81" spans="7:12" hidden="1">
      <c r="G81" s="189" t="s">
        <v>253</v>
      </c>
      <c r="H81" s="189" t="s">
        <v>256</v>
      </c>
      <c r="I81" s="190">
        <v>1.8030899999999999</v>
      </c>
      <c r="J81" s="191" t="s">
        <v>468</v>
      </c>
      <c r="K81" s="192">
        <v>40969</v>
      </c>
      <c r="L81" s="189" t="s">
        <v>508</v>
      </c>
    </row>
    <row r="82" spans="7:12" hidden="1">
      <c r="G82" s="189" t="s">
        <v>462</v>
      </c>
      <c r="H82" s="189" t="s">
        <v>498</v>
      </c>
      <c r="I82" s="190">
        <v>-1.7131299999999998</v>
      </c>
      <c r="J82" s="191" t="s">
        <v>459</v>
      </c>
      <c r="K82" s="193">
        <v>42064</v>
      </c>
      <c r="L82" s="189" t="s">
        <v>508</v>
      </c>
    </row>
    <row r="83" spans="7:12" hidden="1">
      <c r="G83" s="189" t="s">
        <v>232</v>
      </c>
      <c r="H83" s="189" t="s">
        <v>241</v>
      </c>
      <c r="I83" s="190">
        <v>337.72805209999984</v>
      </c>
      <c r="J83" s="191" t="s">
        <v>468</v>
      </c>
      <c r="K83" s="191">
        <v>2018</v>
      </c>
      <c r="L83" s="189" t="s">
        <v>508</v>
      </c>
    </row>
    <row r="84" spans="7:12">
      <c r="G84" s="189" t="s">
        <v>188</v>
      </c>
      <c r="H84" s="189" t="s">
        <v>499</v>
      </c>
      <c r="I84" s="190">
        <v>8.0988999999999992E-3</v>
      </c>
      <c r="J84" s="191" t="s">
        <v>472</v>
      </c>
      <c r="K84" s="192">
        <v>43466</v>
      </c>
      <c r="L84" s="191" t="s">
        <v>509</v>
      </c>
    </row>
    <row r="85" spans="7:12" hidden="1">
      <c r="G85" s="189" t="s">
        <v>462</v>
      </c>
      <c r="H85" s="189" t="s">
        <v>500</v>
      </c>
      <c r="I85" s="190">
        <v>37.236775700000081</v>
      </c>
      <c r="J85" s="191" t="s">
        <v>459</v>
      </c>
      <c r="K85" s="192">
        <v>43160</v>
      </c>
      <c r="L85" s="189" t="s">
        <v>508</v>
      </c>
    </row>
    <row r="86" spans="7:12" hidden="1">
      <c r="G86" s="189" t="s">
        <v>290</v>
      </c>
      <c r="H86" s="189" t="s">
        <v>449</v>
      </c>
      <c r="I86" s="190">
        <v>115.20422259999998</v>
      </c>
      <c r="J86" s="191" t="s">
        <v>459</v>
      </c>
      <c r="K86" s="192">
        <v>43177</v>
      </c>
      <c r="L86" s="189" t="s">
        <v>508</v>
      </c>
    </row>
    <row r="87" spans="7:12" hidden="1">
      <c r="G87" s="189" t="s">
        <v>253</v>
      </c>
      <c r="H87" s="189" t="s">
        <v>501</v>
      </c>
      <c r="I87" s="190">
        <v>158.17978239999951</v>
      </c>
      <c r="J87" s="191" t="s">
        <v>461</v>
      </c>
      <c r="K87" s="192">
        <v>43160</v>
      </c>
      <c r="L87" s="189" t="s">
        <v>508</v>
      </c>
    </row>
    <row r="88" spans="7:12" hidden="1">
      <c r="G88" s="189" t="s">
        <v>188</v>
      </c>
      <c r="H88" s="189" t="s">
        <v>189</v>
      </c>
      <c r="I88" s="190">
        <v>28.011751599999979</v>
      </c>
      <c r="J88" s="191" t="s">
        <v>468</v>
      </c>
      <c r="K88" s="192">
        <v>43252</v>
      </c>
      <c r="L88" s="189" t="s">
        <v>508</v>
      </c>
    </row>
    <row r="89" spans="7:12" hidden="1">
      <c r="G89" s="189" t="s">
        <v>188</v>
      </c>
      <c r="H89" s="189" t="s">
        <v>502</v>
      </c>
      <c r="I89" s="190">
        <v>-1.8563603999999998</v>
      </c>
      <c r="J89" s="191" t="s">
        <v>459</v>
      </c>
      <c r="K89" s="192">
        <v>43160</v>
      </c>
      <c r="L89" s="189" t="s">
        <v>508</v>
      </c>
    </row>
    <row r="90" spans="7:12" hidden="1">
      <c r="G90" s="189" t="s">
        <v>194</v>
      </c>
      <c r="H90" s="189" t="s">
        <v>198</v>
      </c>
      <c r="I90" s="190">
        <v>60.414793099999997</v>
      </c>
      <c r="J90" s="191" t="s">
        <v>461</v>
      </c>
      <c r="K90" s="191">
        <v>2018</v>
      </c>
      <c r="L90" s="189" t="s">
        <v>508</v>
      </c>
    </row>
    <row r="91" spans="7:12" hidden="1">
      <c r="G91" s="189" t="s">
        <v>192</v>
      </c>
      <c r="H91" s="189" t="s">
        <v>192</v>
      </c>
      <c r="I91" s="190">
        <v>297.26942859999997</v>
      </c>
      <c r="J91" s="191" t="s">
        <v>477</v>
      </c>
      <c r="K91" s="192">
        <v>41699</v>
      </c>
      <c r="L91" s="189" t="s">
        <v>508</v>
      </c>
    </row>
    <row r="92" spans="7:12" hidden="1">
      <c r="G92" s="189" t="s">
        <v>194</v>
      </c>
      <c r="H92" s="189" t="s">
        <v>503</v>
      </c>
      <c r="I92" s="190">
        <v>16.816310000000001</v>
      </c>
      <c r="J92" s="191" t="s">
        <v>459</v>
      </c>
      <c r="K92" s="191">
        <v>2019</v>
      </c>
      <c r="L92" s="189" t="s">
        <v>508</v>
      </c>
    </row>
    <row r="93" spans="7:12" hidden="1">
      <c r="G93" s="189" t="s">
        <v>253</v>
      </c>
      <c r="H93" s="189" t="s">
        <v>266</v>
      </c>
      <c r="I93" s="190">
        <v>2.1849600000000002</v>
      </c>
      <c r="J93" s="191" t="s">
        <v>459</v>
      </c>
      <c r="K93" s="192">
        <v>40969</v>
      </c>
      <c r="L93" s="189" t="s">
        <v>508</v>
      </c>
    </row>
    <row r="94" spans="7:12" hidden="1">
      <c r="G94" s="189" t="s">
        <v>290</v>
      </c>
      <c r="H94" s="189" t="s">
        <v>450</v>
      </c>
      <c r="I94" s="190">
        <v>1.3266500000000001</v>
      </c>
      <c r="J94" s="191" t="s">
        <v>472</v>
      </c>
      <c r="K94" s="192">
        <v>43177</v>
      </c>
      <c r="L94" s="189" t="s">
        <v>508</v>
      </c>
    </row>
    <row r="95" spans="7:12" hidden="1">
      <c r="G95" s="189" t="s">
        <v>290</v>
      </c>
      <c r="H95" s="189" t="s">
        <v>451</v>
      </c>
      <c r="I95" s="190">
        <v>83.79836619999999</v>
      </c>
      <c r="J95" s="191" t="s">
        <v>468</v>
      </c>
      <c r="K95" s="192">
        <v>43177</v>
      </c>
      <c r="L95" s="189" t="s">
        <v>508</v>
      </c>
    </row>
    <row r="96" spans="7:12" hidden="1">
      <c r="G96" s="189" t="s">
        <v>462</v>
      </c>
      <c r="H96" s="189" t="s">
        <v>504</v>
      </c>
      <c r="I96" s="190">
        <v>-2.4230690999999998</v>
      </c>
      <c r="J96" s="191" t="s">
        <v>472</v>
      </c>
      <c r="K96" s="193">
        <v>42064</v>
      </c>
      <c r="L96" s="189" t="s">
        <v>508</v>
      </c>
    </row>
    <row r="97" spans="3:12" hidden="1">
      <c r="G97" s="189" t="s">
        <v>290</v>
      </c>
      <c r="H97" s="189" t="s">
        <v>452</v>
      </c>
      <c r="I97" s="190">
        <v>82.249444399999973</v>
      </c>
      <c r="J97" s="191" t="s">
        <v>459</v>
      </c>
      <c r="K97" s="192">
        <v>43177</v>
      </c>
      <c r="L97" s="189" t="s">
        <v>508</v>
      </c>
    </row>
    <row r="98" spans="3:12" hidden="1">
      <c r="G98" s="189" t="s">
        <v>194</v>
      </c>
      <c r="H98" s="189" t="s">
        <v>505</v>
      </c>
      <c r="I98" s="190">
        <v>9.7676216999999994</v>
      </c>
      <c r="J98" s="191" t="s">
        <v>459</v>
      </c>
      <c r="K98" s="192">
        <v>40986</v>
      </c>
      <c r="L98" s="189" t="s">
        <v>508</v>
      </c>
    </row>
    <row r="99" spans="3:12">
      <c r="G99" s="189" t="s">
        <v>232</v>
      </c>
      <c r="H99" s="189" t="s">
        <v>453</v>
      </c>
      <c r="I99" s="190">
        <v>714.30832000000009</v>
      </c>
      <c r="J99" s="191" t="s">
        <v>470</v>
      </c>
      <c r="K99" s="192">
        <v>44986</v>
      </c>
      <c r="L99" s="191" t="s">
        <v>510</v>
      </c>
    </row>
    <row r="100" spans="3:12" hidden="1">
      <c r="G100" s="189" t="s">
        <v>194</v>
      </c>
      <c r="H100" s="189" t="s">
        <v>202</v>
      </c>
      <c r="I100" s="190">
        <v>14.3797505</v>
      </c>
      <c r="J100" s="191" t="s">
        <v>459</v>
      </c>
      <c r="K100" s="192">
        <v>40986</v>
      </c>
      <c r="L100" s="189" t="s">
        <v>508</v>
      </c>
    </row>
    <row r="101" spans="3:12" hidden="1">
      <c r="G101" s="189" t="s">
        <v>194</v>
      </c>
      <c r="H101" s="189" t="s">
        <v>215</v>
      </c>
      <c r="I101" s="190">
        <v>4.0030000000000003E-2</v>
      </c>
      <c r="J101" s="191" t="s">
        <v>459</v>
      </c>
      <c r="K101" s="192">
        <v>40986</v>
      </c>
      <c r="L101" s="189" t="s">
        <v>508</v>
      </c>
    </row>
    <row r="102" spans="3:12" hidden="1">
      <c r="G102" s="189" t="s">
        <v>462</v>
      </c>
      <c r="H102" s="189" t="s">
        <v>454</v>
      </c>
      <c r="I102" s="190">
        <v>62.950976400000577</v>
      </c>
      <c r="J102" s="191" t="s">
        <v>459</v>
      </c>
      <c r="K102" s="192">
        <v>43160</v>
      </c>
      <c r="L102" s="189" t="s">
        <v>508</v>
      </c>
    </row>
    <row r="103" spans="3:12" hidden="1">
      <c r="G103" s="189" t="s">
        <v>290</v>
      </c>
      <c r="H103" s="189" t="s">
        <v>455</v>
      </c>
      <c r="I103" s="190">
        <v>385.84822629999996</v>
      </c>
      <c r="J103" s="191" t="s">
        <v>459</v>
      </c>
      <c r="K103" s="192">
        <v>42812</v>
      </c>
      <c r="L103" s="189" t="s">
        <v>508</v>
      </c>
    </row>
    <row r="104" spans="3:12" hidden="1">
      <c r="G104" s="189" t="s">
        <v>290</v>
      </c>
      <c r="H104" s="189" t="s">
        <v>506</v>
      </c>
      <c r="I104" s="190">
        <v>191.0372002</v>
      </c>
      <c r="J104" s="191" t="s">
        <v>468</v>
      </c>
      <c r="K104" s="192">
        <v>43177</v>
      </c>
      <c r="L104" s="189" t="s">
        <v>508</v>
      </c>
    </row>
    <row r="106" spans="3:12">
      <c r="G106" s="177" t="s">
        <v>513</v>
      </c>
      <c r="H106" s="202">
        <f>H123</f>
        <v>0.54375089499999962</v>
      </c>
    </row>
    <row r="107" spans="3:12">
      <c r="C107" s="182" t="s">
        <v>420</v>
      </c>
      <c r="D107" s="182"/>
      <c r="E107" s="182"/>
      <c r="G107" s="195" t="s">
        <v>512</v>
      </c>
      <c r="H107" s="196">
        <f>SUBTOTAL(9,H109:H196)</f>
        <v>18.525620724149974</v>
      </c>
      <c r="I107" s="177"/>
      <c r="J107" s="177"/>
      <c r="K107" s="177"/>
    </row>
    <row r="108" spans="3:12" ht="39.6" customHeight="1">
      <c r="C108" s="180" t="s">
        <v>185</v>
      </c>
      <c r="D108" s="180" t="s">
        <v>421</v>
      </c>
      <c r="E108" s="180" t="s">
        <v>423</v>
      </c>
      <c r="G108" s="199" t="s">
        <v>421</v>
      </c>
      <c r="H108" s="200" t="s">
        <v>423</v>
      </c>
      <c r="I108" s="187" t="s">
        <v>457</v>
      </c>
      <c r="J108" s="187" t="s">
        <v>458</v>
      </c>
      <c r="K108" s="201" t="s">
        <v>507</v>
      </c>
    </row>
    <row r="109" spans="3:12">
      <c r="C109" s="179" t="s">
        <v>290</v>
      </c>
      <c r="D109" s="179" t="s">
        <v>424</v>
      </c>
      <c r="E109" s="178">
        <v>4.9999999999999979E-4</v>
      </c>
      <c r="G109" s="197" t="s">
        <v>424</v>
      </c>
      <c r="H109" s="198">
        <v>1.4446332870000003</v>
      </c>
      <c r="I109" s="184" t="s">
        <v>459</v>
      </c>
      <c r="J109" s="185">
        <v>42811</v>
      </c>
      <c r="K109" s="183" t="s">
        <v>508</v>
      </c>
    </row>
    <row r="110" spans="3:12">
      <c r="C110" s="179" t="s">
        <v>290</v>
      </c>
      <c r="D110" s="179" t="s">
        <v>425</v>
      </c>
      <c r="E110" s="178">
        <v>1.9E-3</v>
      </c>
      <c r="G110" s="197" t="s">
        <v>460</v>
      </c>
      <c r="H110" s="198">
        <v>0</v>
      </c>
      <c r="I110" s="184" t="s">
        <v>461</v>
      </c>
      <c r="J110" s="186">
        <v>43101</v>
      </c>
      <c r="K110" s="183" t="s">
        <v>508</v>
      </c>
    </row>
    <row r="111" spans="3:12">
      <c r="C111" s="179" t="s">
        <v>271</v>
      </c>
      <c r="D111" s="179" t="s">
        <v>426</v>
      </c>
      <c r="E111" s="178">
        <v>0</v>
      </c>
      <c r="G111" s="197" t="s">
        <v>425</v>
      </c>
      <c r="H111" s="198">
        <v>0.76906415500000014</v>
      </c>
      <c r="I111" s="184" t="s">
        <v>459</v>
      </c>
      <c r="J111" s="185">
        <v>42811</v>
      </c>
      <c r="K111" s="183" t="s">
        <v>508</v>
      </c>
    </row>
    <row r="112" spans="3:12">
      <c r="C112" s="179" t="s">
        <v>427</v>
      </c>
      <c r="D112" s="179" t="s">
        <v>428</v>
      </c>
      <c r="E112" s="178">
        <v>0</v>
      </c>
      <c r="G112" s="197" t="s">
        <v>426</v>
      </c>
      <c r="H112" s="198">
        <v>0</v>
      </c>
      <c r="I112" s="184" t="s">
        <v>459</v>
      </c>
      <c r="J112" s="186">
        <v>43252</v>
      </c>
      <c r="K112" s="183" t="s">
        <v>508</v>
      </c>
    </row>
    <row r="113" spans="3:11">
      <c r="C113" s="179" t="s">
        <v>290</v>
      </c>
      <c r="D113" s="179" t="s">
        <v>429</v>
      </c>
      <c r="E113" s="178">
        <v>8.3310000000000003E-4</v>
      </c>
      <c r="G113" s="197" t="s">
        <v>463</v>
      </c>
      <c r="H113" s="198">
        <v>0</v>
      </c>
      <c r="I113" s="184" t="s">
        <v>459</v>
      </c>
      <c r="J113" s="185">
        <v>43160</v>
      </c>
      <c r="K113" s="183" t="s">
        <v>508</v>
      </c>
    </row>
    <row r="114" spans="3:11">
      <c r="C114" s="179" t="s">
        <v>253</v>
      </c>
      <c r="D114" s="179" t="s">
        <v>264</v>
      </c>
      <c r="E114" s="178">
        <v>0</v>
      </c>
      <c r="G114" s="197" t="s">
        <v>464</v>
      </c>
      <c r="H114" s="198">
        <v>0</v>
      </c>
      <c r="I114" s="184" t="s">
        <v>459</v>
      </c>
      <c r="J114" s="186">
        <v>41699</v>
      </c>
      <c r="K114" s="183" t="s">
        <v>508</v>
      </c>
    </row>
    <row r="115" spans="3:11">
      <c r="C115" s="179" t="s">
        <v>232</v>
      </c>
      <c r="D115" s="179" t="s">
        <v>430</v>
      </c>
      <c r="E115" s="178">
        <v>3.0759000000000002E-2</v>
      </c>
      <c r="G115" s="197" t="s">
        <v>428</v>
      </c>
      <c r="H115" s="198">
        <v>0</v>
      </c>
      <c r="I115" s="184" t="s">
        <v>459</v>
      </c>
      <c r="J115" s="186">
        <v>41699</v>
      </c>
      <c r="K115" s="183" t="s">
        <v>508</v>
      </c>
    </row>
    <row r="116" spans="3:11">
      <c r="C116" s="179" t="s">
        <v>232</v>
      </c>
      <c r="D116" s="179" t="s">
        <v>431</v>
      </c>
      <c r="E116" s="178">
        <v>0.69113366799999998</v>
      </c>
      <c r="G116" s="197" t="s">
        <v>465</v>
      </c>
      <c r="H116" s="198">
        <v>0</v>
      </c>
      <c r="I116" s="184" t="s">
        <v>459</v>
      </c>
      <c r="J116" s="185">
        <v>42430</v>
      </c>
      <c r="K116" s="183" t="s">
        <v>508</v>
      </c>
    </row>
    <row r="117" spans="3:11">
      <c r="C117" s="179" t="s">
        <v>290</v>
      </c>
      <c r="D117" s="179" t="s">
        <v>432</v>
      </c>
      <c r="E117" s="178">
        <v>0</v>
      </c>
      <c r="G117" s="197" t="s">
        <v>466</v>
      </c>
      <c r="H117" s="198">
        <v>0</v>
      </c>
      <c r="I117" s="184" t="s">
        <v>459</v>
      </c>
      <c r="J117" s="186">
        <v>42795</v>
      </c>
      <c r="K117" s="183" t="s">
        <v>508</v>
      </c>
    </row>
    <row r="118" spans="3:11">
      <c r="C118" s="179" t="s">
        <v>290</v>
      </c>
      <c r="D118" s="179" t="s">
        <v>415</v>
      </c>
      <c r="E118" s="178">
        <v>0</v>
      </c>
      <c r="G118" s="197" t="s">
        <v>467</v>
      </c>
      <c r="H118" s="198">
        <v>0</v>
      </c>
      <c r="I118" s="184" t="s">
        <v>468</v>
      </c>
      <c r="J118" s="185">
        <v>43983</v>
      </c>
      <c r="K118" s="184" t="s">
        <v>509</v>
      </c>
    </row>
    <row r="119" spans="3:11">
      <c r="C119" s="179" t="s">
        <v>232</v>
      </c>
      <c r="D119" s="179" t="s">
        <v>363</v>
      </c>
      <c r="E119" s="178">
        <v>0.54300569700000001</v>
      </c>
      <c r="G119" s="197" t="s">
        <v>429</v>
      </c>
      <c r="H119" s="198">
        <v>1.2195575679999999</v>
      </c>
      <c r="I119" s="184" t="s">
        <v>459</v>
      </c>
      <c r="J119" s="185">
        <v>43176</v>
      </c>
      <c r="K119" s="183" t="s">
        <v>508</v>
      </c>
    </row>
    <row r="120" spans="3:11">
      <c r="C120" s="179" t="s">
        <v>271</v>
      </c>
      <c r="D120" s="179" t="s">
        <v>433</v>
      </c>
      <c r="E120" s="178">
        <v>0</v>
      </c>
      <c r="G120" s="197" t="s">
        <v>469</v>
      </c>
      <c r="H120" s="198">
        <v>0.60527499900000004</v>
      </c>
      <c r="I120" s="184" t="s">
        <v>459</v>
      </c>
      <c r="J120" s="185">
        <v>43176</v>
      </c>
      <c r="K120" s="183" t="s">
        <v>508</v>
      </c>
    </row>
    <row r="121" spans="3:11">
      <c r="C121" s="179" t="s">
        <v>434</v>
      </c>
      <c r="D121" s="179" t="s">
        <v>434</v>
      </c>
      <c r="E121" s="178">
        <v>-0.70722499999999999</v>
      </c>
      <c r="G121" s="197" t="s">
        <v>264</v>
      </c>
      <c r="H121" s="198">
        <v>0</v>
      </c>
      <c r="I121" s="184" t="s">
        <v>470</v>
      </c>
      <c r="J121" s="186">
        <v>44713</v>
      </c>
      <c r="K121" s="184" t="s">
        <v>510</v>
      </c>
    </row>
    <row r="122" spans="3:11">
      <c r="C122" s="179" t="s">
        <v>290</v>
      </c>
      <c r="D122" s="179" t="s">
        <v>435</v>
      </c>
      <c r="E122" s="178">
        <v>0</v>
      </c>
      <c r="G122" s="197" t="s">
        <v>430</v>
      </c>
      <c r="H122" s="198">
        <v>1.4665854631500002</v>
      </c>
      <c r="I122" s="184" t="s">
        <v>461</v>
      </c>
      <c r="J122" s="185">
        <v>43176</v>
      </c>
      <c r="K122" s="183" t="s">
        <v>508</v>
      </c>
    </row>
    <row r="123" spans="3:11">
      <c r="C123" s="179" t="s">
        <v>290</v>
      </c>
      <c r="D123" s="179" t="s">
        <v>436</v>
      </c>
      <c r="E123" s="178">
        <v>2.3839999999999998E-3</v>
      </c>
      <c r="G123" s="197" t="s">
        <v>431</v>
      </c>
      <c r="H123" s="198">
        <v>0.54375089499999962</v>
      </c>
      <c r="I123" s="184" t="s">
        <v>470</v>
      </c>
      <c r="J123" s="185">
        <v>43160</v>
      </c>
      <c r="K123" s="184" t="s">
        <v>510</v>
      </c>
    </row>
    <row r="124" spans="3:11">
      <c r="C124" s="179" t="s">
        <v>290</v>
      </c>
      <c r="D124" s="179" t="s">
        <v>437</v>
      </c>
      <c r="E124" s="178">
        <v>-1E-3</v>
      </c>
      <c r="G124" s="197" t="s">
        <v>432</v>
      </c>
      <c r="H124" s="198">
        <v>2.3420642530000029</v>
      </c>
      <c r="I124" s="184" t="s">
        <v>459</v>
      </c>
      <c r="J124" s="185">
        <v>42446</v>
      </c>
      <c r="K124" s="183" t="s">
        <v>508</v>
      </c>
    </row>
    <row r="125" spans="3:11">
      <c r="C125" s="179" t="s">
        <v>271</v>
      </c>
      <c r="D125" s="179" t="s">
        <v>438</v>
      </c>
      <c r="E125" s="178">
        <v>0</v>
      </c>
      <c r="G125" s="197" t="s">
        <v>471</v>
      </c>
      <c r="H125" s="198">
        <v>0.25019337599999958</v>
      </c>
      <c r="I125" s="184" t="s">
        <v>459</v>
      </c>
      <c r="J125" s="185">
        <v>42446</v>
      </c>
      <c r="K125" s="183" t="s">
        <v>508</v>
      </c>
    </row>
    <row r="126" spans="3:11">
      <c r="C126" s="179" t="s">
        <v>271</v>
      </c>
      <c r="D126" s="179" t="s">
        <v>439</v>
      </c>
      <c r="E126" s="178">
        <v>0</v>
      </c>
      <c r="G126" s="197" t="s">
        <v>415</v>
      </c>
      <c r="H126" s="198">
        <v>0.37260885699997309</v>
      </c>
      <c r="I126" s="184" t="s">
        <v>459</v>
      </c>
      <c r="J126" s="186">
        <v>41699</v>
      </c>
      <c r="K126" s="183" t="s">
        <v>508</v>
      </c>
    </row>
    <row r="127" spans="3:11">
      <c r="C127" s="179" t="s">
        <v>434</v>
      </c>
      <c r="D127" s="179" t="s">
        <v>440</v>
      </c>
      <c r="E127" s="178">
        <v>7.6859999999999998E-2</v>
      </c>
      <c r="G127" s="197" t="s">
        <v>363</v>
      </c>
      <c r="H127" s="198">
        <v>0.54239007300000008</v>
      </c>
      <c r="I127" s="184" t="s">
        <v>461</v>
      </c>
      <c r="J127" s="185">
        <v>43160</v>
      </c>
      <c r="K127" s="183" t="s">
        <v>508</v>
      </c>
    </row>
    <row r="128" spans="3:11">
      <c r="C128" s="179" t="s">
        <v>290</v>
      </c>
      <c r="D128" s="179" t="s">
        <v>441</v>
      </c>
      <c r="E128" s="178">
        <v>0</v>
      </c>
      <c r="G128" s="197" t="s">
        <v>433</v>
      </c>
      <c r="H128" s="198">
        <v>0</v>
      </c>
      <c r="I128" s="184" t="s">
        <v>459</v>
      </c>
      <c r="J128" s="185">
        <v>43160</v>
      </c>
      <c r="K128" s="183" t="s">
        <v>508</v>
      </c>
    </row>
    <row r="129" spans="3:11">
      <c r="C129" s="179" t="s">
        <v>290</v>
      </c>
      <c r="D129" s="179" t="s">
        <v>442</v>
      </c>
      <c r="E129" s="178">
        <v>0</v>
      </c>
      <c r="G129" s="197" t="s">
        <v>434</v>
      </c>
      <c r="H129" s="198">
        <v>1.56</v>
      </c>
      <c r="I129" s="184" t="s">
        <v>472</v>
      </c>
      <c r="J129" s="186">
        <v>42064</v>
      </c>
      <c r="K129" s="183" t="s">
        <v>508</v>
      </c>
    </row>
    <row r="130" spans="3:11">
      <c r="C130" s="179" t="s">
        <v>188</v>
      </c>
      <c r="D130" s="179" t="s">
        <v>443</v>
      </c>
      <c r="E130" s="178">
        <v>0</v>
      </c>
      <c r="G130" s="197" t="s">
        <v>327</v>
      </c>
      <c r="H130" s="198">
        <v>0</v>
      </c>
      <c r="I130" s="184" t="s">
        <v>468</v>
      </c>
      <c r="J130" s="185">
        <v>43313</v>
      </c>
      <c r="K130" s="183" t="s">
        <v>508</v>
      </c>
    </row>
    <row r="131" spans="3:11">
      <c r="C131" s="179" t="s">
        <v>188</v>
      </c>
      <c r="D131" s="179" t="s">
        <v>444</v>
      </c>
      <c r="E131" s="178">
        <v>0</v>
      </c>
      <c r="G131" s="197" t="s">
        <v>435</v>
      </c>
      <c r="H131" s="198">
        <v>0</v>
      </c>
      <c r="I131" s="184" t="s">
        <v>459</v>
      </c>
      <c r="J131" s="185">
        <v>43177</v>
      </c>
      <c r="K131" s="183" t="s">
        <v>508</v>
      </c>
    </row>
    <row r="132" spans="3:11">
      <c r="C132" s="179" t="s">
        <v>188</v>
      </c>
      <c r="D132" s="179" t="s">
        <v>445</v>
      </c>
      <c r="E132" s="178">
        <v>0</v>
      </c>
      <c r="G132" s="197" t="s">
        <v>473</v>
      </c>
      <c r="H132" s="198">
        <v>0.25684005199999999</v>
      </c>
      <c r="I132" s="184" t="s">
        <v>461</v>
      </c>
      <c r="J132" s="185">
        <v>43177</v>
      </c>
      <c r="K132" s="183" t="s">
        <v>508</v>
      </c>
    </row>
    <row r="133" spans="3:11">
      <c r="C133" s="179" t="s">
        <v>188</v>
      </c>
      <c r="D133" s="179" t="s">
        <v>446</v>
      </c>
      <c r="E133" s="178">
        <v>0</v>
      </c>
      <c r="G133" s="197" t="s">
        <v>474</v>
      </c>
      <c r="H133" s="198">
        <v>0.1029595</v>
      </c>
      <c r="I133" s="184" t="s">
        <v>468</v>
      </c>
      <c r="J133" s="185">
        <v>42812</v>
      </c>
      <c r="K133" s="183" t="s">
        <v>508</v>
      </c>
    </row>
    <row r="134" spans="3:11">
      <c r="C134" s="179" t="s">
        <v>427</v>
      </c>
      <c r="D134" s="179" t="s">
        <v>203</v>
      </c>
      <c r="E134" s="178">
        <v>1.24175E-2</v>
      </c>
      <c r="G134" s="197" t="s">
        <v>436</v>
      </c>
      <c r="H134" s="198">
        <v>0.63814610000000005</v>
      </c>
      <c r="I134" s="184" t="s">
        <v>468</v>
      </c>
      <c r="J134" s="185">
        <v>42812</v>
      </c>
      <c r="K134" s="183" t="s">
        <v>508</v>
      </c>
    </row>
    <row r="135" spans="3:11">
      <c r="C135" s="179" t="s">
        <v>188</v>
      </c>
      <c r="D135" s="179" t="s">
        <v>447</v>
      </c>
      <c r="E135" s="178">
        <v>0</v>
      </c>
      <c r="G135" s="197" t="s">
        <v>254</v>
      </c>
      <c r="H135" s="198">
        <v>0</v>
      </c>
      <c r="I135" s="184" t="s">
        <v>459</v>
      </c>
      <c r="J135" s="185">
        <v>42430</v>
      </c>
      <c r="K135" s="183" t="s">
        <v>508</v>
      </c>
    </row>
    <row r="136" spans="3:11">
      <c r="C136" s="179" t="s">
        <v>232</v>
      </c>
      <c r="D136" s="179" t="s">
        <v>243</v>
      </c>
      <c r="E136" s="178">
        <v>0.45417491500000001</v>
      </c>
      <c r="G136" s="197" t="s">
        <v>475</v>
      </c>
      <c r="H136" s="198">
        <v>0</v>
      </c>
      <c r="I136" s="184" t="s">
        <v>468</v>
      </c>
      <c r="J136" s="185">
        <v>43891</v>
      </c>
      <c r="K136" s="184" t="s">
        <v>509</v>
      </c>
    </row>
    <row r="137" spans="3:11">
      <c r="C137" s="179" t="s">
        <v>427</v>
      </c>
      <c r="D137" s="179" t="s">
        <v>448</v>
      </c>
      <c r="E137" s="178">
        <v>0.13</v>
      </c>
      <c r="G137" s="197" t="s">
        <v>476</v>
      </c>
      <c r="H137" s="198">
        <v>3.0871000000000002E-3</v>
      </c>
      <c r="I137" s="184" t="s">
        <v>477</v>
      </c>
      <c r="J137" s="185">
        <v>40969</v>
      </c>
      <c r="K137" s="183" t="s">
        <v>508</v>
      </c>
    </row>
    <row r="138" spans="3:11">
      <c r="C138" s="179" t="s">
        <v>232</v>
      </c>
      <c r="D138" s="179" t="s">
        <v>241</v>
      </c>
      <c r="E138" s="178">
        <v>9.9866700000000003E-2</v>
      </c>
      <c r="G138" s="197" t="s">
        <v>478</v>
      </c>
      <c r="H138" s="198">
        <v>0</v>
      </c>
      <c r="I138" s="184" t="s">
        <v>459</v>
      </c>
      <c r="J138" s="185">
        <v>43160</v>
      </c>
      <c r="K138" s="183" t="s">
        <v>508</v>
      </c>
    </row>
    <row r="139" spans="3:11">
      <c r="C139" s="179" t="s">
        <v>290</v>
      </c>
      <c r="D139" s="179" t="s">
        <v>449</v>
      </c>
      <c r="E139" s="178">
        <v>0</v>
      </c>
      <c r="G139" s="197" t="s">
        <v>479</v>
      </c>
      <c r="H139" s="198">
        <v>1.1698910250000001</v>
      </c>
      <c r="I139" s="184" t="s">
        <v>468</v>
      </c>
      <c r="J139" s="185">
        <v>43177</v>
      </c>
      <c r="K139" s="183" t="s">
        <v>508</v>
      </c>
    </row>
    <row r="140" spans="3:11">
      <c r="C140" s="179" t="s">
        <v>188</v>
      </c>
      <c r="D140" s="179" t="s">
        <v>189</v>
      </c>
      <c r="E140" s="178">
        <v>0</v>
      </c>
      <c r="G140" s="197" t="s">
        <v>480</v>
      </c>
      <c r="H140" s="198">
        <v>0</v>
      </c>
      <c r="I140" s="184" t="s">
        <v>459</v>
      </c>
      <c r="J140" s="185">
        <v>43160</v>
      </c>
      <c r="K140" s="183" t="s">
        <v>508</v>
      </c>
    </row>
    <row r="141" spans="3:11">
      <c r="C141" s="179" t="s">
        <v>427</v>
      </c>
      <c r="D141" s="179" t="s">
        <v>198</v>
      </c>
      <c r="E141" s="178">
        <v>-0.15542999999999998</v>
      </c>
      <c r="G141" s="197" t="s">
        <v>328</v>
      </c>
      <c r="H141" s="198">
        <v>0.20981354199999999</v>
      </c>
      <c r="I141" s="184" t="s">
        <v>459</v>
      </c>
      <c r="J141" s="185">
        <v>40969</v>
      </c>
      <c r="K141" s="183" t="s">
        <v>508</v>
      </c>
    </row>
    <row r="142" spans="3:11">
      <c r="C142" s="179" t="s">
        <v>434</v>
      </c>
      <c r="D142" s="179" t="s">
        <v>450</v>
      </c>
      <c r="E142" s="178">
        <v>-1.7492E-3</v>
      </c>
      <c r="G142" s="197" t="s">
        <v>481</v>
      </c>
      <c r="H142" s="198">
        <v>0</v>
      </c>
      <c r="I142" s="184" t="s">
        <v>459</v>
      </c>
      <c r="J142" s="186">
        <v>42064</v>
      </c>
      <c r="K142" s="183" t="s">
        <v>508</v>
      </c>
    </row>
    <row r="143" spans="3:11">
      <c r="C143" s="179" t="s">
        <v>290</v>
      </c>
      <c r="D143" s="179" t="s">
        <v>451</v>
      </c>
      <c r="E143" s="178">
        <v>3.7805000000000004E-3</v>
      </c>
      <c r="G143" s="197" t="s">
        <v>437</v>
      </c>
      <c r="H143" s="198">
        <v>0</v>
      </c>
      <c r="I143" s="184" t="s">
        <v>459</v>
      </c>
      <c r="J143" s="185">
        <v>43177</v>
      </c>
      <c r="K143" s="183" t="s">
        <v>508</v>
      </c>
    </row>
    <row r="144" spans="3:11">
      <c r="C144" s="179" t="s">
        <v>290</v>
      </c>
      <c r="D144" s="179" t="s">
        <v>452</v>
      </c>
      <c r="E144" s="178">
        <v>0</v>
      </c>
      <c r="G144" s="197" t="s">
        <v>438</v>
      </c>
      <c r="H144" s="198">
        <v>0</v>
      </c>
      <c r="I144" s="184" t="s">
        <v>472</v>
      </c>
      <c r="J144" s="186">
        <v>42064</v>
      </c>
      <c r="K144" s="183" t="s">
        <v>508</v>
      </c>
    </row>
    <row r="145" spans="3:11">
      <c r="C145" s="179" t="s">
        <v>232</v>
      </c>
      <c r="D145" s="179" t="s">
        <v>453</v>
      </c>
      <c r="E145" s="178">
        <v>0</v>
      </c>
      <c r="G145" s="197" t="s">
        <v>439</v>
      </c>
      <c r="H145" s="198">
        <v>0</v>
      </c>
      <c r="I145" s="184" t="s">
        <v>461</v>
      </c>
      <c r="J145" s="185">
        <v>43160</v>
      </c>
      <c r="K145" s="183" t="s">
        <v>508</v>
      </c>
    </row>
    <row r="146" spans="3:11">
      <c r="C146" s="179" t="s">
        <v>427</v>
      </c>
      <c r="D146" s="179" t="s">
        <v>202</v>
      </c>
      <c r="E146" s="178">
        <v>3.2669999999999999E-3</v>
      </c>
      <c r="G146" s="197" t="s">
        <v>197</v>
      </c>
      <c r="H146" s="198">
        <v>0</v>
      </c>
      <c r="I146" s="184" t="s">
        <v>459</v>
      </c>
      <c r="J146" s="186">
        <v>41699</v>
      </c>
      <c r="K146" s="183" t="s">
        <v>508</v>
      </c>
    </row>
    <row r="147" spans="3:11">
      <c r="C147" s="179" t="s">
        <v>427</v>
      </c>
      <c r="D147" s="179" t="s">
        <v>215</v>
      </c>
      <c r="E147" s="178">
        <v>2.875E-4</v>
      </c>
      <c r="G147" s="197" t="s">
        <v>482</v>
      </c>
      <c r="H147" s="198">
        <v>0</v>
      </c>
      <c r="I147" s="184" t="s">
        <v>472</v>
      </c>
      <c r="J147" s="185">
        <v>43160</v>
      </c>
      <c r="K147" s="183" t="s">
        <v>508</v>
      </c>
    </row>
    <row r="148" spans="3:11">
      <c r="C148" s="179" t="s">
        <v>271</v>
      </c>
      <c r="D148" s="179" t="s">
        <v>454</v>
      </c>
      <c r="E148" s="178">
        <v>0</v>
      </c>
      <c r="G148" s="197" t="s">
        <v>483</v>
      </c>
      <c r="H148" s="198">
        <v>0</v>
      </c>
      <c r="I148" s="184" t="s">
        <v>459</v>
      </c>
      <c r="J148" s="185">
        <v>43160</v>
      </c>
      <c r="K148" s="183" t="s">
        <v>508</v>
      </c>
    </row>
    <row r="149" spans="3:11">
      <c r="C149" s="179" t="s">
        <v>290</v>
      </c>
      <c r="D149" s="179" t="s">
        <v>455</v>
      </c>
      <c r="E149" s="178">
        <v>1.155E-2</v>
      </c>
      <c r="G149" s="197" t="s">
        <v>484</v>
      </c>
      <c r="H149" s="198">
        <v>0</v>
      </c>
      <c r="I149" s="184" t="s">
        <v>459</v>
      </c>
      <c r="J149" s="186">
        <v>42064</v>
      </c>
      <c r="K149" s="183" t="s">
        <v>508</v>
      </c>
    </row>
    <row r="150" spans="3:11">
      <c r="C150" s="473" t="s">
        <v>21</v>
      </c>
      <c r="D150" s="473"/>
      <c r="E150" s="181">
        <f>SUM(E109:E149)</f>
        <v>1.19731538</v>
      </c>
      <c r="G150" s="197" t="s">
        <v>485</v>
      </c>
      <c r="H150" s="198">
        <v>0.68007053799999995</v>
      </c>
      <c r="I150" s="184" t="s">
        <v>472</v>
      </c>
      <c r="J150" s="186">
        <v>43160</v>
      </c>
      <c r="K150" s="183" t="s">
        <v>508</v>
      </c>
    </row>
    <row r="151" spans="3:11">
      <c r="G151" s="197" t="s">
        <v>486</v>
      </c>
      <c r="H151" s="198">
        <v>1.0330611999999999E-2</v>
      </c>
      <c r="I151" s="184" t="s">
        <v>472</v>
      </c>
      <c r="J151" s="186">
        <v>40969</v>
      </c>
      <c r="K151" s="183" t="s">
        <v>508</v>
      </c>
    </row>
    <row r="152" spans="3:11">
      <c r="G152" s="197" t="s">
        <v>487</v>
      </c>
      <c r="H152" s="198">
        <v>0.69307269299999996</v>
      </c>
      <c r="I152" s="184" t="s">
        <v>472</v>
      </c>
      <c r="J152" s="185">
        <v>42795</v>
      </c>
      <c r="K152" s="183" t="s">
        <v>508</v>
      </c>
    </row>
    <row r="153" spans="3:11">
      <c r="G153" s="197" t="s">
        <v>488</v>
      </c>
      <c r="H153" s="198">
        <v>-3.4629999999999999E-3</v>
      </c>
      <c r="I153" s="184" t="s">
        <v>472</v>
      </c>
      <c r="J153" s="185">
        <v>42795</v>
      </c>
      <c r="K153" s="183" t="s">
        <v>508</v>
      </c>
    </row>
    <row r="154" spans="3:11">
      <c r="G154" s="197" t="s">
        <v>440</v>
      </c>
      <c r="H154" s="198">
        <v>0.10298799499999997</v>
      </c>
      <c r="I154" s="184" t="s">
        <v>472</v>
      </c>
      <c r="J154" s="185">
        <v>42795</v>
      </c>
      <c r="K154" s="183" t="s">
        <v>508</v>
      </c>
    </row>
    <row r="155" spans="3:11">
      <c r="G155" s="197" t="s">
        <v>489</v>
      </c>
      <c r="H155" s="198">
        <v>0</v>
      </c>
      <c r="I155" s="184" t="s">
        <v>459</v>
      </c>
      <c r="J155" s="186">
        <v>42064</v>
      </c>
      <c r="K155" s="183" t="s">
        <v>508</v>
      </c>
    </row>
    <row r="156" spans="3:11">
      <c r="G156" s="197" t="s">
        <v>490</v>
      </c>
      <c r="H156" s="198">
        <v>0</v>
      </c>
      <c r="I156" s="184" t="s">
        <v>459</v>
      </c>
      <c r="J156" s="186">
        <v>42064</v>
      </c>
      <c r="K156" s="183" t="s">
        <v>508</v>
      </c>
    </row>
    <row r="157" spans="3:11">
      <c r="G157" s="197" t="s">
        <v>441</v>
      </c>
      <c r="H157" s="198">
        <v>0</v>
      </c>
      <c r="I157" s="184" t="s">
        <v>459</v>
      </c>
      <c r="J157" s="185">
        <v>43177</v>
      </c>
      <c r="K157" s="183" t="s">
        <v>508</v>
      </c>
    </row>
    <row r="158" spans="3:11">
      <c r="G158" s="197" t="s">
        <v>442</v>
      </c>
      <c r="H158" s="198">
        <v>0.35181597700000011</v>
      </c>
      <c r="I158" s="184" t="s">
        <v>468</v>
      </c>
      <c r="J158" s="185">
        <v>43177</v>
      </c>
      <c r="K158" s="183" t="s">
        <v>508</v>
      </c>
    </row>
    <row r="159" spans="3:11">
      <c r="G159" s="197" t="s">
        <v>491</v>
      </c>
      <c r="H159" s="198">
        <v>0</v>
      </c>
      <c r="I159" s="184" t="s">
        <v>459</v>
      </c>
      <c r="J159" s="186">
        <v>41699</v>
      </c>
      <c r="K159" s="183" t="s">
        <v>508</v>
      </c>
    </row>
    <row r="160" spans="3:11">
      <c r="G160" s="197" t="s">
        <v>444</v>
      </c>
      <c r="H160" s="198">
        <v>0</v>
      </c>
      <c r="I160" s="184" t="s">
        <v>470</v>
      </c>
      <c r="J160" s="185">
        <v>43160</v>
      </c>
      <c r="K160" s="184" t="s">
        <v>510</v>
      </c>
    </row>
    <row r="161" spans="7:11">
      <c r="G161" s="197" t="s">
        <v>445</v>
      </c>
      <c r="H161" s="198">
        <v>0</v>
      </c>
      <c r="I161" s="184" t="s">
        <v>470</v>
      </c>
      <c r="J161" s="185">
        <v>43070</v>
      </c>
      <c r="K161" s="184" t="s">
        <v>510</v>
      </c>
    </row>
    <row r="162" spans="7:11">
      <c r="G162" s="197" t="s">
        <v>446</v>
      </c>
      <c r="H162" s="198">
        <v>0</v>
      </c>
      <c r="I162" s="184" t="s">
        <v>459</v>
      </c>
      <c r="J162" s="185">
        <v>43191</v>
      </c>
      <c r="K162" s="183" t="s">
        <v>508</v>
      </c>
    </row>
    <row r="163" spans="7:11">
      <c r="G163" s="197" t="s">
        <v>492</v>
      </c>
      <c r="H163" s="198">
        <v>2.7767999999999998E-3</v>
      </c>
      <c r="I163" s="184" t="s">
        <v>459</v>
      </c>
      <c r="J163" s="184">
        <v>2012</v>
      </c>
      <c r="K163" s="183" t="s">
        <v>508</v>
      </c>
    </row>
    <row r="164" spans="7:11">
      <c r="G164" s="197" t="s">
        <v>239</v>
      </c>
      <c r="H164" s="198">
        <v>0.11865364099999999</v>
      </c>
      <c r="I164" s="184" t="s">
        <v>468</v>
      </c>
      <c r="J164" s="184">
        <v>2018</v>
      </c>
      <c r="K164" s="183" t="s">
        <v>508</v>
      </c>
    </row>
    <row r="165" spans="7:11">
      <c r="G165" s="197" t="s">
        <v>493</v>
      </c>
      <c r="H165" s="198">
        <v>0</v>
      </c>
      <c r="I165" s="184" t="s">
        <v>459</v>
      </c>
      <c r="J165" s="185">
        <v>43160</v>
      </c>
      <c r="K165" s="183" t="s">
        <v>508</v>
      </c>
    </row>
    <row r="166" spans="7:11">
      <c r="G166" s="197" t="s">
        <v>494</v>
      </c>
      <c r="H166" s="198">
        <v>0</v>
      </c>
      <c r="I166" s="184" t="s">
        <v>461</v>
      </c>
      <c r="J166" s="186">
        <v>42064</v>
      </c>
      <c r="K166" s="183" t="s">
        <v>508</v>
      </c>
    </row>
    <row r="167" spans="7:11">
      <c r="G167" s="197" t="s">
        <v>203</v>
      </c>
      <c r="H167" s="198">
        <v>0</v>
      </c>
      <c r="I167" s="184" t="s">
        <v>470</v>
      </c>
      <c r="J167" s="184">
        <v>2018</v>
      </c>
      <c r="K167" s="184" t="s">
        <v>510</v>
      </c>
    </row>
    <row r="168" spans="7:11">
      <c r="G168" s="197" t="s">
        <v>495</v>
      </c>
      <c r="H168" s="198">
        <v>0</v>
      </c>
      <c r="I168" s="184" t="s">
        <v>459</v>
      </c>
      <c r="J168" s="186">
        <v>42064</v>
      </c>
      <c r="K168" s="183" t="s">
        <v>508</v>
      </c>
    </row>
    <row r="169" spans="7:11">
      <c r="G169" s="197" t="s">
        <v>496</v>
      </c>
      <c r="H169" s="198">
        <v>0</v>
      </c>
      <c r="I169" s="184" t="s">
        <v>459</v>
      </c>
      <c r="J169" s="186">
        <v>42064</v>
      </c>
      <c r="K169" s="183" t="s">
        <v>508</v>
      </c>
    </row>
    <row r="170" spans="7:11">
      <c r="G170" s="197" t="s">
        <v>447</v>
      </c>
      <c r="H170" s="198">
        <v>0</v>
      </c>
      <c r="I170" s="184" t="s">
        <v>459</v>
      </c>
      <c r="J170" s="185">
        <v>42887</v>
      </c>
      <c r="K170" s="183" t="s">
        <v>508</v>
      </c>
    </row>
    <row r="171" spans="7:11">
      <c r="G171" s="197" t="s">
        <v>243</v>
      </c>
      <c r="H171" s="198">
        <v>-6.015126082000001</v>
      </c>
      <c r="I171" s="184" t="s">
        <v>459</v>
      </c>
      <c r="J171" s="184">
        <v>2018</v>
      </c>
      <c r="K171" s="183" t="s">
        <v>508</v>
      </c>
    </row>
    <row r="172" spans="7:11">
      <c r="G172" s="197" t="s">
        <v>497</v>
      </c>
      <c r="H172" s="198">
        <v>0.21011120300000002</v>
      </c>
      <c r="I172" s="184" t="s">
        <v>468</v>
      </c>
      <c r="J172" s="185">
        <v>42795</v>
      </c>
      <c r="K172" s="183" t="s">
        <v>508</v>
      </c>
    </row>
    <row r="173" spans="7:11">
      <c r="G173" s="197" t="s">
        <v>256</v>
      </c>
      <c r="H173" s="198">
        <v>0</v>
      </c>
      <c r="I173" s="184" t="s">
        <v>468</v>
      </c>
      <c r="J173" s="185">
        <v>40969</v>
      </c>
      <c r="K173" s="183" t="s">
        <v>508</v>
      </c>
    </row>
    <row r="174" spans="7:11">
      <c r="G174" s="197" t="s">
        <v>498</v>
      </c>
      <c r="H174" s="198">
        <v>0</v>
      </c>
      <c r="I174" s="184" t="s">
        <v>459</v>
      </c>
      <c r="J174" s="186">
        <v>42064</v>
      </c>
      <c r="K174" s="183" t="s">
        <v>508</v>
      </c>
    </row>
    <row r="175" spans="7:11">
      <c r="G175" s="197" t="s">
        <v>241</v>
      </c>
      <c r="H175" s="198">
        <v>4.7576104000000001E-2</v>
      </c>
      <c r="I175" s="184" t="s">
        <v>468</v>
      </c>
      <c r="J175" s="184">
        <v>2018</v>
      </c>
      <c r="K175" s="183" t="s">
        <v>508</v>
      </c>
    </row>
    <row r="176" spans="7:11">
      <c r="G176" s="197" t="s">
        <v>499</v>
      </c>
      <c r="H176" s="198">
        <v>0</v>
      </c>
      <c r="I176" s="184" t="s">
        <v>472</v>
      </c>
      <c r="J176" s="185">
        <v>43466</v>
      </c>
      <c r="K176" s="184" t="s">
        <v>509</v>
      </c>
    </row>
    <row r="177" spans="7:11">
      <c r="G177" s="197" t="s">
        <v>500</v>
      </c>
      <c r="H177" s="198">
        <v>0</v>
      </c>
      <c r="I177" s="184" t="s">
        <v>459</v>
      </c>
      <c r="J177" s="185">
        <v>43160</v>
      </c>
      <c r="K177" s="183" t="s">
        <v>508</v>
      </c>
    </row>
    <row r="178" spans="7:11">
      <c r="G178" s="197" t="s">
        <v>449</v>
      </c>
      <c r="H178" s="198">
        <v>0</v>
      </c>
      <c r="I178" s="184" t="s">
        <v>459</v>
      </c>
      <c r="J178" s="185">
        <v>43177</v>
      </c>
      <c r="K178" s="183" t="s">
        <v>508</v>
      </c>
    </row>
    <row r="179" spans="7:11">
      <c r="G179" s="197" t="s">
        <v>501</v>
      </c>
      <c r="H179" s="198">
        <v>0</v>
      </c>
      <c r="I179" s="184" t="s">
        <v>461</v>
      </c>
      <c r="J179" s="185">
        <v>43160</v>
      </c>
      <c r="K179" s="183" t="s">
        <v>508</v>
      </c>
    </row>
    <row r="180" spans="7:11">
      <c r="G180" s="197" t="s">
        <v>189</v>
      </c>
      <c r="H180" s="198">
        <v>0</v>
      </c>
      <c r="I180" s="184" t="s">
        <v>468</v>
      </c>
      <c r="J180" s="185">
        <v>43252</v>
      </c>
      <c r="K180" s="183" t="s">
        <v>508</v>
      </c>
    </row>
    <row r="181" spans="7:11">
      <c r="G181" s="197" t="s">
        <v>502</v>
      </c>
      <c r="H181" s="198">
        <v>0</v>
      </c>
      <c r="I181" s="184" t="s">
        <v>459</v>
      </c>
      <c r="J181" s="185">
        <v>43160</v>
      </c>
      <c r="K181" s="183" t="s">
        <v>508</v>
      </c>
    </row>
    <row r="182" spans="7:11">
      <c r="G182" s="197" t="s">
        <v>198</v>
      </c>
      <c r="H182" s="198">
        <v>2.0545526710000002</v>
      </c>
      <c r="I182" s="184" t="s">
        <v>461</v>
      </c>
      <c r="J182" s="184">
        <v>2018</v>
      </c>
      <c r="K182" s="183" t="s">
        <v>508</v>
      </c>
    </row>
    <row r="183" spans="7:11">
      <c r="G183" s="197" t="s">
        <v>192</v>
      </c>
      <c r="H183" s="198">
        <v>0</v>
      </c>
      <c r="I183" s="184" t="s">
        <v>477</v>
      </c>
      <c r="J183" s="185">
        <v>41699</v>
      </c>
      <c r="K183" s="183" t="s">
        <v>508</v>
      </c>
    </row>
    <row r="184" spans="7:11">
      <c r="G184" s="197" t="s">
        <v>503</v>
      </c>
      <c r="H184" s="198">
        <v>0.16816310000000001</v>
      </c>
      <c r="I184" s="184" t="s">
        <v>459</v>
      </c>
      <c r="J184" s="184">
        <v>2019</v>
      </c>
      <c r="K184" s="183" t="s">
        <v>508</v>
      </c>
    </row>
    <row r="185" spans="7:11">
      <c r="G185" s="197" t="s">
        <v>266</v>
      </c>
      <c r="H185" s="198">
        <v>0</v>
      </c>
      <c r="I185" s="184" t="s">
        <v>459</v>
      </c>
      <c r="J185" s="185">
        <v>40969</v>
      </c>
      <c r="K185" s="183" t="s">
        <v>508</v>
      </c>
    </row>
    <row r="186" spans="7:11">
      <c r="G186" s="197" t="s">
        <v>450</v>
      </c>
      <c r="H186" s="198">
        <v>0</v>
      </c>
      <c r="I186" s="184" t="s">
        <v>472</v>
      </c>
      <c r="J186" s="185">
        <v>43177</v>
      </c>
      <c r="K186" s="183" t="s">
        <v>508</v>
      </c>
    </row>
    <row r="187" spans="7:11">
      <c r="G187" s="197" t="s">
        <v>451</v>
      </c>
      <c r="H187" s="198">
        <v>0.83798366199999996</v>
      </c>
      <c r="I187" s="184" t="s">
        <v>468</v>
      </c>
      <c r="J187" s="185">
        <v>43177</v>
      </c>
      <c r="K187" s="183" t="s">
        <v>508</v>
      </c>
    </row>
    <row r="188" spans="7:11">
      <c r="G188" s="197" t="s">
        <v>504</v>
      </c>
      <c r="H188" s="198">
        <v>0</v>
      </c>
      <c r="I188" s="184" t="s">
        <v>472</v>
      </c>
      <c r="J188" s="186">
        <v>42064</v>
      </c>
      <c r="K188" s="183" t="s">
        <v>508</v>
      </c>
    </row>
    <row r="189" spans="7:11">
      <c r="G189" s="197" t="s">
        <v>452</v>
      </c>
      <c r="H189" s="198">
        <v>0</v>
      </c>
      <c r="I189" s="184" t="s">
        <v>459</v>
      </c>
      <c r="J189" s="185">
        <v>43177</v>
      </c>
      <c r="K189" s="183" t="s">
        <v>508</v>
      </c>
    </row>
    <row r="190" spans="7:11">
      <c r="G190" s="197" t="s">
        <v>505</v>
      </c>
      <c r="H190" s="198">
        <v>0</v>
      </c>
      <c r="I190" s="184" t="s">
        <v>459</v>
      </c>
      <c r="J190" s="185">
        <v>40986</v>
      </c>
      <c r="K190" s="183" t="s">
        <v>508</v>
      </c>
    </row>
    <row r="191" spans="7:11">
      <c r="G191" s="197" t="s">
        <v>453</v>
      </c>
      <c r="H191" s="198">
        <v>0</v>
      </c>
      <c r="I191" s="184" t="s">
        <v>470</v>
      </c>
      <c r="J191" s="185">
        <v>44986</v>
      </c>
      <c r="K191" s="184" t="s">
        <v>510</v>
      </c>
    </row>
    <row r="192" spans="7:11">
      <c r="G192" s="197" t="s">
        <v>202</v>
      </c>
      <c r="H192" s="198">
        <v>0</v>
      </c>
      <c r="I192" s="184" t="s">
        <v>459</v>
      </c>
      <c r="J192" s="185">
        <v>40986</v>
      </c>
      <c r="K192" s="183" t="s">
        <v>508</v>
      </c>
    </row>
    <row r="193" spans="7:11">
      <c r="G193" s="197" t="s">
        <v>215</v>
      </c>
      <c r="H193" s="198">
        <v>4.0030000000000003E-4</v>
      </c>
      <c r="I193" s="184" t="s">
        <v>459</v>
      </c>
      <c r="J193" s="185">
        <v>40986</v>
      </c>
      <c r="K193" s="183" t="s">
        <v>508</v>
      </c>
    </row>
    <row r="194" spans="7:11">
      <c r="G194" s="197" t="s">
        <v>454</v>
      </c>
      <c r="H194" s="198">
        <v>0</v>
      </c>
      <c r="I194" s="184" t="s">
        <v>459</v>
      </c>
      <c r="J194" s="185">
        <v>43160</v>
      </c>
      <c r="K194" s="183" t="s">
        <v>508</v>
      </c>
    </row>
    <row r="195" spans="7:11">
      <c r="G195" s="197" t="s">
        <v>455</v>
      </c>
      <c r="H195" s="198">
        <v>3.8584822629999995</v>
      </c>
      <c r="I195" s="184" t="s">
        <v>459</v>
      </c>
      <c r="J195" s="185">
        <v>42812</v>
      </c>
      <c r="K195" s="183" t="s">
        <v>508</v>
      </c>
    </row>
    <row r="196" spans="7:11">
      <c r="G196" s="197" t="s">
        <v>506</v>
      </c>
      <c r="H196" s="198">
        <v>1.9103720019999999</v>
      </c>
      <c r="I196" s="184" t="s">
        <v>468</v>
      </c>
      <c r="J196" s="185">
        <v>43177</v>
      </c>
      <c r="K196" s="183" t="s">
        <v>508</v>
      </c>
    </row>
  </sheetData>
  <mergeCells count="6">
    <mergeCell ref="C150:D150"/>
    <mergeCell ref="B2:G2"/>
    <mergeCell ref="B3:G3"/>
    <mergeCell ref="B5:G5"/>
    <mergeCell ref="B11:G11"/>
    <mergeCell ref="B12:G12"/>
  </mergeCells>
  <hyperlinks>
    <hyperlink ref="H107:I107" r:id="rId1" display="=@subtotal(9,F3:F21)" xr:uid="{00000000-0004-0000-1000-000000000000}"/>
  </hyperlinks>
  <pageMargins left="0.7" right="0.7" top="0.75" bottom="0.75" header="0.3" footer="0.3"/>
  <pageSetup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sheetPr>
  <dimension ref="B2:W189"/>
  <sheetViews>
    <sheetView topLeftCell="A8" workbookViewId="0">
      <selection activeCell="B10" sqref="B10:K10"/>
    </sheetView>
  </sheetViews>
  <sheetFormatPr defaultRowHeight="14.4"/>
  <cols>
    <col min="1" max="1" width="4.109375" customWidth="1"/>
    <col min="2" max="2" width="5.6640625" customWidth="1"/>
    <col min="3" max="3" width="22.33203125" customWidth="1"/>
    <col min="4" max="4" width="13.109375" customWidth="1"/>
    <col min="5" max="5" width="12.44140625" customWidth="1"/>
    <col min="6" max="7" width="13.109375" customWidth="1"/>
    <col min="8" max="8" width="14.44140625" customWidth="1"/>
    <col min="9" max="9" width="13.109375" customWidth="1"/>
    <col min="10" max="10" width="11.5546875" customWidth="1"/>
    <col min="11" max="11" width="49" customWidth="1"/>
    <col min="18" max="19" width="10.5546875" bestFit="1" customWidth="1"/>
    <col min="20" max="20" width="9.5546875" bestFit="1" customWidth="1"/>
    <col min="21" max="22" width="10.5546875" bestFit="1" customWidth="1"/>
  </cols>
  <sheetData>
    <row r="2" spans="2:20" ht="14.4" customHeight="1">
      <c r="B2" s="440" t="s">
        <v>178</v>
      </c>
      <c r="C2" s="441"/>
      <c r="D2" s="441"/>
      <c r="E2" s="441"/>
      <c r="F2" s="441"/>
      <c r="G2" s="441"/>
      <c r="H2" s="441"/>
      <c r="I2" s="441"/>
      <c r="J2" s="441"/>
      <c r="K2" s="441"/>
    </row>
    <row r="3" spans="2:20" ht="14.4" customHeight="1">
      <c r="B3" s="467" t="str">
        <f>'SUMMARY-2023'!B3</f>
        <v>Details as on 31st March 2023</v>
      </c>
      <c r="C3" s="467"/>
      <c r="D3" s="467"/>
      <c r="E3" s="467"/>
      <c r="F3" s="467"/>
      <c r="G3" s="467"/>
      <c r="H3" s="467"/>
      <c r="I3" s="467"/>
      <c r="J3" s="467"/>
      <c r="K3" s="467"/>
    </row>
    <row r="4" spans="2:20">
      <c r="B4" s="154"/>
      <c r="C4" s="155"/>
      <c r="D4" s="479"/>
      <c r="E4" s="479"/>
      <c r="F4" s="479"/>
      <c r="G4" s="479"/>
      <c r="H4" s="480"/>
      <c r="I4" s="120"/>
      <c r="J4" s="120"/>
      <c r="K4" s="120"/>
    </row>
    <row r="5" spans="2:20" ht="43.2">
      <c r="B5" s="24" t="s">
        <v>0</v>
      </c>
      <c r="C5" s="24" t="s">
        <v>69</v>
      </c>
      <c r="D5" s="37" t="s">
        <v>64</v>
      </c>
      <c r="E5" s="24" t="s">
        <v>526</v>
      </c>
      <c r="F5" s="24" t="s">
        <v>527</v>
      </c>
      <c r="G5" s="24" t="s">
        <v>528</v>
      </c>
      <c r="H5" s="86" t="s">
        <v>661</v>
      </c>
      <c r="I5" s="24" t="s">
        <v>179</v>
      </c>
      <c r="J5" s="24" t="s">
        <v>180</v>
      </c>
      <c r="K5" s="24" t="s">
        <v>22</v>
      </c>
    </row>
    <row r="6" spans="2:20" ht="14.4" customHeight="1">
      <c r="B6" s="436" t="str">
        <f>'SUMMARY-2023'!B5</f>
        <v>Figures in INR Crores</v>
      </c>
      <c r="C6" s="437"/>
      <c r="D6" s="437"/>
      <c r="E6" s="437"/>
      <c r="F6" s="437"/>
      <c r="G6" s="437"/>
      <c r="H6" s="437"/>
      <c r="I6" s="437"/>
      <c r="J6" s="437"/>
      <c r="K6" s="437"/>
    </row>
    <row r="7" spans="2:20" ht="296.39999999999998">
      <c r="B7" s="152">
        <v>1</v>
      </c>
      <c r="C7" s="80" t="s">
        <v>133</v>
      </c>
      <c r="D7" s="76">
        <f>285.08+20.27</f>
        <v>305.34999999999997</v>
      </c>
      <c r="E7" s="76">
        <f>I14</f>
        <v>63.330441698600602</v>
      </c>
      <c r="F7" s="76">
        <f>J14</f>
        <v>9.7676751000000017</v>
      </c>
      <c r="G7" s="76">
        <f>K14</f>
        <v>10.004801963879451</v>
      </c>
      <c r="H7" s="76">
        <f>L14</f>
        <v>222.24147528926255</v>
      </c>
      <c r="I7" s="76">
        <f>Q22</f>
        <v>240.72922863640167</v>
      </c>
      <c r="J7" s="76">
        <f>Q23</f>
        <v>58.849221070890181</v>
      </c>
      <c r="K7" s="75" t="s">
        <v>692</v>
      </c>
      <c r="M7" s="47">
        <v>0.3</v>
      </c>
    </row>
    <row r="8" spans="2:20">
      <c r="B8" s="38"/>
      <c r="C8" s="153" t="s">
        <v>23</v>
      </c>
      <c r="D8" s="61">
        <f>SUM(D7:D7)</f>
        <v>305.34999999999997</v>
      </c>
      <c r="E8" s="61">
        <f>SUM(E7:E7)</f>
        <v>63.330441698600602</v>
      </c>
      <c r="F8" s="61">
        <f>SUM(F7:F7)</f>
        <v>9.7676751000000017</v>
      </c>
      <c r="G8" s="61">
        <f>SUM(G7:G7)</f>
        <v>10.004801963879451</v>
      </c>
      <c r="H8" s="61">
        <f t="shared" ref="H8:J8" si="0">SUM(H7:H7)</f>
        <v>222.24147528926255</v>
      </c>
      <c r="I8" s="61">
        <f t="shared" si="0"/>
        <v>240.72922863640167</v>
      </c>
      <c r="J8" s="61">
        <f t="shared" si="0"/>
        <v>58.849221070890181</v>
      </c>
      <c r="K8" s="38"/>
    </row>
    <row r="9" spans="2:20" ht="14.4" customHeight="1">
      <c r="B9" s="457" t="str">
        <f>[2]SUMMARY!B16</f>
        <v>REMARKS &amp; NOTES:-</v>
      </c>
      <c r="C9" s="458"/>
      <c r="D9" s="458"/>
      <c r="E9" s="458"/>
      <c r="F9" s="458"/>
      <c r="G9" s="458"/>
      <c r="H9" s="458"/>
      <c r="I9" s="458"/>
      <c r="J9" s="458"/>
      <c r="K9" s="458"/>
    </row>
    <row r="10" spans="2:20" ht="102.75" customHeight="1">
      <c r="B10" s="399" t="s">
        <v>704</v>
      </c>
      <c r="C10" s="399"/>
      <c r="D10" s="399"/>
      <c r="E10" s="399"/>
      <c r="F10" s="399"/>
      <c r="G10" s="399"/>
      <c r="H10" s="399"/>
      <c r="I10" s="399"/>
      <c r="J10" s="399"/>
      <c r="K10" s="399"/>
    </row>
    <row r="14" spans="2:20">
      <c r="B14" s="217" t="s">
        <v>184</v>
      </c>
      <c r="C14" s="218"/>
      <c r="D14" s="218"/>
      <c r="E14" s="219">
        <f t="shared" ref="E14:L14" si="1">SUBTOTAL(9,E17:E178)</f>
        <v>391.8215418734942</v>
      </c>
      <c r="F14" s="219">
        <f t="shared" si="1"/>
        <v>86.477147821751331</v>
      </c>
      <c r="G14" s="219">
        <f t="shared" si="1"/>
        <v>305.3443940517426</v>
      </c>
      <c r="H14" s="219">
        <f t="shared" si="1"/>
        <v>2.395</v>
      </c>
      <c r="I14" s="219">
        <f t="shared" si="1"/>
        <v>63.330441698600602</v>
      </c>
      <c r="J14" s="219">
        <f t="shared" si="1"/>
        <v>9.7676751000000017</v>
      </c>
      <c r="K14" s="219">
        <f t="shared" si="1"/>
        <v>10.004801963879451</v>
      </c>
      <c r="L14" s="219">
        <f t="shared" si="1"/>
        <v>222.24147528926255</v>
      </c>
    </row>
    <row r="15" spans="2:20" ht="14.4" customHeight="1">
      <c r="B15" s="406" t="s">
        <v>185</v>
      </c>
      <c r="C15" s="406" t="s">
        <v>186</v>
      </c>
      <c r="D15" s="406" t="s">
        <v>187</v>
      </c>
      <c r="E15" s="337" t="s">
        <v>182</v>
      </c>
      <c r="F15" s="337"/>
      <c r="G15" s="337"/>
      <c r="H15" s="407" t="s">
        <v>655</v>
      </c>
      <c r="I15" s="476" t="s">
        <v>656</v>
      </c>
      <c r="J15" s="477"/>
      <c r="K15" s="477"/>
      <c r="L15" s="478"/>
      <c r="P15" s="238" t="s">
        <v>529</v>
      </c>
      <c r="Q15" s="123">
        <v>1</v>
      </c>
      <c r="R15" s="123">
        <f>Q15+1</f>
        <v>2</v>
      </c>
      <c r="S15" s="123">
        <f t="shared" ref="S15:T15" si="2">R15+1</f>
        <v>3</v>
      </c>
      <c r="T15" s="123">
        <f t="shared" si="2"/>
        <v>4</v>
      </c>
    </row>
    <row r="16" spans="2:20" ht="68.400000000000006">
      <c r="B16" s="406"/>
      <c r="C16" s="406"/>
      <c r="D16" s="406"/>
      <c r="E16" s="220" t="s">
        <v>657</v>
      </c>
      <c r="F16" s="220" t="s">
        <v>524</v>
      </c>
      <c r="G16" s="220" t="s">
        <v>658</v>
      </c>
      <c r="H16" s="407"/>
      <c r="I16" s="338" t="s">
        <v>526</v>
      </c>
      <c r="J16" s="338" t="s">
        <v>527</v>
      </c>
      <c r="K16" s="338" t="s">
        <v>528</v>
      </c>
      <c r="L16" s="338" t="s">
        <v>659</v>
      </c>
      <c r="P16" s="255" t="s">
        <v>64</v>
      </c>
      <c r="Q16" s="240">
        <f>D7</f>
        <v>305.34999999999997</v>
      </c>
      <c r="R16" s="241"/>
      <c r="S16" s="241"/>
      <c r="T16" s="241"/>
    </row>
    <row r="17" spans="2:23" ht="24">
      <c r="B17" s="221" t="s">
        <v>188</v>
      </c>
      <c r="C17" s="156" t="s">
        <v>189</v>
      </c>
      <c r="D17" s="156" t="s">
        <v>190</v>
      </c>
      <c r="E17" s="246">
        <v>0</v>
      </c>
      <c r="F17" s="246">
        <v>0</v>
      </c>
      <c r="G17" s="246">
        <f t="shared" ref="G17:G80" si="3">E17-F17</f>
        <v>0</v>
      </c>
      <c r="H17" s="246"/>
      <c r="I17" s="339"/>
      <c r="J17" s="339"/>
      <c r="K17" s="339"/>
      <c r="L17" s="339"/>
      <c r="P17" s="239" t="s">
        <v>559</v>
      </c>
      <c r="Q17" s="240">
        <f>I14</f>
        <v>63.330441698600602</v>
      </c>
      <c r="R17" s="240">
        <f>J14</f>
        <v>9.7676751000000017</v>
      </c>
      <c r="S17" s="240">
        <f>K14</f>
        <v>10.004801963879451</v>
      </c>
      <c r="T17" s="240">
        <f>L14</f>
        <v>222.24147528926255</v>
      </c>
    </row>
    <row r="18" spans="2:23" ht="24">
      <c r="B18" s="221" t="s">
        <v>188</v>
      </c>
      <c r="C18" s="156" t="s">
        <v>191</v>
      </c>
      <c r="D18" s="156" t="s">
        <v>190</v>
      </c>
      <c r="E18" s="246">
        <v>0</v>
      </c>
      <c r="F18" s="246">
        <v>0</v>
      </c>
      <c r="G18" s="246">
        <f t="shared" si="3"/>
        <v>0</v>
      </c>
      <c r="H18" s="246"/>
      <c r="I18" s="339"/>
      <c r="J18" s="339"/>
      <c r="K18" s="339"/>
      <c r="L18" s="339"/>
      <c r="P18" s="239" t="s">
        <v>532</v>
      </c>
      <c r="Q18" s="241">
        <v>1</v>
      </c>
      <c r="R18" s="241">
        <f>Q18+1</f>
        <v>2</v>
      </c>
      <c r="S18" s="241">
        <f t="shared" ref="S18:T18" si="4">R18+1</f>
        <v>3</v>
      </c>
      <c r="T18" s="241">
        <f t="shared" si="4"/>
        <v>4</v>
      </c>
    </row>
    <row r="19" spans="2:23">
      <c r="B19" s="221" t="s">
        <v>192</v>
      </c>
      <c r="C19" s="156" t="s">
        <v>192</v>
      </c>
      <c r="D19" s="156" t="s">
        <v>193</v>
      </c>
      <c r="E19" s="246">
        <v>9.9291938999999996</v>
      </c>
      <c r="F19" s="246">
        <v>0</v>
      </c>
      <c r="G19" s="246">
        <f t="shared" si="3"/>
        <v>9.9291938999999996</v>
      </c>
      <c r="H19" s="246"/>
      <c r="I19" s="339"/>
      <c r="J19" s="339"/>
      <c r="K19" s="339"/>
      <c r="L19" s="339">
        <f>G19</f>
        <v>9.9291938999999996</v>
      </c>
      <c r="P19" s="239" t="s">
        <v>533</v>
      </c>
      <c r="Q19" s="242">
        <f>1/(1+$Q$20)^Q18</f>
        <v>0.9174311926605504</v>
      </c>
      <c r="R19" s="242">
        <f t="shared" ref="R19:S19" si="5">1/(1+$Q$20)^R18</f>
        <v>0.84167999326655996</v>
      </c>
      <c r="S19" s="242">
        <f t="shared" si="5"/>
        <v>0.77218348006106419</v>
      </c>
      <c r="T19" s="364">
        <v>0.75</v>
      </c>
    </row>
    <row r="20" spans="2:23">
      <c r="B20" s="249" t="s">
        <v>194</v>
      </c>
      <c r="C20" s="222" t="s">
        <v>195</v>
      </c>
      <c r="D20" s="156" t="s">
        <v>196</v>
      </c>
      <c r="E20" s="246">
        <v>5.8866813999999996</v>
      </c>
      <c r="F20" s="246">
        <v>5.8866813999999996</v>
      </c>
      <c r="G20" s="246">
        <f t="shared" si="3"/>
        <v>0</v>
      </c>
      <c r="H20" s="246"/>
      <c r="I20" s="339"/>
      <c r="J20" s="339"/>
      <c r="K20" s="339"/>
      <c r="L20" s="339"/>
      <c r="P20" s="239" t="s">
        <v>534</v>
      </c>
      <c r="Q20" s="243">
        <v>0.09</v>
      </c>
      <c r="R20" s="241"/>
      <c r="S20" s="241"/>
      <c r="T20" s="241"/>
    </row>
    <row r="21" spans="2:23">
      <c r="B21" s="249" t="s">
        <v>194</v>
      </c>
      <c r="C21" s="222" t="s">
        <v>197</v>
      </c>
      <c r="D21" s="156" t="s">
        <v>197</v>
      </c>
      <c r="E21" s="246">
        <v>3.142245</v>
      </c>
      <c r="F21" s="246">
        <v>0</v>
      </c>
      <c r="G21" s="246">
        <f t="shared" si="3"/>
        <v>3.142245</v>
      </c>
      <c r="H21" s="246"/>
      <c r="I21" s="339"/>
      <c r="J21" s="339">
        <f>G21</f>
        <v>3.142245</v>
      </c>
      <c r="K21" s="339"/>
      <c r="L21" s="339"/>
      <c r="P21" s="239" t="s">
        <v>535</v>
      </c>
      <c r="Q21" s="240">
        <f>Q17*Q19</f>
        <v>58.1013226592666</v>
      </c>
      <c r="R21" s="240">
        <f t="shared" ref="R21:T21" si="6">R17*R19</f>
        <v>8.2212567123979472</v>
      </c>
      <c r="S21" s="240">
        <f t="shared" si="6"/>
        <v>7.7255427977902045</v>
      </c>
      <c r="T21" s="240">
        <f t="shared" si="6"/>
        <v>166.68110646694691</v>
      </c>
    </row>
    <row r="22" spans="2:23" ht="86.4">
      <c r="B22" s="249" t="s">
        <v>194</v>
      </c>
      <c r="C22" s="222" t="s">
        <v>198</v>
      </c>
      <c r="D22" s="156" t="s">
        <v>199</v>
      </c>
      <c r="E22" s="246">
        <v>0.5719379</v>
      </c>
      <c r="F22" s="246">
        <v>0</v>
      </c>
      <c r="G22" s="246">
        <f t="shared" si="3"/>
        <v>0.5719379</v>
      </c>
      <c r="H22" s="246"/>
      <c r="I22" s="339"/>
      <c r="J22" s="339">
        <f>G22</f>
        <v>0.5719379</v>
      </c>
      <c r="K22" s="339"/>
      <c r="L22" s="339"/>
      <c r="P22" s="244" t="s">
        <v>660</v>
      </c>
      <c r="Q22" s="245">
        <f>SUM(Q21:T21)</f>
        <v>240.72922863640167</v>
      </c>
      <c r="R22" s="238"/>
      <c r="S22" s="238"/>
      <c r="T22" s="238"/>
    </row>
    <row r="23" spans="2:23">
      <c r="B23" s="249" t="s">
        <v>194</v>
      </c>
      <c r="C23" s="222" t="s">
        <v>200</v>
      </c>
      <c r="D23" s="156" t="s">
        <v>201</v>
      </c>
      <c r="E23" s="246">
        <v>0</v>
      </c>
      <c r="F23" s="246">
        <v>2.0932784</v>
      </c>
      <c r="G23" s="246">
        <f t="shared" si="3"/>
        <v>-2.0932784</v>
      </c>
      <c r="H23" s="246"/>
      <c r="I23" s="339">
        <f>G23</f>
        <v>-2.0932784</v>
      </c>
      <c r="J23" s="339"/>
      <c r="K23" s="339"/>
      <c r="L23" s="339"/>
      <c r="P23" s="365" t="s">
        <v>683</v>
      </c>
      <c r="Q23" s="258">
        <f>(Q17*75%)+(R17*65%)+(S17*50%)</f>
        <v>58.849221070890181</v>
      </c>
    </row>
    <row r="24" spans="2:23">
      <c r="B24" s="249" t="s">
        <v>194</v>
      </c>
      <c r="C24" s="222" t="s">
        <v>202</v>
      </c>
      <c r="D24" s="156" t="s">
        <v>201</v>
      </c>
      <c r="E24" s="246">
        <v>5.2334532999999999</v>
      </c>
      <c r="F24" s="246">
        <v>0.26796110000000001</v>
      </c>
      <c r="G24" s="246">
        <f t="shared" si="3"/>
        <v>4.9654921999999999</v>
      </c>
      <c r="H24" s="246"/>
      <c r="I24" s="339"/>
      <c r="J24" s="339">
        <f>G24</f>
        <v>4.9654921999999999</v>
      </c>
      <c r="K24" s="339"/>
      <c r="L24" s="339"/>
    </row>
    <row r="25" spans="2:23" ht="24">
      <c r="B25" s="249" t="s">
        <v>194</v>
      </c>
      <c r="C25" s="222" t="s">
        <v>203</v>
      </c>
      <c r="D25" s="156" t="s">
        <v>199</v>
      </c>
      <c r="E25" s="246">
        <v>1.0880000000000001</v>
      </c>
      <c r="F25" s="246">
        <v>0</v>
      </c>
      <c r="G25" s="246">
        <f t="shared" si="3"/>
        <v>1.0880000000000001</v>
      </c>
      <c r="H25" s="246"/>
      <c r="I25" s="339"/>
      <c r="J25" s="339">
        <f>G25</f>
        <v>1.0880000000000001</v>
      </c>
      <c r="K25" s="339"/>
      <c r="L25" s="339"/>
      <c r="O25" s="230" t="s">
        <v>184</v>
      </c>
      <c r="P25" s="231"/>
      <c r="Q25" s="231"/>
      <c r="R25" s="343">
        <f>SUBTOTAL(9,R28:R103)</f>
        <v>305.3443940517426</v>
      </c>
      <c r="S25" s="343">
        <f>SUBTOTAL(9,S28:S103)</f>
        <v>63.330441698600602</v>
      </c>
      <c r="T25" s="343">
        <f>SUBTOTAL(9,T28:T103)</f>
        <v>9.7676751000000017</v>
      </c>
      <c r="U25" s="343">
        <f>SUBTOTAL(9,U28:U103)</f>
        <v>10.004801963879451</v>
      </c>
      <c r="V25" s="343">
        <f>SUBTOTAL(9,V28:V103)</f>
        <v>222.24147528926255</v>
      </c>
    </row>
    <row r="26" spans="2:23" ht="36">
      <c r="B26" s="249" t="s">
        <v>194</v>
      </c>
      <c r="C26" s="222" t="s">
        <v>204</v>
      </c>
      <c r="D26" s="156" t="s">
        <v>205</v>
      </c>
      <c r="E26" s="246">
        <v>54.183662391999995</v>
      </c>
      <c r="F26" s="246">
        <v>0</v>
      </c>
      <c r="G26" s="246">
        <f t="shared" si="3"/>
        <v>54.183662391999995</v>
      </c>
      <c r="H26" s="246"/>
      <c r="I26" s="339"/>
      <c r="J26" s="339"/>
      <c r="K26" s="339"/>
      <c r="L26" s="339">
        <f t="shared" ref="L26:L43" si="7">G26</f>
        <v>54.183662391999995</v>
      </c>
      <c r="O26" s="417" t="s">
        <v>185</v>
      </c>
      <c r="P26" s="417" t="s">
        <v>186</v>
      </c>
      <c r="Q26" s="417" t="s">
        <v>187</v>
      </c>
      <c r="R26" s="417" t="s">
        <v>658</v>
      </c>
      <c r="S26" s="475" t="s">
        <v>656</v>
      </c>
      <c r="T26" s="475"/>
      <c r="U26" s="475"/>
      <c r="V26" s="475"/>
    </row>
    <row r="27" spans="2:23" ht="48">
      <c r="B27" s="249" t="s">
        <v>194</v>
      </c>
      <c r="C27" s="222" t="s">
        <v>206</v>
      </c>
      <c r="D27" s="156" t="s">
        <v>207</v>
      </c>
      <c r="E27" s="246">
        <v>22.576254299999999</v>
      </c>
      <c r="F27" s="246">
        <v>0</v>
      </c>
      <c r="G27" s="246">
        <f t="shared" si="3"/>
        <v>22.576254299999999</v>
      </c>
      <c r="H27" s="246"/>
      <c r="I27" s="339"/>
      <c r="J27" s="339"/>
      <c r="K27" s="339"/>
      <c r="L27" s="339">
        <f t="shared" si="7"/>
        <v>22.576254299999999</v>
      </c>
      <c r="O27" s="417"/>
      <c r="P27" s="417"/>
      <c r="Q27" s="417"/>
      <c r="R27" s="417" t="s">
        <v>658</v>
      </c>
      <c r="S27" s="347" t="s">
        <v>526</v>
      </c>
      <c r="T27" s="347" t="s">
        <v>527</v>
      </c>
      <c r="U27" s="347" t="s">
        <v>528</v>
      </c>
      <c r="V27" s="347" t="s">
        <v>661</v>
      </c>
    </row>
    <row r="28" spans="2:23" ht="24">
      <c r="B28" s="249" t="s">
        <v>194</v>
      </c>
      <c r="C28" s="222" t="s">
        <v>208</v>
      </c>
      <c r="D28" s="156" t="s">
        <v>209</v>
      </c>
      <c r="E28" s="246">
        <v>8.8958780999999991</v>
      </c>
      <c r="F28" s="246">
        <v>0</v>
      </c>
      <c r="G28" s="246">
        <f t="shared" si="3"/>
        <v>8.8958780999999991</v>
      </c>
      <c r="H28" s="246"/>
      <c r="I28" s="339"/>
      <c r="J28" s="339"/>
      <c r="K28" s="339"/>
      <c r="L28" s="339">
        <f t="shared" si="7"/>
        <v>8.8958780999999991</v>
      </c>
      <c r="O28" s="160" t="s">
        <v>188</v>
      </c>
      <c r="P28" s="161" t="s">
        <v>189</v>
      </c>
      <c r="Q28" s="161" t="s">
        <v>190</v>
      </c>
      <c r="R28" s="343">
        <v>0</v>
      </c>
      <c r="S28" s="343"/>
      <c r="T28" s="343"/>
      <c r="U28" s="343"/>
      <c r="V28" s="343"/>
      <c r="W28" s="258"/>
    </row>
    <row r="29" spans="2:23" ht="24">
      <c r="B29" s="249" t="s">
        <v>194</v>
      </c>
      <c r="C29" s="222" t="s">
        <v>210</v>
      </c>
      <c r="D29" s="156" t="s">
        <v>211</v>
      </c>
      <c r="E29" s="246">
        <v>9.4098368000000008</v>
      </c>
      <c r="F29" s="246">
        <v>0</v>
      </c>
      <c r="G29" s="246">
        <f t="shared" si="3"/>
        <v>9.4098368000000008</v>
      </c>
      <c r="H29" s="246"/>
      <c r="I29" s="339"/>
      <c r="J29" s="339"/>
      <c r="K29" s="339"/>
      <c r="L29" s="339">
        <f t="shared" si="7"/>
        <v>9.4098368000000008</v>
      </c>
      <c r="O29" s="160" t="s">
        <v>188</v>
      </c>
      <c r="P29" s="161" t="s">
        <v>191</v>
      </c>
      <c r="Q29" s="161" t="s">
        <v>190</v>
      </c>
      <c r="R29" s="343">
        <v>0</v>
      </c>
      <c r="S29" s="343"/>
      <c r="T29" s="343"/>
      <c r="U29" s="343"/>
      <c r="V29" s="343"/>
      <c r="W29" s="258"/>
    </row>
    <row r="30" spans="2:23" ht="24">
      <c r="B30" s="249" t="s">
        <v>194</v>
      </c>
      <c r="C30" s="222" t="s">
        <v>212</v>
      </c>
      <c r="D30" s="156" t="s">
        <v>213</v>
      </c>
      <c r="E30" s="246">
        <v>7.8016417900000006</v>
      </c>
      <c r="F30" s="246">
        <v>0</v>
      </c>
      <c r="G30" s="246">
        <f t="shared" si="3"/>
        <v>7.8016417900000006</v>
      </c>
      <c r="H30" s="246"/>
      <c r="I30" s="339"/>
      <c r="J30" s="339"/>
      <c r="K30" s="339"/>
      <c r="L30" s="339">
        <f t="shared" si="7"/>
        <v>7.8016417900000006</v>
      </c>
      <c r="O30" s="160" t="s">
        <v>192</v>
      </c>
      <c r="P30" s="161" t="s">
        <v>192</v>
      </c>
      <c r="Q30" s="161" t="s">
        <v>193</v>
      </c>
      <c r="R30" s="343">
        <v>9.9291938999999996</v>
      </c>
      <c r="S30" s="343"/>
      <c r="T30" s="343"/>
      <c r="U30" s="343"/>
      <c r="V30" s="343">
        <v>9.9291938999999996</v>
      </c>
      <c r="W30" s="258"/>
    </row>
    <row r="31" spans="2:23" ht="24">
      <c r="B31" s="249" t="s">
        <v>194</v>
      </c>
      <c r="C31" s="222" t="s">
        <v>214</v>
      </c>
      <c r="D31" s="156" t="s">
        <v>201</v>
      </c>
      <c r="E31" s="246">
        <v>3.839747</v>
      </c>
      <c r="F31" s="246">
        <v>0</v>
      </c>
      <c r="G31" s="246">
        <f t="shared" si="3"/>
        <v>3.839747</v>
      </c>
      <c r="H31" s="246"/>
      <c r="I31" s="339"/>
      <c r="J31" s="339"/>
      <c r="K31" s="339"/>
      <c r="L31" s="339">
        <f t="shared" si="7"/>
        <v>3.839747</v>
      </c>
      <c r="O31" s="344" t="s">
        <v>194</v>
      </c>
      <c r="P31" s="163" t="s">
        <v>195</v>
      </c>
      <c r="Q31" s="161" t="s">
        <v>196</v>
      </c>
      <c r="R31" s="343">
        <v>0</v>
      </c>
      <c r="S31" s="343"/>
      <c r="T31" s="343"/>
      <c r="U31" s="343"/>
      <c r="V31" s="343"/>
      <c r="W31" s="258"/>
    </row>
    <row r="32" spans="2:23" ht="24">
      <c r="B32" s="249" t="s">
        <v>194</v>
      </c>
      <c r="C32" s="222" t="s">
        <v>215</v>
      </c>
      <c r="D32" s="156" t="s">
        <v>216</v>
      </c>
      <c r="E32" s="246">
        <v>2.1302492000000002</v>
      </c>
      <c r="F32" s="246">
        <v>0</v>
      </c>
      <c r="G32" s="246">
        <f t="shared" si="3"/>
        <v>2.1302492000000002</v>
      </c>
      <c r="H32" s="246"/>
      <c r="I32" s="339"/>
      <c r="J32" s="339"/>
      <c r="K32" s="339"/>
      <c r="L32" s="339">
        <f t="shared" si="7"/>
        <v>2.1302492000000002</v>
      </c>
      <c r="O32" s="344" t="s">
        <v>194</v>
      </c>
      <c r="P32" s="163" t="s">
        <v>197</v>
      </c>
      <c r="Q32" s="161" t="s">
        <v>197</v>
      </c>
      <c r="R32" s="343">
        <v>3.142245</v>
      </c>
      <c r="S32" s="343"/>
      <c r="T32" s="343">
        <v>3.142245</v>
      </c>
      <c r="U32" s="343"/>
      <c r="V32" s="343"/>
      <c r="W32" s="258"/>
    </row>
    <row r="33" spans="2:23" ht="24">
      <c r="B33" s="249" t="s">
        <v>194</v>
      </c>
      <c r="C33" s="222" t="s">
        <v>217</v>
      </c>
      <c r="D33" s="156" t="s">
        <v>201</v>
      </c>
      <c r="E33" s="246">
        <v>4.0478845000000003</v>
      </c>
      <c r="F33" s="246">
        <v>0</v>
      </c>
      <c r="G33" s="246">
        <f t="shared" si="3"/>
        <v>4.0478845000000003</v>
      </c>
      <c r="H33" s="246"/>
      <c r="I33" s="339"/>
      <c r="J33" s="339"/>
      <c r="K33" s="339"/>
      <c r="L33" s="339">
        <f t="shared" si="7"/>
        <v>4.0478845000000003</v>
      </c>
      <c r="O33" s="344" t="s">
        <v>194</v>
      </c>
      <c r="P33" s="163" t="s">
        <v>198</v>
      </c>
      <c r="Q33" s="161" t="s">
        <v>199</v>
      </c>
      <c r="R33" s="343">
        <v>0.5719379</v>
      </c>
      <c r="S33" s="343"/>
      <c r="T33" s="343">
        <v>0.5719379</v>
      </c>
      <c r="U33" s="343"/>
      <c r="V33" s="343"/>
      <c r="W33" s="258"/>
    </row>
    <row r="34" spans="2:23" ht="24">
      <c r="B34" s="249" t="s">
        <v>194</v>
      </c>
      <c r="C34" s="222" t="s">
        <v>218</v>
      </c>
      <c r="D34" s="156" t="s">
        <v>219</v>
      </c>
      <c r="E34" s="246">
        <v>2.2452105000000002</v>
      </c>
      <c r="F34" s="246">
        <v>0</v>
      </c>
      <c r="G34" s="246">
        <f t="shared" si="3"/>
        <v>2.2452105000000002</v>
      </c>
      <c r="H34" s="246"/>
      <c r="I34" s="339"/>
      <c r="J34" s="339"/>
      <c r="K34" s="339"/>
      <c r="L34" s="339">
        <f t="shared" si="7"/>
        <v>2.2452105000000002</v>
      </c>
      <c r="O34" s="344" t="s">
        <v>194</v>
      </c>
      <c r="P34" s="163" t="s">
        <v>200</v>
      </c>
      <c r="Q34" s="161" t="s">
        <v>201</v>
      </c>
      <c r="R34" s="343">
        <v>-2.0932784</v>
      </c>
      <c r="S34" s="343">
        <v>-2.0932784</v>
      </c>
      <c r="T34" s="343"/>
      <c r="U34" s="343"/>
      <c r="V34" s="343"/>
      <c r="W34" s="258"/>
    </row>
    <row r="35" spans="2:23" ht="36">
      <c r="B35" s="249" t="s">
        <v>194</v>
      </c>
      <c r="C35" s="222" t="s">
        <v>220</v>
      </c>
      <c r="D35" s="156" t="s">
        <v>221</v>
      </c>
      <c r="E35" s="246">
        <v>1.1024075</v>
      </c>
      <c r="F35" s="246">
        <v>0</v>
      </c>
      <c r="G35" s="246">
        <f t="shared" si="3"/>
        <v>1.1024075</v>
      </c>
      <c r="H35" s="246"/>
      <c r="I35" s="339"/>
      <c r="J35" s="339"/>
      <c r="K35" s="339"/>
      <c r="L35" s="339">
        <f t="shared" si="7"/>
        <v>1.1024075</v>
      </c>
      <c r="O35" s="344" t="s">
        <v>194</v>
      </c>
      <c r="P35" s="163" t="s">
        <v>202</v>
      </c>
      <c r="Q35" s="161" t="s">
        <v>201</v>
      </c>
      <c r="R35" s="343">
        <v>4.9654921999999999</v>
      </c>
      <c r="S35" s="343"/>
      <c r="T35" s="343">
        <v>4.9654921999999999</v>
      </c>
      <c r="U35" s="343"/>
      <c r="V35" s="343"/>
      <c r="W35" s="258"/>
    </row>
    <row r="36" spans="2:23" ht="36">
      <c r="B36" s="249" t="s">
        <v>194</v>
      </c>
      <c r="C36" s="222" t="s">
        <v>222</v>
      </c>
      <c r="D36" s="156" t="s">
        <v>223</v>
      </c>
      <c r="E36" s="246">
        <v>0.9570805</v>
      </c>
      <c r="F36" s="246">
        <v>0</v>
      </c>
      <c r="G36" s="246">
        <f t="shared" si="3"/>
        <v>0.9570805</v>
      </c>
      <c r="H36" s="246"/>
      <c r="I36" s="339"/>
      <c r="J36" s="339"/>
      <c r="K36" s="339"/>
      <c r="L36" s="339">
        <f t="shared" si="7"/>
        <v>0.9570805</v>
      </c>
      <c r="O36" s="344" t="s">
        <v>194</v>
      </c>
      <c r="P36" s="163" t="s">
        <v>203</v>
      </c>
      <c r="Q36" s="161" t="s">
        <v>199</v>
      </c>
      <c r="R36" s="343">
        <v>1.0880000000000001</v>
      </c>
      <c r="S36" s="343"/>
      <c r="T36" s="343">
        <v>1.0880000000000001</v>
      </c>
      <c r="U36" s="343"/>
      <c r="V36" s="343"/>
      <c r="W36" s="258"/>
    </row>
    <row r="37" spans="2:23" ht="36">
      <c r="B37" s="249" t="s">
        <v>194</v>
      </c>
      <c r="C37" s="222" t="s">
        <v>224</v>
      </c>
      <c r="D37" s="156" t="s">
        <v>205</v>
      </c>
      <c r="E37" s="246">
        <v>0.78892949999999995</v>
      </c>
      <c r="F37" s="246">
        <v>0</v>
      </c>
      <c r="G37" s="246">
        <f t="shared" si="3"/>
        <v>0.78892949999999995</v>
      </c>
      <c r="H37" s="246"/>
      <c r="I37" s="339"/>
      <c r="J37" s="339"/>
      <c r="K37" s="339"/>
      <c r="L37" s="339">
        <f t="shared" si="7"/>
        <v>0.78892949999999995</v>
      </c>
      <c r="O37" s="344" t="s">
        <v>194</v>
      </c>
      <c r="P37" s="163" t="s">
        <v>204</v>
      </c>
      <c r="Q37" s="161" t="s">
        <v>205</v>
      </c>
      <c r="R37" s="343">
        <v>54.183662391999995</v>
      </c>
      <c r="S37" s="343"/>
      <c r="T37" s="343"/>
      <c r="U37" s="343"/>
      <c r="V37" s="343">
        <v>54.183662391999995</v>
      </c>
      <c r="W37" s="258"/>
    </row>
    <row r="38" spans="2:23" ht="48" customHeight="1">
      <c r="B38" s="249" t="s">
        <v>194</v>
      </c>
      <c r="C38" s="222" t="s">
        <v>225</v>
      </c>
      <c r="D38" s="156" t="s">
        <v>226</v>
      </c>
      <c r="E38" s="246">
        <v>0</v>
      </c>
      <c r="F38" s="246">
        <v>0</v>
      </c>
      <c r="G38" s="246">
        <f t="shared" si="3"/>
        <v>0</v>
      </c>
      <c r="H38" s="246"/>
      <c r="I38" s="339"/>
      <c r="J38" s="339"/>
      <c r="K38" s="339"/>
      <c r="L38" s="339">
        <f t="shared" si="7"/>
        <v>0</v>
      </c>
      <c r="O38" s="344" t="s">
        <v>194</v>
      </c>
      <c r="P38" s="163" t="s">
        <v>206</v>
      </c>
      <c r="Q38" s="161" t="s">
        <v>207</v>
      </c>
      <c r="R38" s="343">
        <v>22.576254299999999</v>
      </c>
      <c r="S38" s="343"/>
      <c r="T38" s="343"/>
      <c r="U38" s="343"/>
      <c r="V38" s="343">
        <v>22.576254299999999</v>
      </c>
      <c r="W38" s="258"/>
    </row>
    <row r="39" spans="2:23" ht="48">
      <c r="B39" s="249" t="s">
        <v>194</v>
      </c>
      <c r="C39" s="222" t="s">
        <v>227</v>
      </c>
      <c r="D39" s="156" t="s">
        <v>228</v>
      </c>
      <c r="E39" s="246">
        <v>0.93541574999999999</v>
      </c>
      <c r="F39" s="246">
        <v>0</v>
      </c>
      <c r="G39" s="246">
        <f t="shared" si="3"/>
        <v>0.93541574999999999</v>
      </c>
      <c r="H39" s="246"/>
      <c r="I39" s="339"/>
      <c r="J39" s="339"/>
      <c r="K39" s="339"/>
      <c r="L39" s="339">
        <f t="shared" si="7"/>
        <v>0.93541574999999999</v>
      </c>
      <c r="O39" s="344" t="s">
        <v>194</v>
      </c>
      <c r="P39" s="163" t="s">
        <v>208</v>
      </c>
      <c r="Q39" s="161" t="s">
        <v>209</v>
      </c>
      <c r="R39" s="343">
        <v>8.8958780999999991</v>
      </c>
      <c r="S39" s="343"/>
      <c r="T39" s="343"/>
      <c r="U39" s="343"/>
      <c r="V39" s="343">
        <v>8.8958780999999991</v>
      </c>
      <c r="W39" s="258"/>
    </row>
    <row r="40" spans="2:23" ht="36" customHeight="1">
      <c r="B40" s="249" t="s">
        <v>194</v>
      </c>
      <c r="C40" s="222" t="s">
        <v>229</v>
      </c>
      <c r="D40" s="156" t="s">
        <v>209</v>
      </c>
      <c r="E40" s="246">
        <v>0.33853499999999997</v>
      </c>
      <c r="F40" s="246">
        <v>0</v>
      </c>
      <c r="G40" s="246">
        <f t="shared" si="3"/>
        <v>0.33853499999999997</v>
      </c>
      <c r="H40" s="246"/>
      <c r="I40" s="339"/>
      <c r="J40" s="339"/>
      <c r="K40" s="339"/>
      <c r="L40" s="339">
        <f t="shared" si="7"/>
        <v>0.33853499999999997</v>
      </c>
      <c r="O40" s="344" t="s">
        <v>194</v>
      </c>
      <c r="P40" s="163" t="s">
        <v>210</v>
      </c>
      <c r="Q40" s="161" t="s">
        <v>211</v>
      </c>
      <c r="R40" s="343">
        <v>9.4098368000000008</v>
      </c>
      <c r="S40" s="343"/>
      <c r="T40" s="343"/>
      <c r="U40" s="343"/>
      <c r="V40" s="343">
        <v>9.4098368000000008</v>
      </c>
      <c r="W40" s="258"/>
    </row>
    <row r="41" spans="2:23" ht="36">
      <c r="B41" s="249" t="s">
        <v>194</v>
      </c>
      <c r="C41" s="251" t="s">
        <v>230</v>
      </c>
      <c r="D41" s="156" t="s">
        <v>231</v>
      </c>
      <c r="E41" s="246">
        <v>0</v>
      </c>
      <c r="F41" s="246">
        <v>0</v>
      </c>
      <c r="G41" s="246">
        <f t="shared" si="3"/>
        <v>0</v>
      </c>
      <c r="H41" s="246"/>
      <c r="I41" s="339"/>
      <c r="J41" s="339"/>
      <c r="K41" s="339"/>
      <c r="L41" s="339">
        <f t="shared" si="7"/>
        <v>0</v>
      </c>
      <c r="O41" s="344" t="s">
        <v>194</v>
      </c>
      <c r="P41" s="163" t="s">
        <v>212</v>
      </c>
      <c r="Q41" s="161" t="s">
        <v>213</v>
      </c>
      <c r="R41" s="343">
        <v>7.8016417900000006</v>
      </c>
      <c r="S41" s="343"/>
      <c r="T41" s="343"/>
      <c r="U41" s="343"/>
      <c r="V41" s="343">
        <v>7.8016417900000006</v>
      </c>
      <c r="W41" s="258"/>
    </row>
    <row r="42" spans="2:23" ht="24">
      <c r="B42" s="157" t="s">
        <v>232</v>
      </c>
      <c r="C42" s="223" t="s">
        <v>233</v>
      </c>
      <c r="D42" s="156" t="s">
        <v>234</v>
      </c>
      <c r="E42" s="246">
        <v>0.70402719999999996</v>
      </c>
      <c r="F42" s="246">
        <v>0.70402724733499999</v>
      </c>
      <c r="G42" s="246">
        <f t="shared" si="3"/>
        <v>-4.7335000030734875E-8</v>
      </c>
      <c r="H42" s="246"/>
      <c r="I42" s="339"/>
      <c r="J42" s="339"/>
      <c r="K42" s="339"/>
      <c r="L42" s="339">
        <f t="shared" si="7"/>
        <v>-4.7335000030734875E-8</v>
      </c>
      <c r="O42" s="344" t="s">
        <v>194</v>
      </c>
      <c r="P42" s="163" t="s">
        <v>214</v>
      </c>
      <c r="Q42" s="161" t="s">
        <v>201</v>
      </c>
      <c r="R42" s="343">
        <v>3.839747</v>
      </c>
      <c r="S42" s="343"/>
      <c r="T42" s="343"/>
      <c r="U42" s="343"/>
      <c r="V42" s="343">
        <v>3.839747</v>
      </c>
      <c r="W42" s="258"/>
    </row>
    <row r="43" spans="2:23" ht="36">
      <c r="B43" s="157" t="s">
        <v>232</v>
      </c>
      <c r="C43" s="223" t="s">
        <v>235</v>
      </c>
      <c r="D43" s="156" t="s">
        <v>236</v>
      </c>
      <c r="E43" s="246">
        <v>3.4555530000000001</v>
      </c>
      <c r="F43" s="246">
        <v>0.45810000000000001</v>
      </c>
      <c r="G43" s="246">
        <f t="shared" si="3"/>
        <v>2.9974530000000001</v>
      </c>
      <c r="H43" s="246"/>
      <c r="I43" s="339"/>
      <c r="J43" s="339"/>
      <c r="K43" s="339"/>
      <c r="L43" s="339">
        <f t="shared" si="7"/>
        <v>2.9974530000000001</v>
      </c>
      <c r="O43" s="344" t="s">
        <v>194</v>
      </c>
      <c r="P43" s="163" t="s">
        <v>215</v>
      </c>
      <c r="Q43" s="161" t="s">
        <v>216</v>
      </c>
      <c r="R43" s="343">
        <v>2.1302492000000002</v>
      </c>
      <c r="S43" s="343"/>
      <c r="T43" s="343"/>
      <c r="U43" s="343"/>
      <c r="V43" s="343">
        <v>2.1302492000000002</v>
      </c>
      <c r="W43" s="258"/>
    </row>
    <row r="44" spans="2:23" ht="24">
      <c r="B44" s="157" t="s">
        <v>232</v>
      </c>
      <c r="C44" s="223" t="s">
        <v>237</v>
      </c>
      <c r="D44" s="156" t="s">
        <v>238</v>
      </c>
      <c r="E44" s="246">
        <v>0.20549031500000059</v>
      </c>
      <c r="F44" s="246">
        <v>0</v>
      </c>
      <c r="G44" s="299">
        <f t="shared" si="3"/>
        <v>0.20549031500000059</v>
      </c>
      <c r="H44" s="246">
        <v>0.42</v>
      </c>
      <c r="I44" s="339">
        <v>0.20549031500000059</v>
      </c>
      <c r="J44" s="339"/>
      <c r="K44" s="339"/>
      <c r="L44" s="339"/>
      <c r="O44" s="344" t="s">
        <v>194</v>
      </c>
      <c r="P44" s="163" t="s">
        <v>217</v>
      </c>
      <c r="Q44" s="161" t="s">
        <v>201</v>
      </c>
      <c r="R44" s="343">
        <v>4.0478845000000003</v>
      </c>
      <c r="S44" s="343"/>
      <c r="T44" s="343"/>
      <c r="U44" s="343"/>
      <c r="V44" s="343">
        <v>4.0478845000000003</v>
      </c>
      <c r="W44" s="258"/>
    </row>
    <row r="45" spans="2:23" ht="24">
      <c r="B45" s="157" t="s">
        <v>232</v>
      </c>
      <c r="C45" s="223" t="s">
        <v>239</v>
      </c>
      <c r="D45" s="156" t="s">
        <v>240</v>
      </c>
      <c r="E45" s="246">
        <v>0.74392825399999996</v>
      </c>
      <c r="F45" s="246">
        <v>0</v>
      </c>
      <c r="G45" s="246">
        <f t="shared" si="3"/>
        <v>0.74392825399999996</v>
      </c>
      <c r="H45" s="246"/>
      <c r="I45" s="339"/>
      <c r="J45" s="339"/>
      <c r="K45" s="339"/>
      <c r="L45" s="339">
        <f>G45</f>
        <v>0.74392825399999996</v>
      </c>
      <c r="O45" s="344" t="s">
        <v>194</v>
      </c>
      <c r="P45" s="163" t="s">
        <v>218</v>
      </c>
      <c r="Q45" s="161" t="s">
        <v>219</v>
      </c>
      <c r="R45" s="343">
        <v>2.2452105000000002</v>
      </c>
      <c r="S45" s="343"/>
      <c r="T45" s="343"/>
      <c r="U45" s="343"/>
      <c r="V45" s="343">
        <v>2.2452105000000002</v>
      </c>
      <c r="W45" s="258"/>
    </row>
    <row r="46" spans="2:23" ht="36">
      <c r="B46" s="157" t="s">
        <v>232</v>
      </c>
      <c r="C46" s="223" t="s">
        <v>241</v>
      </c>
      <c r="D46" s="156" t="s">
        <v>242</v>
      </c>
      <c r="E46" s="246">
        <v>0</v>
      </c>
      <c r="F46" s="246">
        <v>0</v>
      </c>
      <c r="G46" s="246">
        <f t="shared" si="3"/>
        <v>0</v>
      </c>
      <c r="H46" s="246"/>
      <c r="I46" s="339"/>
      <c r="J46" s="339"/>
      <c r="K46" s="339"/>
      <c r="L46" s="339"/>
      <c r="O46" s="344" t="s">
        <v>194</v>
      </c>
      <c r="P46" s="163" t="s">
        <v>220</v>
      </c>
      <c r="Q46" s="161" t="s">
        <v>221</v>
      </c>
      <c r="R46" s="343">
        <v>1.1024075</v>
      </c>
      <c r="S46" s="343"/>
      <c r="T46" s="343"/>
      <c r="U46" s="343"/>
      <c r="V46" s="343">
        <v>1.1024075</v>
      </c>
      <c r="W46" s="258"/>
    </row>
    <row r="47" spans="2:23" ht="72">
      <c r="B47" s="157" t="s">
        <v>232</v>
      </c>
      <c r="C47" s="224" t="s">
        <v>243</v>
      </c>
      <c r="D47" s="156" t="s">
        <v>244</v>
      </c>
      <c r="E47" s="246">
        <v>0</v>
      </c>
      <c r="F47" s="246">
        <v>0</v>
      </c>
      <c r="G47" s="246">
        <f t="shared" si="3"/>
        <v>0</v>
      </c>
      <c r="H47" s="246"/>
      <c r="I47" s="339"/>
      <c r="J47" s="339"/>
      <c r="K47" s="339"/>
      <c r="L47" s="339"/>
      <c r="O47" s="344" t="s">
        <v>194</v>
      </c>
      <c r="P47" s="163" t="s">
        <v>222</v>
      </c>
      <c r="Q47" s="161" t="s">
        <v>223</v>
      </c>
      <c r="R47" s="343">
        <v>0.9570805</v>
      </c>
      <c r="S47" s="343"/>
      <c r="T47" s="343"/>
      <c r="U47" s="343"/>
      <c r="V47" s="343">
        <v>0.9570805</v>
      </c>
      <c r="W47" s="258"/>
    </row>
    <row r="48" spans="2:23" ht="36">
      <c r="B48" s="157" t="s">
        <v>245</v>
      </c>
      <c r="C48" s="158" t="s">
        <v>245</v>
      </c>
      <c r="D48" s="156" t="s">
        <v>246</v>
      </c>
      <c r="E48" s="246">
        <v>0</v>
      </c>
      <c r="F48" s="246">
        <v>0</v>
      </c>
      <c r="G48" s="246">
        <f t="shared" si="3"/>
        <v>0</v>
      </c>
      <c r="H48" s="246"/>
      <c r="I48" s="339"/>
      <c r="J48" s="339"/>
      <c r="K48" s="339"/>
      <c r="L48" s="339"/>
      <c r="O48" s="344" t="s">
        <v>194</v>
      </c>
      <c r="P48" s="163" t="s">
        <v>224</v>
      </c>
      <c r="Q48" s="161" t="s">
        <v>205</v>
      </c>
      <c r="R48" s="343">
        <v>0.78892949999999995</v>
      </c>
      <c r="S48" s="343"/>
      <c r="T48" s="343"/>
      <c r="U48" s="343"/>
      <c r="V48" s="343">
        <v>0.78892949999999995</v>
      </c>
      <c r="W48" s="258"/>
    </row>
    <row r="49" spans="2:23" ht="36">
      <c r="B49" s="157" t="s">
        <v>245</v>
      </c>
      <c r="C49" s="158" t="s">
        <v>245</v>
      </c>
      <c r="D49" s="156" t="s">
        <v>247</v>
      </c>
      <c r="E49" s="246">
        <v>0</v>
      </c>
      <c r="F49" s="246">
        <v>0</v>
      </c>
      <c r="G49" s="246">
        <f t="shared" si="3"/>
        <v>0</v>
      </c>
      <c r="H49" s="246"/>
      <c r="I49" s="339"/>
      <c r="J49" s="339"/>
      <c r="K49" s="339"/>
      <c r="L49" s="339"/>
      <c r="O49" s="344" t="s">
        <v>194</v>
      </c>
      <c r="P49" s="163" t="s">
        <v>225</v>
      </c>
      <c r="Q49" s="161" t="s">
        <v>226</v>
      </c>
      <c r="R49" s="343">
        <v>0</v>
      </c>
      <c r="S49" s="343"/>
      <c r="T49" s="343"/>
      <c r="U49" s="343"/>
      <c r="V49" s="343">
        <v>0</v>
      </c>
      <c r="W49" s="258"/>
    </row>
    <row r="50" spans="2:23" ht="36">
      <c r="B50" s="157" t="s">
        <v>245</v>
      </c>
      <c r="C50" s="158" t="s">
        <v>245</v>
      </c>
      <c r="D50" s="156" t="s">
        <v>248</v>
      </c>
      <c r="E50" s="246">
        <v>0</v>
      </c>
      <c r="F50" s="246">
        <v>0</v>
      </c>
      <c r="G50" s="246">
        <f t="shared" si="3"/>
        <v>0</v>
      </c>
      <c r="H50" s="246"/>
      <c r="I50" s="339"/>
      <c r="J50" s="339"/>
      <c r="K50" s="339"/>
      <c r="L50" s="339"/>
      <c r="O50" s="344" t="s">
        <v>194</v>
      </c>
      <c r="P50" s="163" t="s">
        <v>227</v>
      </c>
      <c r="Q50" s="161" t="s">
        <v>228</v>
      </c>
      <c r="R50" s="343">
        <v>0.93541574999999999</v>
      </c>
      <c r="S50" s="343"/>
      <c r="T50" s="343"/>
      <c r="U50" s="343"/>
      <c r="V50" s="343">
        <v>0.93541574999999999</v>
      </c>
      <c r="W50" s="258"/>
    </row>
    <row r="51" spans="2:23" ht="48">
      <c r="B51" s="157" t="s">
        <v>245</v>
      </c>
      <c r="C51" s="158" t="s">
        <v>245</v>
      </c>
      <c r="D51" s="156" t="s">
        <v>249</v>
      </c>
      <c r="E51" s="246">
        <v>0</v>
      </c>
      <c r="F51" s="246">
        <v>0</v>
      </c>
      <c r="G51" s="246">
        <f t="shared" si="3"/>
        <v>0</v>
      </c>
      <c r="H51" s="246"/>
      <c r="I51" s="339"/>
      <c r="J51" s="339"/>
      <c r="K51" s="339"/>
      <c r="L51" s="339"/>
      <c r="O51" s="344" t="s">
        <v>194</v>
      </c>
      <c r="P51" s="163" t="s">
        <v>229</v>
      </c>
      <c r="Q51" s="161" t="s">
        <v>209</v>
      </c>
      <c r="R51" s="343">
        <v>0.33853499999999997</v>
      </c>
      <c r="S51" s="343"/>
      <c r="T51" s="343"/>
      <c r="U51" s="343"/>
      <c r="V51" s="343">
        <v>0.33853499999999997</v>
      </c>
      <c r="W51" s="258"/>
    </row>
    <row r="52" spans="2:23" ht="36">
      <c r="B52" s="157" t="s">
        <v>245</v>
      </c>
      <c r="C52" s="158" t="s">
        <v>245</v>
      </c>
      <c r="D52" s="156" t="s">
        <v>250</v>
      </c>
      <c r="E52" s="246">
        <v>0</v>
      </c>
      <c r="F52" s="246">
        <v>0</v>
      </c>
      <c r="G52" s="246">
        <f t="shared" si="3"/>
        <v>0</v>
      </c>
      <c r="H52" s="246"/>
      <c r="I52" s="339"/>
      <c r="J52" s="339"/>
      <c r="K52" s="339"/>
      <c r="L52" s="339"/>
      <c r="O52" s="344" t="s">
        <v>194</v>
      </c>
      <c r="P52" s="345" t="s">
        <v>230</v>
      </c>
      <c r="Q52" s="161" t="s">
        <v>231</v>
      </c>
      <c r="R52" s="343">
        <v>0</v>
      </c>
      <c r="S52" s="343"/>
      <c r="T52" s="343"/>
      <c r="U52" s="343"/>
      <c r="V52" s="343">
        <v>0</v>
      </c>
      <c r="W52" s="258"/>
    </row>
    <row r="53" spans="2:23" ht="24">
      <c r="B53" s="157" t="s">
        <v>245</v>
      </c>
      <c r="C53" s="158" t="s">
        <v>245</v>
      </c>
      <c r="D53" s="156" t="s">
        <v>251</v>
      </c>
      <c r="E53" s="246">
        <v>0</v>
      </c>
      <c r="F53" s="246">
        <v>0</v>
      </c>
      <c r="G53" s="246">
        <f t="shared" si="3"/>
        <v>0</v>
      </c>
      <c r="H53" s="246"/>
      <c r="I53" s="339"/>
      <c r="J53" s="339"/>
      <c r="K53" s="339"/>
      <c r="L53" s="339"/>
      <c r="O53" s="165" t="s">
        <v>232</v>
      </c>
      <c r="P53" s="166" t="s">
        <v>233</v>
      </c>
      <c r="Q53" s="161" t="s">
        <v>234</v>
      </c>
      <c r="R53" s="343">
        <v>-4.7335000030734875E-8</v>
      </c>
      <c r="S53" s="343"/>
      <c r="T53" s="343"/>
      <c r="U53" s="343"/>
      <c r="V53" s="343">
        <v>-4.7335000030734875E-8</v>
      </c>
      <c r="W53" s="258"/>
    </row>
    <row r="54" spans="2:23" ht="24">
      <c r="B54" s="157" t="s">
        <v>245</v>
      </c>
      <c r="C54" s="158" t="s">
        <v>245</v>
      </c>
      <c r="D54" s="156" t="s">
        <v>252</v>
      </c>
      <c r="E54" s="246">
        <v>0</v>
      </c>
      <c r="F54" s="246">
        <v>0</v>
      </c>
      <c r="G54" s="246">
        <f t="shared" si="3"/>
        <v>0</v>
      </c>
      <c r="H54" s="246"/>
      <c r="I54" s="339"/>
      <c r="J54" s="339"/>
      <c r="K54" s="339"/>
      <c r="L54" s="339"/>
      <c r="O54" s="165" t="s">
        <v>232</v>
      </c>
      <c r="P54" s="166" t="s">
        <v>235</v>
      </c>
      <c r="Q54" s="161" t="s">
        <v>236</v>
      </c>
      <c r="R54" s="343">
        <v>2.9974530000000001</v>
      </c>
      <c r="S54" s="343"/>
      <c r="T54" s="343"/>
      <c r="U54" s="343"/>
      <c r="V54" s="343">
        <v>2.9974530000000001</v>
      </c>
      <c r="W54" s="258"/>
    </row>
    <row r="55" spans="2:23" ht="36">
      <c r="B55" s="225" t="s">
        <v>253</v>
      </c>
      <c r="C55" s="226" t="s">
        <v>254</v>
      </c>
      <c r="D55" s="156" t="s">
        <v>255</v>
      </c>
      <c r="E55" s="246">
        <v>-4.9000000000000002E-8</v>
      </c>
      <c r="F55" s="246">
        <v>0</v>
      </c>
      <c r="G55" s="246">
        <f t="shared" si="3"/>
        <v>-4.9000000000000002E-8</v>
      </c>
      <c r="H55" s="246"/>
      <c r="I55" s="339">
        <v>-4.9000000000000002E-8</v>
      </c>
      <c r="J55" s="339"/>
      <c r="K55" s="339"/>
      <c r="L55" s="339"/>
      <c r="O55" s="165" t="s">
        <v>232</v>
      </c>
      <c r="P55" s="166" t="s">
        <v>237</v>
      </c>
      <c r="Q55" s="161" t="s">
        <v>238</v>
      </c>
      <c r="R55" s="343">
        <v>0.20549031500000059</v>
      </c>
      <c r="S55" s="343">
        <v>0.20549031500000059</v>
      </c>
      <c r="T55" s="343"/>
      <c r="U55" s="343"/>
      <c r="V55" s="343"/>
      <c r="W55" s="258"/>
    </row>
    <row r="56" spans="2:23" ht="36">
      <c r="B56" s="225" t="s">
        <v>253</v>
      </c>
      <c r="C56" s="226" t="s">
        <v>256</v>
      </c>
      <c r="D56" s="156" t="s">
        <v>257</v>
      </c>
      <c r="E56" s="246">
        <v>14.295931400000001</v>
      </c>
      <c r="F56" s="246">
        <v>4.2911294361205483</v>
      </c>
      <c r="G56" s="246">
        <f t="shared" si="3"/>
        <v>10.004801963879451</v>
      </c>
      <c r="H56" s="246"/>
      <c r="I56" s="339"/>
      <c r="J56" s="339"/>
      <c r="K56" s="339">
        <f>G56</f>
        <v>10.004801963879451</v>
      </c>
      <c r="L56" s="339"/>
      <c r="O56" s="165" t="s">
        <v>232</v>
      </c>
      <c r="P56" s="166" t="s">
        <v>239</v>
      </c>
      <c r="Q56" s="161" t="s">
        <v>240</v>
      </c>
      <c r="R56" s="343">
        <v>0.74392825399999996</v>
      </c>
      <c r="S56" s="343"/>
      <c r="T56" s="343"/>
      <c r="U56" s="343"/>
      <c r="V56" s="343">
        <v>0.74392825399999996</v>
      </c>
      <c r="W56" s="258"/>
    </row>
    <row r="57" spans="2:23" ht="36">
      <c r="B57" s="225" t="s">
        <v>253</v>
      </c>
      <c r="C57" s="226" t="s">
        <v>258</v>
      </c>
      <c r="D57" s="156" t="s">
        <v>259</v>
      </c>
      <c r="E57" s="246">
        <v>2.8739636239999999</v>
      </c>
      <c r="F57" s="246">
        <v>0</v>
      </c>
      <c r="G57" s="246">
        <f t="shared" si="3"/>
        <v>2.8739636239999999</v>
      </c>
      <c r="H57" s="246"/>
      <c r="I57" s="339">
        <f>G57</f>
        <v>2.8739636239999999</v>
      </c>
      <c r="J57" s="339"/>
      <c r="K57" s="339"/>
      <c r="L57" s="339"/>
      <c r="O57" s="165" t="s">
        <v>232</v>
      </c>
      <c r="P57" s="166" t="s">
        <v>241</v>
      </c>
      <c r="Q57" s="161" t="s">
        <v>242</v>
      </c>
      <c r="R57" s="343">
        <v>0</v>
      </c>
      <c r="S57" s="343"/>
      <c r="T57" s="343"/>
      <c r="U57" s="343"/>
      <c r="V57" s="343"/>
      <c r="W57" s="258"/>
    </row>
    <row r="58" spans="2:23" ht="96">
      <c r="B58" s="225" t="s">
        <v>253</v>
      </c>
      <c r="C58" s="226" t="s">
        <v>260</v>
      </c>
      <c r="D58" s="156" t="s">
        <v>261</v>
      </c>
      <c r="E58" s="246">
        <v>5.5585218000000003</v>
      </c>
      <c r="F58" s="246">
        <v>0</v>
      </c>
      <c r="G58" s="246">
        <f t="shared" si="3"/>
        <v>5.5585218000000003</v>
      </c>
      <c r="H58" s="246"/>
      <c r="I58" s="339"/>
      <c r="J58" s="339"/>
      <c r="K58" s="339"/>
      <c r="L58" s="339">
        <f>G58</f>
        <v>5.5585218000000003</v>
      </c>
      <c r="O58" s="165" t="s">
        <v>232</v>
      </c>
      <c r="P58" s="167" t="s">
        <v>243</v>
      </c>
      <c r="Q58" s="161" t="s">
        <v>244</v>
      </c>
      <c r="R58" s="343">
        <v>0</v>
      </c>
      <c r="S58" s="343"/>
      <c r="T58" s="343"/>
      <c r="U58" s="343"/>
      <c r="V58" s="343"/>
      <c r="W58" s="258"/>
    </row>
    <row r="59" spans="2:23" ht="48">
      <c r="B59" s="225" t="s">
        <v>253</v>
      </c>
      <c r="C59" s="226" t="s">
        <v>262</v>
      </c>
      <c r="D59" s="156" t="s">
        <v>259</v>
      </c>
      <c r="E59" s="246">
        <v>0</v>
      </c>
      <c r="F59" s="246">
        <v>0</v>
      </c>
      <c r="G59" s="246">
        <f t="shared" si="3"/>
        <v>0</v>
      </c>
      <c r="H59" s="246"/>
      <c r="I59" s="339"/>
      <c r="J59" s="339"/>
      <c r="K59" s="339"/>
      <c r="L59" s="339"/>
      <c r="O59" s="165" t="s">
        <v>245</v>
      </c>
      <c r="P59" s="168" t="s">
        <v>245</v>
      </c>
      <c r="Q59" s="161" t="s">
        <v>246</v>
      </c>
      <c r="R59" s="343">
        <v>0</v>
      </c>
      <c r="S59" s="343"/>
      <c r="T59" s="343"/>
      <c r="U59" s="343"/>
      <c r="V59" s="343"/>
      <c r="W59" s="258"/>
    </row>
    <row r="60" spans="2:23" ht="48">
      <c r="B60" s="225" t="s">
        <v>253</v>
      </c>
      <c r="C60" s="226" t="s">
        <v>263</v>
      </c>
      <c r="D60" s="156" t="s">
        <v>259</v>
      </c>
      <c r="E60" s="246">
        <v>6.0735345000000001</v>
      </c>
      <c r="F60" s="246">
        <v>0</v>
      </c>
      <c r="G60" s="246">
        <f t="shared" si="3"/>
        <v>6.0735345000000001</v>
      </c>
      <c r="H60" s="246"/>
      <c r="I60" s="339"/>
      <c r="J60" s="339"/>
      <c r="K60" s="339"/>
      <c r="L60" s="339">
        <f>G60</f>
        <v>6.0735345000000001</v>
      </c>
      <c r="O60" s="165" t="s">
        <v>245</v>
      </c>
      <c r="P60" s="168" t="s">
        <v>245</v>
      </c>
      <c r="Q60" s="161" t="s">
        <v>247</v>
      </c>
      <c r="R60" s="343">
        <v>0</v>
      </c>
      <c r="S60" s="343"/>
      <c r="T60" s="343"/>
      <c r="U60" s="343"/>
      <c r="V60" s="343"/>
      <c r="W60" s="258"/>
    </row>
    <row r="61" spans="2:23" ht="48">
      <c r="B61" s="225" t="s">
        <v>253</v>
      </c>
      <c r="C61" s="226" t="s">
        <v>264</v>
      </c>
      <c r="D61" s="156" t="s">
        <v>265</v>
      </c>
      <c r="E61" s="246">
        <v>0.1579672</v>
      </c>
      <c r="F61" s="246">
        <v>0</v>
      </c>
      <c r="G61" s="246">
        <f t="shared" si="3"/>
        <v>0.1579672</v>
      </c>
      <c r="H61" s="246"/>
      <c r="I61" s="339"/>
      <c r="J61" s="339"/>
      <c r="K61" s="339"/>
      <c r="L61" s="339">
        <f>G61</f>
        <v>0.1579672</v>
      </c>
      <c r="O61" s="165" t="s">
        <v>245</v>
      </c>
      <c r="P61" s="168" t="s">
        <v>245</v>
      </c>
      <c r="Q61" s="161" t="s">
        <v>248</v>
      </c>
      <c r="R61" s="343">
        <v>0</v>
      </c>
      <c r="S61" s="343"/>
      <c r="T61" s="343"/>
      <c r="U61" s="343"/>
      <c r="V61" s="343"/>
      <c r="W61" s="258"/>
    </row>
    <row r="62" spans="2:23" ht="60">
      <c r="B62" s="225" t="s">
        <v>253</v>
      </c>
      <c r="C62" s="226" t="s">
        <v>266</v>
      </c>
      <c r="D62" s="156" t="s">
        <v>267</v>
      </c>
      <c r="E62" s="246">
        <v>0</v>
      </c>
      <c r="F62" s="246">
        <v>0</v>
      </c>
      <c r="G62" s="246">
        <f t="shared" si="3"/>
        <v>0</v>
      </c>
      <c r="H62" s="246"/>
      <c r="I62" s="339"/>
      <c r="J62" s="339"/>
      <c r="K62" s="339"/>
      <c r="L62" s="339"/>
      <c r="O62" s="165" t="s">
        <v>245</v>
      </c>
      <c r="P62" s="168" t="s">
        <v>245</v>
      </c>
      <c r="Q62" s="161" t="s">
        <v>249</v>
      </c>
      <c r="R62" s="343">
        <v>0</v>
      </c>
      <c r="S62" s="343"/>
      <c r="T62" s="343"/>
      <c r="U62" s="343"/>
      <c r="V62" s="343"/>
      <c r="W62" s="258"/>
    </row>
    <row r="63" spans="2:23" ht="48">
      <c r="B63" s="225" t="s">
        <v>253</v>
      </c>
      <c r="C63" s="226" t="s">
        <v>268</v>
      </c>
      <c r="D63" s="156" t="s">
        <v>265</v>
      </c>
      <c r="E63" s="246">
        <v>3.7345481999999999</v>
      </c>
      <c r="F63" s="246">
        <v>0</v>
      </c>
      <c r="G63" s="246">
        <f t="shared" si="3"/>
        <v>3.7345481999999999</v>
      </c>
      <c r="H63" s="246"/>
      <c r="I63" s="339"/>
      <c r="J63" s="339"/>
      <c r="K63" s="339"/>
      <c r="L63" s="339">
        <f>G63</f>
        <v>3.7345481999999999</v>
      </c>
      <c r="O63" s="165" t="s">
        <v>245</v>
      </c>
      <c r="P63" s="168" t="s">
        <v>245</v>
      </c>
      <c r="Q63" s="161" t="s">
        <v>250</v>
      </c>
      <c r="R63" s="343">
        <v>0</v>
      </c>
      <c r="S63" s="343"/>
      <c r="T63" s="343"/>
      <c r="U63" s="343"/>
      <c r="V63" s="343"/>
      <c r="W63" s="258"/>
    </row>
    <row r="64" spans="2:23" ht="24">
      <c r="B64" s="225" t="s">
        <v>253</v>
      </c>
      <c r="C64" s="226" t="s">
        <v>269</v>
      </c>
      <c r="D64" s="156" t="s">
        <v>270</v>
      </c>
      <c r="E64" s="246">
        <v>0</v>
      </c>
      <c r="F64" s="246">
        <v>0</v>
      </c>
      <c r="G64" s="246">
        <f t="shared" si="3"/>
        <v>0</v>
      </c>
      <c r="H64" s="246"/>
      <c r="I64" s="339"/>
      <c r="J64" s="339"/>
      <c r="K64" s="339"/>
      <c r="L64" s="339"/>
      <c r="O64" s="165" t="s">
        <v>245</v>
      </c>
      <c r="P64" s="168" t="s">
        <v>245</v>
      </c>
      <c r="Q64" s="161" t="s">
        <v>251</v>
      </c>
      <c r="R64" s="343">
        <v>0</v>
      </c>
      <c r="S64" s="343"/>
      <c r="T64" s="343"/>
      <c r="U64" s="343"/>
      <c r="V64" s="343"/>
      <c r="W64" s="258"/>
    </row>
    <row r="65" spans="2:23" ht="36">
      <c r="B65" s="157" t="s">
        <v>271</v>
      </c>
      <c r="C65" s="223" t="s">
        <v>272</v>
      </c>
      <c r="D65" s="156" t="s">
        <v>273</v>
      </c>
      <c r="E65" s="246">
        <v>-1.0000000000000001E-9</v>
      </c>
      <c r="F65" s="246">
        <v>0</v>
      </c>
      <c r="G65" s="246">
        <f t="shared" si="3"/>
        <v>-1.0000000000000001E-9</v>
      </c>
      <c r="H65" s="246"/>
      <c r="I65" s="339">
        <v>-1.0000000000000001E-9</v>
      </c>
      <c r="J65" s="339"/>
      <c r="K65" s="339"/>
      <c r="L65" s="339"/>
      <c r="O65" s="165" t="s">
        <v>245</v>
      </c>
      <c r="P65" s="168" t="s">
        <v>245</v>
      </c>
      <c r="Q65" s="161" t="s">
        <v>252</v>
      </c>
      <c r="R65" s="343">
        <v>0</v>
      </c>
      <c r="S65" s="343"/>
      <c r="T65" s="343"/>
      <c r="U65" s="343"/>
      <c r="V65" s="343"/>
      <c r="W65" s="258"/>
    </row>
    <row r="66" spans="2:23" ht="24">
      <c r="B66" s="157" t="s">
        <v>271</v>
      </c>
      <c r="C66" s="223" t="s">
        <v>274</v>
      </c>
      <c r="D66" s="156" t="s">
        <v>275</v>
      </c>
      <c r="E66" s="246">
        <v>5.1831459000000004</v>
      </c>
      <c r="F66" s="246">
        <v>4.5231459000000038</v>
      </c>
      <c r="G66" s="246">
        <f t="shared" si="3"/>
        <v>0.65999999999999659</v>
      </c>
      <c r="H66" s="246"/>
      <c r="I66" s="339">
        <f>G66</f>
        <v>0.65999999999999659</v>
      </c>
      <c r="J66" s="339"/>
      <c r="K66" s="339"/>
      <c r="L66" s="339"/>
      <c r="O66" s="169" t="s">
        <v>253</v>
      </c>
      <c r="P66" s="170" t="s">
        <v>254</v>
      </c>
      <c r="Q66" s="161" t="s">
        <v>255</v>
      </c>
      <c r="R66" s="343">
        <v>-4.9000000000000002E-8</v>
      </c>
      <c r="S66" s="343">
        <v>-4.9000000000000002E-8</v>
      </c>
      <c r="T66" s="343"/>
      <c r="U66" s="343"/>
      <c r="V66" s="343"/>
      <c r="W66" s="258"/>
    </row>
    <row r="67" spans="2:23" ht="48">
      <c r="B67" s="157" t="s">
        <v>271</v>
      </c>
      <c r="C67" s="223" t="s">
        <v>276</v>
      </c>
      <c r="D67" s="156" t="s">
        <v>277</v>
      </c>
      <c r="E67" s="246">
        <v>5.8050756000000003</v>
      </c>
      <c r="F67" s="246">
        <v>1.1050319251726026</v>
      </c>
      <c r="G67" s="246">
        <f t="shared" si="3"/>
        <v>4.7000436748273975</v>
      </c>
      <c r="H67" s="246"/>
      <c r="I67" s="339">
        <f>G67</f>
        <v>4.7000436748273975</v>
      </c>
      <c r="J67" s="339"/>
      <c r="K67" s="339"/>
      <c r="L67" s="339"/>
      <c r="O67" s="169" t="s">
        <v>253</v>
      </c>
      <c r="P67" s="170" t="s">
        <v>256</v>
      </c>
      <c r="Q67" s="161" t="s">
        <v>257</v>
      </c>
      <c r="R67" s="343">
        <v>10.004801963879451</v>
      </c>
      <c r="S67" s="343"/>
      <c r="T67" s="343"/>
      <c r="U67" s="343">
        <v>10.004801963879451</v>
      </c>
      <c r="V67" s="343"/>
      <c r="W67" s="258"/>
    </row>
    <row r="68" spans="2:23" ht="60">
      <c r="B68" s="157" t="s">
        <v>271</v>
      </c>
      <c r="C68" s="223" t="s">
        <v>278</v>
      </c>
      <c r="D68" s="156" t="s">
        <v>279</v>
      </c>
      <c r="E68" s="246">
        <v>3.888241904</v>
      </c>
      <c r="F68" s="246">
        <v>1.3471619210000021</v>
      </c>
      <c r="G68" s="246">
        <f t="shared" si="3"/>
        <v>2.5410799829999977</v>
      </c>
      <c r="H68" s="246"/>
      <c r="I68" s="339">
        <f>G68</f>
        <v>2.5410799829999977</v>
      </c>
      <c r="J68" s="339"/>
      <c r="K68" s="339"/>
      <c r="L68" s="339"/>
      <c r="O68" s="169" t="s">
        <v>253</v>
      </c>
      <c r="P68" s="170" t="s">
        <v>258</v>
      </c>
      <c r="Q68" s="161" t="s">
        <v>259</v>
      </c>
      <c r="R68" s="343">
        <v>2.8739636239999999</v>
      </c>
      <c r="S68" s="343">
        <v>2.8739636239999999</v>
      </c>
      <c r="T68" s="343"/>
      <c r="U68" s="343"/>
      <c r="V68" s="343"/>
      <c r="W68" s="258"/>
    </row>
    <row r="69" spans="2:23" ht="36">
      <c r="B69" s="157" t="s">
        <v>271</v>
      </c>
      <c r="C69" s="223" t="s">
        <v>280</v>
      </c>
      <c r="D69" s="156" t="s">
        <v>281</v>
      </c>
      <c r="E69" s="246">
        <v>0</v>
      </c>
      <c r="F69" s="246">
        <v>0</v>
      </c>
      <c r="G69" s="246">
        <f t="shared" si="3"/>
        <v>0</v>
      </c>
      <c r="H69" s="246"/>
      <c r="I69" s="339">
        <f>G69</f>
        <v>0</v>
      </c>
      <c r="J69" s="339"/>
      <c r="K69" s="339"/>
      <c r="L69" s="339"/>
      <c r="O69" s="169" t="s">
        <v>253</v>
      </c>
      <c r="P69" s="170" t="s">
        <v>260</v>
      </c>
      <c r="Q69" s="161" t="s">
        <v>261</v>
      </c>
      <c r="R69" s="343">
        <v>5.5585218000000003</v>
      </c>
      <c r="S69" s="343"/>
      <c r="T69" s="343"/>
      <c r="U69" s="343"/>
      <c r="V69" s="343">
        <v>5.5585218000000003</v>
      </c>
      <c r="W69" s="258"/>
    </row>
    <row r="70" spans="2:23" ht="60">
      <c r="B70" s="157" t="s">
        <v>271</v>
      </c>
      <c r="C70" s="223" t="s">
        <v>282</v>
      </c>
      <c r="D70" s="156" t="s">
        <v>283</v>
      </c>
      <c r="E70" s="246">
        <v>0</v>
      </c>
      <c r="F70" s="246">
        <v>-9.3837E-3</v>
      </c>
      <c r="G70" s="246">
        <f t="shared" si="3"/>
        <v>9.3837E-3</v>
      </c>
      <c r="H70" s="246"/>
      <c r="I70" s="339">
        <v>9.3837E-3</v>
      </c>
      <c r="J70" s="339"/>
      <c r="K70" s="339"/>
      <c r="L70" s="339"/>
      <c r="O70" s="169" t="s">
        <v>253</v>
      </c>
      <c r="P70" s="170" t="s">
        <v>262</v>
      </c>
      <c r="Q70" s="161" t="s">
        <v>259</v>
      </c>
      <c r="R70" s="343">
        <v>0</v>
      </c>
      <c r="S70" s="343"/>
      <c r="T70" s="343"/>
      <c r="U70" s="343"/>
      <c r="V70" s="343"/>
      <c r="W70" s="258"/>
    </row>
    <row r="71" spans="2:23" ht="60">
      <c r="B71" s="157" t="s">
        <v>271</v>
      </c>
      <c r="C71" s="223" t="s">
        <v>284</v>
      </c>
      <c r="D71" s="156" t="s">
        <v>279</v>
      </c>
      <c r="E71" s="246">
        <v>3.7531090570000001</v>
      </c>
      <c r="F71" s="246">
        <v>0.71442744460372598</v>
      </c>
      <c r="G71" s="246">
        <f t="shared" si="3"/>
        <v>3.0386816123962741</v>
      </c>
      <c r="H71" s="246"/>
      <c r="I71" s="339">
        <f>G71</f>
        <v>3.0386816123962741</v>
      </c>
      <c r="J71" s="339"/>
      <c r="K71" s="339"/>
      <c r="L71" s="339"/>
      <c r="O71" s="169" t="s">
        <v>253</v>
      </c>
      <c r="P71" s="170" t="s">
        <v>263</v>
      </c>
      <c r="Q71" s="161" t="s">
        <v>259</v>
      </c>
      <c r="R71" s="343">
        <v>6.0735345000000001</v>
      </c>
      <c r="S71" s="343"/>
      <c r="T71" s="343"/>
      <c r="U71" s="343"/>
      <c r="V71" s="343">
        <v>6.0735345000000001</v>
      </c>
      <c r="W71" s="258"/>
    </row>
    <row r="72" spans="2:23" ht="36">
      <c r="B72" s="157" t="s">
        <v>271</v>
      </c>
      <c r="C72" s="223" t="s">
        <v>285</v>
      </c>
      <c r="D72" s="156" t="s">
        <v>286</v>
      </c>
      <c r="E72" s="246">
        <v>0</v>
      </c>
      <c r="F72" s="246">
        <v>0</v>
      </c>
      <c r="G72" s="246">
        <f t="shared" si="3"/>
        <v>0</v>
      </c>
      <c r="H72" s="246"/>
      <c r="I72" s="339"/>
      <c r="J72" s="339"/>
      <c r="K72" s="339"/>
      <c r="L72" s="339"/>
      <c r="O72" s="169" t="s">
        <v>253</v>
      </c>
      <c r="P72" s="170" t="s">
        <v>264</v>
      </c>
      <c r="Q72" s="161" t="s">
        <v>265</v>
      </c>
      <c r="R72" s="343">
        <v>0.1579672</v>
      </c>
      <c r="S72" s="343"/>
      <c r="T72" s="343"/>
      <c r="U72" s="343"/>
      <c r="V72" s="343">
        <v>0.1579672</v>
      </c>
      <c r="W72" s="258"/>
    </row>
    <row r="73" spans="2:23" ht="60">
      <c r="B73" s="157" t="s">
        <v>271</v>
      </c>
      <c r="C73" s="223" t="s">
        <v>287</v>
      </c>
      <c r="D73" s="156" t="s">
        <v>288</v>
      </c>
      <c r="E73" s="246">
        <v>4.0000000000000001E-8</v>
      </c>
      <c r="F73" s="246">
        <v>0</v>
      </c>
      <c r="G73" s="246">
        <f t="shared" si="3"/>
        <v>4.0000000000000001E-8</v>
      </c>
      <c r="H73" s="246"/>
      <c r="I73" s="339">
        <v>4.0000000000000001E-8</v>
      </c>
      <c r="J73" s="339"/>
      <c r="K73" s="339"/>
      <c r="L73" s="339"/>
      <c r="O73" s="169" t="s">
        <v>253</v>
      </c>
      <c r="P73" s="170" t="s">
        <v>266</v>
      </c>
      <c r="Q73" s="161" t="s">
        <v>267</v>
      </c>
      <c r="R73" s="343">
        <v>0</v>
      </c>
      <c r="S73" s="343"/>
      <c r="T73" s="343"/>
      <c r="U73" s="343"/>
      <c r="V73" s="343"/>
      <c r="W73" s="258"/>
    </row>
    <row r="74" spans="2:23">
      <c r="B74" s="227" t="s">
        <v>271</v>
      </c>
      <c r="C74" s="228" t="s">
        <v>289</v>
      </c>
      <c r="D74" s="156">
        <v>0</v>
      </c>
      <c r="E74" s="246">
        <v>0</v>
      </c>
      <c r="F74" s="246">
        <v>0</v>
      </c>
      <c r="G74" s="246">
        <f t="shared" si="3"/>
        <v>0</v>
      </c>
      <c r="H74" s="246"/>
      <c r="I74" s="339"/>
      <c r="J74" s="339"/>
      <c r="K74" s="339"/>
      <c r="L74" s="339"/>
      <c r="O74" s="169" t="s">
        <v>253</v>
      </c>
      <c r="P74" s="170" t="s">
        <v>268</v>
      </c>
      <c r="Q74" s="161" t="s">
        <v>265</v>
      </c>
      <c r="R74" s="343">
        <v>3.7345481999999999</v>
      </c>
      <c r="S74" s="343"/>
      <c r="T74" s="343"/>
      <c r="U74" s="343"/>
      <c r="V74" s="343">
        <v>3.7345481999999999</v>
      </c>
      <c r="W74" s="258"/>
    </row>
    <row r="75" spans="2:23" ht="36">
      <c r="B75" s="249" t="s">
        <v>290</v>
      </c>
      <c r="C75" s="250" t="s">
        <v>291</v>
      </c>
      <c r="D75" s="156" t="s">
        <v>292</v>
      </c>
      <c r="E75" s="246">
        <v>16.154937779999994</v>
      </c>
      <c r="F75" s="246">
        <v>0</v>
      </c>
      <c r="G75" s="246">
        <f t="shared" si="3"/>
        <v>16.154937779999994</v>
      </c>
      <c r="H75" s="246">
        <v>1.69</v>
      </c>
      <c r="I75" s="339">
        <f>G75</f>
        <v>16.154937779999994</v>
      </c>
      <c r="J75" s="339"/>
      <c r="K75" s="339"/>
      <c r="L75" s="339"/>
      <c r="O75" s="169" t="s">
        <v>253</v>
      </c>
      <c r="P75" s="170" t="s">
        <v>269</v>
      </c>
      <c r="Q75" s="161" t="s">
        <v>270</v>
      </c>
      <c r="R75" s="343">
        <v>0</v>
      </c>
      <c r="S75" s="343"/>
      <c r="T75" s="343"/>
      <c r="U75" s="343"/>
      <c r="V75" s="343"/>
      <c r="W75" s="258"/>
    </row>
    <row r="76" spans="2:23" ht="36">
      <c r="B76" s="249" t="s">
        <v>290</v>
      </c>
      <c r="C76" s="250" t="s">
        <v>293</v>
      </c>
      <c r="D76" s="156" t="s">
        <v>294</v>
      </c>
      <c r="E76" s="246">
        <v>21.460275405202829</v>
      </c>
      <c r="F76" s="246">
        <v>0.57485869999999994</v>
      </c>
      <c r="G76" s="246">
        <f t="shared" si="3"/>
        <v>20.885416705202829</v>
      </c>
      <c r="H76" s="246"/>
      <c r="I76" s="339">
        <f>G76</f>
        <v>20.885416705202829</v>
      </c>
      <c r="J76" s="339"/>
      <c r="K76" s="339"/>
      <c r="L76" s="339"/>
      <c r="O76" s="165" t="s">
        <v>271</v>
      </c>
      <c r="P76" s="166" t="s">
        <v>272</v>
      </c>
      <c r="Q76" s="161" t="s">
        <v>273</v>
      </c>
      <c r="R76" s="343">
        <v>-1.0000000000000001E-9</v>
      </c>
      <c r="S76" s="343">
        <v>-1.0000000000000001E-9</v>
      </c>
      <c r="T76" s="343"/>
      <c r="U76" s="343"/>
      <c r="V76" s="343"/>
      <c r="W76" s="258"/>
    </row>
    <row r="77" spans="2:23">
      <c r="B77" s="249" t="s">
        <v>290</v>
      </c>
      <c r="C77" s="250" t="s">
        <v>295</v>
      </c>
      <c r="D77" s="156" t="s">
        <v>296</v>
      </c>
      <c r="E77" s="246">
        <v>7.2029375827799127</v>
      </c>
      <c r="F77" s="246">
        <v>7.0018313730000008</v>
      </c>
      <c r="G77" s="246">
        <f t="shared" si="3"/>
        <v>0.20110620977991189</v>
      </c>
      <c r="H77" s="246"/>
      <c r="I77" s="339">
        <f>G77</f>
        <v>0.20110620977991189</v>
      </c>
      <c r="J77" s="339"/>
      <c r="K77" s="339"/>
      <c r="L77" s="339"/>
      <c r="O77" s="165" t="s">
        <v>271</v>
      </c>
      <c r="P77" s="166" t="s">
        <v>274</v>
      </c>
      <c r="Q77" s="161" t="s">
        <v>275</v>
      </c>
      <c r="R77" s="343">
        <v>0.65999999999999659</v>
      </c>
      <c r="S77" s="343">
        <v>0.65999999999999659</v>
      </c>
      <c r="T77" s="343"/>
      <c r="U77" s="343"/>
      <c r="V77" s="343"/>
      <c r="W77" s="258"/>
    </row>
    <row r="78" spans="2:23" ht="24">
      <c r="B78" s="249" t="s">
        <v>290</v>
      </c>
      <c r="C78" s="250" t="s">
        <v>297</v>
      </c>
      <c r="D78" s="156" t="s">
        <v>294</v>
      </c>
      <c r="E78" s="246">
        <v>0.1291264266581755</v>
      </c>
      <c r="F78" s="246">
        <v>0.1291264266581755</v>
      </c>
      <c r="G78" s="246">
        <f t="shared" si="3"/>
        <v>0</v>
      </c>
      <c r="H78" s="246"/>
      <c r="I78" s="339"/>
      <c r="J78" s="339"/>
      <c r="K78" s="339"/>
      <c r="L78" s="339"/>
      <c r="O78" s="165" t="s">
        <v>271</v>
      </c>
      <c r="P78" s="166" t="s">
        <v>276</v>
      </c>
      <c r="Q78" s="161" t="s">
        <v>277</v>
      </c>
      <c r="R78" s="343">
        <v>4.7000436748273975</v>
      </c>
      <c r="S78" s="343">
        <v>4.7000436748273975</v>
      </c>
      <c r="T78" s="343"/>
      <c r="U78" s="343"/>
      <c r="V78" s="343"/>
      <c r="W78" s="258"/>
    </row>
    <row r="79" spans="2:23" ht="24">
      <c r="B79" s="249" t="s">
        <v>290</v>
      </c>
      <c r="C79" s="250" t="s">
        <v>298</v>
      </c>
      <c r="D79" s="156" t="s">
        <v>296</v>
      </c>
      <c r="E79" s="246">
        <v>13.149248800147602</v>
      </c>
      <c r="F79" s="246">
        <v>13.149248800000001</v>
      </c>
      <c r="G79" s="246">
        <f t="shared" si="3"/>
        <v>1.4760104249944561E-10</v>
      </c>
      <c r="H79" s="246"/>
      <c r="I79" s="339">
        <f t="shared" ref="I79:I86" si="8">G79</f>
        <v>1.4760104249944561E-10</v>
      </c>
      <c r="J79" s="339"/>
      <c r="K79" s="339"/>
      <c r="L79" s="339"/>
      <c r="O79" s="165" t="s">
        <v>271</v>
      </c>
      <c r="P79" s="166" t="s">
        <v>278</v>
      </c>
      <c r="Q79" s="161" t="s">
        <v>279</v>
      </c>
      <c r="R79" s="343">
        <v>2.5410799829999977</v>
      </c>
      <c r="S79" s="343">
        <v>2.5410799829999977</v>
      </c>
      <c r="T79" s="343"/>
      <c r="U79" s="343"/>
      <c r="V79" s="343"/>
      <c r="W79" s="258"/>
    </row>
    <row r="80" spans="2:23" ht="36">
      <c r="B80" s="249" t="s">
        <v>290</v>
      </c>
      <c r="C80" s="250" t="s">
        <v>299</v>
      </c>
      <c r="D80" s="156" t="s">
        <v>296</v>
      </c>
      <c r="E80" s="246">
        <v>7.0518741126241791</v>
      </c>
      <c r="F80" s="246">
        <v>3.8214019360775793</v>
      </c>
      <c r="G80" s="246">
        <f t="shared" si="3"/>
        <v>3.2304721765465998</v>
      </c>
      <c r="H80" s="246"/>
      <c r="I80" s="339">
        <f t="shared" si="8"/>
        <v>3.2304721765465998</v>
      </c>
      <c r="J80" s="339"/>
      <c r="K80" s="339"/>
      <c r="L80" s="339"/>
      <c r="O80" s="165" t="s">
        <v>271</v>
      </c>
      <c r="P80" s="166" t="s">
        <v>280</v>
      </c>
      <c r="Q80" s="161" t="s">
        <v>281</v>
      </c>
      <c r="R80" s="343">
        <v>0</v>
      </c>
      <c r="S80" s="343">
        <v>0</v>
      </c>
      <c r="T80" s="343"/>
      <c r="U80" s="343"/>
      <c r="V80" s="343"/>
      <c r="W80" s="258"/>
    </row>
    <row r="81" spans="2:23" ht="48">
      <c r="B81" s="249" t="s">
        <v>290</v>
      </c>
      <c r="C81" s="250" t="s">
        <v>300</v>
      </c>
      <c r="D81" s="156" t="s">
        <v>301</v>
      </c>
      <c r="E81" s="246">
        <v>6.9233641783699992E-2</v>
      </c>
      <c r="F81" s="246">
        <v>6.9233641783699992E-2</v>
      </c>
      <c r="G81" s="246">
        <f t="shared" ref="G81:G144" si="9">E81-F81</f>
        <v>0</v>
      </c>
      <c r="H81" s="246"/>
      <c r="I81" s="339">
        <f t="shared" si="8"/>
        <v>0</v>
      </c>
      <c r="J81" s="339"/>
      <c r="K81" s="339"/>
      <c r="L81" s="339"/>
      <c r="O81" s="165" t="s">
        <v>271</v>
      </c>
      <c r="P81" s="166" t="s">
        <v>282</v>
      </c>
      <c r="Q81" s="161" t="s">
        <v>283</v>
      </c>
      <c r="R81" s="343">
        <v>9.3837E-3</v>
      </c>
      <c r="S81" s="343">
        <v>9.3837E-3</v>
      </c>
      <c r="T81" s="343"/>
      <c r="U81" s="343"/>
      <c r="V81" s="343"/>
      <c r="W81" s="258"/>
    </row>
    <row r="82" spans="2:23" ht="48">
      <c r="B82" s="249" t="s">
        <v>290</v>
      </c>
      <c r="C82" s="250" t="s">
        <v>302</v>
      </c>
      <c r="D82" s="156" t="s">
        <v>303</v>
      </c>
      <c r="E82" s="246">
        <v>8.9999999999999996E-7</v>
      </c>
      <c r="F82" s="246">
        <v>0</v>
      </c>
      <c r="G82" s="246">
        <f t="shared" si="9"/>
        <v>8.9999999999999996E-7</v>
      </c>
      <c r="H82" s="246"/>
      <c r="I82" s="339">
        <f t="shared" si="8"/>
        <v>8.9999999999999996E-7</v>
      </c>
      <c r="J82" s="339"/>
      <c r="K82" s="339"/>
      <c r="L82" s="339"/>
      <c r="O82" s="165" t="s">
        <v>271</v>
      </c>
      <c r="P82" s="166" t="s">
        <v>284</v>
      </c>
      <c r="Q82" s="161" t="s">
        <v>279</v>
      </c>
      <c r="R82" s="343">
        <v>3.0386816123962741</v>
      </c>
      <c r="S82" s="343">
        <v>3.0386816123962741</v>
      </c>
      <c r="T82" s="343"/>
      <c r="U82" s="343"/>
      <c r="V82" s="343"/>
      <c r="W82" s="258"/>
    </row>
    <row r="83" spans="2:23" ht="48">
      <c r="B83" s="249" t="s">
        <v>290</v>
      </c>
      <c r="C83" s="250" t="s">
        <v>304</v>
      </c>
      <c r="D83" s="156" t="s">
        <v>292</v>
      </c>
      <c r="E83" s="246">
        <v>1.9611161019999999</v>
      </c>
      <c r="F83" s="246">
        <v>0</v>
      </c>
      <c r="G83" s="246">
        <f t="shared" si="9"/>
        <v>1.9611161019999999</v>
      </c>
      <c r="H83" s="246">
        <f>0.285</f>
        <v>0.28499999999999998</v>
      </c>
      <c r="I83" s="339">
        <f t="shared" si="8"/>
        <v>1.9611161019999999</v>
      </c>
      <c r="J83" s="339"/>
      <c r="K83" s="339"/>
      <c r="L83" s="339"/>
      <c r="O83" s="165" t="s">
        <v>271</v>
      </c>
      <c r="P83" s="166" t="s">
        <v>285</v>
      </c>
      <c r="Q83" s="161" t="s">
        <v>286</v>
      </c>
      <c r="R83" s="343">
        <v>0</v>
      </c>
      <c r="S83" s="343"/>
      <c r="T83" s="343"/>
      <c r="U83" s="343"/>
      <c r="V83" s="343"/>
      <c r="W83" s="258"/>
    </row>
    <row r="84" spans="2:23" ht="84">
      <c r="B84" s="249" t="s">
        <v>290</v>
      </c>
      <c r="C84" s="250" t="s">
        <v>305</v>
      </c>
      <c r="D84" s="156" t="s">
        <v>306</v>
      </c>
      <c r="E84" s="246">
        <v>1.7591544496999965</v>
      </c>
      <c r="F84" s="246">
        <v>0</v>
      </c>
      <c r="G84" s="246">
        <f t="shared" si="9"/>
        <v>1.7591544496999965</v>
      </c>
      <c r="H84" s="246"/>
      <c r="I84" s="339">
        <f t="shared" si="8"/>
        <v>1.7591544496999965</v>
      </c>
      <c r="J84" s="339"/>
      <c r="K84" s="339"/>
      <c r="L84" s="339"/>
      <c r="O84" s="165" t="s">
        <v>271</v>
      </c>
      <c r="P84" s="166" t="s">
        <v>287</v>
      </c>
      <c r="Q84" s="161" t="s">
        <v>288</v>
      </c>
      <c r="R84" s="343">
        <v>4.0000000000000001E-8</v>
      </c>
      <c r="S84" s="343">
        <v>4.0000000000000001E-8</v>
      </c>
      <c r="T84" s="343"/>
      <c r="U84" s="343"/>
      <c r="V84" s="343"/>
      <c r="W84" s="258"/>
    </row>
    <row r="85" spans="2:23" ht="48">
      <c r="B85" s="249" t="s">
        <v>290</v>
      </c>
      <c r="C85" s="250" t="s">
        <v>307</v>
      </c>
      <c r="D85" s="156" t="s">
        <v>306</v>
      </c>
      <c r="E85" s="246">
        <v>1.7723279940000001</v>
      </c>
      <c r="F85" s="246">
        <v>0</v>
      </c>
      <c r="G85" s="246">
        <f t="shared" si="9"/>
        <v>1.7723279940000001</v>
      </c>
      <c r="H85" s="246"/>
      <c r="I85" s="339">
        <f t="shared" si="8"/>
        <v>1.7723279940000001</v>
      </c>
      <c r="J85" s="339"/>
      <c r="K85" s="339"/>
      <c r="L85" s="339"/>
      <c r="O85" s="171" t="s">
        <v>271</v>
      </c>
      <c r="P85" s="172" t="s">
        <v>289</v>
      </c>
      <c r="Q85" s="161">
        <v>0</v>
      </c>
      <c r="R85" s="343">
        <v>0</v>
      </c>
      <c r="S85" s="343"/>
      <c r="T85" s="343"/>
      <c r="U85" s="343"/>
      <c r="V85" s="343"/>
      <c r="W85" s="258"/>
    </row>
    <row r="86" spans="2:23" ht="48">
      <c r="B86" s="249" t="s">
        <v>290</v>
      </c>
      <c r="C86" s="250" t="s">
        <v>308</v>
      </c>
      <c r="D86" s="156" t="s">
        <v>306</v>
      </c>
      <c r="E86" s="246">
        <v>5.4305448819999995</v>
      </c>
      <c r="F86" s="246">
        <v>0</v>
      </c>
      <c r="G86" s="246">
        <f t="shared" si="9"/>
        <v>5.4305448819999995</v>
      </c>
      <c r="H86" s="246"/>
      <c r="I86" s="339">
        <f t="shared" si="8"/>
        <v>5.4305448819999995</v>
      </c>
      <c r="J86" s="339"/>
      <c r="K86" s="339"/>
      <c r="L86" s="339"/>
      <c r="O86" s="344" t="s">
        <v>290</v>
      </c>
      <c r="P86" s="346" t="s">
        <v>291</v>
      </c>
      <c r="Q86" s="161" t="s">
        <v>292</v>
      </c>
      <c r="R86" s="343">
        <v>16.154937779999994</v>
      </c>
      <c r="S86" s="343">
        <v>16.154937779999994</v>
      </c>
      <c r="T86" s="343"/>
      <c r="U86" s="343"/>
      <c r="V86" s="343"/>
      <c r="W86" s="258"/>
    </row>
    <row r="87" spans="2:23" ht="48">
      <c r="B87" s="249" t="s">
        <v>290</v>
      </c>
      <c r="C87" s="250" t="s">
        <v>309</v>
      </c>
      <c r="D87" s="156" t="s">
        <v>310</v>
      </c>
      <c r="E87" s="246">
        <v>17.255725301694916</v>
      </c>
      <c r="F87" s="246">
        <v>0</v>
      </c>
      <c r="G87" s="246">
        <f t="shared" si="9"/>
        <v>17.255725301694916</v>
      </c>
      <c r="H87" s="246"/>
      <c r="I87" s="339"/>
      <c r="J87" s="339"/>
      <c r="K87" s="339"/>
      <c r="L87" s="339">
        <f t="shared" ref="L87:L92" si="10">G87</f>
        <v>17.255725301694916</v>
      </c>
      <c r="O87" s="344" t="s">
        <v>290</v>
      </c>
      <c r="P87" s="346" t="s">
        <v>293</v>
      </c>
      <c r="Q87" s="161" t="s">
        <v>294</v>
      </c>
      <c r="R87" s="343">
        <v>20.885416705202829</v>
      </c>
      <c r="S87" s="343">
        <v>20.885416705202829</v>
      </c>
      <c r="T87" s="343"/>
      <c r="U87" s="343"/>
      <c r="V87" s="343"/>
      <c r="W87" s="258"/>
    </row>
    <row r="88" spans="2:23" ht="48">
      <c r="B88" s="249" t="s">
        <v>290</v>
      </c>
      <c r="C88" s="229" t="s">
        <v>311</v>
      </c>
      <c r="D88" s="156" t="s">
        <v>310</v>
      </c>
      <c r="E88" s="246">
        <v>12.553772817266699</v>
      </c>
      <c r="F88" s="246">
        <v>0</v>
      </c>
      <c r="G88" s="246">
        <f t="shared" si="9"/>
        <v>12.553772817266699</v>
      </c>
      <c r="H88" s="246"/>
      <c r="I88" s="339"/>
      <c r="J88" s="339"/>
      <c r="K88" s="339"/>
      <c r="L88" s="339">
        <f t="shared" si="10"/>
        <v>12.553772817266699</v>
      </c>
      <c r="O88" s="344" t="s">
        <v>290</v>
      </c>
      <c r="P88" s="346" t="s">
        <v>295</v>
      </c>
      <c r="Q88" s="161" t="s">
        <v>296</v>
      </c>
      <c r="R88" s="343">
        <v>0.20110620977991189</v>
      </c>
      <c r="S88" s="343">
        <v>0.20110620977991189</v>
      </c>
      <c r="T88" s="343"/>
      <c r="U88" s="343"/>
      <c r="V88" s="343"/>
      <c r="W88" s="258"/>
    </row>
    <row r="89" spans="2:23" ht="60">
      <c r="B89" s="249" t="s">
        <v>290</v>
      </c>
      <c r="C89" s="250" t="s">
        <v>312</v>
      </c>
      <c r="D89" s="156" t="s">
        <v>310</v>
      </c>
      <c r="E89" s="246">
        <v>11.440566743988466</v>
      </c>
      <c r="F89" s="246">
        <v>0</v>
      </c>
      <c r="G89" s="246">
        <f t="shared" si="9"/>
        <v>11.440566743988466</v>
      </c>
      <c r="H89" s="246"/>
      <c r="I89" s="339"/>
      <c r="J89" s="339"/>
      <c r="K89" s="339"/>
      <c r="L89" s="339">
        <f t="shared" si="10"/>
        <v>11.440566743988466</v>
      </c>
      <c r="O89" s="344" t="s">
        <v>290</v>
      </c>
      <c r="P89" s="346" t="s">
        <v>297</v>
      </c>
      <c r="Q89" s="161" t="s">
        <v>294</v>
      </c>
      <c r="R89" s="343">
        <v>0</v>
      </c>
      <c r="S89" s="343"/>
      <c r="T89" s="343"/>
      <c r="U89" s="343"/>
      <c r="V89" s="343"/>
      <c r="W89" s="258"/>
    </row>
    <row r="90" spans="2:23" ht="48">
      <c r="B90" s="249" t="s">
        <v>290</v>
      </c>
      <c r="C90" s="250" t="s">
        <v>313</v>
      </c>
      <c r="D90" s="156" t="s">
        <v>310</v>
      </c>
      <c r="E90" s="246">
        <v>20.775285696800001</v>
      </c>
      <c r="F90" s="246">
        <v>0</v>
      </c>
      <c r="G90" s="246">
        <f t="shared" si="9"/>
        <v>20.775285696800001</v>
      </c>
      <c r="H90" s="246"/>
      <c r="I90" s="339"/>
      <c r="J90" s="339"/>
      <c r="K90" s="339"/>
      <c r="L90" s="339">
        <f t="shared" si="10"/>
        <v>20.775285696800001</v>
      </c>
      <c r="O90" s="344" t="s">
        <v>290</v>
      </c>
      <c r="P90" s="346" t="s">
        <v>298</v>
      </c>
      <c r="Q90" s="161" t="s">
        <v>296</v>
      </c>
      <c r="R90" s="343">
        <v>1.4760104249944561E-10</v>
      </c>
      <c r="S90" s="343">
        <v>1.4760104249944561E-10</v>
      </c>
      <c r="T90" s="343"/>
      <c r="U90" s="343"/>
      <c r="V90" s="343"/>
      <c r="W90" s="258"/>
    </row>
    <row r="91" spans="2:23" ht="48">
      <c r="B91" s="249" t="s">
        <v>290</v>
      </c>
      <c r="C91" s="250" t="s">
        <v>314</v>
      </c>
      <c r="D91" s="156" t="s">
        <v>310</v>
      </c>
      <c r="E91" s="246">
        <v>5.9401731908474602</v>
      </c>
      <c r="F91" s="246">
        <v>0</v>
      </c>
      <c r="G91" s="246">
        <f t="shared" si="9"/>
        <v>5.9401731908474602</v>
      </c>
      <c r="H91" s="246"/>
      <c r="I91" s="339"/>
      <c r="J91" s="339"/>
      <c r="K91" s="339"/>
      <c r="L91" s="339">
        <f t="shared" si="10"/>
        <v>5.9401731908474602</v>
      </c>
      <c r="O91" s="344" t="s">
        <v>290</v>
      </c>
      <c r="P91" s="346" t="s">
        <v>299</v>
      </c>
      <c r="Q91" s="161" t="s">
        <v>296</v>
      </c>
      <c r="R91" s="343">
        <v>3.2304721765465998</v>
      </c>
      <c r="S91" s="343">
        <v>3.2304721765465998</v>
      </c>
      <c r="T91" s="343"/>
      <c r="U91" s="343"/>
      <c r="V91" s="343"/>
      <c r="W91" s="258"/>
    </row>
    <row r="92" spans="2:23" ht="84">
      <c r="B92" s="249" t="s">
        <v>290</v>
      </c>
      <c r="C92" s="250" t="s">
        <v>315</v>
      </c>
      <c r="D92" s="156" t="s">
        <v>310</v>
      </c>
      <c r="E92" s="246">
        <v>5.8280719000000003</v>
      </c>
      <c r="F92" s="246">
        <v>0</v>
      </c>
      <c r="G92" s="246">
        <f t="shared" si="9"/>
        <v>5.8280719000000003</v>
      </c>
      <c r="H92" s="246"/>
      <c r="I92" s="339"/>
      <c r="J92" s="339"/>
      <c r="K92" s="339"/>
      <c r="L92" s="339">
        <f t="shared" si="10"/>
        <v>5.8280719000000003</v>
      </c>
      <c r="O92" s="344" t="s">
        <v>290</v>
      </c>
      <c r="P92" s="346" t="s">
        <v>300</v>
      </c>
      <c r="Q92" s="161" t="s">
        <v>301</v>
      </c>
      <c r="R92" s="343">
        <v>0</v>
      </c>
      <c r="S92" s="343">
        <v>0</v>
      </c>
      <c r="T92" s="343"/>
      <c r="U92" s="343"/>
      <c r="V92" s="343"/>
      <c r="W92" s="258"/>
    </row>
    <row r="93" spans="2:23" ht="84">
      <c r="B93" s="249" t="s">
        <v>316</v>
      </c>
      <c r="C93" s="248" t="s">
        <v>316</v>
      </c>
      <c r="D93" s="156" t="s">
        <v>317</v>
      </c>
      <c r="E93" s="246">
        <v>0</v>
      </c>
      <c r="F93" s="246">
        <v>0</v>
      </c>
      <c r="G93" s="246">
        <f t="shared" si="9"/>
        <v>0</v>
      </c>
      <c r="H93" s="246"/>
      <c r="I93" s="339"/>
      <c r="J93" s="339"/>
      <c r="K93" s="339"/>
      <c r="L93" s="339"/>
      <c r="O93" s="344" t="s">
        <v>290</v>
      </c>
      <c r="P93" s="346" t="s">
        <v>302</v>
      </c>
      <c r="Q93" s="161" t="s">
        <v>303</v>
      </c>
      <c r="R93" s="343">
        <v>8.9999999999999996E-7</v>
      </c>
      <c r="S93" s="343">
        <v>8.9999999999999996E-7</v>
      </c>
      <c r="T93" s="343"/>
      <c r="U93" s="343"/>
      <c r="V93" s="343"/>
      <c r="W93" s="258"/>
    </row>
    <row r="94" spans="2:23" ht="24">
      <c r="B94" s="249" t="s">
        <v>316</v>
      </c>
      <c r="C94" s="248" t="s">
        <v>316</v>
      </c>
      <c r="D94" s="156" t="s">
        <v>318</v>
      </c>
      <c r="E94" s="246">
        <v>0</v>
      </c>
      <c r="F94" s="246">
        <v>0</v>
      </c>
      <c r="G94" s="246">
        <f t="shared" si="9"/>
        <v>0</v>
      </c>
      <c r="H94" s="246"/>
      <c r="I94" s="339"/>
      <c r="J94" s="339"/>
      <c r="K94" s="339"/>
      <c r="L94" s="339"/>
      <c r="O94" s="344" t="s">
        <v>290</v>
      </c>
      <c r="P94" s="346" t="s">
        <v>304</v>
      </c>
      <c r="Q94" s="161" t="s">
        <v>292</v>
      </c>
      <c r="R94" s="343">
        <v>1.9611161019999999</v>
      </c>
      <c r="S94" s="343">
        <v>1.9611161019999999</v>
      </c>
      <c r="T94" s="343"/>
      <c r="U94" s="343"/>
      <c r="V94" s="343"/>
      <c r="W94" s="258"/>
    </row>
    <row r="95" spans="2:23" ht="72">
      <c r="B95" s="157" t="s">
        <v>245</v>
      </c>
      <c r="C95" s="158" t="s">
        <v>245</v>
      </c>
      <c r="D95" s="156" t="s">
        <v>319</v>
      </c>
      <c r="E95" s="246">
        <v>0</v>
      </c>
      <c r="F95" s="246">
        <v>0</v>
      </c>
      <c r="G95" s="246">
        <f t="shared" si="9"/>
        <v>0</v>
      </c>
      <c r="H95" s="246"/>
      <c r="I95" s="339"/>
      <c r="J95" s="339"/>
      <c r="K95" s="339"/>
      <c r="L95" s="339"/>
      <c r="O95" s="344" t="s">
        <v>290</v>
      </c>
      <c r="P95" s="346" t="s">
        <v>305</v>
      </c>
      <c r="Q95" s="161" t="s">
        <v>306</v>
      </c>
      <c r="R95" s="343">
        <v>1.7591544496999965</v>
      </c>
      <c r="S95" s="343">
        <v>1.7591544496999965</v>
      </c>
      <c r="T95" s="343"/>
      <c r="U95" s="343"/>
      <c r="V95" s="343"/>
      <c r="W95" s="258"/>
    </row>
    <row r="96" spans="2:23" ht="72">
      <c r="B96" s="157" t="s">
        <v>188</v>
      </c>
      <c r="C96" s="158" t="s">
        <v>320</v>
      </c>
      <c r="D96" s="156" t="s">
        <v>321</v>
      </c>
      <c r="E96" s="300">
        <v>5.1566233710000002</v>
      </c>
      <c r="F96" s="300">
        <v>5.1566233710000002</v>
      </c>
      <c r="G96" s="246">
        <f t="shared" si="9"/>
        <v>0</v>
      </c>
      <c r="H96" s="301">
        <v>0</v>
      </c>
      <c r="I96" s="340">
        <v>0</v>
      </c>
      <c r="J96" s="340">
        <v>0</v>
      </c>
      <c r="K96" s="340">
        <v>0</v>
      </c>
      <c r="L96" s="340">
        <v>0</v>
      </c>
      <c r="O96" s="344" t="s">
        <v>290</v>
      </c>
      <c r="P96" s="346" t="s">
        <v>307</v>
      </c>
      <c r="Q96" s="161" t="s">
        <v>306</v>
      </c>
      <c r="R96" s="343">
        <v>1.7723279940000001</v>
      </c>
      <c r="S96" s="343">
        <v>1.7723279940000001</v>
      </c>
      <c r="T96" s="343"/>
      <c r="U96" s="343"/>
      <c r="V96" s="343"/>
      <c r="W96" s="258"/>
    </row>
    <row r="97" spans="2:23" ht="72">
      <c r="B97" s="157" t="s">
        <v>188</v>
      </c>
      <c r="C97" s="158" t="s">
        <v>322</v>
      </c>
      <c r="D97" s="156" t="s">
        <v>323</v>
      </c>
      <c r="E97" s="300">
        <v>0</v>
      </c>
      <c r="F97" s="300">
        <v>0</v>
      </c>
      <c r="G97" s="246">
        <f t="shared" si="9"/>
        <v>0</v>
      </c>
      <c r="H97" s="301">
        <v>0</v>
      </c>
      <c r="I97" s="340">
        <v>0</v>
      </c>
      <c r="J97" s="340">
        <v>0</v>
      </c>
      <c r="K97" s="340">
        <v>0</v>
      </c>
      <c r="L97" s="340">
        <v>0</v>
      </c>
      <c r="O97" s="344" t="s">
        <v>290</v>
      </c>
      <c r="P97" s="346" t="s">
        <v>308</v>
      </c>
      <c r="Q97" s="161" t="s">
        <v>306</v>
      </c>
      <c r="R97" s="343">
        <v>5.4305448819999995</v>
      </c>
      <c r="S97" s="343">
        <v>5.4305448819999995</v>
      </c>
      <c r="T97" s="343"/>
      <c r="U97" s="343"/>
      <c r="V97" s="343"/>
      <c r="W97" s="258"/>
    </row>
    <row r="98" spans="2:23" ht="60" customHeight="1">
      <c r="B98" s="157" t="s">
        <v>188</v>
      </c>
      <c r="C98" s="158" t="s">
        <v>324</v>
      </c>
      <c r="D98" s="156" t="s">
        <v>190</v>
      </c>
      <c r="E98" s="300">
        <v>0</v>
      </c>
      <c r="F98" s="300">
        <v>0</v>
      </c>
      <c r="G98" s="246">
        <f t="shared" si="9"/>
        <v>0</v>
      </c>
      <c r="H98" s="301">
        <v>0</v>
      </c>
      <c r="I98" s="340">
        <v>0</v>
      </c>
      <c r="J98" s="340">
        <v>0</v>
      </c>
      <c r="K98" s="340">
        <v>0</v>
      </c>
      <c r="L98" s="340">
        <v>0</v>
      </c>
      <c r="O98" s="344" t="s">
        <v>290</v>
      </c>
      <c r="P98" s="346" t="s">
        <v>309</v>
      </c>
      <c r="Q98" s="161" t="s">
        <v>310</v>
      </c>
      <c r="R98" s="343">
        <v>17.255725301694916</v>
      </c>
      <c r="S98" s="343"/>
      <c r="T98" s="343"/>
      <c r="U98" s="343"/>
      <c r="V98" s="343">
        <v>17.255725301694916</v>
      </c>
      <c r="W98" s="258"/>
    </row>
    <row r="99" spans="2:23" ht="60" customHeight="1">
      <c r="B99" s="157" t="s">
        <v>188</v>
      </c>
      <c r="C99" s="158" t="s">
        <v>325</v>
      </c>
      <c r="D99" s="156" t="s">
        <v>190</v>
      </c>
      <c r="E99" s="300">
        <v>0</v>
      </c>
      <c r="F99" s="300">
        <v>0</v>
      </c>
      <c r="G99" s="246">
        <f t="shared" si="9"/>
        <v>0</v>
      </c>
      <c r="H99" s="301">
        <v>0</v>
      </c>
      <c r="I99" s="340">
        <v>0</v>
      </c>
      <c r="J99" s="340">
        <v>0</v>
      </c>
      <c r="K99" s="340">
        <v>0</v>
      </c>
      <c r="L99" s="340">
        <v>0</v>
      </c>
      <c r="O99" s="344" t="s">
        <v>290</v>
      </c>
      <c r="P99" s="174" t="s">
        <v>311</v>
      </c>
      <c r="Q99" s="161" t="s">
        <v>310</v>
      </c>
      <c r="R99" s="343">
        <v>12.553772817266699</v>
      </c>
      <c r="S99" s="343"/>
      <c r="T99" s="343"/>
      <c r="U99" s="343"/>
      <c r="V99" s="343">
        <v>12.553772817266699</v>
      </c>
      <c r="W99" s="258"/>
    </row>
    <row r="100" spans="2:23" ht="60" customHeight="1">
      <c r="B100" s="157" t="s">
        <v>188</v>
      </c>
      <c r="C100" s="158" t="s">
        <v>326</v>
      </c>
      <c r="D100" s="156" t="s">
        <v>190</v>
      </c>
      <c r="E100" s="300">
        <v>0</v>
      </c>
      <c r="F100" s="300">
        <v>0</v>
      </c>
      <c r="G100" s="246">
        <f t="shared" si="9"/>
        <v>0</v>
      </c>
      <c r="H100" s="301">
        <v>0</v>
      </c>
      <c r="I100" s="340">
        <v>0</v>
      </c>
      <c r="J100" s="340">
        <v>0</v>
      </c>
      <c r="K100" s="340">
        <v>0</v>
      </c>
      <c r="L100" s="340">
        <v>0</v>
      </c>
      <c r="O100" s="344" t="s">
        <v>290</v>
      </c>
      <c r="P100" s="346" t="s">
        <v>312</v>
      </c>
      <c r="Q100" s="161" t="s">
        <v>310</v>
      </c>
      <c r="R100" s="343">
        <v>11.440566743988466</v>
      </c>
      <c r="S100" s="343"/>
      <c r="T100" s="343"/>
      <c r="U100" s="343"/>
      <c r="V100" s="343">
        <v>11.440566743988466</v>
      </c>
      <c r="W100" s="258"/>
    </row>
    <row r="101" spans="2:23" ht="60" customHeight="1">
      <c r="B101" s="157" t="s">
        <v>188</v>
      </c>
      <c r="C101" s="158" t="s">
        <v>327</v>
      </c>
      <c r="D101" s="156" t="s">
        <v>190</v>
      </c>
      <c r="E101" s="300">
        <v>0</v>
      </c>
      <c r="F101" s="300">
        <v>0</v>
      </c>
      <c r="G101" s="246">
        <f t="shared" si="9"/>
        <v>0</v>
      </c>
      <c r="H101" s="301">
        <v>0</v>
      </c>
      <c r="I101" s="340">
        <v>0</v>
      </c>
      <c r="J101" s="340">
        <v>0</v>
      </c>
      <c r="K101" s="340">
        <v>0</v>
      </c>
      <c r="L101" s="340">
        <v>0</v>
      </c>
      <c r="O101" s="344" t="s">
        <v>290</v>
      </c>
      <c r="P101" s="346" t="s">
        <v>313</v>
      </c>
      <c r="Q101" s="161" t="s">
        <v>310</v>
      </c>
      <c r="R101" s="343">
        <v>20.775285696800001</v>
      </c>
      <c r="S101" s="343"/>
      <c r="T101" s="343"/>
      <c r="U101" s="343"/>
      <c r="V101" s="343">
        <v>20.775285696800001</v>
      </c>
      <c r="W101" s="258"/>
    </row>
    <row r="102" spans="2:23" ht="60" customHeight="1">
      <c r="B102" s="157" t="s">
        <v>194</v>
      </c>
      <c r="C102" s="158" t="s">
        <v>328</v>
      </c>
      <c r="D102" s="156" t="s">
        <v>199</v>
      </c>
      <c r="E102" s="300">
        <v>0</v>
      </c>
      <c r="F102" s="300">
        <v>0</v>
      </c>
      <c r="G102" s="246">
        <f t="shared" si="9"/>
        <v>0</v>
      </c>
      <c r="H102" s="301">
        <v>0</v>
      </c>
      <c r="I102" s="340">
        <v>0</v>
      </c>
      <c r="J102" s="340">
        <v>0</v>
      </c>
      <c r="K102" s="340">
        <v>0</v>
      </c>
      <c r="L102" s="340">
        <v>0</v>
      </c>
      <c r="O102" s="344" t="s">
        <v>290</v>
      </c>
      <c r="P102" s="346" t="s">
        <v>314</v>
      </c>
      <c r="Q102" s="161" t="s">
        <v>310</v>
      </c>
      <c r="R102" s="343">
        <v>5.9401731908474602</v>
      </c>
      <c r="S102" s="343"/>
      <c r="T102" s="343"/>
      <c r="U102" s="343"/>
      <c r="V102" s="343">
        <v>5.9401731908474602</v>
      </c>
      <c r="W102" s="258"/>
    </row>
    <row r="103" spans="2:23" ht="60" customHeight="1">
      <c r="B103" s="157" t="s">
        <v>194</v>
      </c>
      <c r="C103" s="158" t="s">
        <v>329</v>
      </c>
      <c r="D103" s="156" t="s">
        <v>330</v>
      </c>
      <c r="E103" s="300">
        <v>0</v>
      </c>
      <c r="F103" s="300">
        <v>0</v>
      </c>
      <c r="G103" s="246">
        <f t="shared" si="9"/>
        <v>0</v>
      </c>
      <c r="H103" s="301">
        <v>0</v>
      </c>
      <c r="I103" s="340">
        <v>0</v>
      </c>
      <c r="J103" s="340">
        <v>0</v>
      </c>
      <c r="K103" s="340">
        <v>0</v>
      </c>
      <c r="L103" s="340">
        <v>0</v>
      </c>
      <c r="O103" s="344" t="s">
        <v>290</v>
      </c>
      <c r="P103" s="346" t="s">
        <v>315</v>
      </c>
      <c r="Q103" s="161" t="s">
        <v>310</v>
      </c>
      <c r="R103" s="343">
        <v>5.8280719000000003</v>
      </c>
      <c r="S103" s="343"/>
      <c r="T103" s="343"/>
      <c r="U103" s="343"/>
      <c r="V103" s="343">
        <v>5.8280719000000003</v>
      </c>
      <c r="W103" s="258"/>
    </row>
    <row r="104" spans="2:23" ht="48">
      <c r="B104" s="157" t="s">
        <v>194</v>
      </c>
      <c r="C104" s="158" t="s">
        <v>331</v>
      </c>
      <c r="D104" s="156" t="s">
        <v>332</v>
      </c>
      <c r="E104" s="300">
        <v>1.3995323</v>
      </c>
      <c r="F104" s="300">
        <v>1.3995323</v>
      </c>
      <c r="G104" s="246">
        <f t="shared" si="9"/>
        <v>0</v>
      </c>
      <c r="H104" s="301">
        <v>0</v>
      </c>
      <c r="I104" s="340">
        <v>0</v>
      </c>
      <c r="J104" s="340">
        <v>0</v>
      </c>
      <c r="K104" s="340">
        <v>0</v>
      </c>
      <c r="L104" s="340">
        <v>0</v>
      </c>
      <c r="O104" s="474" t="s">
        <v>21</v>
      </c>
      <c r="P104" s="474"/>
      <c r="Q104" s="474"/>
      <c r="R104" s="348">
        <f>SUM(R28:R103)</f>
        <v>305.3443940517426</v>
      </c>
      <c r="S104" s="348">
        <f t="shared" ref="S104:V104" si="11">SUM(S28:S103)</f>
        <v>63.330441698600602</v>
      </c>
      <c r="T104" s="348">
        <f t="shared" si="11"/>
        <v>9.7676751000000017</v>
      </c>
      <c r="U104" s="348">
        <f t="shared" si="11"/>
        <v>10.004801963879451</v>
      </c>
      <c r="V104" s="348">
        <f t="shared" si="11"/>
        <v>222.24147528926255</v>
      </c>
      <c r="W104" s="258"/>
    </row>
    <row r="105" spans="2:23">
      <c r="B105" s="157" t="s">
        <v>194</v>
      </c>
      <c r="C105" s="158" t="s">
        <v>333</v>
      </c>
      <c r="D105" s="156" t="s">
        <v>334</v>
      </c>
      <c r="E105" s="300">
        <v>0.75336999999999998</v>
      </c>
      <c r="F105" s="300">
        <v>0.75336999999999998</v>
      </c>
      <c r="G105" s="246">
        <f t="shared" si="9"/>
        <v>0</v>
      </c>
      <c r="H105" s="301">
        <v>0</v>
      </c>
      <c r="I105" s="340">
        <v>0</v>
      </c>
      <c r="J105" s="340">
        <v>0</v>
      </c>
      <c r="K105" s="340">
        <v>0</v>
      </c>
      <c r="L105" s="340">
        <v>0</v>
      </c>
      <c r="O105" s="341"/>
      <c r="P105" s="342"/>
      <c r="Q105" s="159"/>
      <c r="R105" s="258"/>
      <c r="S105" s="258"/>
      <c r="T105" s="258"/>
      <c r="U105" s="258"/>
      <c r="V105" s="258"/>
      <c r="W105" s="258"/>
    </row>
    <row r="106" spans="2:23">
      <c r="B106" s="157" t="s">
        <v>194</v>
      </c>
      <c r="C106" s="158" t="s">
        <v>335</v>
      </c>
      <c r="D106" s="156" t="s">
        <v>334</v>
      </c>
      <c r="E106" s="300">
        <v>0.55647760000000002</v>
      </c>
      <c r="F106" s="300">
        <v>0.55647760000000002</v>
      </c>
      <c r="G106" s="246">
        <f t="shared" si="9"/>
        <v>0</v>
      </c>
      <c r="H106" s="301">
        <v>0</v>
      </c>
      <c r="I106" s="340">
        <v>0</v>
      </c>
      <c r="J106" s="340">
        <v>0</v>
      </c>
      <c r="K106" s="340">
        <v>0</v>
      </c>
      <c r="L106" s="340">
        <v>0</v>
      </c>
      <c r="O106" s="157"/>
      <c r="P106" s="158"/>
      <c r="Q106" s="156"/>
      <c r="R106" s="258"/>
      <c r="S106" s="258"/>
      <c r="T106" s="258"/>
      <c r="U106" s="258"/>
      <c r="V106" s="258"/>
      <c r="W106" s="258"/>
    </row>
    <row r="107" spans="2:23">
      <c r="B107" s="157" t="s">
        <v>194</v>
      </c>
      <c r="C107" s="158" t="s">
        <v>336</v>
      </c>
      <c r="D107" s="156" t="s">
        <v>334</v>
      </c>
      <c r="E107" s="300">
        <v>0.44349569999999999</v>
      </c>
      <c r="F107" s="300">
        <v>0.44349569999999999</v>
      </c>
      <c r="G107" s="246">
        <f t="shared" si="9"/>
        <v>0</v>
      </c>
      <c r="H107" s="301">
        <v>0</v>
      </c>
      <c r="I107" s="340">
        <v>0</v>
      </c>
      <c r="J107" s="340">
        <v>0</v>
      </c>
      <c r="K107" s="340">
        <v>0</v>
      </c>
      <c r="L107" s="340">
        <v>0</v>
      </c>
      <c r="O107" s="157"/>
      <c r="P107" s="158"/>
      <c r="Q107" s="156"/>
      <c r="R107" s="258"/>
      <c r="S107" s="258"/>
      <c r="T107" s="258"/>
      <c r="U107" s="258"/>
      <c r="V107" s="258"/>
      <c r="W107" s="258"/>
    </row>
    <row r="108" spans="2:23">
      <c r="B108" s="157" t="s">
        <v>194</v>
      </c>
      <c r="C108" s="158" t="s">
        <v>337</v>
      </c>
      <c r="D108" s="156" t="s">
        <v>334</v>
      </c>
      <c r="E108" s="300">
        <v>0.40873500000000001</v>
      </c>
      <c r="F108" s="300">
        <v>0.40873500000000001</v>
      </c>
      <c r="G108" s="246">
        <f t="shared" si="9"/>
        <v>0</v>
      </c>
      <c r="H108" s="301">
        <v>0</v>
      </c>
      <c r="I108" s="340">
        <v>0</v>
      </c>
      <c r="J108" s="340">
        <v>0</v>
      </c>
      <c r="K108" s="340">
        <v>0</v>
      </c>
      <c r="L108" s="340">
        <v>0</v>
      </c>
      <c r="O108" s="157"/>
      <c r="P108" s="158"/>
      <c r="Q108" s="156"/>
      <c r="R108" s="258"/>
      <c r="S108" s="258"/>
      <c r="T108" s="258"/>
      <c r="U108" s="258"/>
      <c r="V108" s="258"/>
      <c r="W108" s="258"/>
    </row>
    <row r="109" spans="2:23">
      <c r="B109" s="157" t="s">
        <v>194</v>
      </c>
      <c r="C109" s="158" t="s">
        <v>338</v>
      </c>
      <c r="D109" s="156" t="s">
        <v>334</v>
      </c>
      <c r="E109" s="300">
        <v>0.37879620000000003</v>
      </c>
      <c r="F109" s="300">
        <v>0.37879620000000003</v>
      </c>
      <c r="G109" s="246">
        <f t="shared" si="9"/>
        <v>0</v>
      </c>
      <c r="H109" s="301">
        <v>0</v>
      </c>
      <c r="I109" s="340">
        <v>0</v>
      </c>
      <c r="J109" s="340">
        <v>0</v>
      </c>
      <c r="K109" s="340">
        <v>0</v>
      </c>
      <c r="L109" s="340">
        <v>0</v>
      </c>
      <c r="O109" s="157"/>
      <c r="P109" s="158"/>
      <c r="Q109" s="156"/>
      <c r="R109" s="258"/>
      <c r="S109" s="258"/>
      <c r="T109" s="258"/>
      <c r="U109" s="258"/>
      <c r="V109" s="258"/>
      <c r="W109" s="258"/>
    </row>
    <row r="110" spans="2:23">
      <c r="B110" s="157" t="s">
        <v>194</v>
      </c>
      <c r="C110" s="158" t="s">
        <v>339</v>
      </c>
      <c r="D110" s="156" t="s">
        <v>334</v>
      </c>
      <c r="E110" s="300">
        <v>0.32868629999999999</v>
      </c>
      <c r="F110" s="300">
        <v>0.32868629999999999</v>
      </c>
      <c r="G110" s="246">
        <f t="shared" si="9"/>
        <v>0</v>
      </c>
      <c r="H110" s="301">
        <v>0</v>
      </c>
      <c r="I110" s="340">
        <v>0</v>
      </c>
      <c r="J110" s="340">
        <v>0</v>
      </c>
      <c r="K110" s="340">
        <v>0</v>
      </c>
      <c r="L110" s="340">
        <v>0</v>
      </c>
      <c r="O110" s="157"/>
      <c r="P110" s="158"/>
      <c r="Q110" s="156"/>
      <c r="R110" s="258"/>
      <c r="S110" s="258"/>
      <c r="T110" s="258"/>
      <c r="U110" s="258"/>
      <c r="V110" s="258"/>
      <c r="W110" s="258"/>
    </row>
    <row r="111" spans="2:23">
      <c r="B111" s="157" t="s">
        <v>194</v>
      </c>
      <c r="C111" s="158" t="s">
        <v>340</v>
      </c>
      <c r="D111" s="156" t="s">
        <v>334</v>
      </c>
      <c r="E111" s="300">
        <v>0.2318199</v>
      </c>
      <c r="F111" s="300">
        <v>0.2318199</v>
      </c>
      <c r="G111" s="246">
        <f t="shared" si="9"/>
        <v>0</v>
      </c>
      <c r="H111" s="301">
        <v>0</v>
      </c>
      <c r="I111" s="340">
        <v>0</v>
      </c>
      <c r="J111" s="340">
        <v>0</v>
      </c>
      <c r="K111" s="340">
        <v>0</v>
      </c>
      <c r="L111" s="340">
        <v>0</v>
      </c>
      <c r="O111" s="157"/>
      <c r="P111" s="158"/>
      <c r="Q111" s="156"/>
      <c r="R111" s="258"/>
      <c r="S111" s="258"/>
      <c r="T111" s="258"/>
      <c r="U111" s="258"/>
      <c r="V111" s="258"/>
      <c r="W111" s="258"/>
    </row>
    <row r="112" spans="2:23">
      <c r="B112" s="157" t="s">
        <v>194</v>
      </c>
      <c r="C112" s="158" t="s">
        <v>341</v>
      </c>
      <c r="D112" s="156" t="s">
        <v>334</v>
      </c>
      <c r="E112" s="300">
        <v>0.22871089999999999</v>
      </c>
      <c r="F112" s="300">
        <v>0.22871089999999999</v>
      </c>
      <c r="G112" s="246">
        <f t="shared" si="9"/>
        <v>0</v>
      </c>
      <c r="H112" s="301">
        <v>0</v>
      </c>
      <c r="I112" s="340">
        <v>0</v>
      </c>
      <c r="J112" s="340">
        <v>0</v>
      </c>
      <c r="K112" s="340">
        <v>0</v>
      </c>
      <c r="L112" s="340">
        <v>0</v>
      </c>
      <c r="O112" s="157"/>
      <c r="P112" s="158"/>
      <c r="Q112" s="156"/>
      <c r="R112" s="258"/>
      <c r="S112" s="258"/>
      <c r="T112" s="258"/>
      <c r="U112" s="258"/>
      <c r="V112" s="258"/>
      <c r="W112" s="258"/>
    </row>
    <row r="113" spans="2:23">
      <c r="B113" s="157" t="s">
        <v>194</v>
      </c>
      <c r="C113" s="158" t="s">
        <v>342</v>
      </c>
      <c r="D113" s="156" t="s">
        <v>334</v>
      </c>
      <c r="E113" s="300">
        <v>0.21385779999999999</v>
      </c>
      <c r="F113" s="300">
        <v>0.21385779999999999</v>
      </c>
      <c r="G113" s="246">
        <f t="shared" si="9"/>
        <v>0</v>
      </c>
      <c r="H113" s="301">
        <v>0</v>
      </c>
      <c r="I113" s="340">
        <v>0</v>
      </c>
      <c r="J113" s="340">
        <v>0</v>
      </c>
      <c r="K113" s="340">
        <v>0</v>
      </c>
      <c r="L113" s="340">
        <v>0</v>
      </c>
      <c r="O113" s="157"/>
      <c r="P113" s="158"/>
      <c r="Q113" s="156"/>
      <c r="R113" s="258"/>
      <c r="S113" s="258"/>
      <c r="T113" s="258"/>
      <c r="U113" s="258"/>
      <c r="V113" s="258"/>
      <c r="W113" s="258"/>
    </row>
    <row r="114" spans="2:23">
      <c r="B114" s="157" t="s">
        <v>194</v>
      </c>
      <c r="C114" s="158" t="s">
        <v>343</v>
      </c>
      <c r="D114" s="156" t="s">
        <v>334</v>
      </c>
      <c r="E114" s="300">
        <v>0.21324899999999999</v>
      </c>
      <c r="F114" s="300">
        <v>0.21324899999999999</v>
      </c>
      <c r="G114" s="246">
        <f t="shared" si="9"/>
        <v>0</v>
      </c>
      <c r="H114" s="301">
        <v>0</v>
      </c>
      <c r="I114" s="340">
        <v>0</v>
      </c>
      <c r="J114" s="340">
        <v>0</v>
      </c>
      <c r="K114" s="340">
        <v>0</v>
      </c>
      <c r="L114" s="340">
        <v>0</v>
      </c>
      <c r="O114" s="157"/>
      <c r="P114" s="158"/>
      <c r="Q114" s="156"/>
      <c r="R114" s="258"/>
      <c r="S114" s="258"/>
      <c r="T114" s="258"/>
      <c r="U114" s="258"/>
      <c r="V114" s="258"/>
      <c r="W114" s="258"/>
    </row>
    <row r="115" spans="2:23">
      <c r="B115" s="157" t="s">
        <v>194</v>
      </c>
      <c r="C115" s="158" t="s">
        <v>344</v>
      </c>
      <c r="D115" s="156" t="s">
        <v>334</v>
      </c>
      <c r="E115" s="300">
        <v>0.21254210000000001</v>
      </c>
      <c r="F115" s="300">
        <v>0.21254210000000001</v>
      </c>
      <c r="G115" s="246">
        <f t="shared" si="9"/>
        <v>0</v>
      </c>
      <c r="H115" s="301">
        <v>0</v>
      </c>
      <c r="I115" s="340">
        <v>0</v>
      </c>
      <c r="J115" s="340">
        <v>0</v>
      </c>
      <c r="K115" s="340">
        <v>0</v>
      </c>
      <c r="L115" s="340">
        <v>0</v>
      </c>
      <c r="O115" s="157"/>
      <c r="P115" s="158"/>
      <c r="Q115" s="156"/>
      <c r="R115" s="258"/>
      <c r="S115" s="258"/>
      <c r="T115" s="258"/>
      <c r="U115" s="258"/>
      <c r="V115" s="258"/>
      <c r="W115" s="258"/>
    </row>
    <row r="116" spans="2:23">
      <c r="B116" s="157" t="s">
        <v>194</v>
      </c>
      <c r="C116" s="158" t="s">
        <v>345</v>
      </c>
      <c r="D116" s="156" t="s">
        <v>334</v>
      </c>
      <c r="E116" s="300">
        <v>0.1990431</v>
      </c>
      <c r="F116" s="300">
        <v>0.1990431</v>
      </c>
      <c r="G116" s="246">
        <f t="shared" si="9"/>
        <v>0</v>
      </c>
      <c r="H116" s="301">
        <v>0</v>
      </c>
      <c r="I116" s="340">
        <v>0</v>
      </c>
      <c r="J116" s="340">
        <v>0</v>
      </c>
      <c r="K116" s="340">
        <v>0</v>
      </c>
      <c r="L116" s="340">
        <v>0</v>
      </c>
      <c r="O116" s="157"/>
      <c r="P116" s="158"/>
      <c r="Q116" s="156"/>
      <c r="R116" s="258"/>
      <c r="S116" s="258"/>
      <c r="T116" s="258"/>
      <c r="U116" s="258"/>
      <c r="V116" s="258"/>
      <c r="W116" s="258"/>
    </row>
    <row r="117" spans="2:23">
      <c r="B117" s="157" t="s">
        <v>194</v>
      </c>
      <c r="C117" s="158" t="s">
        <v>346</v>
      </c>
      <c r="D117" s="156" t="s">
        <v>334</v>
      </c>
      <c r="E117" s="300">
        <v>0.15839719999999999</v>
      </c>
      <c r="F117" s="300">
        <v>0.15839719999999999</v>
      </c>
      <c r="G117" s="246">
        <f t="shared" si="9"/>
        <v>0</v>
      </c>
      <c r="H117" s="301">
        <v>0</v>
      </c>
      <c r="I117" s="340">
        <v>0</v>
      </c>
      <c r="J117" s="340">
        <v>0</v>
      </c>
      <c r="K117" s="340">
        <v>0</v>
      </c>
      <c r="L117" s="340">
        <v>0</v>
      </c>
      <c r="O117" s="157"/>
      <c r="P117" s="158"/>
      <c r="Q117" s="156"/>
      <c r="R117" s="258"/>
      <c r="S117" s="258"/>
      <c r="T117" s="258"/>
      <c r="U117" s="258"/>
      <c r="V117" s="258"/>
      <c r="W117" s="258"/>
    </row>
    <row r="118" spans="2:23">
      <c r="B118" s="157" t="s">
        <v>194</v>
      </c>
      <c r="C118" s="158" t="s">
        <v>347</v>
      </c>
      <c r="D118" s="156" t="s">
        <v>334</v>
      </c>
      <c r="E118" s="300">
        <v>0.1554258</v>
      </c>
      <c r="F118" s="300">
        <v>0.1554258</v>
      </c>
      <c r="G118" s="246">
        <f t="shared" si="9"/>
        <v>0</v>
      </c>
      <c r="H118" s="301">
        <v>0</v>
      </c>
      <c r="I118" s="340">
        <v>0</v>
      </c>
      <c r="J118" s="340">
        <v>0</v>
      </c>
      <c r="K118" s="340">
        <v>0</v>
      </c>
      <c r="L118" s="340">
        <v>0</v>
      </c>
      <c r="O118" s="157"/>
      <c r="P118" s="158"/>
      <c r="Q118" s="156"/>
      <c r="R118" s="258"/>
      <c r="S118" s="258"/>
      <c r="T118" s="258"/>
      <c r="U118" s="258"/>
      <c r="V118" s="258"/>
      <c r="W118" s="258"/>
    </row>
    <row r="119" spans="2:23">
      <c r="B119" s="157" t="s">
        <v>194</v>
      </c>
      <c r="C119" s="158" t="s">
        <v>348</v>
      </c>
      <c r="D119" s="156" t="s">
        <v>334</v>
      </c>
      <c r="E119" s="300">
        <v>0.1539827</v>
      </c>
      <c r="F119" s="300">
        <v>0.1539827</v>
      </c>
      <c r="G119" s="246">
        <f t="shared" si="9"/>
        <v>0</v>
      </c>
      <c r="H119" s="301">
        <v>0</v>
      </c>
      <c r="I119" s="340">
        <v>0</v>
      </c>
      <c r="J119" s="340">
        <v>0</v>
      </c>
      <c r="K119" s="340">
        <v>0</v>
      </c>
      <c r="L119" s="340">
        <v>0</v>
      </c>
      <c r="O119" s="157"/>
      <c r="P119" s="158"/>
      <c r="Q119" s="156"/>
      <c r="R119" s="258"/>
      <c r="S119" s="258"/>
      <c r="T119" s="258"/>
      <c r="U119" s="258"/>
      <c r="V119" s="258"/>
      <c r="W119" s="258"/>
    </row>
    <row r="120" spans="2:23">
      <c r="B120" s="157" t="s">
        <v>194</v>
      </c>
      <c r="C120" s="158" t="s">
        <v>349</v>
      </c>
      <c r="D120" s="156" t="s">
        <v>334</v>
      </c>
      <c r="E120" s="300">
        <v>8.1290200000000007E-2</v>
      </c>
      <c r="F120" s="300">
        <v>8.1290200000000007E-2</v>
      </c>
      <c r="G120" s="246">
        <f t="shared" si="9"/>
        <v>0</v>
      </c>
      <c r="H120" s="301">
        <v>0</v>
      </c>
      <c r="I120" s="340">
        <v>0</v>
      </c>
      <c r="J120" s="340">
        <v>0</v>
      </c>
      <c r="K120" s="340">
        <v>0</v>
      </c>
      <c r="L120" s="340">
        <v>0</v>
      </c>
      <c r="O120" s="157"/>
      <c r="P120" s="158"/>
      <c r="Q120" s="156"/>
      <c r="R120" s="258"/>
      <c r="S120" s="258"/>
      <c r="T120" s="258"/>
      <c r="U120" s="258"/>
      <c r="V120" s="258"/>
      <c r="W120" s="258"/>
    </row>
    <row r="121" spans="2:23">
      <c r="B121" s="157" t="s">
        <v>194</v>
      </c>
      <c r="C121" s="158" t="s">
        <v>350</v>
      </c>
      <c r="D121" s="156" t="s">
        <v>334</v>
      </c>
      <c r="E121" s="300">
        <v>7.2502999999999998E-2</v>
      </c>
      <c r="F121" s="300">
        <v>7.2502999999999998E-2</v>
      </c>
      <c r="G121" s="246">
        <f t="shared" si="9"/>
        <v>0</v>
      </c>
      <c r="H121" s="301">
        <v>0</v>
      </c>
      <c r="I121" s="340">
        <v>0</v>
      </c>
      <c r="J121" s="340">
        <v>0</v>
      </c>
      <c r="K121" s="340">
        <v>0</v>
      </c>
      <c r="L121" s="340">
        <v>0</v>
      </c>
      <c r="O121" s="157"/>
      <c r="P121" s="158"/>
      <c r="Q121" s="156"/>
      <c r="R121" s="258"/>
      <c r="S121" s="258"/>
      <c r="T121" s="258"/>
      <c r="U121" s="258"/>
      <c r="V121" s="258"/>
      <c r="W121" s="258"/>
    </row>
    <row r="122" spans="2:23">
      <c r="B122" s="157" t="s">
        <v>194</v>
      </c>
      <c r="C122" s="158" t="s">
        <v>351</v>
      </c>
      <c r="D122" s="156" t="s">
        <v>334</v>
      </c>
      <c r="E122" s="300">
        <v>7.1804300000000001E-2</v>
      </c>
      <c r="F122" s="300">
        <v>7.1804300000000001E-2</v>
      </c>
      <c r="G122" s="246">
        <f t="shared" si="9"/>
        <v>0</v>
      </c>
      <c r="H122" s="301">
        <v>0</v>
      </c>
      <c r="I122" s="340">
        <v>0</v>
      </c>
      <c r="J122" s="340">
        <v>0</v>
      </c>
      <c r="K122" s="340">
        <v>0</v>
      </c>
      <c r="L122" s="340">
        <v>0</v>
      </c>
      <c r="O122" s="157"/>
      <c r="P122" s="158"/>
      <c r="Q122" s="156"/>
      <c r="R122" s="258"/>
      <c r="S122" s="258"/>
      <c r="T122" s="258"/>
      <c r="U122" s="258"/>
      <c r="V122" s="258"/>
      <c r="W122" s="258"/>
    </row>
    <row r="123" spans="2:23">
      <c r="B123" s="157" t="s">
        <v>194</v>
      </c>
      <c r="C123" s="158" t="s">
        <v>352</v>
      </c>
      <c r="D123" s="156" t="s">
        <v>334</v>
      </c>
      <c r="E123" s="300">
        <v>5.8024100000000002E-2</v>
      </c>
      <c r="F123" s="300">
        <v>5.8024100000000002E-2</v>
      </c>
      <c r="G123" s="246">
        <f t="shared" si="9"/>
        <v>0</v>
      </c>
      <c r="H123" s="301">
        <v>0</v>
      </c>
      <c r="I123" s="340">
        <v>0</v>
      </c>
      <c r="J123" s="340">
        <v>0</v>
      </c>
      <c r="K123" s="340">
        <v>0</v>
      </c>
      <c r="L123" s="340">
        <v>0</v>
      </c>
      <c r="O123" s="157"/>
      <c r="P123" s="158"/>
      <c r="Q123" s="156"/>
      <c r="R123" s="258"/>
      <c r="S123" s="258"/>
      <c r="T123" s="258"/>
      <c r="U123" s="258"/>
      <c r="V123" s="258"/>
      <c r="W123" s="258"/>
    </row>
    <row r="124" spans="2:23">
      <c r="B124" s="157" t="s">
        <v>194</v>
      </c>
      <c r="C124" s="158" t="s">
        <v>353</v>
      </c>
      <c r="D124" s="156" t="s">
        <v>334</v>
      </c>
      <c r="E124" s="300">
        <v>4.5621500000000002E-2</v>
      </c>
      <c r="F124" s="300">
        <v>4.5621500000000002E-2</v>
      </c>
      <c r="G124" s="246">
        <f t="shared" si="9"/>
        <v>0</v>
      </c>
      <c r="H124" s="301">
        <v>0</v>
      </c>
      <c r="I124" s="340">
        <v>0</v>
      </c>
      <c r="J124" s="340">
        <v>0</v>
      </c>
      <c r="K124" s="340">
        <v>0</v>
      </c>
      <c r="L124" s="340">
        <v>0</v>
      </c>
      <c r="O124" s="157"/>
      <c r="P124" s="158"/>
      <c r="Q124" s="156"/>
      <c r="R124" s="258"/>
      <c r="S124" s="258"/>
      <c r="T124" s="258"/>
      <c r="U124" s="258"/>
      <c r="V124" s="258"/>
      <c r="W124" s="258"/>
    </row>
    <row r="125" spans="2:23">
      <c r="B125" s="157" t="s">
        <v>194</v>
      </c>
      <c r="C125" s="158" t="s">
        <v>354</v>
      </c>
      <c r="D125" s="156" t="s">
        <v>334</v>
      </c>
      <c r="E125" s="300">
        <v>3.4224400000000002E-2</v>
      </c>
      <c r="F125" s="300">
        <v>3.4224400000000002E-2</v>
      </c>
      <c r="G125" s="246">
        <f t="shared" si="9"/>
        <v>0</v>
      </c>
      <c r="H125" s="301">
        <v>0</v>
      </c>
      <c r="I125" s="340">
        <v>0</v>
      </c>
      <c r="J125" s="340">
        <v>0</v>
      </c>
      <c r="K125" s="340">
        <v>0</v>
      </c>
      <c r="L125" s="340">
        <v>0</v>
      </c>
      <c r="O125" s="157"/>
      <c r="P125" s="158"/>
      <c r="Q125" s="156"/>
      <c r="R125" s="258"/>
      <c r="S125" s="258"/>
      <c r="T125" s="258"/>
      <c r="U125" s="258"/>
      <c r="V125" s="258"/>
      <c r="W125" s="258"/>
    </row>
    <row r="126" spans="2:23">
      <c r="B126" s="157" t="s">
        <v>194</v>
      </c>
      <c r="C126" s="158" t="s">
        <v>355</v>
      </c>
      <c r="D126" s="156" t="s">
        <v>334</v>
      </c>
      <c r="E126" s="300">
        <v>3.2445000000000002E-2</v>
      </c>
      <c r="F126" s="300">
        <v>3.2445000000000002E-2</v>
      </c>
      <c r="G126" s="246">
        <f t="shared" si="9"/>
        <v>0</v>
      </c>
      <c r="H126" s="301">
        <v>0</v>
      </c>
      <c r="I126" s="340">
        <v>0</v>
      </c>
      <c r="J126" s="340">
        <v>0</v>
      </c>
      <c r="K126" s="340">
        <v>0</v>
      </c>
      <c r="L126" s="340">
        <v>0</v>
      </c>
      <c r="O126" s="157"/>
      <c r="P126" s="158"/>
      <c r="Q126" s="156"/>
      <c r="R126" s="258"/>
      <c r="S126" s="258"/>
      <c r="T126" s="258"/>
      <c r="U126" s="258"/>
      <c r="V126" s="258"/>
      <c r="W126" s="258"/>
    </row>
    <row r="127" spans="2:23">
      <c r="B127" s="157" t="s">
        <v>194</v>
      </c>
      <c r="C127" s="158" t="s">
        <v>356</v>
      </c>
      <c r="D127" s="156" t="s">
        <v>334</v>
      </c>
      <c r="E127" s="300">
        <v>3.1814099999999998E-2</v>
      </c>
      <c r="F127" s="300">
        <v>3.1814099999999998E-2</v>
      </c>
      <c r="G127" s="246">
        <f t="shared" si="9"/>
        <v>0</v>
      </c>
      <c r="H127" s="301">
        <v>0</v>
      </c>
      <c r="I127" s="340">
        <v>0</v>
      </c>
      <c r="J127" s="340">
        <v>0</v>
      </c>
      <c r="K127" s="340">
        <v>0</v>
      </c>
      <c r="L127" s="340">
        <v>0</v>
      </c>
      <c r="O127" s="157"/>
      <c r="P127" s="158"/>
      <c r="Q127" s="156"/>
      <c r="R127" s="258"/>
      <c r="S127" s="258"/>
      <c r="T127" s="258"/>
      <c r="U127" s="258"/>
      <c r="V127" s="258"/>
      <c r="W127" s="258"/>
    </row>
    <row r="128" spans="2:23">
      <c r="B128" s="157" t="s">
        <v>194</v>
      </c>
      <c r="C128" s="158" t="s">
        <v>357</v>
      </c>
      <c r="D128" s="156" t="s">
        <v>334</v>
      </c>
      <c r="E128" s="300">
        <v>2.30986E-2</v>
      </c>
      <c r="F128" s="300">
        <v>2.30986E-2</v>
      </c>
      <c r="G128" s="246">
        <f t="shared" si="9"/>
        <v>0</v>
      </c>
      <c r="H128" s="301">
        <v>0</v>
      </c>
      <c r="I128" s="340">
        <v>0</v>
      </c>
      <c r="J128" s="340">
        <v>0</v>
      </c>
      <c r="K128" s="340">
        <v>0</v>
      </c>
      <c r="L128" s="340">
        <v>0</v>
      </c>
      <c r="O128" s="157"/>
      <c r="P128" s="158"/>
      <c r="Q128" s="156"/>
      <c r="R128" s="258"/>
      <c r="S128" s="258"/>
      <c r="T128" s="258"/>
      <c r="U128" s="258"/>
      <c r="V128" s="258"/>
      <c r="W128" s="258"/>
    </row>
    <row r="129" spans="2:23">
      <c r="B129" s="157" t="s">
        <v>194</v>
      </c>
      <c r="C129" s="158" t="s">
        <v>358</v>
      </c>
      <c r="D129" s="156" t="s">
        <v>334</v>
      </c>
      <c r="E129" s="300">
        <v>1.79408E-2</v>
      </c>
      <c r="F129" s="300">
        <v>1.79408E-2</v>
      </c>
      <c r="G129" s="246">
        <f t="shared" si="9"/>
        <v>0</v>
      </c>
      <c r="H129" s="301">
        <v>0</v>
      </c>
      <c r="I129" s="340">
        <v>0</v>
      </c>
      <c r="J129" s="340">
        <v>0</v>
      </c>
      <c r="K129" s="340">
        <v>0</v>
      </c>
      <c r="L129" s="340">
        <v>0</v>
      </c>
      <c r="O129" s="157"/>
      <c r="P129" s="158"/>
      <c r="Q129" s="156"/>
      <c r="R129" s="258"/>
      <c r="S129" s="258"/>
      <c r="T129" s="258"/>
      <c r="U129" s="258"/>
      <c r="V129" s="258"/>
      <c r="W129" s="258"/>
    </row>
    <row r="130" spans="2:23">
      <c r="B130" s="157" t="s">
        <v>194</v>
      </c>
      <c r="C130" s="158" t="s">
        <v>359</v>
      </c>
      <c r="D130" s="156" t="s">
        <v>334</v>
      </c>
      <c r="E130" s="300">
        <v>1.2833300000000001E-2</v>
      </c>
      <c r="F130" s="300">
        <v>1.2833300000000001E-2</v>
      </c>
      <c r="G130" s="246">
        <f t="shared" si="9"/>
        <v>0</v>
      </c>
      <c r="H130" s="301">
        <v>0</v>
      </c>
      <c r="I130" s="340">
        <v>0</v>
      </c>
      <c r="J130" s="340">
        <v>0</v>
      </c>
      <c r="K130" s="340">
        <v>0</v>
      </c>
      <c r="L130" s="340">
        <v>0</v>
      </c>
      <c r="O130" s="157"/>
      <c r="P130" s="158"/>
      <c r="Q130" s="156"/>
      <c r="R130" s="258"/>
      <c r="S130" s="258"/>
      <c r="T130" s="258"/>
      <c r="U130" s="258"/>
      <c r="V130" s="258"/>
      <c r="W130" s="258"/>
    </row>
    <row r="131" spans="2:23">
      <c r="B131" s="157" t="s">
        <v>194</v>
      </c>
      <c r="C131" s="158" t="s">
        <v>360</v>
      </c>
      <c r="D131" s="156" t="s">
        <v>334</v>
      </c>
      <c r="E131" s="300">
        <v>2.0615999999999998E-3</v>
      </c>
      <c r="F131" s="300">
        <v>2.0615999999999998E-3</v>
      </c>
      <c r="G131" s="246">
        <f t="shared" si="9"/>
        <v>0</v>
      </c>
      <c r="H131" s="301">
        <v>0</v>
      </c>
      <c r="I131" s="340">
        <v>0</v>
      </c>
      <c r="J131" s="340">
        <v>0</v>
      </c>
      <c r="K131" s="340">
        <v>0</v>
      </c>
      <c r="L131" s="340">
        <v>0</v>
      </c>
      <c r="O131" s="157"/>
      <c r="P131" s="158"/>
      <c r="Q131" s="156"/>
      <c r="R131" s="258"/>
      <c r="S131" s="258"/>
      <c r="T131" s="258"/>
      <c r="U131" s="258"/>
      <c r="V131" s="258"/>
      <c r="W131" s="258"/>
    </row>
    <row r="132" spans="2:23" ht="36">
      <c r="B132" s="157" t="s">
        <v>232</v>
      </c>
      <c r="C132" s="158" t="s">
        <v>361</v>
      </c>
      <c r="D132" s="156" t="s">
        <v>362</v>
      </c>
      <c r="E132" s="300">
        <v>0</v>
      </c>
      <c r="F132" s="300">
        <v>0</v>
      </c>
      <c r="G132" s="246">
        <f t="shared" si="9"/>
        <v>0</v>
      </c>
      <c r="H132" s="301">
        <v>0</v>
      </c>
      <c r="I132" s="340">
        <v>0</v>
      </c>
      <c r="J132" s="340">
        <v>0</v>
      </c>
      <c r="K132" s="340">
        <v>0</v>
      </c>
      <c r="L132" s="340">
        <v>0</v>
      </c>
      <c r="O132" s="157"/>
      <c r="P132" s="158"/>
      <c r="Q132" s="156"/>
      <c r="R132" s="258"/>
      <c r="S132" s="258"/>
      <c r="T132" s="258"/>
      <c r="U132" s="258"/>
      <c r="V132" s="258"/>
      <c r="W132" s="258"/>
    </row>
    <row r="133" spans="2:23">
      <c r="B133" s="157" t="s">
        <v>232</v>
      </c>
      <c r="C133" s="158" t="s">
        <v>363</v>
      </c>
      <c r="D133" s="156" t="s">
        <v>364</v>
      </c>
      <c r="E133" s="300">
        <v>0</v>
      </c>
      <c r="F133" s="300">
        <v>0</v>
      </c>
      <c r="G133" s="246">
        <f t="shared" si="9"/>
        <v>0</v>
      </c>
      <c r="H133" s="301">
        <v>0</v>
      </c>
      <c r="I133" s="340">
        <v>0</v>
      </c>
      <c r="J133" s="340">
        <v>0</v>
      </c>
      <c r="K133" s="340">
        <v>0</v>
      </c>
      <c r="L133" s="340">
        <v>0</v>
      </c>
      <c r="O133" s="157"/>
      <c r="P133" s="158"/>
      <c r="Q133" s="156"/>
      <c r="R133" s="258"/>
      <c r="S133" s="258"/>
      <c r="T133" s="258"/>
      <c r="U133" s="258"/>
      <c r="V133" s="258"/>
      <c r="W133" s="258"/>
    </row>
    <row r="134" spans="2:23" ht="36">
      <c r="B134" s="157" t="s">
        <v>245</v>
      </c>
      <c r="C134" s="158" t="s">
        <v>245</v>
      </c>
      <c r="D134" s="156" t="s">
        <v>365</v>
      </c>
      <c r="E134" s="300">
        <v>0</v>
      </c>
      <c r="F134" s="300">
        <v>0</v>
      </c>
      <c r="G134" s="246">
        <f t="shared" si="9"/>
        <v>0</v>
      </c>
      <c r="H134" s="301">
        <v>0</v>
      </c>
      <c r="I134" s="340">
        <v>0</v>
      </c>
      <c r="J134" s="340">
        <v>0</v>
      </c>
      <c r="K134" s="340">
        <v>0</v>
      </c>
      <c r="L134" s="340">
        <v>0</v>
      </c>
      <c r="O134" s="157"/>
      <c r="P134" s="158"/>
      <c r="Q134" s="156"/>
      <c r="R134" s="258"/>
      <c r="S134" s="258"/>
      <c r="T134" s="258"/>
      <c r="U134" s="258"/>
      <c r="V134" s="258"/>
      <c r="W134" s="258"/>
    </row>
    <row r="135" spans="2:23" ht="24">
      <c r="B135" s="157" t="s">
        <v>245</v>
      </c>
      <c r="C135" s="158" t="s">
        <v>245</v>
      </c>
      <c r="D135" s="156" t="s">
        <v>366</v>
      </c>
      <c r="E135" s="300">
        <v>0</v>
      </c>
      <c r="F135" s="300">
        <v>0</v>
      </c>
      <c r="G135" s="246">
        <f t="shared" si="9"/>
        <v>0</v>
      </c>
      <c r="H135" s="301">
        <v>0</v>
      </c>
      <c r="I135" s="340">
        <v>0</v>
      </c>
      <c r="J135" s="340">
        <v>0</v>
      </c>
      <c r="K135" s="340">
        <v>0</v>
      </c>
      <c r="L135" s="340">
        <v>0</v>
      </c>
      <c r="O135" s="157"/>
      <c r="P135" s="158"/>
      <c r="Q135" s="156"/>
      <c r="R135" s="258"/>
      <c r="S135" s="258"/>
      <c r="T135" s="258"/>
      <c r="U135" s="258"/>
      <c r="V135" s="258"/>
      <c r="W135" s="258"/>
    </row>
    <row r="136" spans="2:23" ht="36">
      <c r="B136" s="157" t="s">
        <v>245</v>
      </c>
      <c r="C136" s="158" t="s">
        <v>245</v>
      </c>
      <c r="D136" s="156" t="s">
        <v>367</v>
      </c>
      <c r="E136" s="300">
        <v>0</v>
      </c>
      <c r="F136" s="300">
        <v>0</v>
      </c>
      <c r="G136" s="246">
        <f t="shared" si="9"/>
        <v>0</v>
      </c>
      <c r="H136" s="301">
        <v>0</v>
      </c>
      <c r="I136" s="340">
        <v>0</v>
      </c>
      <c r="J136" s="340">
        <v>0</v>
      </c>
      <c r="K136" s="340">
        <v>0</v>
      </c>
      <c r="L136" s="340">
        <v>0</v>
      </c>
      <c r="O136" s="157"/>
      <c r="P136" s="158"/>
      <c r="Q136" s="156"/>
      <c r="R136" s="258"/>
      <c r="S136" s="258"/>
      <c r="T136" s="258"/>
      <c r="U136" s="258"/>
      <c r="V136" s="258"/>
      <c r="W136" s="258"/>
    </row>
    <row r="137" spans="2:23" ht="36">
      <c r="B137" s="157" t="s">
        <v>245</v>
      </c>
      <c r="C137" s="158" t="s">
        <v>245</v>
      </c>
      <c r="D137" s="156" t="s">
        <v>368</v>
      </c>
      <c r="E137" s="300">
        <v>0</v>
      </c>
      <c r="F137" s="300">
        <v>0</v>
      </c>
      <c r="G137" s="246">
        <f t="shared" si="9"/>
        <v>0</v>
      </c>
      <c r="H137" s="301">
        <v>0</v>
      </c>
      <c r="I137" s="340">
        <v>0</v>
      </c>
      <c r="J137" s="340">
        <v>0</v>
      </c>
      <c r="K137" s="340">
        <v>0</v>
      </c>
      <c r="L137" s="340">
        <v>0</v>
      </c>
      <c r="O137" s="157"/>
      <c r="P137" s="158"/>
      <c r="Q137" s="156"/>
      <c r="R137" s="258"/>
      <c r="S137" s="258"/>
      <c r="T137" s="258"/>
      <c r="U137" s="258"/>
      <c r="V137" s="258"/>
      <c r="W137" s="258"/>
    </row>
    <row r="138" spans="2:23" ht="24">
      <c r="B138" s="157" t="s">
        <v>369</v>
      </c>
      <c r="C138" s="158" t="s">
        <v>245</v>
      </c>
      <c r="D138" s="156" t="s">
        <v>370</v>
      </c>
      <c r="E138" s="300">
        <v>0</v>
      </c>
      <c r="F138" s="300">
        <v>0</v>
      </c>
      <c r="G138" s="246">
        <f t="shared" si="9"/>
        <v>0</v>
      </c>
      <c r="H138" s="301">
        <v>0</v>
      </c>
      <c r="I138" s="340">
        <v>0</v>
      </c>
      <c r="J138" s="340">
        <v>0</v>
      </c>
      <c r="K138" s="340">
        <v>0</v>
      </c>
      <c r="L138" s="340">
        <v>0</v>
      </c>
      <c r="O138" s="157"/>
      <c r="P138" s="158"/>
      <c r="Q138" s="156"/>
      <c r="R138" s="258"/>
      <c r="S138" s="258"/>
      <c r="T138" s="258"/>
      <c r="U138" s="258"/>
      <c r="V138" s="258"/>
      <c r="W138" s="258"/>
    </row>
    <row r="139" spans="2:23" ht="24">
      <c r="B139" s="157" t="s">
        <v>245</v>
      </c>
      <c r="C139" s="158" t="s">
        <v>245</v>
      </c>
      <c r="D139" s="156" t="s">
        <v>371</v>
      </c>
      <c r="E139" s="300">
        <v>0</v>
      </c>
      <c r="F139" s="300">
        <v>0</v>
      </c>
      <c r="G139" s="246">
        <f t="shared" si="9"/>
        <v>0</v>
      </c>
      <c r="H139" s="301">
        <v>0</v>
      </c>
      <c r="I139" s="340">
        <v>0</v>
      </c>
      <c r="J139" s="340">
        <v>0</v>
      </c>
      <c r="K139" s="340">
        <v>0</v>
      </c>
      <c r="L139" s="340">
        <v>0</v>
      </c>
      <c r="O139" s="157"/>
      <c r="P139" s="158"/>
      <c r="Q139" s="156"/>
      <c r="R139" s="258"/>
      <c r="S139" s="258"/>
      <c r="T139" s="258"/>
      <c r="U139" s="258"/>
      <c r="V139" s="258"/>
      <c r="W139" s="258"/>
    </row>
    <row r="140" spans="2:23" ht="24">
      <c r="B140" s="157" t="s">
        <v>245</v>
      </c>
      <c r="C140" s="158" t="s">
        <v>245</v>
      </c>
      <c r="D140" s="156" t="s">
        <v>372</v>
      </c>
      <c r="E140" s="300">
        <v>0</v>
      </c>
      <c r="F140" s="300">
        <v>0</v>
      </c>
      <c r="G140" s="246">
        <f t="shared" si="9"/>
        <v>0</v>
      </c>
      <c r="H140" s="301">
        <v>0</v>
      </c>
      <c r="I140" s="340">
        <v>0</v>
      </c>
      <c r="J140" s="340">
        <v>0</v>
      </c>
      <c r="K140" s="340">
        <v>0</v>
      </c>
      <c r="L140" s="340">
        <v>0</v>
      </c>
      <c r="O140" s="157"/>
      <c r="P140" s="158"/>
      <c r="Q140" s="156"/>
      <c r="R140" s="258"/>
      <c r="S140" s="258"/>
      <c r="T140" s="258"/>
      <c r="U140" s="258"/>
      <c r="V140" s="258"/>
      <c r="W140" s="258"/>
    </row>
    <row r="141" spans="2:23" ht="24">
      <c r="B141" s="157" t="s">
        <v>245</v>
      </c>
      <c r="C141" s="158" t="s">
        <v>245</v>
      </c>
      <c r="D141" s="156" t="s">
        <v>373</v>
      </c>
      <c r="E141" s="300">
        <v>0</v>
      </c>
      <c r="F141" s="300">
        <v>0</v>
      </c>
      <c r="G141" s="246">
        <f t="shared" si="9"/>
        <v>0</v>
      </c>
      <c r="H141" s="301">
        <v>0</v>
      </c>
      <c r="I141" s="340">
        <v>0</v>
      </c>
      <c r="J141" s="340">
        <v>0</v>
      </c>
      <c r="K141" s="340">
        <v>0</v>
      </c>
      <c r="L141" s="340">
        <v>0</v>
      </c>
      <c r="O141" s="157"/>
      <c r="P141" s="158"/>
      <c r="Q141" s="156"/>
      <c r="R141" s="258"/>
      <c r="S141" s="258"/>
      <c r="T141" s="258"/>
      <c r="U141" s="258"/>
      <c r="V141" s="258"/>
      <c r="W141" s="258"/>
    </row>
    <row r="142" spans="2:23" ht="24">
      <c r="B142" s="157" t="s">
        <v>245</v>
      </c>
      <c r="C142" s="158" t="s">
        <v>245</v>
      </c>
      <c r="D142" s="156" t="s">
        <v>374</v>
      </c>
      <c r="E142" s="300">
        <v>0</v>
      </c>
      <c r="F142" s="300">
        <v>0</v>
      </c>
      <c r="G142" s="246">
        <f t="shared" si="9"/>
        <v>0</v>
      </c>
      <c r="H142" s="301">
        <v>0</v>
      </c>
      <c r="I142" s="340">
        <v>0</v>
      </c>
      <c r="J142" s="340">
        <v>0</v>
      </c>
      <c r="K142" s="340">
        <v>0</v>
      </c>
      <c r="L142" s="340">
        <v>0</v>
      </c>
      <c r="O142" s="157"/>
      <c r="P142" s="158"/>
      <c r="Q142" s="156"/>
      <c r="R142" s="258"/>
      <c r="S142" s="258"/>
      <c r="T142" s="258"/>
      <c r="U142" s="258"/>
      <c r="V142" s="258"/>
      <c r="W142" s="258"/>
    </row>
    <row r="143" spans="2:23" ht="24">
      <c r="B143" s="157" t="s">
        <v>245</v>
      </c>
      <c r="C143" s="158" t="s">
        <v>245</v>
      </c>
      <c r="D143" s="156" t="s">
        <v>375</v>
      </c>
      <c r="E143" s="300">
        <v>0</v>
      </c>
      <c r="F143" s="300">
        <v>0</v>
      </c>
      <c r="G143" s="246">
        <f t="shared" si="9"/>
        <v>0</v>
      </c>
      <c r="H143" s="301">
        <v>0</v>
      </c>
      <c r="I143" s="340">
        <v>0</v>
      </c>
      <c r="J143" s="340">
        <v>0</v>
      </c>
      <c r="K143" s="340">
        <v>0</v>
      </c>
      <c r="L143" s="340">
        <v>0</v>
      </c>
      <c r="O143" s="157"/>
      <c r="P143" s="158"/>
      <c r="Q143" s="156"/>
      <c r="R143" s="258"/>
      <c r="S143" s="258"/>
      <c r="T143" s="258"/>
      <c r="U143" s="258"/>
      <c r="V143" s="258"/>
      <c r="W143" s="258"/>
    </row>
    <row r="144" spans="2:23" ht="24">
      <c r="B144" s="157" t="s">
        <v>245</v>
      </c>
      <c r="C144" s="158" t="s">
        <v>245</v>
      </c>
      <c r="D144" s="156" t="s">
        <v>376</v>
      </c>
      <c r="E144" s="300">
        <v>0</v>
      </c>
      <c r="F144" s="300">
        <v>0</v>
      </c>
      <c r="G144" s="246">
        <f t="shared" si="9"/>
        <v>0</v>
      </c>
      <c r="H144" s="301">
        <v>0</v>
      </c>
      <c r="I144" s="340">
        <v>0</v>
      </c>
      <c r="J144" s="340">
        <v>0</v>
      </c>
      <c r="K144" s="340">
        <v>0</v>
      </c>
      <c r="L144" s="340">
        <v>0</v>
      </c>
      <c r="O144" s="157"/>
      <c r="P144" s="158"/>
      <c r="Q144" s="156"/>
      <c r="R144" s="258"/>
      <c r="S144" s="258"/>
      <c r="T144" s="258"/>
      <c r="U144" s="258"/>
      <c r="V144" s="258"/>
      <c r="W144" s="258"/>
    </row>
    <row r="145" spans="2:23" ht="24">
      <c r="B145" s="157" t="s">
        <v>245</v>
      </c>
      <c r="C145" s="158" t="s">
        <v>245</v>
      </c>
      <c r="D145" s="156" t="s">
        <v>377</v>
      </c>
      <c r="E145" s="300">
        <v>0</v>
      </c>
      <c r="F145" s="300">
        <v>0</v>
      </c>
      <c r="G145" s="246">
        <f t="shared" ref="G145:G178" si="12">E145-F145</f>
        <v>0</v>
      </c>
      <c r="H145" s="301">
        <v>0</v>
      </c>
      <c r="I145" s="340">
        <v>0</v>
      </c>
      <c r="J145" s="340">
        <v>0</v>
      </c>
      <c r="K145" s="340">
        <v>0</v>
      </c>
      <c r="L145" s="340">
        <v>0</v>
      </c>
      <c r="O145" s="157"/>
      <c r="P145" s="158"/>
      <c r="Q145" s="156"/>
      <c r="R145" s="258"/>
      <c r="S145" s="258"/>
      <c r="T145" s="258"/>
      <c r="U145" s="258"/>
      <c r="V145" s="258"/>
      <c r="W145" s="258"/>
    </row>
    <row r="146" spans="2:23" ht="36">
      <c r="B146" s="157" t="s">
        <v>245</v>
      </c>
      <c r="C146" s="158" t="s">
        <v>245</v>
      </c>
      <c r="D146" s="156" t="s">
        <v>378</v>
      </c>
      <c r="E146" s="300">
        <v>0</v>
      </c>
      <c r="F146" s="300">
        <v>0</v>
      </c>
      <c r="G146" s="246">
        <f t="shared" si="12"/>
        <v>0</v>
      </c>
      <c r="H146" s="301">
        <v>0</v>
      </c>
      <c r="I146" s="340">
        <v>0</v>
      </c>
      <c r="J146" s="340">
        <v>0</v>
      </c>
      <c r="K146" s="340">
        <v>0</v>
      </c>
      <c r="L146" s="340">
        <v>0</v>
      </c>
      <c r="O146" s="157"/>
      <c r="P146" s="158"/>
      <c r="Q146" s="156"/>
      <c r="R146" s="258"/>
      <c r="S146" s="258"/>
      <c r="T146" s="258"/>
      <c r="U146" s="258"/>
      <c r="V146" s="258"/>
      <c r="W146" s="258"/>
    </row>
    <row r="147" spans="2:23" ht="48">
      <c r="B147" s="157" t="s">
        <v>245</v>
      </c>
      <c r="C147" s="158" t="s">
        <v>245</v>
      </c>
      <c r="D147" s="156" t="s">
        <v>379</v>
      </c>
      <c r="E147" s="300">
        <v>0</v>
      </c>
      <c r="F147" s="300">
        <v>0</v>
      </c>
      <c r="G147" s="246">
        <f t="shared" si="12"/>
        <v>0</v>
      </c>
      <c r="H147" s="301">
        <v>0</v>
      </c>
      <c r="I147" s="340">
        <v>0</v>
      </c>
      <c r="J147" s="340">
        <v>0</v>
      </c>
      <c r="K147" s="340">
        <v>0</v>
      </c>
      <c r="L147" s="340">
        <v>0</v>
      </c>
      <c r="O147" s="157"/>
      <c r="P147" s="158"/>
      <c r="Q147" s="156"/>
      <c r="R147" s="258"/>
      <c r="S147" s="258"/>
      <c r="T147" s="258"/>
      <c r="U147" s="258"/>
      <c r="V147" s="258"/>
      <c r="W147" s="258"/>
    </row>
    <row r="148" spans="2:23">
      <c r="B148" s="157" t="s">
        <v>245</v>
      </c>
      <c r="C148" s="158" t="s">
        <v>245</v>
      </c>
      <c r="D148" s="156" t="s">
        <v>380</v>
      </c>
      <c r="E148" s="300">
        <v>0</v>
      </c>
      <c r="F148" s="300">
        <v>0</v>
      </c>
      <c r="G148" s="246">
        <f t="shared" si="12"/>
        <v>0</v>
      </c>
      <c r="H148" s="301">
        <v>0</v>
      </c>
      <c r="I148" s="340">
        <v>0</v>
      </c>
      <c r="J148" s="340">
        <v>0</v>
      </c>
      <c r="K148" s="340">
        <v>0</v>
      </c>
      <c r="L148" s="340">
        <v>0</v>
      </c>
      <c r="O148" s="157"/>
      <c r="P148" s="158"/>
      <c r="Q148" s="156"/>
      <c r="R148" s="258"/>
      <c r="S148" s="258"/>
      <c r="T148" s="258"/>
      <c r="U148" s="258"/>
      <c r="V148" s="258"/>
      <c r="W148" s="258"/>
    </row>
    <row r="149" spans="2:23" ht="36">
      <c r="B149" s="157" t="s">
        <v>245</v>
      </c>
      <c r="C149" s="158" t="s">
        <v>245</v>
      </c>
      <c r="D149" s="156" t="s">
        <v>381</v>
      </c>
      <c r="E149" s="300">
        <v>0</v>
      </c>
      <c r="F149" s="300">
        <v>0</v>
      </c>
      <c r="G149" s="246">
        <f t="shared" si="12"/>
        <v>0</v>
      </c>
      <c r="H149" s="301">
        <v>0</v>
      </c>
      <c r="I149" s="340">
        <v>0</v>
      </c>
      <c r="J149" s="340">
        <v>0</v>
      </c>
      <c r="K149" s="340">
        <v>0</v>
      </c>
      <c r="L149" s="340">
        <v>0</v>
      </c>
      <c r="O149" s="157"/>
      <c r="P149" s="158"/>
      <c r="Q149" s="156"/>
      <c r="R149" s="258"/>
      <c r="S149" s="258"/>
      <c r="T149" s="258"/>
      <c r="U149" s="258"/>
      <c r="V149" s="258"/>
      <c r="W149" s="258"/>
    </row>
    <row r="150" spans="2:23">
      <c r="B150" s="157" t="s">
        <v>245</v>
      </c>
      <c r="C150" s="158" t="s">
        <v>245</v>
      </c>
      <c r="D150" s="156" t="s">
        <v>382</v>
      </c>
      <c r="E150" s="300">
        <v>0</v>
      </c>
      <c r="F150" s="300">
        <v>0</v>
      </c>
      <c r="G150" s="246">
        <f t="shared" si="12"/>
        <v>0</v>
      </c>
      <c r="H150" s="301">
        <v>0</v>
      </c>
      <c r="I150" s="340">
        <v>0</v>
      </c>
      <c r="J150" s="340">
        <v>0</v>
      </c>
      <c r="K150" s="340">
        <v>0</v>
      </c>
      <c r="L150" s="340">
        <v>0</v>
      </c>
      <c r="O150" s="157"/>
      <c r="P150" s="158"/>
      <c r="Q150" s="156"/>
      <c r="R150" s="258"/>
      <c r="S150" s="258"/>
      <c r="T150" s="258"/>
      <c r="U150" s="258"/>
      <c r="V150" s="258"/>
      <c r="W150" s="258"/>
    </row>
    <row r="151" spans="2:23" ht="36">
      <c r="B151" s="157" t="s">
        <v>245</v>
      </c>
      <c r="C151" s="158" t="s">
        <v>245</v>
      </c>
      <c r="D151" s="156" t="s">
        <v>383</v>
      </c>
      <c r="E151" s="300">
        <v>0</v>
      </c>
      <c r="F151" s="300">
        <v>0</v>
      </c>
      <c r="G151" s="246">
        <f t="shared" si="12"/>
        <v>0</v>
      </c>
      <c r="H151" s="301">
        <v>0</v>
      </c>
      <c r="I151" s="340">
        <v>0</v>
      </c>
      <c r="J151" s="340">
        <v>0</v>
      </c>
      <c r="K151" s="340">
        <v>0</v>
      </c>
      <c r="L151" s="340">
        <v>0</v>
      </c>
      <c r="O151" s="157"/>
      <c r="P151" s="158"/>
      <c r="Q151" s="156"/>
      <c r="R151" s="258"/>
      <c r="S151" s="258"/>
      <c r="T151" s="258"/>
      <c r="U151" s="258"/>
      <c r="V151" s="258"/>
      <c r="W151" s="258"/>
    </row>
    <row r="152" spans="2:23" ht="36">
      <c r="B152" s="157" t="s">
        <v>245</v>
      </c>
      <c r="C152" s="158" t="s">
        <v>245</v>
      </c>
      <c r="D152" s="156" t="s">
        <v>384</v>
      </c>
      <c r="E152" s="300">
        <v>0</v>
      </c>
      <c r="F152" s="300">
        <v>0</v>
      </c>
      <c r="G152" s="246">
        <f t="shared" si="12"/>
        <v>0</v>
      </c>
      <c r="H152" s="301">
        <v>0</v>
      </c>
      <c r="I152" s="340">
        <v>0</v>
      </c>
      <c r="J152" s="340">
        <v>0</v>
      </c>
      <c r="K152" s="340">
        <v>0</v>
      </c>
      <c r="L152" s="340">
        <v>0</v>
      </c>
      <c r="O152" s="157"/>
      <c r="P152" s="158"/>
      <c r="Q152" s="156"/>
      <c r="R152" s="258"/>
      <c r="S152" s="258"/>
      <c r="T152" s="258"/>
      <c r="U152" s="258"/>
      <c r="V152" s="258"/>
      <c r="W152" s="258"/>
    </row>
    <row r="153" spans="2:23" ht="24">
      <c r="B153" s="157" t="s">
        <v>245</v>
      </c>
      <c r="C153" s="158" t="s">
        <v>245</v>
      </c>
      <c r="D153" s="156" t="s">
        <v>385</v>
      </c>
      <c r="E153" s="300">
        <v>0</v>
      </c>
      <c r="F153" s="300">
        <v>0</v>
      </c>
      <c r="G153" s="246">
        <f t="shared" si="12"/>
        <v>0</v>
      </c>
      <c r="H153" s="301">
        <v>0</v>
      </c>
      <c r="I153" s="340">
        <v>0</v>
      </c>
      <c r="J153" s="340">
        <v>0</v>
      </c>
      <c r="K153" s="340">
        <v>0</v>
      </c>
      <c r="L153" s="340">
        <v>0</v>
      </c>
      <c r="O153" s="157"/>
      <c r="P153" s="158"/>
      <c r="Q153" s="156"/>
      <c r="R153" s="258"/>
      <c r="S153" s="258"/>
      <c r="T153" s="258"/>
      <c r="U153" s="258"/>
      <c r="V153" s="258"/>
      <c r="W153" s="258"/>
    </row>
    <row r="154" spans="2:23" ht="36">
      <c r="B154" s="157" t="s">
        <v>245</v>
      </c>
      <c r="C154" s="158" t="s">
        <v>245</v>
      </c>
      <c r="D154" s="156" t="s">
        <v>386</v>
      </c>
      <c r="E154" s="300">
        <v>0</v>
      </c>
      <c r="F154" s="300">
        <v>0</v>
      </c>
      <c r="G154" s="246">
        <f t="shared" si="12"/>
        <v>0</v>
      </c>
      <c r="H154" s="301">
        <v>0</v>
      </c>
      <c r="I154" s="340">
        <v>0</v>
      </c>
      <c r="J154" s="340">
        <v>0</v>
      </c>
      <c r="K154" s="340">
        <v>0</v>
      </c>
      <c r="L154" s="340">
        <v>0</v>
      </c>
      <c r="O154" s="157"/>
      <c r="P154" s="158"/>
      <c r="Q154" s="156"/>
      <c r="R154" s="258"/>
      <c r="S154" s="258"/>
      <c r="T154" s="258"/>
      <c r="U154" s="258"/>
      <c r="V154" s="258"/>
      <c r="W154" s="258"/>
    </row>
    <row r="155" spans="2:23" ht="48">
      <c r="B155" s="157" t="s">
        <v>245</v>
      </c>
      <c r="C155" s="158" t="s">
        <v>245</v>
      </c>
      <c r="D155" s="156" t="s">
        <v>387</v>
      </c>
      <c r="E155" s="300">
        <v>0</v>
      </c>
      <c r="F155" s="300">
        <v>0</v>
      </c>
      <c r="G155" s="246">
        <f t="shared" si="12"/>
        <v>0</v>
      </c>
      <c r="H155" s="301">
        <v>0</v>
      </c>
      <c r="I155" s="340">
        <v>0</v>
      </c>
      <c r="J155" s="340">
        <v>0</v>
      </c>
      <c r="K155" s="340">
        <v>0</v>
      </c>
      <c r="L155" s="340">
        <v>0</v>
      </c>
      <c r="O155" s="157"/>
      <c r="P155" s="158"/>
      <c r="Q155" s="156"/>
      <c r="R155" s="258"/>
      <c r="S155" s="258"/>
      <c r="T155" s="258"/>
      <c r="U155" s="258"/>
      <c r="V155" s="258"/>
      <c r="W155" s="258"/>
    </row>
    <row r="156" spans="2:23" ht="36">
      <c r="B156" s="157" t="s">
        <v>245</v>
      </c>
      <c r="C156" s="158" t="s">
        <v>245</v>
      </c>
      <c r="D156" s="156" t="s">
        <v>388</v>
      </c>
      <c r="E156" s="300">
        <v>0</v>
      </c>
      <c r="F156" s="300">
        <v>0</v>
      </c>
      <c r="G156" s="246">
        <f t="shared" si="12"/>
        <v>0</v>
      </c>
      <c r="H156" s="301">
        <v>0</v>
      </c>
      <c r="I156" s="340">
        <v>0</v>
      </c>
      <c r="J156" s="340">
        <v>0</v>
      </c>
      <c r="K156" s="340">
        <v>0</v>
      </c>
      <c r="L156" s="340">
        <v>0</v>
      </c>
      <c r="O156" s="157"/>
      <c r="P156" s="158"/>
      <c r="Q156" s="156"/>
      <c r="R156" s="258"/>
      <c r="S156" s="258"/>
      <c r="T156" s="258"/>
      <c r="U156" s="258"/>
      <c r="V156" s="258"/>
      <c r="W156" s="258"/>
    </row>
    <row r="157" spans="2:23" ht="36">
      <c r="B157" s="157" t="s">
        <v>253</v>
      </c>
      <c r="C157" s="158" t="s">
        <v>389</v>
      </c>
      <c r="D157" s="156" t="s">
        <v>259</v>
      </c>
      <c r="E157" s="300">
        <v>5.2030000000000002E-4</v>
      </c>
      <c r="F157" s="300">
        <v>5.2030000000000002E-4</v>
      </c>
      <c r="G157" s="246">
        <f t="shared" si="12"/>
        <v>0</v>
      </c>
      <c r="H157" s="301">
        <v>0</v>
      </c>
      <c r="I157" s="340">
        <v>0</v>
      </c>
      <c r="J157" s="340">
        <v>0</v>
      </c>
      <c r="K157" s="340">
        <v>0</v>
      </c>
      <c r="L157" s="340">
        <v>0</v>
      </c>
      <c r="O157" s="157"/>
      <c r="P157" s="158"/>
      <c r="Q157" s="156"/>
      <c r="R157" s="258"/>
      <c r="S157" s="258"/>
      <c r="T157" s="258"/>
      <c r="U157" s="258"/>
      <c r="V157" s="258"/>
      <c r="W157" s="258"/>
    </row>
    <row r="158" spans="2:23" ht="36">
      <c r="B158" s="157" t="s">
        <v>253</v>
      </c>
      <c r="C158" s="158" t="s">
        <v>390</v>
      </c>
      <c r="D158" s="156" t="s">
        <v>267</v>
      </c>
      <c r="E158" s="300">
        <v>0</v>
      </c>
      <c r="F158" s="300">
        <v>0</v>
      </c>
      <c r="G158" s="246">
        <f t="shared" si="12"/>
        <v>0</v>
      </c>
      <c r="H158" s="301">
        <v>0</v>
      </c>
      <c r="I158" s="340">
        <v>0</v>
      </c>
      <c r="J158" s="340">
        <v>0</v>
      </c>
      <c r="K158" s="340">
        <v>0</v>
      </c>
      <c r="L158" s="340">
        <v>0</v>
      </c>
      <c r="O158" s="157"/>
      <c r="P158" s="158"/>
      <c r="Q158" s="156"/>
      <c r="R158" s="258"/>
      <c r="S158" s="258"/>
      <c r="T158" s="258"/>
      <c r="U158" s="258"/>
      <c r="V158" s="258"/>
      <c r="W158" s="258"/>
    </row>
    <row r="159" spans="2:23">
      <c r="B159" s="157" t="s">
        <v>253</v>
      </c>
      <c r="C159" s="158" t="s">
        <v>391</v>
      </c>
      <c r="D159" s="156" t="s">
        <v>392</v>
      </c>
      <c r="E159" s="300">
        <v>0</v>
      </c>
      <c r="F159" s="300">
        <v>0</v>
      </c>
      <c r="G159" s="246">
        <f t="shared" si="12"/>
        <v>0</v>
      </c>
      <c r="H159" s="301">
        <v>0</v>
      </c>
      <c r="I159" s="340">
        <v>0</v>
      </c>
      <c r="J159" s="340">
        <v>0</v>
      </c>
      <c r="K159" s="340">
        <v>0</v>
      </c>
      <c r="L159" s="340">
        <v>0</v>
      </c>
      <c r="O159" s="157"/>
      <c r="P159" s="158"/>
      <c r="Q159" s="156"/>
      <c r="R159" s="258"/>
      <c r="S159" s="258"/>
      <c r="T159" s="258"/>
      <c r="U159" s="258"/>
      <c r="V159" s="258"/>
      <c r="W159" s="258"/>
    </row>
    <row r="160" spans="2:23" ht="36">
      <c r="B160" s="157" t="s">
        <v>253</v>
      </c>
      <c r="C160" s="158" t="s">
        <v>393</v>
      </c>
      <c r="D160" s="156" t="s">
        <v>267</v>
      </c>
      <c r="E160" s="300">
        <v>3.2716889</v>
      </c>
      <c r="F160" s="300">
        <v>3.2716889</v>
      </c>
      <c r="G160" s="246">
        <f t="shared" si="12"/>
        <v>0</v>
      </c>
      <c r="H160" s="301">
        <v>0</v>
      </c>
      <c r="I160" s="340">
        <v>0</v>
      </c>
      <c r="J160" s="340">
        <v>0</v>
      </c>
      <c r="K160" s="340">
        <v>0</v>
      </c>
      <c r="L160" s="340">
        <v>0</v>
      </c>
      <c r="O160" s="157"/>
      <c r="P160" s="158"/>
      <c r="Q160" s="156"/>
      <c r="R160" s="258"/>
      <c r="S160" s="258"/>
      <c r="T160" s="258"/>
      <c r="U160" s="258"/>
      <c r="V160" s="258"/>
      <c r="W160" s="258"/>
    </row>
    <row r="161" spans="2:23" ht="36">
      <c r="B161" s="157" t="s">
        <v>253</v>
      </c>
      <c r="C161" s="158" t="s">
        <v>394</v>
      </c>
      <c r="D161" s="156" t="s">
        <v>395</v>
      </c>
      <c r="E161" s="300">
        <v>0</v>
      </c>
      <c r="F161" s="300">
        <v>0</v>
      </c>
      <c r="G161" s="246">
        <f t="shared" si="12"/>
        <v>0</v>
      </c>
      <c r="H161" s="301">
        <v>0</v>
      </c>
      <c r="I161" s="340">
        <v>0</v>
      </c>
      <c r="J161" s="340">
        <v>0</v>
      </c>
      <c r="K161" s="340">
        <v>0</v>
      </c>
      <c r="L161" s="340">
        <v>0</v>
      </c>
      <c r="O161" s="157"/>
      <c r="P161" s="158"/>
      <c r="Q161" s="156"/>
      <c r="R161" s="258"/>
      <c r="S161" s="258"/>
      <c r="T161" s="258"/>
      <c r="U161" s="258"/>
      <c r="V161" s="258"/>
      <c r="W161" s="258"/>
    </row>
    <row r="162" spans="2:23" ht="36">
      <c r="B162" s="157" t="s">
        <v>253</v>
      </c>
      <c r="C162" s="158" t="s">
        <v>396</v>
      </c>
      <c r="D162" s="156" t="s">
        <v>397</v>
      </c>
      <c r="E162" s="300">
        <v>0.4307877</v>
      </c>
      <c r="F162" s="300">
        <v>0.4307877</v>
      </c>
      <c r="G162" s="246">
        <f t="shared" si="12"/>
        <v>0</v>
      </c>
      <c r="H162" s="301">
        <v>0</v>
      </c>
      <c r="I162" s="340">
        <v>0</v>
      </c>
      <c r="J162" s="340">
        <v>0</v>
      </c>
      <c r="K162" s="340">
        <v>0</v>
      </c>
      <c r="L162" s="340">
        <v>0</v>
      </c>
      <c r="O162" s="157"/>
      <c r="P162" s="158"/>
      <c r="Q162" s="156"/>
      <c r="R162" s="258"/>
      <c r="S162" s="258"/>
      <c r="T162" s="258"/>
      <c r="U162" s="258"/>
      <c r="V162" s="258"/>
      <c r="W162" s="258"/>
    </row>
    <row r="163" spans="2:23" ht="24">
      <c r="B163" s="157" t="s">
        <v>271</v>
      </c>
      <c r="C163" s="158" t="s">
        <v>398</v>
      </c>
      <c r="D163" s="156" t="s">
        <v>399</v>
      </c>
      <c r="E163" s="300">
        <v>3.1685197000000001</v>
      </c>
      <c r="F163" s="300">
        <v>3.1685197000000001</v>
      </c>
      <c r="G163" s="246">
        <f t="shared" si="12"/>
        <v>0</v>
      </c>
      <c r="H163" s="301">
        <v>0</v>
      </c>
      <c r="I163" s="340">
        <v>0</v>
      </c>
      <c r="J163" s="340">
        <v>0</v>
      </c>
      <c r="K163" s="340">
        <v>0</v>
      </c>
      <c r="L163" s="340">
        <v>0</v>
      </c>
      <c r="O163" s="157"/>
      <c r="P163" s="158"/>
      <c r="Q163" s="156"/>
      <c r="R163" s="258"/>
      <c r="S163" s="258"/>
      <c r="T163" s="258"/>
      <c r="U163" s="258"/>
      <c r="V163" s="258"/>
      <c r="W163" s="258"/>
    </row>
    <row r="164" spans="2:23">
      <c r="B164" s="157" t="s">
        <v>271</v>
      </c>
      <c r="C164" s="158" t="s">
        <v>400</v>
      </c>
      <c r="D164" s="156" t="s">
        <v>401</v>
      </c>
      <c r="E164" s="300">
        <v>0.41891309999999998</v>
      </c>
      <c r="F164" s="300">
        <v>0.41891309999999998</v>
      </c>
      <c r="G164" s="246">
        <f t="shared" si="12"/>
        <v>0</v>
      </c>
      <c r="H164" s="301">
        <v>0</v>
      </c>
      <c r="I164" s="340">
        <v>0</v>
      </c>
      <c r="J164" s="340">
        <v>0</v>
      </c>
      <c r="K164" s="340">
        <v>0</v>
      </c>
      <c r="L164" s="340">
        <v>0</v>
      </c>
      <c r="O164" s="157"/>
      <c r="P164" s="158"/>
      <c r="Q164" s="156"/>
      <c r="R164" s="258"/>
      <c r="S164" s="258"/>
      <c r="T164" s="258"/>
      <c r="U164" s="258"/>
      <c r="V164" s="258"/>
      <c r="W164" s="258"/>
    </row>
    <row r="165" spans="2:23" ht="48">
      <c r="B165" s="157" t="s">
        <v>271</v>
      </c>
      <c r="C165" s="158" t="s">
        <v>402</v>
      </c>
      <c r="D165" s="156" t="s">
        <v>403</v>
      </c>
      <c r="E165" s="300">
        <v>0</v>
      </c>
      <c r="F165" s="300">
        <v>0</v>
      </c>
      <c r="G165" s="246">
        <f t="shared" si="12"/>
        <v>0</v>
      </c>
      <c r="H165" s="301">
        <v>0</v>
      </c>
      <c r="I165" s="340">
        <v>0</v>
      </c>
      <c r="J165" s="340">
        <v>0</v>
      </c>
      <c r="K165" s="340">
        <v>0</v>
      </c>
      <c r="L165" s="340">
        <v>0</v>
      </c>
      <c r="O165" s="157"/>
      <c r="P165" s="158"/>
      <c r="Q165" s="156"/>
      <c r="R165" s="258"/>
      <c r="S165" s="258"/>
      <c r="T165" s="258"/>
      <c r="U165" s="258"/>
      <c r="V165" s="258"/>
      <c r="W165" s="258"/>
    </row>
    <row r="166" spans="2:23">
      <c r="B166" s="157" t="s">
        <v>271</v>
      </c>
      <c r="C166" s="158" t="s">
        <v>404</v>
      </c>
      <c r="D166" s="156" t="s">
        <v>405</v>
      </c>
      <c r="E166" s="300">
        <v>0</v>
      </c>
      <c r="F166" s="300">
        <v>0</v>
      </c>
      <c r="G166" s="246">
        <f t="shared" si="12"/>
        <v>0</v>
      </c>
      <c r="H166" s="301">
        <v>0</v>
      </c>
      <c r="I166" s="340">
        <v>0</v>
      </c>
      <c r="J166" s="340">
        <v>0</v>
      </c>
      <c r="K166" s="340">
        <v>0</v>
      </c>
      <c r="L166" s="340">
        <v>0</v>
      </c>
      <c r="O166" s="157"/>
      <c r="P166" s="158"/>
      <c r="Q166" s="156"/>
      <c r="R166" s="258"/>
      <c r="S166" s="258"/>
      <c r="T166" s="258"/>
      <c r="U166" s="258"/>
      <c r="V166" s="258"/>
      <c r="W166" s="258"/>
    </row>
    <row r="167" spans="2:23" ht="24">
      <c r="B167" s="157" t="s">
        <v>271</v>
      </c>
      <c r="C167" s="158" t="s">
        <v>406</v>
      </c>
      <c r="D167" s="156" t="s">
        <v>407</v>
      </c>
      <c r="E167" s="300">
        <v>5.8776000000000002E-3</v>
      </c>
      <c r="F167" s="300">
        <v>5.8776000000000002E-3</v>
      </c>
      <c r="G167" s="246">
        <f t="shared" si="12"/>
        <v>0</v>
      </c>
      <c r="H167" s="301">
        <v>0</v>
      </c>
      <c r="I167" s="340">
        <v>0</v>
      </c>
      <c r="J167" s="340">
        <v>0</v>
      </c>
      <c r="K167" s="340">
        <v>0</v>
      </c>
      <c r="L167" s="340">
        <v>0</v>
      </c>
      <c r="O167" s="157"/>
      <c r="P167" s="158"/>
      <c r="Q167" s="156"/>
      <c r="R167" s="258"/>
      <c r="S167" s="258"/>
      <c r="T167" s="258"/>
      <c r="U167" s="258"/>
      <c r="V167" s="258"/>
      <c r="W167" s="258"/>
    </row>
    <row r="168" spans="2:23">
      <c r="B168" s="157" t="s">
        <v>271</v>
      </c>
      <c r="C168" s="158" t="s">
        <v>408</v>
      </c>
      <c r="D168" s="156" t="s">
        <v>401</v>
      </c>
      <c r="E168" s="300">
        <v>0</v>
      </c>
      <c r="F168" s="300">
        <v>0</v>
      </c>
      <c r="G168" s="246">
        <f t="shared" si="12"/>
        <v>0</v>
      </c>
      <c r="H168" s="301">
        <v>0</v>
      </c>
      <c r="I168" s="340">
        <v>0</v>
      </c>
      <c r="J168" s="340">
        <v>0</v>
      </c>
      <c r="K168" s="340">
        <v>0</v>
      </c>
      <c r="L168" s="340">
        <v>0</v>
      </c>
      <c r="O168" s="157"/>
      <c r="P168" s="158"/>
      <c r="Q168" s="156"/>
      <c r="R168" s="258"/>
      <c r="S168" s="258"/>
      <c r="T168" s="258"/>
      <c r="U168" s="258"/>
      <c r="V168" s="258"/>
      <c r="W168" s="258"/>
    </row>
    <row r="169" spans="2:23">
      <c r="B169" s="157" t="s">
        <v>271</v>
      </c>
      <c r="C169" s="158" t="s">
        <v>409</v>
      </c>
      <c r="D169" s="156" t="s">
        <v>410</v>
      </c>
      <c r="E169" s="300">
        <v>0</v>
      </c>
      <c r="F169" s="300">
        <v>0</v>
      </c>
      <c r="G169" s="246">
        <f t="shared" si="12"/>
        <v>0</v>
      </c>
      <c r="H169" s="301">
        <v>0</v>
      </c>
      <c r="I169" s="340">
        <v>0</v>
      </c>
      <c r="J169" s="340">
        <v>0</v>
      </c>
      <c r="K169" s="340">
        <v>0</v>
      </c>
      <c r="L169" s="340">
        <v>0</v>
      </c>
      <c r="O169" s="157"/>
      <c r="P169" s="158"/>
      <c r="Q169" s="156"/>
      <c r="R169" s="258"/>
      <c r="S169" s="258"/>
      <c r="T169" s="258"/>
      <c r="U169" s="258"/>
      <c r="V169" s="258"/>
      <c r="W169" s="258"/>
    </row>
    <row r="170" spans="2:23" ht="48">
      <c r="B170" s="157" t="s">
        <v>271</v>
      </c>
      <c r="C170" s="158" t="s">
        <v>411</v>
      </c>
      <c r="D170" s="156" t="s">
        <v>412</v>
      </c>
      <c r="E170" s="300">
        <v>6.3113799999999998E-2</v>
      </c>
      <c r="F170" s="300">
        <v>6.3113799999999998E-2</v>
      </c>
      <c r="G170" s="246">
        <f t="shared" si="12"/>
        <v>0</v>
      </c>
      <c r="H170" s="301">
        <v>0</v>
      </c>
      <c r="I170" s="340">
        <v>0</v>
      </c>
      <c r="J170" s="340">
        <v>0</v>
      </c>
      <c r="K170" s="340">
        <v>0</v>
      </c>
      <c r="L170" s="340">
        <v>0</v>
      </c>
      <c r="O170" s="157"/>
      <c r="P170" s="158"/>
      <c r="Q170" s="156"/>
      <c r="R170" s="258"/>
      <c r="S170" s="258"/>
      <c r="T170" s="258"/>
      <c r="U170" s="258"/>
      <c r="V170" s="258"/>
      <c r="W170" s="258"/>
    </row>
    <row r="171" spans="2:23">
      <c r="B171" s="157" t="s">
        <v>271</v>
      </c>
      <c r="C171" s="158" t="s">
        <v>413</v>
      </c>
      <c r="D171" s="156">
        <v>0</v>
      </c>
      <c r="E171" s="300">
        <v>0</v>
      </c>
      <c r="F171" s="300">
        <v>0</v>
      </c>
      <c r="G171" s="246">
        <f t="shared" si="12"/>
        <v>0</v>
      </c>
      <c r="H171" s="301">
        <v>0</v>
      </c>
      <c r="I171" s="340">
        <v>0</v>
      </c>
      <c r="J171" s="340">
        <v>0</v>
      </c>
      <c r="K171" s="340">
        <v>0</v>
      </c>
      <c r="L171" s="340">
        <v>0</v>
      </c>
      <c r="O171" s="157"/>
      <c r="P171" s="158"/>
      <c r="Q171" s="156"/>
      <c r="R171" s="258"/>
      <c r="S171" s="258"/>
      <c r="T171" s="258"/>
      <c r="U171" s="258"/>
      <c r="V171" s="258"/>
      <c r="W171" s="258"/>
    </row>
    <row r="172" spans="2:23">
      <c r="B172" s="157" t="s">
        <v>271</v>
      </c>
      <c r="C172" s="158" t="s">
        <v>414</v>
      </c>
      <c r="D172" s="156">
        <v>0</v>
      </c>
      <c r="E172" s="300">
        <v>0</v>
      </c>
      <c r="F172" s="300">
        <v>0</v>
      </c>
      <c r="G172" s="246">
        <f t="shared" si="12"/>
        <v>0</v>
      </c>
      <c r="H172" s="301">
        <v>0</v>
      </c>
      <c r="I172" s="340">
        <v>0</v>
      </c>
      <c r="J172" s="340">
        <v>0</v>
      </c>
      <c r="K172" s="340">
        <v>0</v>
      </c>
      <c r="L172" s="340">
        <v>0</v>
      </c>
      <c r="O172" s="157"/>
      <c r="P172" s="158"/>
      <c r="Q172" s="156"/>
      <c r="R172" s="258"/>
      <c r="S172" s="258"/>
      <c r="T172" s="258"/>
      <c r="U172" s="258"/>
      <c r="V172" s="258"/>
      <c r="W172" s="258"/>
    </row>
    <row r="173" spans="2:23">
      <c r="B173" s="157" t="s">
        <v>271</v>
      </c>
      <c r="C173" s="158" t="s">
        <v>289</v>
      </c>
      <c r="D173" s="156">
        <v>0</v>
      </c>
      <c r="E173" s="300">
        <v>0</v>
      </c>
      <c r="F173" s="300">
        <v>0</v>
      </c>
      <c r="G173" s="246">
        <f t="shared" si="12"/>
        <v>0</v>
      </c>
      <c r="H173" s="301">
        <v>0</v>
      </c>
      <c r="I173" s="340">
        <v>0</v>
      </c>
      <c r="J173" s="340">
        <v>0</v>
      </c>
      <c r="K173" s="340">
        <v>0</v>
      </c>
      <c r="L173" s="340">
        <v>0</v>
      </c>
      <c r="O173" s="157"/>
      <c r="P173" s="158"/>
      <c r="Q173" s="156"/>
      <c r="R173" s="258"/>
      <c r="S173" s="258"/>
      <c r="T173" s="258"/>
      <c r="U173" s="258"/>
      <c r="V173" s="258"/>
      <c r="W173" s="258"/>
    </row>
    <row r="174" spans="2:23">
      <c r="B174" s="157" t="s">
        <v>290</v>
      </c>
      <c r="C174" s="158" t="s">
        <v>415</v>
      </c>
      <c r="D174" s="156" t="s">
        <v>415</v>
      </c>
      <c r="E174" s="300">
        <v>21.314058899000003</v>
      </c>
      <c r="F174" s="300">
        <v>21.314058899000003</v>
      </c>
      <c r="G174" s="246">
        <f t="shared" si="12"/>
        <v>0</v>
      </c>
      <c r="H174" s="301">
        <v>0</v>
      </c>
      <c r="I174" s="340">
        <v>0</v>
      </c>
      <c r="J174" s="340">
        <v>0</v>
      </c>
      <c r="K174" s="340">
        <v>0</v>
      </c>
      <c r="L174" s="340">
        <v>0</v>
      </c>
      <c r="O174" s="157"/>
      <c r="P174" s="158"/>
      <c r="Q174" s="156"/>
      <c r="R174" s="258"/>
      <c r="S174" s="258"/>
      <c r="T174" s="258"/>
      <c r="U174" s="258"/>
      <c r="V174" s="258"/>
      <c r="W174" s="258"/>
    </row>
    <row r="175" spans="2:23">
      <c r="B175" s="157" t="s">
        <v>290</v>
      </c>
      <c r="C175" s="158" t="s">
        <v>416</v>
      </c>
      <c r="D175" s="156" t="s">
        <v>292</v>
      </c>
      <c r="E175" s="300">
        <v>0</v>
      </c>
      <c r="F175" s="300">
        <v>0</v>
      </c>
      <c r="G175" s="246">
        <f t="shared" si="12"/>
        <v>0</v>
      </c>
      <c r="H175" s="301">
        <v>0</v>
      </c>
      <c r="I175" s="340">
        <v>0</v>
      </c>
      <c r="J175" s="340">
        <v>0</v>
      </c>
      <c r="K175" s="340">
        <v>0</v>
      </c>
      <c r="L175" s="340">
        <v>0</v>
      </c>
      <c r="O175" s="157"/>
      <c r="P175" s="158"/>
      <c r="Q175" s="156"/>
      <c r="R175" s="258"/>
      <c r="S175" s="258"/>
      <c r="T175" s="258"/>
      <c r="U175" s="258"/>
      <c r="V175" s="258"/>
      <c r="W175" s="258"/>
    </row>
    <row r="176" spans="2:23" ht="24">
      <c r="B176" s="157" t="s">
        <v>316</v>
      </c>
      <c r="C176" s="158" t="s">
        <v>316</v>
      </c>
      <c r="D176" s="156" t="s">
        <v>417</v>
      </c>
      <c r="E176" s="300">
        <v>0</v>
      </c>
      <c r="F176" s="300">
        <v>0</v>
      </c>
      <c r="G176" s="246">
        <f t="shared" si="12"/>
        <v>0</v>
      </c>
      <c r="H176" s="301">
        <v>0</v>
      </c>
      <c r="I176" s="340">
        <v>0</v>
      </c>
      <c r="J176" s="340">
        <v>0</v>
      </c>
      <c r="K176" s="340">
        <v>0</v>
      </c>
      <c r="L176" s="340">
        <v>0</v>
      </c>
      <c r="O176" s="157"/>
      <c r="P176" s="158"/>
      <c r="Q176" s="156"/>
      <c r="R176" s="258"/>
      <c r="S176" s="258"/>
      <c r="T176" s="258"/>
      <c r="U176" s="258"/>
      <c r="V176" s="258"/>
      <c r="W176" s="258"/>
    </row>
    <row r="177" spans="2:23" ht="24">
      <c r="B177" s="157" t="s">
        <v>316</v>
      </c>
      <c r="C177" s="158" t="s">
        <v>316</v>
      </c>
      <c r="D177" s="156" t="s">
        <v>418</v>
      </c>
      <c r="E177" s="300">
        <v>0</v>
      </c>
      <c r="F177" s="300">
        <v>0</v>
      </c>
      <c r="G177" s="246">
        <f t="shared" si="12"/>
        <v>0</v>
      </c>
      <c r="H177" s="301">
        <v>0</v>
      </c>
      <c r="I177" s="340">
        <v>0</v>
      </c>
      <c r="J177" s="340">
        <v>0</v>
      </c>
      <c r="K177" s="340">
        <v>0</v>
      </c>
      <c r="L177" s="340">
        <v>0</v>
      </c>
      <c r="O177" s="157"/>
      <c r="P177" s="158"/>
      <c r="Q177" s="156"/>
      <c r="R177" s="258"/>
      <c r="S177" s="258"/>
      <c r="T177" s="258"/>
      <c r="U177" s="258"/>
      <c r="V177" s="258"/>
      <c r="W177" s="258"/>
    </row>
    <row r="178" spans="2:23" ht="36">
      <c r="B178" s="157" t="s">
        <v>245</v>
      </c>
      <c r="C178" s="158" t="s">
        <v>245</v>
      </c>
      <c r="D178" s="156" t="s">
        <v>419</v>
      </c>
      <c r="E178" s="300">
        <v>0</v>
      </c>
      <c r="F178" s="300">
        <v>0</v>
      </c>
      <c r="G178" s="246">
        <f t="shared" si="12"/>
        <v>0</v>
      </c>
      <c r="H178" s="301">
        <v>0</v>
      </c>
      <c r="I178" s="340">
        <v>0</v>
      </c>
      <c r="J178" s="340">
        <v>0</v>
      </c>
      <c r="K178" s="340">
        <v>0</v>
      </c>
      <c r="L178" s="340">
        <v>0</v>
      </c>
      <c r="O178" s="157"/>
      <c r="P178" s="158"/>
      <c r="Q178" s="156"/>
      <c r="R178" s="258"/>
      <c r="S178" s="258"/>
      <c r="T178" s="258"/>
      <c r="U178" s="258"/>
      <c r="V178" s="258"/>
      <c r="W178" s="258"/>
    </row>
    <row r="179" spans="2:23">
      <c r="O179" s="157"/>
      <c r="P179" s="158"/>
      <c r="Q179" s="156"/>
      <c r="R179" s="258"/>
      <c r="S179" s="258"/>
      <c r="T179" s="258"/>
      <c r="U179" s="258"/>
      <c r="V179" s="258"/>
      <c r="W179" s="258"/>
    </row>
    <row r="180" spans="2:23">
      <c r="O180" s="157"/>
      <c r="P180" s="158"/>
      <c r="Q180" s="156"/>
      <c r="R180" s="258"/>
      <c r="S180" s="258"/>
      <c r="T180" s="258"/>
      <c r="U180" s="258"/>
      <c r="V180" s="258"/>
      <c r="W180" s="258"/>
    </row>
    <row r="181" spans="2:23">
      <c r="O181" s="157"/>
      <c r="P181" s="158"/>
      <c r="Q181" s="156"/>
      <c r="R181" s="258"/>
      <c r="S181" s="258"/>
      <c r="T181" s="258"/>
      <c r="U181" s="258"/>
      <c r="V181" s="258"/>
      <c r="W181" s="258"/>
    </row>
    <row r="182" spans="2:23">
      <c r="O182" s="157"/>
      <c r="P182" s="158"/>
      <c r="Q182" s="156"/>
      <c r="R182" s="258"/>
      <c r="S182" s="258"/>
      <c r="T182" s="258"/>
      <c r="U182" s="258"/>
      <c r="V182" s="258"/>
      <c r="W182" s="258"/>
    </row>
    <row r="183" spans="2:23">
      <c r="O183" s="157"/>
      <c r="P183" s="158"/>
      <c r="Q183" s="156"/>
      <c r="R183" s="258"/>
      <c r="S183" s="258"/>
      <c r="T183" s="258"/>
      <c r="U183" s="258"/>
      <c r="V183" s="258"/>
      <c r="W183" s="258"/>
    </row>
    <row r="184" spans="2:23">
      <c r="O184" s="157"/>
      <c r="P184" s="158"/>
      <c r="Q184" s="156"/>
      <c r="R184" s="258"/>
      <c r="S184" s="258"/>
      <c r="T184" s="258"/>
      <c r="U184" s="258"/>
      <c r="V184" s="258"/>
      <c r="W184" s="258"/>
    </row>
    <row r="185" spans="2:23">
      <c r="O185" s="157"/>
      <c r="P185" s="158"/>
      <c r="Q185" s="156"/>
      <c r="R185" s="258"/>
      <c r="S185" s="258"/>
      <c r="T185" s="258"/>
      <c r="U185" s="258"/>
      <c r="V185" s="258"/>
      <c r="W185" s="258"/>
    </row>
    <row r="186" spans="2:23">
      <c r="O186" s="157"/>
      <c r="P186" s="158"/>
      <c r="Q186" s="156"/>
      <c r="R186" s="258"/>
      <c r="S186" s="258"/>
      <c r="T186" s="258"/>
      <c r="U186" s="258"/>
      <c r="V186" s="258"/>
      <c r="W186" s="258"/>
    </row>
    <row r="187" spans="2:23">
      <c r="O187" s="157"/>
      <c r="P187" s="158"/>
      <c r="Q187" s="156"/>
      <c r="R187" s="258"/>
      <c r="S187" s="258"/>
      <c r="T187" s="258"/>
      <c r="U187" s="258"/>
      <c r="V187" s="258"/>
      <c r="W187" s="258"/>
    </row>
    <row r="188" spans="2:23">
      <c r="O188" s="157"/>
      <c r="P188" s="158"/>
      <c r="Q188" s="156"/>
      <c r="R188" s="258"/>
      <c r="S188" s="258"/>
      <c r="T188" s="258"/>
      <c r="U188" s="258"/>
      <c r="V188" s="258"/>
      <c r="W188" s="258"/>
    </row>
    <row r="189" spans="2:23">
      <c r="O189" s="157"/>
      <c r="P189" s="158"/>
      <c r="Q189" s="156"/>
      <c r="R189" s="258"/>
      <c r="S189" s="258"/>
      <c r="T189" s="258"/>
      <c r="U189" s="258"/>
      <c r="V189" s="258"/>
      <c r="W189" s="258"/>
    </row>
  </sheetData>
  <mergeCells count="17">
    <mergeCell ref="S26:V26"/>
    <mergeCell ref="I15:L15"/>
    <mergeCell ref="D4:H4"/>
    <mergeCell ref="B3:K3"/>
    <mergeCell ref="B2:K2"/>
    <mergeCell ref="B9:K9"/>
    <mergeCell ref="B10:K10"/>
    <mergeCell ref="B15:B16"/>
    <mergeCell ref="C15:C16"/>
    <mergeCell ref="D15:D16"/>
    <mergeCell ref="H15:H16"/>
    <mergeCell ref="B6:K6"/>
    <mergeCell ref="O104:Q104"/>
    <mergeCell ref="O26:O27"/>
    <mergeCell ref="P26:P27"/>
    <mergeCell ref="Q26:Q27"/>
    <mergeCell ref="R26:R2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6" tint="-0.249977111117893"/>
  </sheetPr>
  <dimension ref="B2:K13"/>
  <sheetViews>
    <sheetView workbookViewId="0">
      <selection activeCell="B2" sqref="B2:G2"/>
    </sheetView>
  </sheetViews>
  <sheetFormatPr defaultRowHeight="14.4"/>
  <cols>
    <col min="3" max="3" width="11.109375" customWidth="1"/>
    <col min="6" max="6" width="12.109375" customWidth="1"/>
    <col min="7" max="7" width="32.33203125" customWidth="1"/>
  </cols>
  <sheetData>
    <row r="2" spans="2:11">
      <c r="B2" s="408" t="s">
        <v>100</v>
      </c>
      <c r="C2" s="408"/>
      <c r="D2" s="408"/>
      <c r="E2" s="408"/>
      <c r="F2" s="408"/>
      <c r="G2" s="408"/>
    </row>
    <row r="3" spans="2:11">
      <c r="B3" s="409" t="str">
        <f>'SUMMARY-2023'!B3</f>
        <v>Details as on 31st March 2023</v>
      </c>
      <c r="C3" s="409"/>
      <c r="D3" s="409"/>
      <c r="E3" s="409"/>
      <c r="F3" s="409"/>
      <c r="G3" s="409"/>
    </row>
    <row r="4" spans="2:11" ht="48">
      <c r="B4" s="86" t="s">
        <v>101</v>
      </c>
      <c r="C4" s="86" t="s">
        <v>1</v>
      </c>
      <c r="D4" s="37" t="s">
        <v>64</v>
      </c>
      <c r="E4" s="86" t="s">
        <v>97</v>
      </c>
      <c r="F4" s="86" t="s">
        <v>125</v>
      </c>
      <c r="G4" s="86" t="s">
        <v>22</v>
      </c>
    </row>
    <row r="5" spans="2:11">
      <c r="B5" s="482" t="str">
        <f>'SUMMARY-2023'!B5</f>
        <v>Figures in INR Crores</v>
      </c>
      <c r="C5" s="482"/>
      <c r="D5" s="482"/>
      <c r="E5" s="482"/>
      <c r="F5" s="482"/>
      <c r="G5" s="482"/>
    </row>
    <row r="6" spans="2:11" ht="100.8">
      <c r="B6" s="95">
        <v>1</v>
      </c>
      <c r="C6" s="92" t="s">
        <v>124</v>
      </c>
      <c r="D6" s="96">
        <v>10.36</v>
      </c>
      <c r="E6" s="96" t="s">
        <v>137</v>
      </c>
      <c r="F6" s="83" t="s">
        <v>137</v>
      </c>
      <c r="G6" s="84" t="s">
        <v>136</v>
      </c>
    </row>
    <row r="7" spans="2:11">
      <c r="B7" s="93"/>
      <c r="C7" s="94"/>
      <c r="D7" s="67">
        <f>SUM(D6)</f>
        <v>10.36</v>
      </c>
      <c r="E7" s="71">
        <f t="shared" ref="E7:F7" si="0">SUM(E6)</f>
        <v>0</v>
      </c>
      <c r="F7" s="71">
        <f t="shared" si="0"/>
        <v>0</v>
      </c>
      <c r="G7" s="68"/>
      <c r="K7" s="78"/>
    </row>
    <row r="8" spans="2:11">
      <c r="B8" s="483"/>
      <c r="C8" s="483"/>
      <c r="D8" s="483"/>
      <c r="E8" s="483"/>
      <c r="F8" s="483"/>
      <c r="G8" s="483"/>
    </row>
    <row r="9" spans="2:11">
      <c r="B9" s="484" t="s">
        <v>20</v>
      </c>
      <c r="C9" s="484"/>
      <c r="D9" s="484"/>
      <c r="E9" s="484"/>
      <c r="F9" s="484"/>
      <c r="G9" s="484"/>
    </row>
    <row r="10" spans="2:11" ht="39" customHeight="1">
      <c r="B10" s="481" t="s">
        <v>102</v>
      </c>
      <c r="C10" s="481"/>
      <c r="D10" s="481"/>
      <c r="E10" s="481"/>
      <c r="F10" s="481"/>
      <c r="G10" s="481"/>
    </row>
    <row r="11" spans="2:11" ht="49.5" customHeight="1">
      <c r="B11" s="481" t="s">
        <v>103</v>
      </c>
      <c r="C11" s="481"/>
      <c r="D11" s="481"/>
      <c r="E11" s="481"/>
      <c r="F11" s="481"/>
      <c r="G11" s="481"/>
    </row>
    <row r="12" spans="2:11" ht="60" customHeight="1">
      <c r="B12" s="481" t="s">
        <v>104</v>
      </c>
      <c r="C12" s="481"/>
      <c r="D12" s="481"/>
      <c r="E12" s="481"/>
      <c r="F12" s="481"/>
      <c r="G12" s="481"/>
    </row>
    <row r="13" spans="2:11" ht="91.5" customHeight="1">
      <c r="B13" s="481" t="s">
        <v>105</v>
      </c>
      <c r="C13" s="481"/>
      <c r="D13" s="481"/>
      <c r="E13" s="481"/>
      <c r="F13" s="481"/>
      <c r="G13" s="481"/>
    </row>
  </sheetData>
  <mergeCells count="9">
    <mergeCell ref="B13:G13"/>
    <mergeCell ref="B2:G2"/>
    <mergeCell ref="B3:G3"/>
    <mergeCell ref="B5:G5"/>
    <mergeCell ref="B8:G8"/>
    <mergeCell ref="B9:G9"/>
    <mergeCell ref="B10:G10"/>
    <mergeCell ref="B11:G11"/>
    <mergeCell ref="B12:G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N32"/>
  <sheetViews>
    <sheetView tabSelected="1" zoomScaleNormal="100" workbookViewId="0">
      <pane ySplit="4" topLeftCell="A5" activePane="bottomLeft" state="frozen"/>
      <selection pane="bottomLeft" activeCell="I22" sqref="I22"/>
    </sheetView>
  </sheetViews>
  <sheetFormatPr defaultColWidth="9" defaultRowHeight="13.2"/>
  <cols>
    <col min="1" max="1" width="9" style="28"/>
    <col min="2" max="2" width="7" style="28" bestFit="1" customWidth="1"/>
    <col min="3" max="3" width="37.44140625" style="28" bestFit="1" customWidth="1"/>
    <col min="4" max="4" width="19.109375" style="29" customWidth="1"/>
    <col min="5" max="5" width="17.5546875" style="29" bestFit="1" customWidth="1"/>
    <col min="6" max="6" width="17.5546875" style="29" customWidth="1"/>
    <col min="7" max="7" width="10.6640625" style="28" bestFit="1" customWidth="1"/>
    <col min="8" max="8" width="11" style="28" bestFit="1" customWidth="1"/>
    <col min="9" max="9" width="16.88671875" style="28" customWidth="1"/>
    <col min="10" max="10" width="15.6640625" style="28" customWidth="1"/>
    <col min="11" max="16384" width="9" style="28"/>
  </cols>
  <sheetData>
    <row r="2" spans="2:7">
      <c r="B2" s="383" t="s">
        <v>65</v>
      </c>
      <c r="C2" s="383"/>
      <c r="D2" s="383"/>
      <c r="E2" s="383"/>
      <c r="F2" s="384"/>
      <c r="G2" s="383"/>
    </row>
    <row r="3" spans="2:7">
      <c r="B3" s="391" t="s">
        <v>93</v>
      </c>
      <c r="C3" s="391"/>
      <c r="D3" s="391"/>
      <c r="E3" s="391"/>
      <c r="F3" s="392"/>
      <c r="G3" s="391"/>
    </row>
    <row r="4" spans="2:7" ht="46.5" customHeight="1">
      <c r="B4" s="30" t="s">
        <v>24</v>
      </c>
      <c r="C4" s="30" t="s">
        <v>2</v>
      </c>
      <c r="D4" s="31" t="s">
        <v>64</v>
      </c>
      <c r="E4" s="31" t="s">
        <v>28</v>
      </c>
      <c r="F4" s="31" t="s">
        <v>117</v>
      </c>
      <c r="G4" s="30" t="s">
        <v>25</v>
      </c>
    </row>
    <row r="5" spans="2:7">
      <c r="B5" s="393" t="s">
        <v>92</v>
      </c>
      <c r="C5" s="393"/>
      <c r="D5" s="393"/>
      <c r="E5" s="393"/>
      <c r="F5" s="394"/>
      <c r="G5" s="393"/>
    </row>
    <row r="6" spans="2:7">
      <c r="B6" s="39">
        <v>1</v>
      </c>
      <c r="C6" s="27" t="s">
        <v>669</v>
      </c>
      <c r="D6" s="69">
        <v>4.78</v>
      </c>
      <c r="E6" s="62">
        <f>1.34+1.09</f>
        <v>2.4300000000000002</v>
      </c>
      <c r="F6" s="62">
        <f>0.94+0.763</f>
        <v>1.7029999999999998</v>
      </c>
      <c r="G6" s="62" t="s">
        <v>181</v>
      </c>
    </row>
    <row r="7" spans="2:7">
      <c r="B7" s="39">
        <v>2</v>
      </c>
      <c r="C7" s="27" t="s">
        <v>670</v>
      </c>
      <c r="D7" s="69">
        <v>34.340000000000003</v>
      </c>
      <c r="E7" s="62">
        <v>56.57</v>
      </c>
      <c r="F7" s="62">
        <v>44.2</v>
      </c>
      <c r="G7" s="62" t="s">
        <v>181</v>
      </c>
    </row>
    <row r="8" spans="2:7">
      <c r="B8" s="39">
        <v>3</v>
      </c>
      <c r="C8" s="27" t="s">
        <v>10</v>
      </c>
      <c r="D8" s="62">
        <v>10.36</v>
      </c>
      <c r="E8" s="62">
        <v>7.53</v>
      </c>
      <c r="F8" s="62">
        <v>5.0199999999999996</v>
      </c>
      <c r="G8" s="62" t="s">
        <v>181</v>
      </c>
    </row>
    <row r="9" spans="2:7">
      <c r="B9" s="39">
        <v>4</v>
      </c>
      <c r="C9" s="27" t="s">
        <v>671</v>
      </c>
      <c r="D9" s="62">
        <v>2.91</v>
      </c>
      <c r="E9" s="62" t="s">
        <v>181</v>
      </c>
      <c r="F9" s="62" t="s">
        <v>181</v>
      </c>
      <c r="G9" s="62" t="s">
        <v>181</v>
      </c>
    </row>
    <row r="10" spans="2:7">
      <c r="B10" s="39">
        <v>5</v>
      </c>
      <c r="C10" s="27" t="s">
        <v>86</v>
      </c>
      <c r="D10" s="324">
        <f>'NCI-I'!D10</f>
        <v>47.47</v>
      </c>
      <c r="E10" s="324">
        <f>'NCI-I'!H10</f>
        <v>7.2314197199999999</v>
      </c>
      <c r="F10" s="324">
        <f>'NCI-I'!I10</f>
        <v>7.2314197199999999</v>
      </c>
      <c r="G10" s="40" t="s">
        <v>30</v>
      </c>
    </row>
    <row r="11" spans="2:7">
      <c r="B11" s="39">
        <v>6</v>
      </c>
      <c r="C11" s="27" t="s">
        <v>98</v>
      </c>
      <c r="D11" s="324">
        <f>'Trade Receivable-II'!D8</f>
        <v>124.86</v>
      </c>
      <c r="E11" s="324">
        <f>'Trade Receivable-II'!I8</f>
        <v>89.367943742580479</v>
      </c>
      <c r="F11" s="324">
        <f>'Trade Receivable-II'!J8</f>
        <v>49.638978032347239</v>
      </c>
      <c r="G11" s="40" t="s">
        <v>73</v>
      </c>
    </row>
    <row r="12" spans="2:7">
      <c r="B12" s="39">
        <v>7</v>
      </c>
      <c r="C12" s="27" t="s">
        <v>118</v>
      </c>
      <c r="D12" s="325">
        <f>'Loans-III'!E8</f>
        <v>10.049999999999999</v>
      </c>
      <c r="E12" s="325">
        <f>'Loans-III'!I8</f>
        <v>0.02</v>
      </c>
      <c r="F12" s="325">
        <f>'Loans-III'!J8</f>
        <v>0.02</v>
      </c>
      <c r="G12" s="40" t="s">
        <v>74</v>
      </c>
    </row>
    <row r="13" spans="2:7">
      <c r="B13" s="39">
        <v>8</v>
      </c>
      <c r="C13" s="323" t="s">
        <v>663</v>
      </c>
      <c r="D13" s="325">
        <f>'Interest Accrued-IV'!E7</f>
        <v>217.08</v>
      </c>
      <c r="E13" s="325">
        <f>'Interest Accrued-IV'!J7</f>
        <v>131.53842139229843</v>
      </c>
      <c r="F13" s="325">
        <f>'Interest Accrued-IV'!K7</f>
        <v>3.0757775250000008</v>
      </c>
      <c r="G13" s="40" t="s">
        <v>31</v>
      </c>
    </row>
    <row r="14" spans="2:7">
      <c r="B14" s="39">
        <v>9</v>
      </c>
      <c r="C14" s="323" t="s">
        <v>673</v>
      </c>
      <c r="D14" s="324">
        <f>'Claim for PBG-V'!D7</f>
        <v>1.56</v>
      </c>
      <c r="E14" s="324">
        <f>'Claim for PBG-V'!E7</f>
        <v>1.2480000000000002</v>
      </c>
      <c r="F14" s="324">
        <f>'Claim for PBG-V'!F7</f>
        <v>0.62400000000000011</v>
      </c>
      <c r="G14" s="40" t="s">
        <v>84</v>
      </c>
    </row>
    <row r="15" spans="2:7">
      <c r="B15" s="39">
        <v>10</v>
      </c>
      <c r="C15" s="27" t="s">
        <v>123</v>
      </c>
      <c r="D15" s="324">
        <f>'Other Receivables-VI'!D7</f>
        <v>1.4</v>
      </c>
      <c r="E15" s="324">
        <f>'Other Receivables-VI'!G7</f>
        <v>1.1783519905731838</v>
      </c>
      <c r="F15" s="324">
        <f>'Other Receivables-VI'!H7</f>
        <v>0</v>
      </c>
      <c r="G15" s="62" t="s">
        <v>85</v>
      </c>
    </row>
    <row r="16" spans="2:7">
      <c r="B16" s="39">
        <v>11</v>
      </c>
      <c r="C16" s="27" t="s">
        <v>664</v>
      </c>
      <c r="D16" s="325">
        <f>'Margin Money-VII'!D7</f>
        <v>24.2</v>
      </c>
      <c r="E16" s="325">
        <f>'Margin Money-VII'!E7</f>
        <v>24.2</v>
      </c>
      <c r="F16" s="325">
        <f>'Margin Money-VII'!F7</f>
        <v>24.2</v>
      </c>
      <c r="G16" s="62" t="s">
        <v>88</v>
      </c>
    </row>
    <row r="17" spans="2:14">
      <c r="B17" s="39">
        <v>12</v>
      </c>
      <c r="C17" s="27" t="s">
        <v>612</v>
      </c>
      <c r="D17" s="325">
        <f>'Tax Assets-VIII'!D7</f>
        <v>61.69</v>
      </c>
      <c r="E17" s="325">
        <f>'Tax Assets-VIII'!E7</f>
        <v>60.442583199999994</v>
      </c>
      <c r="F17" s="325">
        <f>'Tax Assets-VIII'!F7</f>
        <v>0</v>
      </c>
      <c r="G17" s="69" t="s">
        <v>89</v>
      </c>
    </row>
    <row r="18" spans="2:14">
      <c r="B18" s="39">
        <v>13</v>
      </c>
      <c r="C18" s="27" t="s">
        <v>665</v>
      </c>
      <c r="D18" s="325">
        <f>'Deposits-IX'!D7</f>
        <v>3.33</v>
      </c>
      <c r="E18" s="324">
        <f>'Deposits-IX'!H7</f>
        <v>2.804554158032214</v>
      </c>
      <c r="F18" s="324">
        <f>'Deposits-IX'!I7</f>
        <v>2.1325407864000008</v>
      </c>
      <c r="G18" s="62" t="s">
        <v>90</v>
      </c>
    </row>
    <row r="19" spans="2:14">
      <c r="B19" s="39">
        <v>14</v>
      </c>
      <c r="C19" s="27" t="s">
        <v>666</v>
      </c>
      <c r="D19" s="325">
        <f>'Advances to Vendor-X'!D7</f>
        <v>31.830000000000002</v>
      </c>
      <c r="E19" s="325">
        <f>'Advances to Vendor-X'!E7</f>
        <v>39.885949376999946</v>
      </c>
      <c r="F19" s="325">
        <f>'Advances to Vendor-X'!F7</f>
        <v>34.080957165999941</v>
      </c>
      <c r="G19" s="62" t="s">
        <v>91</v>
      </c>
      <c r="I19" s="32"/>
    </row>
    <row r="20" spans="2:14">
      <c r="B20" s="39">
        <v>15</v>
      </c>
      <c r="C20" s="27" t="s">
        <v>667</v>
      </c>
      <c r="D20" s="325">
        <f>'Balance - Satutory Authority-XI'!D7</f>
        <v>125.14</v>
      </c>
      <c r="E20" s="325">
        <f>'Balance - Satutory Authority-XI'!E7</f>
        <v>87.17</v>
      </c>
      <c r="F20" s="325">
        <f>'Balance - Satutory Authority-XI'!F7</f>
        <v>0</v>
      </c>
      <c r="G20" s="62" t="s">
        <v>183</v>
      </c>
      <c r="I20" s="303"/>
      <c r="J20" s="303"/>
    </row>
    <row r="21" spans="2:14">
      <c r="B21" s="39">
        <v>16</v>
      </c>
      <c r="C21" s="27" t="s">
        <v>668</v>
      </c>
      <c r="D21" s="325">
        <f>'Contract Assets-WIP-XII'!D7</f>
        <v>486.83</v>
      </c>
      <c r="E21" s="325">
        <f>'Contract Assets-WIP-XII'!I7</f>
        <v>383.53130505851493</v>
      </c>
      <c r="F21" s="325">
        <f>'Contract Assets-WIP-XII'!J7</f>
        <v>106.56593626978322</v>
      </c>
      <c r="G21" s="40" t="s">
        <v>674</v>
      </c>
      <c r="I21" s="303"/>
      <c r="J21" s="303"/>
      <c r="L21" s="318"/>
      <c r="M21" s="318"/>
      <c r="N21" s="318"/>
    </row>
    <row r="22" spans="2:14">
      <c r="B22" s="39">
        <v>17</v>
      </c>
      <c r="C22" s="27" t="s">
        <v>182</v>
      </c>
      <c r="D22" s="325">
        <f>'Retention Money-XIII'!D8</f>
        <v>305.34999999999997</v>
      </c>
      <c r="E22" s="325">
        <f>'Retention Money-XIII'!I8</f>
        <v>240.72922863640167</v>
      </c>
      <c r="F22" s="325">
        <f>'Retention Money-XIII'!J8</f>
        <v>58.849221070890181</v>
      </c>
      <c r="G22" s="40" t="s">
        <v>675</v>
      </c>
      <c r="I22" s="303"/>
      <c r="J22" s="303"/>
      <c r="L22" s="318"/>
      <c r="M22" s="318"/>
      <c r="N22" s="318"/>
    </row>
    <row r="23" spans="2:14">
      <c r="B23" s="39">
        <v>18</v>
      </c>
      <c r="C23" s="27" t="s">
        <v>677</v>
      </c>
      <c r="D23" s="324">
        <f>'Cash &amp; Cash Equivalents-XIV'!D10</f>
        <v>330.90999999999997</v>
      </c>
      <c r="E23" s="324">
        <f>'Cash &amp; Cash Equivalents-XIV'!E10</f>
        <v>392.61754150000002</v>
      </c>
      <c r="F23" s="324">
        <f>'Cash &amp; Cash Equivalents-XIV'!F10</f>
        <v>392.61754150000002</v>
      </c>
      <c r="G23" s="62" t="s">
        <v>676</v>
      </c>
    </row>
    <row r="24" spans="2:14">
      <c r="B24" s="389" t="s">
        <v>21</v>
      </c>
      <c r="C24" s="390"/>
      <c r="D24" s="326">
        <f>SUM(D6:D23)</f>
        <v>1824.0900000000001</v>
      </c>
      <c r="E24" s="326">
        <f>SUM(E6:E23)</f>
        <v>1528.4952987754007</v>
      </c>
      <c r="F24" s="326">
        <f>SUM(F6:F23)</f>
        <v>729.95937207042061</v>
      </c>
      <c r="G24" s="30"/>
      <c r="I24" s="303"/>
      <c r="J24" s="303"/>
    </row>
    <row r="25" spans="2:14" ht="12" customHeight="1">
      <c r="B25" s="386" t="s">
        <v>20</v>
      </c>
      <c r="C25" s="387"/>
      <c r="D25" s="387"/>
      <c r="E25" s="387"/>
      <c r="F25" s="387"/>
      <c r="G25" s="388"/>
      <c r="K25" s="320"/>
      <c r="L25" s="321"/>
      <c r="M25" s="321"/>
      <c r="N25" s="321"/>
    </row>
    <row r="26" spans="2:14" ht="292.5" customHeight="1">
      <c r="B26" s="385" t="s">
        <v>148</v>
      </c>
      <c r="C26" s="385"/>
      <c r="D26" s="385"/>
      <c r="E26" s="385"/>
      <c r="F26" s="385"/>
      <c r="G26" s="385"/>
    </row>
    <row r="27" spans="2:14" ht="33.75" customHeight="1">
      <c r="B27" s="33"/>
      <c r="C27" s="33"/>
      <c r="D27" s="33"/>
      <c r="E27" s="33"/>
      <c r="F27" s="33"/>
      <c r="G27" s="33"/>
    </row>
    <row r="28" spans="2:14" ht="23.25" customHeight="1">
      <c r="B28" s="34"/>
      <c r="C28" s="34"/>
      <c r="D28" s="34"/>
      <c r="E28" s="34"/>
      <c r="F28" s="34"/>
      <c r="G28" s="34"/>
    </row>
    <row r="29" spans="2:14" ht="36" customHeight="1">
      <c r="B29" s="33"/>
      <c r="C29" s="33"/>
      <c r="D29" s="33"/>
      <c r="E29" s="33"/>
      <c r="F29" s="33"/>
      <c r="G29" s="33"/>
    </row>
    <row r="30" spans="2:14" ht="33.75" customHeight="1">
      <c r="B30" s="33"/>
      <c r="C30" s="33"/>
      <c r="D30" s="33"/>
      <c r="E30" s="33"/>
      <c r="F30" s="33"/>
      <c r="G30" s="33"/>
    </row>
    <row r="31" spans="2:14" ht="30" customHeight="1">
      <c r="B31" s="35"/>
      <c r="C31" s="35"/>
      <c r="D31" s="35"/>
      <c r="E31" s="35"/>
      <c r="F31" s="35"/>
      <c r="G31" s="35"/>
    </row>
    <row r="32" spans="2:14" ht="48.75" customHeight="1">
      <c r="B32" s="35"/>
      <c r="C32" s="35"/>
      <c r="D32" s="35"/>
      <c r="E32" s="35"/>
      <c r="F32" s="35"/>
      <c r="G32" s="35"/>
    </row>
  </sheetData>
  <mergeCells count="6">
    <mergeCell ref="B2:G2"/>
    <mergeCell ref="B26:G26"/>
    <mergeCell ref="B25:G25"/>
    <mergeCell ref="B24:C24"/>
    <mergeCell ref="B3:G3"/>
    <mergeCell ref="B5:G5"/>
  </mergeCell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sheetPr>
  <dimension ref="B2:J22"/>
  <sheetViews>
    <sheetView topLeftCell="A10" workbookViewId="0">
      <selection activeCell="B15" sqref="B15:G15"/>
    </sheetView>
  </sheetViews>
  <sheetFormatPr defaultRowHeight="14.4"/>
  <cols>
    <col min="3" max="3" width="17.6640625" customWidth="1"/>
    <col min="4" max="4" width="13.33203125" customWidth="1"/>
    <col min="5" max="5" width="13" customWidth="1"/>
    <col min="6" max="6" width="12.6640625" customWidth="1"/>
    <col min="7" max="7" width="75.33203125" customWidth="1"/>
    <col min="9" max="9" width="12.6640625" customWidth="1"/>
  </cols>
  <sheetData>
    <row r="2" spans="2:10">
      <c r="B2" s="494" t="s">
        <v>116</v>
      </c>
      <c r="C2" s="494"/>
      <c r="D2" s="494"/>
      <c r="E2" s="494"/>
      <c r="F2" s="494"/>
      <c r="G2" s="494"/>
    </row>
    <row r="3" spans="2:10">
      <c r="B3" s="409" t="str">
        <f>'SUMMARY-2023'!B3</f>
        <v>Details as on 31st March 2023</v>
      </c>
      <c r="C3" s="409"/>
      <c r="D3" s="409"/>
      <c r="E3" s="409"/>
      <c r="F3" s="409"/>
      <c r="G3" s="409"/>
    </row>
    <row r="4" spans="2:10" ht="42.6" customHeight="1">
      <c r="B4" s="67" t="s">
        <v>24</v>
      </c>
      <c r="C4" s="91" t="s">
        <v>1</v>
      </c>
      <c r="D4" s="86" t="s">
        <v>64</v>
      </c>
      <c r="E4" s="24" t="s">
        <v>142</v>
      </c>
      <c r="F4" s="24" t="s">
        <v>143</v>
      </c>
      <c r="G4" s="86" t="s">
        <v>22</v>
      </c>
    </row>
    <row r="5" spans="2:10">
      <c r="B5" s="414" t="str">
        <f>'SUMMARY-2023'!B5</f>
        <v>Figures in INR Crores</v>
      </c>
      <c r="C5" s="414"/>
      <c r="D5" s="414"/>
      <c r="E5" s="414"/>
      <c r="F5" s="414"/>
      <c r="G5" s="414"/>
    </row>
    <row r="6" spans="2:10">
      <c r="B6" s="501" t="s">
        <v>106</v>
      </c>
      <c r="C6" s="501"/>
      <c r="D6" s="501"/>
      <c r="E6" s="501"/>
      <c r="F6" s="501"/>
      <c r="G6" s="501"/>
    </row>
    <row r="7" spans="2:10" ht="63.75" customHeight="1">
      <c r="B7" s="83" t="s">
        <v>107</v>
      </c>
      <c r="C7" s="85" t="s">
        <v>126</v>
      </c>
      <c r="D7" s="117">
        <v>0.04</v>
      </c>
      <c r="E7" s="117">
        <f>D7*H7</f>
        <v>0.04</v>
      </c>
      <c r="F7" s="96">
        <f>E7*I7</f>
        <v>0.04</v>
      </c>
      <c r="G7" s="98" t="s">
        <v>147</v>
      </c>
      <c r="H7" s="47">
        <v>1</v>
      </c>
      <c r="I7" s="116">
        <v>1</v>
      </c>
    </row>
    <row r="8" spans="2:10" ht="115.2">
      <c r="B8" s="83">
        <v>2</v>
      </c>
      <c r="C8" s="85" t="s">
        <v>127</v>
      </c>
      <c r="D8" s="117">
        <v>147.28</v>
      </c>
      <c r="E8" s="333">
        <f>D8*H8+'NCI-I'!P8+'NCI-I'!P12</f>
        <v>210.29754150000002</v>
      </c>
      <c r="F8" s="70">
        <f>E8*I8</f>
        <v>210.29754150000002</v>
      </c>
      <c r="G8" s="119" t="s">
        <v>521</v>
      </c>
      <c r="H8" s="47">
        <v>1</v>
      </c>
      <c r="I8" s="116">
        <v>1</v>
      </c>
    </row>
    <row r="9" spans="2:10" ht="100.8">
      <c r="B9" s="83">
        <v>3</v>
      </c>
      <c r="C9" s="85" t="s">
        <v>128</v>
      </c>
      <c r="D9" s="117">
        <v>183.59</v>
      </c>
      <c r="E9" s="117">
        <v>182.28</v>
      </c>
      <c r="F9" s="96">
        <v>182.28</v>
      </c>
      <c r="G9" s="118" t="s">
        <v>149</v>
      </c>
      <c r="J9" s="114" t="s">
        <v>146</v>
      </c>
    </row>
    <row r="10" spans="2:10">
      <c r="B10" s="82"/>
      <c r="C10" s="86" t="s">
        <v>21</v>
      </c>
      <c r="D10" s="87">
        <f t="shared" ref="D10:E10" si="0">SUM(D7:D9)</f>
        <v>330.90999999999997</v>
      </c>
      <c r="E10" s="87">
        <f t="shared" si="0"/>
        <v>392.61754150000002</v>
      </c>
      <c r="F10" s="87">
        <f>SUM(F7:F9)</f>
        <v>392.61754150000002</v>
      </c>
      <c r="G10" s="88"/>
    </row>
    <row r="11" spans="2:10">
      <c r="B11" s="502" t="s">
        <v>138</v>
      </c>
      <c r="C11" s="502"/>
      <c r="D11" s="502"/>
      <c r="E11" s="502"/>
      <c r="F11" s="502"/>
      <c r="G11" s="502"/>
    </row>
    <row r="12" spans="2:10">
      <c r="B12" s="495" t="s">
        <v>112</v>
      </c>
      <c r="C12" s="496"/>
      <c r="D12" s="496"/>
      <c r="E12" s="496"/>
      <c r="F12" s="496"/>
      <c r="G12" s="497"/>
    </row>
    <row r="13" spans="2:10">
      <c r="B13" s="495" t="s">
        <v>113</v>
      </c>
      <c r="C13" s="496"/>
      <c r="D13" s="496"/>
      <c r="E13" s="496"/>
      <c r="F13" s="496"/>
      <c r="G13" s="497"/>
    </row>
    <row r="14" spans="2:10">
      <c r="B14" s="495" t="s">
        <v>114</v>
      </c>
      <c r="C14" s="496"/>
      <c r="D14" s="496"/>
      <c r="E14" s="496"/>
      <c r="F14" s="496"/>
      <c r="G14" s="497"/>
    </row>
    <row r="15" spans="2:10">
      <c r="B15" s="498" t="s">
        <v>115</v>
      </c>
      <c r="C15" s="499"/>
      <c r="D15" s="499"/>
      <c r="E15" s="499"/>
      <c r="F15" s="499"/>
      <c r="G15" s="500"/>
    </row>
    <row r="18" spans="5:7" ht="47.25" customHeight="1">
      <c r="E18" s="485" t="s">
        <v>108</v>
      </c>
      <c r="F18" s="486"/>
      <c r="G18" s="487"/>
    </row>
    <row r="19" spans="5:7" ht="31.5" customHeight="1">
      <c r="E19" s="488" t="s">
        <v>109</v>
      </c>
      <c r="F19" s="489"/>
      <c r="G19" s="490"/>
    </row>
    <row r="20" spans="5:7" ht="104.25" customHeight="1">
      <c r="E20" s="488" t="s">
        <v>110</v>
      </c>
      <c r="F20" s="489"/>
      <c r="G20" s="490"/>
    </row>
    <row r="21" spans="5:7">
      <c r="E21" s="89"/>
      <c r="G21" s="90"/>
    </row>
    <row r="22" spans="5:7" ht="92.25" customHeight="1">
      <c r="E22" s="491" t="s">
        <v>111</v>
      </c>
      <c r="F22" s="492"/>
      <c r="G22" s="493"/>
    </row>
  </sheetData>
  <mergeCells count="13">
    <mergeCell ref="E18:G18"/>
    <mergeCell ref="E19:G19"/>
    <mergeCell ref="E20:G20"/>
    <mergeCell ref="E22:G22"/>
    <mergeCell ref="B2:G2"/>
    <mergeCell ref="B3:G3"/>
    <mergeCell ref="B14:G14"/>
    <mergeCell ref="B15:G15"/>
    <mergeCell ref="B5:G5"/>
    <mergeCell ref="B6:G6"/>
    <mergeCell ref="B11:G11"/>
    <mergeCell ref="B12:G12"/>
    <mergeCell ref="B13:G13"/>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3BDB5-2330-4CA0-BF59-31FC92E766ED}">
  <dimension ref="B1:D8"/>
  <sheetViews>
    <sheetView zoomScale="102" zoomScaleNormal="102" workbookViewId="0">
      <selection activeCell="F13" sqref="F13"/>
    </sheetView>
  </sheetViews>
  <sheetFormatPr defaultColWidth="8.77734375" defaultRowHeight="14.4"/>
  <cols>
    <col min="2" max="2" width="17.44140625" customWidth="1"/>
    <col min="3" max="3" width="10" customWidth="1"/>
    <col min="4" max="4" width="14.21875" customWidth="1"/>
  </cols>
  <sheetData>
    <row r="1" spans="2:4">
      <c r="B1" s="512" t="s">
        <v>93</v>
      </c>
      <c r="C1" s="512"/>
    </row>
    <row r="2" spans="2:4" s="514" customFormat="1" ht="45.6" customHeight="1">
      <c r="B2" s="513" t="s">
        <v>619</v>
      </c>
      <c r="C2" s="513" t="s">
        <v>717</v>
      </c>
    </row>
    <row r="3" spans="2:4" s="514" customFormat="1" ht="15.6" customHeight="1">
      <c r="B3" s="512" t="s">
        <v>718</v>
      </c>
      <c r="C3" s="512"/>
    </row>
    <row r="4" spans="2:4">
      <c r="B4" s="120" t="s">
        <v>719</v>
      </c>
      <c r="C4" s="515">
        <f>[5]DDPL!C10+[5]BAPL!C10</f>
        <v>61.798072041666671</v>
      </c>
    </row>
    <row r="5" spans="2:4">
      <c r="B5" s="120" t="s">
        <v>720</v>
      </c>
      <c r="C5" s="515">
        <f>[5]Nagaland!C12+[5]HEL!C11+[5]CEL!C11+[5]BETL!C12+[5]PTTL!C12</f>
        <v>756.50948570297851</v>
      </c>
    </row>
    <row r="6" spans="2:4" s="3" customFormat="1">
      <c r="B6" s="516" t="s">
        <v>21</v>
      </c>
      <c r="C6" s="517">
        <f>SUM(C4:C5)</f>
        <v>818.30755774464524</v>
      </c>
    </row>
    <row r="7" spans="2:4">
      <c r="B7" s="120" t="s">
        <v>721</v>
      </c>
      <c r="C7" s="515">
        <v>252.63</v>
      </c>
      <c r="D7" s="518"/>
    </row>
    <row r="8" spans="2:4">
      <c r="B8" s="516" t="s">
        <v>717</v>
      </c>
      <c r="C8" s="517">
        <f>C6-C7</f>
        <v>565.67755774464524</v>
      </c>
    </row>
  </sheetData>
  <mergeCells count="2">
    <mergeCell ref="B1:C1"/>
    <mergeCell ref="B3:C3"/>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91B32-0DA6-4FDB-B82E-4A83D39B02FD}">
  <sheetPr>
    <pageSetUpPr fitToPage="1"/>
  </sheetPr>
  <dimension ref="B2:G25"/>
  <sheetViews>
    <sheetView zoomScaleNormal="100" workbookViewId="0">
      <pane ySplit="4" topLeftCell="A5" activePane="bottomLeft" state="frozen"/>
      <selection pane="bottomLeft" activeCell="J11" sqref="J11"/>
    </sheetView>
  </sheetViews>
  <sheetFormatPr defaultColWidth="9" defaultRowHeight="13.2"/>
  <cols>
    <col min="1" max="1" width="11" style="28" bestFit="1" customWidth="1"/>
    <col min="2" max="2" width="16.88671875" style="28" customWidth="1"/>
    <col min="3" max="3" width="31.33203125" style="28" customWidth="1"/>
    <col min="4" max="16384" width="9" style="28"/>
  </cols>
  <sheetData>
    <row r="2" spans="2:7">
      <c r="B2" s="384" t="s">
        <v>65</v>
      </c>
      <c r="C2" s="384"/>
      <c r="D2" s="384"/>
      <c r="E2" s="384"/>
      <c r="F2" s="384"/>
      <c r="G2" s="384"/>
    </row>
    <row r="3" spans="2:7">
      <c r="B3" s="392" t="s">
        <v>707</v>
      </c>
      <c r="C3" s="392"/>
      <c r="D3" s="392"/>
      <c r="E3" s="392"/>
      <c r="F3" s="392"/>
      <c r="G3" s="392"/>
    </row>
    <row r="4" spans="2:7" ht="46.5" customHeight="1">
      <c r="B4" s="507" t="s">
        <v>24</v>
      </c>
      <c r="C4" s="507" t="s">
        <v>2</v>
      </c>
      <c r="D4" s="508" t="s">
        <v>64</v>
      </c>
      <c r="E4" s="508" t="s">
        <v>28</v>
      </c>
      <c r="F4" s="508" t="s">
        <v>117</v>
      </c>
      <c r="G4" s="507" t="s">
        <v>25</v>
      </c>
    </row>
    <row r="5" spans="2:7">
      <c r="B5" s="394" t="s">
        <v>92</v>
      </c>
      <c r="C5" s="394"/>
      <c r="D5" s="394"/>
      <c r="E5" s="394"/>
      <c r="F5" s="394"/>
      <c r="G5" s="394"/>
    </row>
    <row r="6" spans="2:7">
      <c r="B6" s="39">
        <v>1</v>
      </c>
      <c r="C6" s="27" t="s">
        <v>669</v>
      </c>
      <c r="D6" s="69">
        <v>4.78</v>
      </c>
      <c r="E6" s="62">
        <f>0.9+1.09</f>
        <v>1.9900000000000002</v>
      </c>
      <c r="F6" s="62">
        <f>0.63+0.763</f>
        <v>1.393</v>
      </c>
      <c r="G6" s="62" t="s">
        <v>181</v>
      </c>
    </row>
    <row r="7" spans="2:7">
      <c r="B7" s="39">
        <v>2</v>
      </c>
      <c r="C7" s="27" t="s">
        <v>670</v>
      </c>
      <c r="D7" s="69">
        <v>128.63999999999999</v>
      </c>
      <c r="E7" s="62">
        <v>95.27</v>
      </c>
      <c r="F7" s="62">
        <v>62.61</v>
      </c>
      <c r="G7" s="62" t="s">
        <v>181</v>
      </c>
    </row>
    <row r="8" spans="2:7">
      <c r="B8" s="39">
        <v>3</v>
      </c>
      <c r="C8" s="27" t="s">
        <v>10</v>
      </c>
      <c r="D8" s="69">
        <v>111.66</v>
      </c>
      <c r="E8" s="62">
        <v>118.44</v>
      </c>
      <c r="F8" s="62">
        <v>82.91</v>
      </c>
      <c r="G8" s="62" t="s">
        <v>181</v>
      </c>
    </row>
    <row r="9" spans="2:7">
      <c r="B9" s="39">
        <v>4</v>
      </c>
      <c r="C9" s="27" t="s">
        <v>708</v>
      </c>
      <c r="D9" s="69">
        <v>3.75</v>
      </c>
      <c r="E9" s="62" t="s">
        <v>181</v>
      </c>
      <c r="F9" s="62" t="s">
        <v>181</v>
      </c>
      <c r="G9" s="62" t="s">
        <v>181</v>
      </c>
    </row>
    <row r="10" spans="2:7">
      <c r="B10" s="39">
        <v>5</v>
      </c>
      <c r="C10" s="27" t="s">
        <v>709</v>
      </c>
      <c r="D10" s="69">
        <v>0.65</v>
      </c>
      <c r="E10" s="62" t="s">
        <v>181</v>
      </c>
      <c r="F10" s="62" t="s">
        <v>181</v>
      </c>
      <c r="G10" s="62" t="s">
        <v>181</v>
      </c>
    </row>
    <row r="11" spans="2:7">
      <c r="B11" s="39">
        <v>6</v>
      </c>
      <c r="C11" s="27" t="s">
        <v>86</v>
      </c>
      <c r="D11" s="69">
        <f>'[3]NCI-I'!D10</f>
        <v>56.55</v>
      </c>
      <c r="E11" s="69">
        <f>'[3]NCI-I'!H10</f>
        <v>60.997381557744873</v>
      </c>
      <c r="F11" s="69">
        <f>'[3]NCI-I'!I10</f>
        <v>60.997381557744873</v>
      </c>
      <c r="G11" s="40" t="s">
        <v>30</v>
      </c>
    </row>
    <row r="12" spans="2:7">
      <c r="B12" s="39">
        <v>7</v>
      </c>
      <c r="C12" s="27" t="s">
        <v>98</v>
      </c>
      <c r="D12" s="69">
        <f>'[3]Trade Receivable-II'!D8</f>
        <v>264.43521027179679</v>
      </c>
      <c r="E12" s="69">
        <f>'[3]Trade Receivable-II'!K8</f>
        <v>170.01901940781846</v>
      </c>
      <c r="F12" s="69">
        <f>'[3]Trade Receivable-II'!L8</f>
        <v>84.594992611175982</v>
      </c>
      <c r="G12" s="40" t="s">
        <v>73</v>
      </c>
    </row>
    <row r="13" spans="2:7">
      <c r="B13" s="39">
        <v>8</v>
      </c>
      <c r="C13" s="27" t="s">
        <v>710</v>
      </c>
      <c r="D13" s="69">
        <f>'[3]Loans and Other Assets-III'!D12</f>
        <v>635.41533778271639</v>
      </c>
      <c r="E13" s="69">
        <f>'[3]Loans and Other Assets-III'!K12</f>
        <v>470.2370652978916</v>
      </c>
      <c r="F13" s="69">
        <f>'[3]Loans and Other Assets-III'!L12</f>
        <v>347.84566351703859</v>
      </c>
      <c r="G13" s="40" t="s">
        <v>74</v>
      </c>
    </row>
    <row r="14" spans="2:7">
      <c r="B14" s="39">
        <v>9</v>
      </c>
      <c r="C14" s="27" t="s">
        <v>122</v>
      </c>
      <c r="D14" s="69">
        <f>'[3]Interest Accrued-IV'!D7</f>
        <v>285.63818505399996</v>
      </c>
      <c r="E14" s="69">
        <f>'[3]Interest Accrued-IV'!K6</f>
        <v>113.77301613212488</v>
      </c>
      <c r="F14" s="69">
        <f>'[3]Interest Accrued-IV'!L6</f>
        <v>25.9081778796</v>
      </c>
      <c r="G14" s="40" t="s">
        <v>31</v>
      </c>
    </row>
    <row r="15" spans="2:7">
      <c r="B15" s="39">
        <v>10</v>
      </c>
      <c r="C15" s="27" t="s">
        <v>711</v>
      </c>
      <c r="D15" s="69">
        <f>'[3]Claim for PBG-V'!D6</f>
        <v>29.18</v>
      </c>
      <c r="E15" s="69">
        <f>'[3]Claim for PBG-V'!E6</f>
        <v>23.344000000000001</v>
      </c>
      <c r="F15" s="69">
        <f>'[3]Claim for PBG-V'!F6</f>
        <v>11.672000000000001</v>
      </c>
      <c r="G15" s="40" t="s">
        <v>84</v>
      </c>
    </row>
    <row r="16" spans="2:7">
      <c r="B16" s="39">
        <v>11</v>
      </c>
      <c r="C16" s="28" t="s">
        <v>123</v>
      </c>
      <c r="D16" s="69">
        <f>'[3]Other Receivables-VI'!D7</f>
        <v>30.369999999999997</v>
      </c>
      <c r="E16" s="69">
        <f>'[3]Other Receivables-VI'!K7</f>
        <v>16.851640622297648</v>
      </c>
      <c r="F16" s="69">
        <f>'[3]Other Receivables-VI'!L7</f>
        <v>0</v>
      </c>
      <c r="G16" s="62" t="s">
        <v>85</v>
      </c>
    </row>
    <row r="17" spans="2:7">
      <c r="B17" s="39">
        <v>12</v>
      </c>
      <c r="C17" s="27" t="s">
        <v>712</v>
      </c>
      <c r="D17" s="69">
        <f>'[3]Margin Money-VII'!D7</f>
        <v>10.35</v>
      </c>
      <c r="E17" s="69">
        <f>'[3]Margin Money-VII'!E7</f>
        <v>10.35</v>
      </c>
      <c r="F17" s="69">
        <f>'[3]Margin Money-VII'!F7</f>
        <v>10.35</v>
      </c>
      <c r="G17" s="62" t="s">
        <v>88</v>
      </c>
    </row>
    <row r="18" spans="2:7">
      <c r="B18" s="39">
        <v>13</v>
      </c>
      <c r="C18" s="27" t="s">
        <v>612</v>
      </c>
      <c r="D18" s="69">
        <f>'[3]Tax Assets-VIII'!D8</f>
        <v>370.88</v>
      </c>
      <c r="E18" s="69">
        <f>'[3]Tax Assets-VIII'!E8</f>
        <v>370.88</v>
      </c>
      <c r="F18" s="69">
        <f>'[3]Tax Assets-VIII'!F8</f>
        <v>0</v>
      </c>
      <c r="G18" s="69" t="s">
        <v>89</v>
      </c>
    </row>
    <row r="19" spans="2:7">
      <c r="B19" s="39">
        <v>14</v>
      </c>
      <c r="C19" s="27" t="s">
        <v>713</v>
      </c>
      <c r="D19" s="69">
        <f>'[3]Non-Current Inventories-IX'!D7+0.01</f>
        <v>882.09</v>
      </c>
      <c r="E19" s="62">
        <f>'[3]Non-Current Inventories-IX'!K7</f>
        <v>398.35932722178131</v>
      </c>
      <c r="F19" s="62">
        <f>'[3]Non-Current Inventories-IX'!L7</f>
        <v>168.62164770212416</v>
      </c>
      <c r="G19" s="62" t="s">
        <v>90</v>
      </c>
    </row>
    <row r="20" spans="2:7">
      <c r="B20" s="39">
        <v>15</v>
      </c>
      <c r="C20" s="27" t="s">
        <v>182</v>
      </c>
      <c r="D20" s="69">
        <f>'[3]Retention Money-X'!D7+0.01</f>
        <v>485.19</v>
      </c>
      <c r="E20" s="69">
        <f>'[3]Retention Money-X'!K7</f>
        <v>233.40788922954471</v>
      </c>
      <c r="F20" s="69">
        <f>'[3]Retention Money-X'!L7</f>
        <v>111.08067567965</v>
      </c>
      <c r="G20" s="62" t="s">
        <v>91</v>
      </c>
    </row>
    <row r="21" spans="2:7" ht="15" customHeight="1">
      <c r="B21" s="39">
        <v>16</v>
      </c>
      <c r="C21" s="27" t="s">
        <v>714</v>
      </c>
      <c r="D21" s="69">
        <f>'[3]Cash &amp; Cash Equivalents-XI'!D10</f>
        <v>22.660000000000004</v>
      </c>
      <c r="E21" s="69">
        <f>'[3]Cash &amp; Cash Equivalents-XI'!E10</f>
        <v>18.11</v>
      </c>
      <c r="F21" s="69">
        <f>'[3]Cash &amp; Cash Equivalents-XI'!F10</f>
        <v>18.11</v>
      </c>
      <c r="G21" s="62" t="s">
        <v>183</v>
      </c>
    </row>
    <row r="22" spans="2:7" ht="16.2" customHeight="1">
      <c r="B22" s="509" t="s">
        <v>21</v>
      </c>
      <c r="C22" s="509"/>
      <c r="D22" s="510">
        <f>SUM(D6:D21)</f>
        <v>3322.2387331085129</v>
      </c>
      <c r="E22" s="510">
        <f>SUM(E6:E21)</f>
        <v>2102.0293394692035</v>
      </c>
      <c r="F22" s="510">
        <f>SUM(F6:F21)</f>
        <v>986.09353894733363</v>
      </c>
      <c r="G22" s="511"/>
    </row>
    <row r="23" spans="2:7" ht="16.2" customHeight="1">
      <c r="B23" s="386" t="s">
        <v>20</v>
      </c>
      <c r="C23" s="387"/>
      <c r="D23" s="387"/>
      <c r="E23" s="387"/>
      <c r="F23" s="387"/>
      <c r="G23" s="388"/>
    </row>
    <row r="24" spans="2:7" ht="184.2" customHeight="1">
      <c r="B24" s="385" t="s">
        <v>715</v>
      </c>
      <c r="C24" s="385"/>
      <c r="D24" s="385"/>
      <c r="E24" s="385"/>
      <c r="F24" s="385"/>
      <c r="G24" s="385"/>
    </row>
    <row r="25" spans="2:7" ht="48.75" customHeight="1"/>
  </sheetData>
  <mergeCells count="6">
    <mergeCell ref="B2:G2"/>
    <mergeCell ref="B3:G3"/>
    <mergeCell ref="B5:G5"/>
    <mergeCell ref="B22:C22"/>
    <mergeCell ref="B23:G23"/>
    <mergeCell ref="B24:G24"/>
  </mergeCells>
  <pageMargins left="0.7" right="0.7" top="0.75" bottom="0.75" header="0.3" footer="0.3"/>
  <pageSetup paperSize="9"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7DA62-1FD6-49C0-B5B8-FCBC86C0B380}">
  <dimension ref="B1:C5"/>
  <sheetViews>
    <sheetView zoomScale="102" zoomScaleNormal="102" workbookViewId="0">
      <selection activeCell="J15" sqref="J15"/>
    </sheetView>
  </sheetViews>
  <sheetFormatPr defaultColWidth="8.77734375" defaultRowHeight="14.4"/>
  <cols>
    <col min="2" max="2" width="17.44140625" customWidth="1"/>
    <col min="3" max="3" width="10" customWidth="1"/>
    <col min="4" max="4" width="14.21875" customWidth="1"/>
  </cols>
  <sheetData>
    <row r="1" spans="2:3">
      <c r="B1" s="512" t="s">
        <v>716</v>
      </c>
      <c r="C1" s="512"/>
    </row>
    <row r="2" spans="2:3" s="514" customFormat="1" ht="45.6" customHeight="1">
      <c r="B2" s="513" t="s">
        <v>619</v>
      </c>
      <c r="C2" s="513" t="s">
        <v>717</v>
      </c>
    </row>
    <row r="3" spans="2:3" s="514" customFormat="1" ht="15.6" customHeight="1">
      <c r="B3" s="512" t="s">
        <v>718</v>
      </c>
      <c r="C3" s="512"/>
    </row>
    <row r="4" spans="2:3">
      <c r="B4" s="120" t="s">
        <v>719</v>
      </c>
      <c r="C4" s="515">
        <f>'[4]AS-17'!C10+'[4]AS-19'!C10</f>
        <v>267.52747000000005</v>
      </c>
    </row>
    <row r="5" spans="2:3" s="3" customFormat="1">
      <c r="B5" s="516" t="s">
        <v>717</v>
      </c>
      <c r="C5" s="517">
        <f>SUM(C4:C4)</f>
        <v>267.52747000000005</v>
      </c>
    </row>
  </sheetData>
  <mergeCells count="2">
    <mergeCell ref="B1:C1"/>
    <mergeCell ref="B3:C3"/>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I14"/>
  <sheetViews>
    <sheetView topLeftCell="A4" workbookViewId="0">
      <selection activeCell="G7" sqref="G7"/>
    </sheetView>
  </sheetViews>
  <sheetFormatPr defaultRowHeight="14.4"/>
  <cols>
    <col min="3" max="3" width="22.88671875" customWidth="1"/>
    <col min="4" max="4" width="12.33203125" customWidth="1"/>
    <col min="5" max="5" width="15.33203125" customWidth="1"/>
    <col min="6" max="6" width="16.6640625" customWidth="1"/>
    <col min="7" max="7" width="55" customWidth="1"/>
  </cols>
  <sheetData>
    <row r="2" spans="2:9">
      <c r="B2" s="449" t="s">
        <v>129</v>
      </c>
      <c r="C2" s="450"/>
      <c r="D2" s="450"/>
      <c r="E2" s="450"/>
      <c r="F2" s="450"/>
      <c r="G2" s="451"/>
    </row>
    <row r="3" spans="2:9" ht="14.4" customHeight="1">
      <c r="B3" s="425" t="str">
        <f>'SUMMARY-2023'!B3</f>
        <v>Details as on 31st March 2023</v>
      </c>
      <c r="C3" s="452"/>
      <c r="D3" s="452"/>
      <c r="E3" s="452"/>
      <c r="F3" s="452"/>
      <c r="G3" s="453"/>
    </row>
    <row r="4" spans="2:9" ht="36">
      <c r="B4" s="24" t="s">
        <v>0</v>
      </c>
      <c r="C4" s="24" t="s">
        <v>69</v>
      </c>
      <c r="D4" s="37" t="s">
        <v>64</v>
      </c>
      <c r="E4" s="24" t="s">
        <v>142</v>
      </c>
      <c r="F4" s="24" t="s">
        <v>143</v>
      </c>
      <c r="G4" s="24" t="s">
        <v>22</v>
      </c>
    </row>
    <row r="5" spans="2:9">
      <c r="B5" s="425" t="str">
        <f>'SUMMARY-2023'!B5</f>
        <v>Figures in INR Crores</v>
      </c>
      <c r="C5" s="426"/>
      <c r="D5" s="426"/>
      <c r="E5" s="426"/>
      <c r="F5" s="426"/>
      <c r="G5" s="427"/>
    </row>
    <row r="6" spans="2:9" ht="99.6" customHeight="1">
      <c r="B6" s="54">
        <v>1</v>
      </c>
      <c r="C6" s="59" t="s">
        <v>122</v>
      </c>
      <c r="D6" s="60">
        <v>17.52</v>
      </c>
      <c r="E6" s="60">
        <f>0+0.34+0.47*80%+3.37</f>
        <v>4.0860000000000003</v>
      </c>
      <c r="F6" s="60">
        <f>0+0.34+0.47*50%+3.37</f>
        <v>3.9450000000000003</v>
      </c>
      <c r="G6" s="75" t="s">
        <v>150</v>
      </c>
      <c r="H6" s="47"/>
      <c r="I6" s="47"/>
    </row>
    <row r="7" spans="2:9" ht="91.2">
      <c r="B7" s="54">
        <v>2</v>
      </c>
      <c r="C7" s="59" t="s">
        <v>123</v>
      </c>
      <c r="D7" s="60">
        <v>0.02</v>
      </c>
      <c r="E7" s="60">
        <f>D7*H7</f>
        <v>0.02</v>
      </c>
      <c r="F7" s="60">
        <f>E7*I7</f>
        <v>0.02</v>
      </c>
      <c r="G7" s="75" t="s">
        <v>144</v>
      </c>
      <c r="H7" s="47">
        <v>1</v>
      </c>
      <c r="I7" s="47">
        <v>1</v>
      </c>
    </row>
    <row r="8" spans="2:9">
      <c r="B8" s="38"/>
      <c r="C8" s="36" t="s">
        <v>23</v>
      </c>
      <c r="D8" s="61">
        <f>SUM(D6:D7)</f>
        <v>17.54</v>
      </c>
      <c r="E8" s="61">
        <f t="shared" ref="E8:F8" si="0">SUM(E6:E7)</f>
        <v>4.1059999999999999</v>
      </c>
      <c r="F8" s="61">
        <f t="shared" si="0"/>
        <v>3.9650000000000003</v>
      </c>
      <c r="G8" s="38"/>
    </row>
    <row r="9" spans="2:9">
      <c r="B9" s="396" t="s">
        <v>20</v>
      </c>
      <c r="C9" s="397"/>
      <c r="D9" s="397"/>
      <c r="E9" s="397"/>
      <c r="F9" s="397"/>
      <c r="G9" s="428"/>
    </row>
    <row r="10" spans="2:9" ht="105" customHeight="1">
      <c r="B10" s="399" t="s">
        <v>80</v>
      </c>
      <c r="C10" s="399"/>
      <c r="D10" s="399"/>
      <c r="E10" s="399"/>
      <c r="F10" s="399"/>
      <c r="G10" s="399"/>
    </row>
    <row r="14" spans="2:9" ht="112.5" customHeight="1">
      <c r="C14" s="503" t="s">
        <v>82</v>
      </c>
      <c r="D14" s="504"/>
      <c r="E14" s="504"/>
      <c r="F14" s="504"/>
      <c r="G14" s="504"/>
    </row>
  </sheetData>
  <mergeCells count="6">
    <mergeCell ref="C14:G14"/>
    <mergeCell ref="B2:G2"/>
    <mergeCell ref="B3:G3"/>
    <mergeCell ref="B5:G5"/>
    <mergeCell ref="B9:G9"/>
    <mergeCell ref="B10:G10"/>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I16"/>
  <sheetViews>
    <sheetView workbookViewId="0">
      <selection activeCell="D6" sqref="D6"/>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s>
  <sheetData>
    <row r="2" spans="2:9">
      <c r="B2" s="449" t="s">
        <v>588</v>
      </c>
      <c r="C2" s="450"/>
      <c r="D2" s="450"/>
      <c r="E2" s="450"/>
      <c r="F2" s="450"/>
      <c r="G2" s="451"/>
    </row>
    <row r="3" spans="2:9">
      <c r="B3" s="425" t="str">
        <f>'SUMMARY-2023'!B3</f>
        <v>Details as on 31st March 2023</v>
      </c>
      <c r="C3" s="426"/>
      <c r="D3" s="426"/>
      <c r="E3" s="426"/>
      <c r="F3" s="426"/>
      <c r="G3" s="427"/>
    </row>
    <row r="4" spans="2:9" ht="24">
      <c r="B4" s="24" t="s">
        <v>0</v>
      </c>
      <c r="C4" s="24" t="s">
        <v>69</v>
      </c>
      <c r="D4" s="37" t="s">
        <v>64</v>
      </c>
      <c r="E4" s="24" t="s">
        <v>142</v>
      </c>
      <c r="F4" s="24" t="s">
        <v>143</v>
      </c>
      <c r="G4" s="24" t="s">
        <v>22</v>
      </c>
    </row>
    <row r="5" spans="2:9">
      <c r="B5" s="425" t="str">
        <f>'SUMMARY-2023'!B5</f>
        <v>Figures in INR Crores</v>
      </c>
      <c r="C5" s="426"/>
      <c r="D5" s="426"/>
      <c r="E5" s="426"/>
      <c r="F5" s="426"/>
      <c r="G5" s="427"/>
    </row>
    <row r="6" spans="2:9" ht="129.75" customHeight="1">
      <c r="B6" s="41">
        <v>1</v>
      </c>
      <c r="C6" s="59" t="s">
        <v>87</v>
      </c>
      <c r="D6" s="60">
        <v>41.38</v>
      </c>
      <c r="E6" s="59">
        <f>$D$6*H6</f>
        <v>41.38</v>
      </c>
      <c r="F6" s="59">
        <f>$D$6*I6</f>
        <v>41.38</v>
      </c>
      <c r="G6" s="98" t="s">
        <v>171</v>
      </c>
      <c r="H6" s="47">
        <v>1</v>
      </c>
      <c r="I6" s="47">
        <v>1</v>
      </c>
    </row>
    <row r="7" spans="2:9">
      <c r="B7" s="38"/>
      <c r="C7" s="79" t="s">
        <v>130</v>
      </c>
      <c r="D7" s="61">
        <f>SUM(D6:D6)</f>
        <v>41.38</v>
      </c>
      <c r="E7" s="61">
        <f>SUM(E6:E6)</f>
        <v>41.38</v>
      </c>
      <c r="F7" s="61">
        <f>SUM(F6:F6)</f>
        <v>41.38</v>
      </c>
      <c r="G7" s="38"/>
    </row>
    <row r="8" spans="2:9">
      <c r="B8" s="396" t="str">
        <f>[2]SUMMARY!B16</f>
        <v>REMARKS &amp; NOTES:-</v>
      </c>
      <c r="C8" s="397"/>
      <c r="D8" s="397"/>
      <c r="E8" s="397"/>
      <c r="F8" s="397"/>
      <c r="G8" s="428"/>
    </row>
    <row r="9" spans="2:9" ht="124.5" customHeight="1">
      <c r="B9" s="399" t="s">
        <v>80</v>
      </c>
      <c r="C9" s="399"/>
      <c r="D9" s="399"/>
      <c r="E9" s="399"/>
      <c r="F9" s="399"/>
      <c r="G9" s="399"/>
    </row>
    <row r="12" spans="2:9" ht="134.25" customHeight="1">
      <c r="C12" s="505" t="s">
        <v>82</v>
      </c>
      <c r="D12" s="505"/>
      <c r="E12" s="505"/>
      <c r="F12" s="505"/>
      <c r="G12" s="505"/>
    </row>
    <row r="14" spans="2:9" ht="70.5" customHeight="1">
      <c r="C14" s="505" t="s">
        <v>81</v>
      </c>
      <c r="D14" s="505"/>
      <c r="E14" s="505"/>
      <c r="F14" s="505"/>
      <c r="G14" s="505"/>
    </row>
    <row r="16" spans="2:9" ht="73.5" customHeight="1">
      <c r="C16" s="505" t="s">
        <v>83</v>
      </c>
      <c r="D16" s="505"/>
      <c r="E16" s="505"/>
      <c r="F16" s="505"/>
      <c r="G16" s="505"/>
    </row>
  </sheetData>
  <mergeCells count="8">
    <mergeCell ref="C14:G14"/>
    <mergeCell ref="C16:G16"/>
    <mergeCell ref="B2:G2"/>
    <mergeCell ref="B3:G3"/>
    <mergeCell ref="B5:G5"/>
    <mergeCell ref="B8:G8"/>
    <mergeCell ref="B9:G9"/>
    <mergeCell ref="C12:G12"/>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N105"/>
  <sheetViews>
    <sheetView topLeftCell="A9" workbookViewId="0">
      <selection activeCell="D9" sqref="D9"/>
    </sheetView>
  </sheetViews>
  <sheetFormatPr defaultRowHeight="14.4"/>
  <cols>
    <col min="2" max="2" width="5.6640625" customWidth="1"/>
    <col min="3" max="3" width="22.33203125" customWidth="1"/>
    <col min="4" max="4" width="13.109375" customWidth="1"/>
    <col min="5" max="5" width="15.44140625" customWidth="1"/>
    <col min="6" max="6" width="14.5546875" customWidth="1"/>
    <col min="7" max="7" width="44" customWidth="1"/>
    <col min="8" max="8" width="8.88671875" customWidth="1"/>
    <col min="9" max="9" width="11.44140625" customWidth="1"/>
    <col min="10" max="10" width="12.33203125" customWidth="1"/>
    <col min="11" max="11" width="11.88671875" customWidth="1"/>
  </cols>
  <sheetData>
    <row r="2" spans="2:14">
      <c r="B2" s="449" t="s">
        <v>32</v>
      </c>
      <c r="C2" s="450"/>
      <c r="D2" s="450"/>
      <c r="E2" s="450"/>
      <c r="F2" s="450"/>
      <c r="G2" s="451"/>
    </row>
    <row r="3" spans="2:14">
      <c r="B3" s="425" t="str">
        <f>'SUMMARY-2023'!B3</f>
        <v>Details as on 31st March 2023</v>
      </c>
      <c r="C3" s="426"/>
      <c r="D3" s="426"/>
      <c r="E3" s="426"/>
      <c r="F3" s="426"/>
      <c r="G3" s="427"/>
    </row>
    <row r="4" spans="2:14">
      <c r="B4" s="24" t="s">
        <v>0</v>
      </c>
      <c r="C4" s="24" t="s">
        <v>69</v>
      </c>
      <c r="D4" s="37" t="s">
        <v>63</v>
      </c>
      <c r="E4" s="24" t="s">
        <v>142</v>
      </c>
      <c r="F4" s="24" t="s">
        <v>143</v>
      </c>
      <c r="G4" s="24" t="s">
        <v>22</v>
      </c>
    </row>
    <row r="5" spans="2:14">
      <c r="B5" s="425" t="str">
        <f>'SUMMARY-2023'!B5</f>
        <v>Figures in INR Crores</v>
      </c>
      <c r="C5" s="426"/>
      <c r="D5" s="426"/>
      <c r="E5" s="426"/>
      <c r="F5" s="426"/>
      <c r="G5" s="427"/>
    </row>
    <row r="6" spans="2:14" ht="129.75" customHeight="1">
      <c r="B6" s="41">
        <v>1</v>
      </c>
      <c r="C6" s="59" t="s">
        <v>131</v>
      </c>
      <c r="D6" s="60">
        <v>2.13</v>
      </c>
      <c r="E6" s="60">
        <f t="shared" ref="E6:F9" si="0">D6*H6</f>
        <v>0</v>
      </c>
      <c r="F6" s="60">
        <f t="shared" si="0"/>
        <v>0</v>
      </c>
      <c r="G6" s="110" t="s">
        <v>173</v>
      </c>
      <c r="H6" s="47">
        <v>0</v>
      </c>
      <c r="I6" s="47">
        <v>0</v>
      </c>
    </row>
    <row r="7" spans="2:14" ht="139.19999999999999" customHeight="1">
      <c r="B7" s="54">
        <v>2</v>
      </c>
      <c r="C7" s="59" t="s">
        <v>132</v>
      </c>
      <c r="D7" s="60">
        <v>13.32</v>
      </c>
      <c r="E7" s="60">
        <v>7.14</v>
      </c>
      <c r="F7" s="60">
        <v>7.14</v>
      </c>
      <c r="G7" s="112" t="s">
        <v>174</v>
      </c>
      <c r="H7" s="47">
        <v>0</v>
      </c>
      <c r="I7" s="47">
        <v>0.75</v>
      </c>
    </row>
    <row r="8" spans="2:14" ht="193.8">
      <c r="B8" s="41">
        <v>3</v>
      </c>
      <c r="C8" s="80" t="s">
        <v>135</v>
      </c>
      <c r="D8" s="76">
        <v>88.58</v>
      </c>
      <c r="E8" s="76">
        <f t="shared" si="0"/>
        <v>0</v>
      </c>
      <c r="F8" s="76">
        <f t="shared" si="0"/>
        <v>0</v>
      </c>
      <c r="G8" s="111" t="s">
        <v>177</v>
      </c>
      <c r="H8" s="47">
        <v>0</v>
      </c>
      <c r="I8" s="47">
        <v>0</v>
      </c>
    </row>
    <row r="9" spans="2:14" ht="262.2">
      <c r="B9" s="41">
        <v>4</v>
      </c>
      <c r="C9" s="59" t="s">
        <v>134</v>
      </c>
      <c r="D9" s="76">
        <v>109.33</v>
      </c>
      <c r="E9" s="76">
        <f t="shared" si="0"/>
        <v>87.463999999999999</v>
      </c>
      <c r="F9" s="76">
        <f t="shared" si="0"/>
        <v>52.478400000000001</v>
      </c>
      <c r="G9" s="75" t="s">
        <v>176</v>
      </c>
      <c r="H9" s="47">
        <v>0.8</v>
      </c>
      <c r="I9" s="47">
        <v>0.6</v>
      </c>
    </row>
    <row r="10" spans="2:14">
      <c r="B10" s="38"/>
      <c r="C10" s="36" t="s">
        <v>23</v>
      </c>
      <c r="D10" s="61">
        <f>SUM(D6:D9)</f>
        <v>213.36</v>
      </c>
      <c r="E10" s="61">
        <f>SUM(E6:E9)</f>
        <v>94.603999999999999</v>
      </c>
      <c r="F10" s="61">
        <f>SUM(F6:F9)</f>
        <v>59.618400000000001</v>
      </c>
      <c r="G10" s="38"/>
    </row>
    <row r="11" spans="2:14">
      <c r="B11" s="459" t="str">
        <f>[2]SUMMARY!B16</f>
        <v>REMARKS &amp; NOTES:-</v>
      </c>
      <c r="C11" s="460"/>
      <c r="D11" s="460"/>
      <c r="E11" s="460"/>
      <c r="F11" s="460"/>
      <c r="G11" s="461"/>
    </row>
    <row r="12" spans="2:14" ht="124.5" customHeight="1">
      <c r="B12" s="399" t="s">
        <v>80</v>
      </c>
      <c r="C12" s="399"/>
      <c r="D12" s="399"/>
      <c r="E12" s="399"/>
      <c r="F12" s="399"/>
      <c r="G12" s="399"/>
    </row>
    <row r="15" spans="2:14">
      <c r="G15" s="179" t="s">
        <v>513</v>
      </c>
      <c r="H15" s="209">
        <f>H30+H32+H69+H70+H76+H85+H100</f>
        <v>11.066314516</v>
      </c>
      <c r="I15" s="211"/>
      <c r="J15" s="120"/>
      <c r="K15" s="120"/>
    </row>
    <row r="16" spans="2:14">
      <c r="G16" s="203" t="s">
        <v>512</v>
      </c>
      <c r="H16" s="190">
        <f>SUBTOTAL(9,H18:H105)</f>
        <v>13.335400552849967</v>
      </c>
      <c r="I16" s="190"/>
      <c r="J16" s="179"/>
      <c r="K16" s="179"/>
      <c r="N16" s="177"/>
    </row>
    <row r="17" spans="3:11" ht="36.6" customHeight="1">
      <c r="C17" s="506" t="s">
        <v>420</v>
      </c>
      <c r="D17" s="506"/>
      <c r="E17" s="506"/>
      <c r="G17" s="204" t="s">
        <v>421</v>
      </c>
      <c r="H17" s="205" t="s">
        <v>422</v>
      </c>
      <c r="I17" s="206" t="s">
        <v>457</v>
      </c>
      <c r="J17" s="206" t="s">
        <v>458</v>
      </c>
      <c r="K17" s="207" t="s">
        <v>507</v>
      </c>
    </row>
    <row r="18" spans="3:11">
      <c r="C18" s="180" t="s">
        <v>185</v>
      </c>
      <c r="D18" s="180" t="s">
        <v>421</v>
      </c>
      <c r="E18" s="180" t="s">
        <v>422</v>
      </c>
      <c r="G18" s="208" t="s">
        <v>424</v>
      </c>
      <c r="H18" s="210">
        <v>0</v>
      </c>
      <c r="I18" s="191" t="s">
        <v>459</v>
      </c>
      <c r="J18" s="192">
        <v>42811</v>
      </c>
      <c r="K18" s="189" t="s">
        <v>508</v>
      </c>
    </row>
    <row r="19" spans="3:11">
      <c r="C19" s="179" t="s">
        <v>290</v>
      </c>
      <c r="D19" s="179" t="s">
        <v>424</v>
      </c>
      <c r="E19" s="178"/>
      <c r="G19" s="208" t="s">
        <v>460</v>
      </c>
      <c r="H19" s="210">
        <v>5.8710000000000001E-4</v>
      </c>
      <c r="I19" s="191" t="s">
        <v>461</v>
      </c>
      <c r="J19" s="193">
        <v>43101</v>
      </c>
      <c r="K19" s="189" t="s">
        <v>508</v>
      </c>
    </row>
    <row r="20" spans="3:11">
      <c r="C20" s="179" t="s">
        <v>290</v>
      </c>
      <c r="D20" s="179" t="s">
        <v>425</v>
      </c>
      <c r="E20" s="178"/>
      <c r="G20" s="208" t="s">
        <v>425</v>
      </c>
      <c r="H20" s="210">
        <v>0</v>
      </c>
      <c r="I20" s="191" t="s">
        <v>459</v>
      </c>
      <c r="J20" s="192">
        <v>42811</v>
      </c>
      <c r="K20" s="189" t="s">
        <v>508</v>
      </c>
    </row>
    <row r="21" spans="3:11">
      <c r="C21" s="179" t="s">
        <v>271</v>
      </c>
      <c r="D21" s="179" t="s">
        <v>426</v>
      </c>
      <c r="E21" s="178">
        <v>3.3432000000000003E-2</v>
      </c>
      <c r="G21" s="208" t="s">
        <v>426</v>
      </c>
      <c r="H21" s="210">
        <v>0.19077128099999965</v>
      </c>
      <c r="I21" s="191" t="s">
        <v>459</v>
      </c>
      <c r="J21" s="193">
        <v>43252</v>
      </c>
      <c r="K21" s="189" t="s">
        <v>508</v>
      </c>
    </row>
    <row r="22" spans="3:11">
      <c r="C22" s="179" t="s">
        <v>427</v>
      </c>
      <c r="D22" s="179" t="s">
        <v>428</v>
      </c>
      <c r="E22" s="178">
        <v>1.2999999999999999E-3</v>
      </c>
      <c r="G22" s="208" t="s">
        <v>463</v>
      </c>
      <c r="H22" s="210">
        <v>-6.4041000000000002E-3</v>
      </c>
      <c r="I22" s="191" t="s">
        <v>459</v>
      </c>
      <c r="J22" s="192">
        <v>43160</v>
      </c>
      <c r="K22" s="189" t="s">
        <v>508</v>
      </c>
    </row>
    <row r="23" spans="3:11">
      <c r="C23" s="179" t="s">
        <v>290</v>
      </c>
      <c r="D23" s="179" t="s">
        <v>429</v>
      </c>
      <c r="E23" s="178">
        <v>0</v>
      </c>
      <c r="G23" s="208" t="s">
        <v>464</v>
      </c>
      <c r="H23" s="210">
        <v>-6.9999999999999999E-6</v>
      </c>
      <c r="I23" s="191" t="s">
        <v>459</v>
      </c>
      <c r="J23" s="193">
        <v>41699</v>
      </c>
      <c r="K23" s="189" t="s">
        <v>508</v>
      </c>
    </row>
    <row r="24" spans="3:11">
      <c r="C24" s="179" t="s">
        <v>253</v>
      </c>
      <c r="D24" s="179" t="s">
        <v>264</v>
      </c>
      <c r="E24" s="178">
        <v>5.0033300000000003E-2</v>
      </c>
      <c r="G24" s="208" t="s">
        <v>428</v>
      </c>
      <c r="H24" s="210">
        <v>0.26529915800000003</v>
      </c>
      <c r="I24" s="191" t="s">
        <v>459</v>
      </c>
      <c r="J24" s="193">
        <v>41699</v>
      </c>
      <c r="K24" s="189" t="s">
        <v>508</v>
      </c>
    </row>
    <row r="25" spans="3:11">
      <c r="C25" s="179" t="s">
        <v>232</v>
      </c>
      <c r="D25" s="179" t="s">
        <v>430</v>
      </c>
      <c r="E25" s="178">
        <v>0</v>
      </c>
      <c r="G25" s="208" t="s">
        <v>465</v>
      </c>
      <c r="H25" s="210">
        <v>1.8999999994412065E-8</v>
      </c>
      <c r="I25" s="191" t="s">
        <v>459</v>
      </c>
      <c r="J25" s="192">
        <v>42430</v>
      </c>
      <c r="K25" s="189" t="s">
        <v>508</v>
      </c>
    </row>
    <row r="26" spans="3:11">
      <c r="C26" s="179" t="s">
        <v>232</v>
      </c>
      <c r="D26" s="179" t="s">
        <v>431</v>
      </c>
      <c r="E26" s="178">
        <v>0.21413450000000001</v>
      </c>
      <c r="G26" s="208" t="s">
        <v>466</v>
      </c>
      <c r="H26" s="210">
        <v>0.1806555</v>
      </c>
      <c r="I26" s="191" t="s">
        <v>459</v>
      </c>
      <c r="J26" s="193">
        <v>42795</v>
      </c>
      <c r="K26" s="189" t="s">
        <v>508</v>
      </c>
    </row>
    <row r="27" spans="3:11">
      <c r="C27" s="179" t="s">
        <v>290</v>
      </c>
      <c r="D27" s="179" t="s">
        <v>432</v>
      </c>
      <c r="E27" s="178">
        <v>0</v>
      </c>
      <c r="G27" s="208" t="s">
        <v>467</v>
      </c>
      <c r="H27" s="210">
        <v>2.9120000000000001E-3</v>
      </c>
      <c r="I27" s="191" t="s">
        <v>468</v>
      </c>
      <c r="J27" s="192">
        <v>43983</v>
      </c>
      <c r="K27" s="191" t="s">
        <v>509</v>
      </c>
    </row>
    <row r="28" spans="3:11">
      <c r="C28" s="179" t="s">
        <v>290</v>
      </c>
      <c r="D28" s="179" t="s">
        <v>415</v>
      </c>
      <c r="E28" s="178">
        <v>0</v>
      </c>
      <c r="G28" s="208" t="s">
        <v>429</v>
      </c>
      <c r="H28" s="210">
        <v>0</v>
      </c>
      <c r="I28" s="191" t="s">
        <v>459</v>
      </c>
      <c r="J28" s="192">
        <v>43176</v>
      </c>
      <c r="K28" s="189" t="s">
        <v>508</v>
      </c>
    </row>
    <row r="29" spans="3:11">
      <c r="C29" s="179" t="s">
        <v>232</v>
      </c>
      <c r="D29" s="179" t="s">
        <v>363</v>
      </c>
      <c r="E29" s="178">
        <v>0</v>
      </c>
      <c r="G29" s="208" t="s">
        <v>469</v>
      </c>
      <c r="H29" s="210">
        <v>0</v>
      </c>
      <c r="I29" s="191" t="s">
        <v>459</v>
      </c>
      <c r="J29" s="192">
        <v>43176</v>
      </c>
      <c r="K29" s="189" t="s">
        <v>508</v>
      </c>
    </row>
    <row r="30" spans="3:11">
      <c r="C30" s="179" t="s">
        <v>271</v>
      </c>
      <c r="D30" s="179" t="s">
        <v>433</v>
      </c>
      <c r="E30" s="178">
        <v>0.58840982600000002</v>
      </c>
      <c r="G30" s="208" t="s">
        <v>264</v>
      </c>
      <c r="H30" s="210">
        <v>1.0744310990000001</v>
      </c>
      <c r="I30" s="191" t="s">
        <v>470</v>
      </c>
      <c r="J30" s="193">
        <v>44713</v>
      </c>
      <c r="K30" s="191" t="s">
        <v>510</v>
      </c>
    </row>
    <row r="31" spans="3:11">
      <c r="C31" s="179" t="s">
        <v>434</v>
      </c>
      <c r="D31" s="179" t="s">
        <v>434</v>
      </c>
      <c r="E31" s="178">
        <v>-0.25</v>
      </c>
      <c r="G31" s="208" t="s">
        <v>430</v>
      </c>
      <c r="H31" s="210">
        <v>1.6270210738500002</v>
      </c>
      <c r="I31" s="191" t="s">
        <v>461</v>
      </c>
      <c r="J31" s="192">
        <v>43176</v>
      </c>
      <c r="K31" s="189" t="s">
        <v>508</v>
      </c>
    </row>
    <row r="32" spans="3:11">
      <c r="C32" s="179" t="s">
        <v>290</v>
      </c>
      <c r="D32" s="179" t="s">
        <v>435</v>
      </c>
      <c r="E32" s="178">
        <v>2.1000000000000002E-9</v>
      </c>
      <c r="G32" s="208" t="s">
        <v>431</v>
      </c>
      <c r="H32" s="210">
        <v>1.6445185610000002</v>
      </c>
      <c r="I32" s="191" t="s">
        <v>470</v>
      </c>
      <c r="J32" s="192">
        <v>43160</v>
      </c>
      <c r="K32" s="191" t="s">
        <v>510</v>
      </c>
    </row>
    <row r="33" spans="3:11">
      <c r="C33" s="179" t="s">
        <v>290</v>
      </c>
      <c r="D33" s="179" t="s">
        <v>436</v>
      </c>
      <c r="E33" s="178">
        <v>0</v>
      </c>
      <c r="G33" s="208" t="s">
        <v>432</v>
      </c>
      <c r="H33" s="210">
        <v>0</v>
      </c>
      <c r="I33" s="191" t="s">
        <v>459</v>
      </c>
      <c r="J33" s="192">
        <v>42446</v>
      </c>
      <c r="K33" s="189" t="s">
        <v>508</v>
      </c>
    </row>
    <row r="34" spans="3:11">
      <c r="C34" s="179" t="s">
        <v>290</v>
      </c>
      <c r="D34" s="179" t="s">
        <v>437</v>
      </c>
      <c r="E34" s="178">
        <v>3.7000000000000002E-3</v>
      </c>
      <c r="G34" s="208" t="s">
        <v>471</v>
      </c>
      <c r="H34" s="210">
        <v>0</v>
      </c>
      <c r="I34" s="191" t="s">
        <v>459</v>
      </c>
      <c r="J34" s="192">
        <v>42446</v>
      </c>
      <c r="K34" s="189" t="s">
        <v>508</v>
      </c>
    </row>
    <row r="35" spans="3:11">
      <c r="C35" s="179" t="s">
        <v>271</v>
      </c>
      <c r="D35" s="179" t="s">
        <v>438</v>
      </c>
      <c r="E35" s="178">
        <v>0.13893</v>
      </c>
      <c r="G35" s="208" t="s">
        <v>415</v>
      </c>
      <c r="H35" s="210">
        <v>-2.1229715579999997</v>
      </c>
      <c r="I35" s="191" t="s">
        <v>459</v>
      </c>
      <c r="J35" s="193">
        <v>41699</v>
      </c>
      <c r="K35" s="189" t="s">
        <v>508</v>
      </c>
    </row>
    <row r="36" spans="3:11">
      <c r="C36" s="179" t="s">
        <v>271</v>
      </c>
      <c r="D36" s="179" t="s">
        <v>439</v>
      </c>
      <c r="E36" s="178">
        <v>5.5530000000000003E-2</v>
      </c>
      <c r="G36" s="208" t="s">
        <v>363</v>
      </c>
      <c r="H36" s="210">
        <v>0.67584870099999994</v>
      </c>
      <c r="I36" s="191" t="s">
        <v>461</v>
      </c>
      <c r="J36" s="192">
        <v>43160</v>
      </c>
      <c r="K36" s="189" t="s">
        <v>508</v>
      </c>
    </row>
    <row r="37" spans="3:11">
      <c r="C37" s="179" t="s">
        <v>434</v>
      </c>
      <c r="D37" s="179" t="s">
        <v>440</v>
      </c>
      <c r="E37" s="178">
        <v>0</v>
      </c>
      <c r="G37" s="208" t="s">
        <v>433</v>
      </c>
      <c r="H37" s="210">
        <v>1.8003814E-2</v>
      </c>
      <c r="I37" s="191" t="s">
        <v>459</v>
      </c>
      <c r="J37" s="192">
        <v>43160</v>
      </c>
      <c r="K37" s="189" t="s">
        <v>508</v>
      </c>
    </row>
    <row r="38" spans="3:11">
      <c r="C38" s="179" t="s">
        <v>290</v>
      </c>
      <c r="D38" s="179" t="s">
        <v>441</v>
      </c>
      <c r="E38" s="178">
        <v>2.1000000000000001E-2</v>
      </c>
      <c r="G38" s="208" t="s">
        <v>434</v>
      </c>
      <c r="H38" s="210">
        <v>-33.792299110000002</v>
      </c>
      <c r="I38" s="191" t="s">
        <v>472</v>
      </c>
      <c r="J38" s="193">
        <v>42064</v>
      </c>
      <c r="K38" s="189" t="s">
        <v>508</v>
      </c>
    </row>
    <row r="39" spans="3:11">
      <c r="C39" s="179" t="s">
        <v>290</v>
      </c>
      <c r="D39" s="179" t="s">
        <v>442</v>
      </c>
      <c r="E39" s="178">
        <v>-5.0000000000000001E-4</v>
      </c>
      <c r="G39" s="208" t="s">
        <v>327</v>
      </c>
      <c r="H39" s="210">
        <v>0.81897162799999978</v>
      </c>
      <c r="I39" s="191" t="s">
        <v>468</v>
      </c>
      <c r="J39" s="192">
        <v>43313</v>
      </c>
      <c r="K39" s="189" t="s">
        <v>508</v>
      </c>
    </row>
    <row r="40" spans="3:11">
      <c r="C40" s="179" t="s">
        <v>188</v>
      </c>
      <c r="D40" s="179" t="s">
        <v>443</v>
      </c>
      <c r="E40" s="178">
        <v>-1.6499999999999996E-3</v>
      </c>
      <c r="G40" s="208" t="s">
        <v>435</v>
      </c>
      <c r="H40" s="210">
        <v>0.43460923000000035</v>
      </c>
      <c r="I40" s="191" t="s">
        <v>459</v>
      </c>
      <c r="J40" s="192">
        <v>43177</v>
      </c>
      <c r="K40" s="189" t="s">
        <v>508</v>
      </c>
    </row>
    <row r="41" spans="3:11">
      <c r="C41" s="179" t="s">
        <v>188</v>
      </c>
      <c r="D41" s="179" t="s">
        <v>444</v>
      </c>
      <c r="E41" s="178">
        <v>6.0000000000000001E-3</v>
      </c>
      <c r="G41" s="208" t="s">
        <v>473</v>
      </c>
      <c r="H41" s="210">
        <v>0.5709136499999995</v>
      </c>
      <c r="I41" s="191" t="s">
        <v>461</v>
      </c>
      <c r="J41" s="192">
        <v>43177</v>
      </c>
      <c r="K41" s="189" t="s">
        <v>508</v>
      </c>
    </row>
    <row r="42" spans="3:11">
      <c r="C42" s="179" t="s">
        <v>188</v>
      </c>
      <c r="D42" s="179" t="s">
        <v>445</v>
      </c>
      <c r="E42" s="178">
        <v>5.7000000000000002E-3</v>
      </c>
      <c r="G42" s="208" t="s">
        <v>474</v>
      </c>
      <c r="H42" s="210">
        <v>0</v>
      </c>
      <c r="I42" s="191" t="s">
        <v>468</v>
      </c>
      <c r="J42" s="192">
        <v>42812</v>
      </c>
      <c r="K42" s="189" t="s">
        <v>508</v>
      </c>
    </row>
    <row r="43" spans="3:11">
      <c r="C43" s="179" t="s">
        <v>188</v>
      </c>
      <c r="D43" s="179" t="s">
        <v>446</v>
      </c>
      <c r="E43" s="178">
        <v>0.53138839999999998</v>
      </c>
      <c r="G43" s="208" t="s">
        <v>436</v>
      </c>
      <c r="H43" s="210">
        <v>0</v>
      </c>
      <c r="I43" s="191" t="s">
        <v>468</v>
      </c>
      <c r="J43" s="192">
        <v>42812</v>
      </c>
      <c r="K43" s="189" t="s">
        <v>508</v>
      </c>
    </row>
    <row r="44" spans="3:11">
      <c r="C44" s="179" t="s">
        <v>427</v>
      </c>
      <c r="D44" s="179" t="s">
        <v>203</v>
      </c>
      <c r="E44" s="178">
        <v>1.0425E-3</v>
      </c>
      <c r="G44" s="208" t="s">
        <v>254</v>
      </c>
      <c r="H44" s="210">
        <v>-2.58276499999881E-2</v>
      </c>
      <c r="I44" s="191" t="s">
        <v>459</v>
      </c>
      <c r="J44" s="192">
        <v>42430</v>
      </c>
      <c r="K44" s="189" t="s">
        <v>508</v>
      </c>
    </row>
    <row r="45" spans="3:11">
      <c r="C45" s="179" t="s">
        <v>188</v>
      </c>
      <c r="D45" s="179" t="s">
        <v>447</v>
      </c>
      <c r="E45" s="178">
        <v>7.5665800000000005E-2</v>
      </c>
      <c r="G45" s="208" t="s">
        <v>475</v>
      </c>
      <c r="H45" s="210">
        <v>-5.0489999999999997E-4</v>
      </c>
      <c r="I45" s="191" t="s">
        <v>468</v>
      </c>
      <c r="J45" s="192">
        <v>43891</v>
      </c>
      <c r="K45" s="191" t="s">
        <v>509</v>
      </c>
    </row>
    <row r="46" spans="3:11">
      <c r="C46" s="179" t="s">
        <v>232</v>
      </c>
      <c r="D46" s="179" t="s">
        <v>243</v>
      </c>
      <c r="E46" s="178">
        <v>0</v>
      </c>
      <c r="G46" s="208" t="s">
        <v>476</v>
      </c>
      <c r="H46" s="210">
        <v>0</v>
      </c>
      <c r="I46" s="191" t="s">
        <v>477</v>
      </c>
      <c r="J46" s="192">
        <v>40969</v>
      </c>
      <c r="K46" s="189" t="s">
        <v>508</v>
      </c>
    </row>
    <row r="47" spans="3:11">
      <c r="C47" s="179" t="s">
        <v>427</v>
      </c>
      <c r="D47" s="179" t="s">
        <v>448</v>
      </c>
      <c r="E47" s="178">
        <v>0</v>
      </c>
      <c r="G47" s="208" t="s">
        <v>478</v>
      </c>
      <c r="H47" s="210">
        <v>7.5718000000000001E-3</v>
      </c>
      <c r="I47" s="191" t="s">
        <v>459</v>
      </c>
      <c r="J47" s="192">
        <v>43160</v>
      </c>
      <c r="K47" s="189" t="s">
        <v>508</v>
      </c>
    </row>
    <row r="48" spans="3:11">
      <c r="C48" s="179" t="s">
        <v>232</v>
      </c>
      <c r="D48" s="179" t="s">
        <v>241</v>
      </c>
      <c r="E48" s="178">
        <v>0</v>
      </c>
      <c r="G48" s="208" t="s">
        <v>479</v>
      </c>
      <c r="H48" s="210">
        <v>0</v>
      </c>
      <c r="I48" s="191" t="s">
        <v>468</v>
      </c>
      <c r="J48" s="192">
        <v>43177</v>
      </c>
      <c r="K48" s="189" t="s">
        <v>508</v>
      </c>
    </row>
    <row r="49" spans="3:11">
      <c r="C49" s="179" t="s">
        <v>290</v>
      </c>
      <c r="D49" s="179" t="s">
        <v>449</v>
      </c>
      <c r="E49" s="178">
        <v>8.8999999999999999E-3</v>
      </c>
      <c r="G49" s="208" t="s">
        <v>480</v>
      </c>
      <c r="H49" s="210">
        <v>0.3109454790000003</v>
      </c>
      <c r="I49" s="191" t="s">
        <v>459</v>
      </c>
      <c r="J49" s="192">
        <v>43160</v>
      </c>
      <c r="K49" s="189" t="s">
        <v>508</v>
      </c>
    </row>
    <row r="50" spans="3:11">
      <c r="C50" s="179" t="s">
        <v>188</v>
      </c>
      <c r="D50" s="179" t="s">
        <v>189</v>
      </c>
      <c r="E50" s="178">
        <v>0.19450000000000001</v>
      </c>
      <c r="G50" s="208" t="s">
        <v>328</v>
      </c>
      <c r="H50" s="210">
        <v>0</v>
      </c>
      <c r="I50" s="191" t="s">
        <v>459</v>
      </c>
      <c r="J50" s="192">
        <v>40969</v>
      </c>
      <c r="K50" s="189" t="s">
        <v>508</v>
      </c>
    </row>
    <row r="51" spans="3:11">
      <c r="C51" s="179" t="s">
        <v>427</v>
      </c>
      <c r="D51" s="179" t="s">
        <v>198</v>
      </c>
      <c r="E51" s="178">
        <v>2.6679999999999998E-3</v>
      </c>
      <c r="G51" s="208" t="s">
        <v>481</v>
      </c>
      <c r="H51" s="210">
        <v>-9.4214999999999993E-3</v>
      </c>
      <c r="I51" s="191" t="s">
        <v>459</v>
      </c>
      <c r="J51" s="193">
        <v>42064</v>
      </c>
      <c r="K51" s="189" t="s">
        <v>508</v>
      </c>
    </row>
    <row r="52" spans="3:11">
      <c r="C52" s="179" t="s">
        <v>434</v>
      </c>
      <c r="D52" s="179" t="s">
        <v>450</v>
      </c>
      <c r="E52" s="178">
        <v>0</v>
      </c>
      <c r="G52" s="208" t="s">
        <v>437</v>
      </c>
      <c r="H52" s="210">
        <v>0.27156270099999913</v>
      </c>
      <c r="I52" s="191" t="s">
        <v>459</v>
      </c>
      <c r="J52" s="192">
        <v>43177</v>
      </c>
      <c r="K52" s="189" t="s">
        <v>508</v>
      </c>
    </row>
    <row r="53" spans="3:11">
      <c r="C53" s="179" t="s">
        <v>290</v>
      </c>
      <c r="D53" s="179" t="s">
        <v>451</v>
      </c>
      <c r="E53" s="178">
        <v>-4.1355000000000003E-3</v>
      </c>
      <c r="G53" s="208" t="s">
        <v>438</v>
      </c>
      <c r="H53" s="210">
        <v>0.30928799000000001</v>
      </c>
      <c r="I53" s="191" t="s">
        <v>472</v>
      </c>
      <c r="J53" s="193">
        <v>42064</v>
      </c>
      <c r="K53" s="189" t="s">
        <v>508</v>
      </c>
    </row>
    <row r="54" spans="3:11">
      <c r="C54" s="179" t="s">
        <v>290</v>
      </c>
      <c r="D54" s="179" t="s">
        <v>452</v>
      </c>
      <c r="E54" s="178">
        <v>3.81E-3</v>
      </c>
      <c r="G54" s="208" t="s">
        <v>439</v>
      </c>
      <c r="H54" s="210">
        <v>0.24369222199999999</v>
      </c>
      <c r="I54" s="191" t="s">
        <v>461</v>
      </c>
      <c r="J54" s="192">
        <v>43160</v>
      </c>
      <c r="K54" s="189" t="s">
        <v>508</v>
      </c>
    </row>
    <row r="55" spans="3:11">
      <c r="C55" s="179" t="s">
        <v>232</v>
      </c>
      <c r="D55" s="179" t="s">
        <v>453</v>
      </c>
      <c r="E55" s="178">
        <v>0.44840000000000002</v>
      </c>
      <c r="G55" s="208" t="s">
        <v>197</v>
      </c>
      <c r="H55" s="210">
        <v>3.4957540000000002E-3</v>
      </c>
      <c r="I55" s="191" t="s">
        <v>459</v>
      </c>
      <c r="J55" s="193">
        <v>41699</v>
      </c>
      <c r="K55" s="189" t="s">
        <v>508</v>
      </c>
    </row>
    <row r="56" spans="3:11">
      <c r="C56" s="179" t="s">
        <v>427</v>
      </c>
      <c r="D56" s="179" t="s">
        <v>202</v>
      </c>
      <c r="E56" s="178">
        <v>0</v>
      </c>
      <c r="G56" s="208" t="s">
        <v>482</v>
      </c>
      <c r="H56" s="210">
        <v>-2.4300000000000001E-5</v>
      </c>
      <c r="I56" s="191" t="s">
        <v>472</v>
      </c>
      <c r="J56" s="192">
        <v>43160</v>
      </c>
      <c r="K56" s="189" t="s">
        <v>508</v>
      </c>
    </row>
    <row r="57" spans="3:11">
      <c r="C57" s="179" t="s">
        <v>427</v>
      </c>
      <c r="D57" s="179" t="s">
        <v>215</v>
      </c>
      <c r="E57" s="178">
        <v>-1.33E-3</v>
      </c>
      <c r="G57" s="208" t="s">
        <v>483</v>
      </c>
      <c r="H57" s="210">
        <v>1.3465381E-2</v>
      </c>
      <c r="I57" s="191" t="s">
        <v>459</v>
      </c>
      <c r="J57" s="192">
        <v>43160</v>
      </c>
      <c r="K57" s="189" t="s">
        <v>508</v>
      </c>
    </row>
    <row r="58" spans="3:11">
      <c r="C58" s="179" t="s">
        <v>271</v>
      </c>
      <c r="D58" s="179" t="s">
        <v>454</v>
      </c>
      <c r="E58" s="178">
        <v>2.0000000000000235E-3</v>
      </c>
      <c r="G58" s="208" t="s">
        <v>484</v>
      </c>
      <c r="H58" s="210">
        <v>-6.9960145000036597E-2</v>
      </c>
      <c r="I58" s="191" t="s">
        <v>459</v>
      </c>
      <c r="J58" s="193">
        <v>42064</v>
      </c>
      <c r="K58" s="189" t="s">
        <v>508</v>
      </c>
    </row>
    <row r="59" spans="3:11">
      <c r="C59" s="179" t="s">
        <v>290</v>
      </c>
      <c r="D59" s="179" t="s">
        <v>455</v>
      </c>
      <c r="E59" s="178">
        <v>0</v>
      </c>
      <c r="G59" s="208" t="s">
        <v>485</v>
      </c>
      <c r="H59" s="210">
        <v>0.44979829999999998</v>
      </c>
      <c r="I59" s="191" t="s">
        <v>472</v>
      </c>
      <c r="J59" s="193">
        <v>43160</v>
      </c>
      <c r="K59" s="189" t="s">
        <v>508</v>
      </c>
    </row>
    <row r="60" spans="3:11">
      <c r="C60" s="473" t="s">
        <v>21</v>
      </c>
      <c r="D60" s="473"/>
      <c r="E60" s="181">
        <f>SUM(E21:E59)</f>
        <v>2.1289288281000003</v>
      </c>
      <c r="G60" s="208" t="s">
        <v>486</v>
      </c>
      <c r="H60" s="210">
        <v>0</v>
      </c>
      <c r="I60" s="191" t="s">
        <v>472</v>
      </c>
      <c r="J60" s="193">
        <v>40969</v>
      </c>
      <c r="K60" s="189" t="s">
        <v>508</v>
      </c>
    </row>
    <row r="61" spans="3:11">
      <c r="G61" s="208" t="s">
        <v>487</v>
      </c>
      <c r="H61" s="210">
        <v>-1.7262599999999999E-2</v>
      </c>
      <c r="I61" s="191" t="s">
        <v>472</v>
      </c>
      <c r="J61" s="192">
        <v>42795</v>
      </c>
      <c r="K61" s="189" t="s">
        <v>508</v>
      </c>
    </row>
    <row r="62" spans="3:11">
      <c r="G62" s="208" t="s">
        <v>488</v>
      </c>
      <c r="H62" s="210">
        <v>4.9841299999999998E-2</v>
      </c>
      <c r="I62" s="191" t="s">
        <v>472</v>
      </c>
      <c r="J62" s="192">
        <v>42795</v>
      </c>
      <c r="K62" s="189" t="s">
        <v>508</v>
      </c>
    </row>
    <row r="63" spans="3:11">
      <c r="G63" s="208" t="s">
        <v>440</v>
      </c>
      <c r="H63" s="210">
        <v>1.4955000000000001E-3</v>
      </c>
      <c r="I63" s="191" t="s">
        <v>472</v>
      </c>
      <c r="J63" s="192">
        <v>42795</v>
      </c>
      <c r="K63" s="189" t="s">
        <v>508</v>
      </c>
    </row>
    <row r="64" spans="3:11">
      <c r="G64" s="208" t="s">
        <v>489</v>
      </c>
      <c r="H64" s="210">
        <v>-1.3035199999999996E-3</v>
      </c>
      <c r="I64" s="191" t="s">
        <v>459</v>
      </c>
      <c r="J64" s="193">
        <v>42064</v>
      </c>
      <c r="K64" s="189" t="s">
        <v>508</v>
      </c>
    </row>
    <row r="65" spans="7:11">
      <c r="G65" s="208" t="s">
        <v>490</v>
      </c>
      <c r="H65" s="210">
        <v>-1.000000000003638E-8</v>
      </c>
      <c r="I65" s="191" t="s">
        <v>459</v>
      </c>
      <c r="J65" s="193">
        <v>42064</v>
      </c>
      <c r="K65" s="189" t="s">
        <v>508</v>
      </c>
    </row>
    <row r="66" spans="7:11">
      <c r="G66" s="208" t="s">
        <v>441</v>
      </c>
      <c r="H66" s="210">
        <v>4.217445259999999</v>
      </c>
      <c r="I66" s="191" t="s">
        <v>459</v>
      </c>
      <c r="J66" s="192">
        <v>43177</v>
      </c>
      <c r="K66" s="189" t="s">
        <v>508</v>
      </c>
    </row>
    <row r="67" spans="7:11">
      <c r="G67" s="208" t="s">
        <v>442</v>
      </c>
      <c r="H67" s="210">
        <v>0</v>
      </c>
      <c r="I67" s="191" t="s">
        <v>468</v>
      </c>
      <c r="J67" s="192">
        <v>43177</v>
      </c>
      <c r="K67" s="189" t="s">
        <v>508</v>
      </c>
    </row>
    <row r="68" spans="7:11">
      <c r="G68" s="208" t="s">
        <v>491</v>
      </c>
      <c r="H68" s="210">
        <v>-1.2524000000000001E-3</v>
      </c>
      <c r="I68" s="191" t="s">
        <v>459</v>
      </c>
      <c r="J68" s="193">
        <v>41699</v>
      </c>
      <c r="K68" s="189" t="s">
        <v>508</v>
      </c>
    </row>
    <row r="69" spans="7:11">
      <c r="G69" s="208" t="s">
        <v>444</v>
      </c>
      <c r="H69" s="210">
        <v>0.7538158989999999</v>
      </c>
      <c r="I69" s="191" t="s">
        <v>470</v>
      </c>
      <c r="J69" s="192">
        <v>43160</v>
      </c>
      <c r="K69" s="191" t="s">
        <v>510</v>
      </c>
    </row>
    <row r="70" spans="7:11">
      <c r="G70" s="208" t="s">
        <v>445</v>
      </c>
      <c r="H70" s="210">
        <v>0.3167613629999998</v>
      </c>
      <c r="I70" s="191" t="s">
        <v>470</v>
      </c>
      <c r="J70" s="192">
        <v>43070</v>
      </c>
      <c r="K70" s="191" t="s">
        <v>510</v>
      </c>
    </row>
    <row r="71" spans="7:11">
      <c r="G71" s="208" t="s">
        <v>446</v>
      </c>
      <c r="H71" s="210">
        <v>8.3200756000000195E-2</v>
      </c>
      <c r="I71" s="191" t="s">
        <v>459</v>
      </c>
      <c r="J71" s="192">
        <v>43191</v>
      </c>
      <c r="K71" s="189" t="s">
        <v>508</v>
      </c>
    </row>
    <row r="72" spans="7:11">
      <c r="G72" s="208" t="s">
        <v>492</v>
      </c>
      <c r="H72" s="210">
        <v>0</v>
      </c>
      <c r="I72" s="191" t="s">
        <v>459</v>
      </c>
      <c r="J72" s="191">
        <v>2012</v>
      </c>
      <c r="K72" s="189" t="s">
        <v>508</v>
      </c>
    </row>
    <row r="73" spans="7:11">
      <c r="G73" s="208" t="s">
        <v>239</v>
      </c>
      <c r="H73" s="210">
        <v>1.565417933</v>
      </c>
      <c r="I73" s="191" t="s">
        <v>468</v>
      </c>
      <c r="J73" s="191">
        <v>2018</v>
      </c>
      <c r="K73" s="189" t="s">
        <v>508</v>
      </c>
    </row>
    <row r="74" spans="7:11">
      <c r="G74" s="208" t="s">
        <v>493</v>
      </c>
      <c r="H74" s="210">
        <v>0.76660439999999996</v>
      </c>
      <c r="I74" s="191" t="s">
        <v>459</v>
      </c>
      <c r="J74" s="192">
        <v>43160</v>
      </c>
      <c r="K74" s="189" t="s">
        <v>508</v>
      </c>
    </row>
    <row r="75" spans="7:11">
      <c r="G75" s="208" t="s">
        <v>494</v>
      </c>
      <c r="H75" s="210">
        <v>-5.6449999999999998E-3</v>
      </c>
      <c r="I75" s="191" t="s">
        <v>461</v>
      </c>
      <c r="J75" s="193">
        <v>42064</v>
      </c>
      <c r="K75" s="189" t="s">
        <v>508</v>
      </c>
    </row>
    <row r="76" spans="7:11">
      <c r="G76" s="208" t="s">
        <v>203</v>
      </c>
      <c r="H76" s="210">
        <v>0.13362340499999997</v>
      </c>
      <c r="I76" s="191" t="s">
        <v>470</v>
      </c>
      <c r="J76" s="191">
        <v>2018</v>
      </c>
      <c r="K76" s="191" t="s">
        <v>510</v>
      </c>
    </row>
    <row r="77" spans="7:11">
      <c r="G77" s="208" t="s">
        <v>495</v>
      </c>
      <c r="H77" s="210">
        <v>-5.2809780000000008E-2</v>
      </c>
      <c r="I77" s="191" t="s">
        <v>459</v>
      </c>
      <c r="J77" s="193">
        <v>42064</v>
      </c>
      <c r="K77" s="189" t="s">
        <v>508</v>
      </c>
    </row>
    <row r="78" spans="7:11">
      <c r="G78" s="208" t="s">
        <v>496</v>
      </c>
      <c r="H78" s="210">
        <v>-0.40204210100001087</v>
      </c>
      <c r="I78" s="191" t="s">
        <v>459</v>
      </c>
      <c r="J78" s="193">
        <v>42064</v>
      </c>
      <c r="K78" s="189" t="s">
        <v>508</v>
      </c>
    </row>
    <row r="79" spans="7:11">
      <c r="G79" s="208" t="s">
        <v>447</v>
      </c>
      <c r="H79" s="210">
        <v>0.50842014300000005</v>
      </c>
      <c r="I79" s="191" t="s">
        <v>459</v>
      </c>
      <c r="J79" s="192">
        <v>42887</v>
      </c>
      <c r="K79" s="189" t="s">
        <v>508</v>
      </c>
    </row>
    <row r="80" spans="7:11">
      <c r="G80" s="208" t="s">
        <v>243</v>
      </c>
      <c r="H80" s="210">
        <v>15.263965016</v>
      </c>
      <c r="I80" s="191" t="s">
        <v>459</v>
      </c>
      <c r="J80" s="191">
        <v>2018</v>
      </c>
      <c r="K80" s="189" t="s">
        <v>508</v>
      </c>
    </row>
    <row r="81" spans="7:11">
      <c r="G81" s="208" t="s">
        <v>497</v>
      </c>
      <c r="H81" s="210">
        <v>0</v>
      </c>
      <c r="I81" s="191" t="s">
        <v>468</v>
      </c>
      <c r="J81" s="192">
        <v>42795</v>
      </c>
      <c r="K81" s="189" t="s">
        <v>508</v>
      </c>
    </row>
    <row r="82" spans="7:11">
      <c r="G82" s="208" t="s">
        <v>256</v>
      </c>
      <c r="H82" s="210">
        <v>1.8030899999999999E-2</v>
      </c>
      <c r="I82" s="191" t="s">
        <v>468</v>
      </c>
      <c r="J82" s="192">
        <v>40969</v>
      </c>
      <c r="K82" s="189" t="s">
        <v>508</v>
      </c>
    </row>
    <row r="83" spans="7:11">
      <c r="G83" s="208" t="s">
        <v>498</v>
      </c>
      <c r="H83" s="210">
        <v>-1.7131299999999999E-2</v>
      </c>
      <c r="I83" s="191" t="s">
        <v>459</v>
      </c>
      <c r="J83" s="193">
        <v>42064</v>
      </c>
      <c r="K83" s="189" t="s">
        <v>508</v>
      </c>
    </row>
    <row r="84" spans="7:11">
      <c r="G84" s="208" t="s">
        <v>241</v>
      </c>
      <c r="H84" s="210">
        <v>3.3297044169999994</v>
      </c>
      <c r="I84" s="191" t="s">
        <v>468</v>
      </c>
      <c r="J84" s="191">
        <v>2018</v>
      </c>
      <c r="K84" s="189" t="s">
        <v>508</v>
      </c>
    </row>
    <row r="85" spans="7:11">
      <c r="G85" s="208" t="s">
        <v>499</v>
      </c>
      <c r="H85" s="210">
        <v>8.0988999999999993E-5</v>
      </c>
      <c r="I85" s="191" t="s">
        <v>472</v>
      </c>
      <c r="J85" s="192">
        <v>43466</v>
      </c>
      <c r="K85" s="191" t="s">
        <v>509</v>
      </c>
    </row>
    <row r="86" spans="7:11">
      <c r="G86" s="208" t="s">
        <v>500</v>
      </c>
      <c r="H86" s="210">
        <v>0.3723677570000008</v>
      </c>
      <c r="I86" s="191" t="s">
        <v>459</v>
      </c>
      <c r="J86" s="192">
        <v>43160</v>
      </c>
      <c r="K86" s="189" t="s">
        <v>508</v>
      </c>
    </row>
    <row r="87" spans="7:11">
      <c r="G87" s="208" t="s">
        <v>449</v>
      </c>
      <c r="H87" s="210">
        <v>1.1520422259999998</v>
      </c>
      <c r="I87" s="191" t="s">
        <v>459</v>
      </c>
      <c r="J87" s="192">
        <v>43177</v>
      </c>
      <c r="K87" s="189" t="s">
        <v>508</v>
      </c>
    </row>
    <row r="88" spans="7:11">
      <c r="G88" s="208" t="s">
        <v>501</v>
      </c>
      <c r="H88" s="210">
        <v>1.581797823999995</v>
      </c>
      <c r="I88" s="191" t="s">
        <v>461</v>
      </c>
      <c r="J88" s="192">
        <v>43160</v>
      </c>
      <c r="K88" s="189" t="s">
        <v>508</v>
      </c>
    </row>
    <row r="89" spans="7:11">
      <c r="G89" s="208" t="s">
        <v>189</v>
      </c>
      <c r="H89" s="210">
        <v>0.28011751599999979</v>
      </c>
      <c r="I89" s="191" t="s">
        <v>468</v>
      </c>
      <c r="J89" s="192">
        <v>43252</v>
      </c>
      <c r="K89" s="189" t="s">
        <v>508</v>
      </c>
    </row>
    <row r="90" spans="7:11">
      <c r="G90" s="208" t="s">
        <v>502</v>
      </c>
      <c r="H90" s="210">
        <v>-1.8563603999999997E-2</v>
      </c>
      <c r="I90" s="191" t="s">
        <v>459</v>
      </c>
      <c r="J90" s="192">
        <v>43160</v>
      </c>
      <c r="K90" s="189" t="s">
        <v>508</v>
      </c>
    </row>
    <row r="91" spans="7:11">
      <c r="G91" s="208" t="s">
        <v>198</v>
      </c>
      <c r="H91" s="210">
        <v>-1.45040474</v>
      </c>
      <c r="I91" s="191" t="s">
        <v>461</v>
      </c>
      <c r="J91" s="191">
        <v>2018</v>
      </c>
      <c r="K91" s="189" t="s">
        <v>508</v>
      </c>
    </row>
    <row r="92" spans="7:11">
      <c r="G92" s="208" t="s">
        <v>192</v>
      </c>
      <c r="H92" s="210">
        <v>2.9726942859999999</v>
      </c>
      <c r="I92" s="191" t="s">
        <v>477</v>
      </c>
      <c r="J92" s="192">
        <v>41699</v>
      </c>
      <c r="K92" s="189" t="s">
        <v>508</v>
      </c>
    </row>
    <row r="93" spans="7:11">
      <c r="G93" s="208" t="s">
        <v>503</v>
      </c>
      <c r="H93" s="210">
        <v>0</v>
      </c>
      <c r="I93" s="191" t="s">
        <v>459</v>
      </c>
      <c r="J93" s="191">
        <v>2019</v>
      </c>
      <c r="K93" s="189" t="s">
        <v>508</v>
      </c>
    </row>
    <row r="94" spans="7:11">
      <c r="G94" s="208" t="s">
        <v>266</v>
      </c>
      <c r="H94" s="210">
        <v>2.18496E-2</v>
      </c>
      <c r="I94" s="191" t="s">
        <v>459</v>
      </c>
      <c r="J94" s="192">
        <v>40969</v>
      </c>
      <c r="K94" s="189" t="s">
        <v>508</v>
      </c>
    </row>
    <row r="95" spans="7:11">
      <c r="G95" s="208" t="s">
        <v>450</v>
      </c>
      <c r="H95" s="210">
        <v>1.3266500000000001E-2</v>
      </c>
      <c r="I95" s="191" t="s">
        <v>472</v>
      </c>
      <c r="J95" s="192">
        <v>43177</v>
      </c>
      <c r="K95" s="189" t="s">
        <v>508</v>
      </c>
    </row>
    <row r="96" spans="7:11">
      <c r="G96" s="208" t="s">
        <v>451</v>
      </c>
      <c r="H96" s="210">
        <v>0</v>
      </c>
      <c r="I96" s="191" t="s">
        <v>468</v>
      </c>
      <c r="J96" s="192">
        <v>43177</v>
      </c>
      <c r="K96" s="189" t="s">
        <v>508</v>
      </c>
    </row>
    <row r="97" spans="7:11">
      <c r="G97" s="208" t="s">
        <v>504</v>
      </c>
      <c r="H97" s="210">
        <v>-2.4230690999999999E-2</v>
      </c>
      <c r="I97" s="191" t="s">
        <v>472</v>
      </c>
      <c r="J97" s="193">
        <v>42064</v>
      </c>
      <c r="K97" s="189" t="s">
        <v>508</v>
      </c>
    </row>
    <row r="98" spans="7:11">
      <c r="G98" s="208" t="s">
        <v>452</v>
      </c>
      <c r="H98" s="210">
        <v>0.82249444399999971</v>
      </c>
      <c r="I98" s="191" t="s">
        <v>459</v>
      </c>
      <c r="J98" s="192">
        <v>43177</v>
      </c>
      <c r="K98" s="189" t="s">
        <v>508</v>
      </c>
    </row>
    <row r="99" spans="7:11">
      <c r="G99" s="208" t="s">
        <v>505</v>
      </c>
      <c r="H99" s="210">
        <v>9.7676216999999996E-2</v>
      </c>
      <c r="I99" s="191" t="s">
        <v>459</v>
      </c>
      <c r="J99" s="192">
        <v>40986</v>
      </c>
      <c r="K99" s="189" t="s">
        <v>508</v>
      </c>
    </row>
    <row r="100" spans="7:11">
      <c r="G100" s="208" t="s">
        <v>453</v>
      </c>
      <c r="H100" s="210">
        <v>7.1430832000000004</v>
      </c>
      <c r="I100" s="191" t="s">
        <v>470</v>
      </c>
      <c r="J100" s="192">
        <v>44986</v>
      </c>
      <c r="K100" s="191" t="s">
        <v>510</v>
      </c>
    </row>
    <row r="101" spans="7:11">
      <c r="G101" s="208" t="s">
        <v>202</v>
      </c>
      <c r="H101" s="210">
        <v>0.14379750499999999</v>
      </c>
      <c r="I101" s="191" t="s">
        <v>459</v>
      </c>
      <c r="J101" s="192">
        <v>40986</v>
      </c>
      <c r="K101" s="189" t="s">
        <v>508</v>
      </c>
    </row>
    <row r="102" spans="7:11">
      <c r="G102" s="208" t="s">
        <v>215</v>
      </c>
      <c r="H102" s="210">
        <v>0</v>
      </c>
      <c r="I102" s="191" t="s">
        <v>459</v>
      </c>
      <c r="J102" s="192">
        <v>40986</v>
      </c>
      <c r="K102" s="189" t="s">
        <v>508</v>
      </c>
    </row>
    <row r="103" spans="7:11">
      <c r="G103" s="208" t="s">
        <v>454</v>
      </c>
      <c r="H103" s="210">
        <v>0.6295097640000058</v>
      </c>
      <c r="I103" s="191" t="s">
        <v>459</v>
      </c>
      <c r="J103" s="192">
        <v>43160</v>
      </c>
      <c r="K103" s="189" t="s">
        <v>508</v>
      </c>
    </row>
    <row r="104" spans="7:11">
      <c r="G104" s="208" t="s">
        <v>455</v>
      </c>
      <c r="H104" s="210">
        <v>0</v>
      </c>
      <c r="I104" s="191" t="s">
        <v>459</v>
      </c>
      <c r="J104" s="192">
        <v>42812</v>
      </c>
      <c r="K104" s="189" t="s">
        <v>508</v>
      </c>
    </row>
    <row r="105" spans="7:11">
      <c r="G105" s="208" t="s">
        <v>506</v>
      </c>
      <c r="H105" s="210">
        <v>0</v>
      </c>
      <c r="I105" s="191" t="s">
        <v>468</v>
      </c>
      <c r="J105" s="192">
        <v>43177</v>
      </c>
      <c r="K105" s="189" t="s">
        <v>508</v>
      </c>
    </row>
  </sheetData>
  <mergeCells count="7">
    <mergeCell ref="C60:D60"/>
    <mergeCell ref="C17:E17"/>
    <mergeCell ref="B2:G2"/>
    <mergeCell ref="B3:G3"/>
    <mergeCell ref="B5:G5"/>
    <mergeCell ref="B11:G11"/>
    <mergeCell ref="B12:G12"/>
  </mergeCells>
  <hyperlinks>
    <hyperlink ref="H16:I16" r:id="rId1" display="=@subtotal(9,F3:F21)" xr:uid="{00000000-0004-0000-1600-000000000000}"/>
  </hyperlinks>
  <pageMargins left="0.7" right="0.7" top="0.75" bottom="0.75" header="0.3" footer="0.3"/>
  <pageSetup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L30"/>
  <sheetViews>
    <sheetView workbookViewId="0">
      <selection activeCell="K23" sqref="K23"/>
    </sheetView>
  </sheetViews>
  <sheetFormatPr defaultRowHeight="14.4"/>
  <cols>
    <col min="2" max="2" width="22" customWidth="1"/>
    <col min="3" max="3" width="13.6640625" bestFit="1" customWidth="1"/>
    <col min="4" max="5" width="15.33203125" bestFit="1" customWidth="1"/>
    <col min="7" max="7" width="15.33203125" bestFit="1" customWidth="1"/>
    <col min="10" max="10" width="12" customWidth="1"/>
    <col min="11" max="11" width="14.5546875" customWidth="1"/>
    <col min="12" max="12" width="10.44140625" bestFit="1" customWidth="1"/>
  </cols>
  <sheetData>
    <row r="2" spans="2:12">
      <c r="B2" s="120" t="s">
        <v>151</v>
      </c>
      <c r="C2" s="121">
        <v>45016</v>
      </c>
    </row>
    <row r="3" spans="2:12">
      <c r="B3" s="120" t="s">
        <v>152</v>
      </c>
      <c r="C3" s="122">
        <f>D26/4</f>
        <v>3.3287499999999998E-2</v>
      </c>
    </row>
    <row r="5" spans="2:12">
      <c r="D5" s="123" t="s">
        <v>153</v>
      </c>
      <c r="E5" s="123" t="s">
        <v>154</v>
      </c>
      <c r="F5" s="123" t="s">
        <v>155</v>
      </c>
      <c r="G5" s="123" t="s">
        <v>156</v>
      </c>
    </row>
    <row r="6" spans="2:12">
      <c r="D6" s="124">
        <v>45107</v>
      </c>
      <c r="E6" s="125">
        <f>K26</f>
        <v>634.26575000000003</v>
      </c>
      <c r="F6" s="126">
        <f>(D6-$C$2)/91.25</f>
        <v>0.99726027397260275</v>
      </c>
      <c r="G6" s="127">
        <f>E6/(1+$C$3)^F6</f>
        <v>613.88786259538961</v>
      </c>
    </row>
    <row r="7" spans="2:12">
      <c r="D7" s="124">
        <f>EDATE(D6,3)</f>
        <v>45199</v>
      </c>
      <c r="E7" s="125">
        <f>E6</f>
        <v>634.26575000000003</v>
      </c>
      <c r="F7" s="126">
        <f t="shared" ref="F7:F19" si="0">(D7-$C$2)/91.25</f>
        <v>2.0054794520547947</v>
      </c>
      <c r="G7" s="127">
        <f t="shared" ref="G7:G19" si="1">E7/(1+$C$3)^F7</f>
        <v>593.95150192162123</v>
      </c>
    </row>
    <row r="8" spans="2:12">
      <c r="D8" s="124">
        <f>EDATE(D7,3)</f>
        <v>45290</v>
      </c>
      <c r="E8" s="125">
        <f t="shared" ref="E8:E18" si="2">E7</f>
        <v>634.26575000000003</v>
      </c>
      <c r="F8" s="126">
        <f t="shared" si="0"/>
        <v>3.0027397260273974</v>
      </c>
      <c r="G8" s="127">
        <f t="shared" si="1"/>
        <v>574.86884322539174</v>
      </c>
    </row>
    <row r="9" spans="2:12">
      <c r="D9" s="124">
        <f t="shared" ref="D9:D18" si="3">EDATE(D8,3)</f>
        <v>45381</v>
      </c>
      <c r="E9" s="125">
        <f t="shared" si="2"/>
        <v>634.26575000000003</v>
      </c>
      <c r="F9" s="126">
        <f t="shared" si="0"/>
        <v>4</v>
      </c>
      <c r="G9" s="127">
        <f t="shared" si="1"/>
        <v>556.39927812643191</v>
      </c>
      <c r="K9" t="s">
        <v>151</v>
      </c>
      <c r="L9" s="121">
        <v>45016</v>
      </c>
    </row>
    <row r="10" spans="2:12">
      <c r="D10" s="124">
        <f t="shared" si="3"/>
        <v>45473</v>
      </c>
      <c r="E10" s="125">
        <f t="shared" si="2"/>
        <v>634.26575000000003</v>
      </c>
      <c r="F10" s="126">
        <f t="shared" si="0"/>
        <v>5.0082191780821921</v>
      </c>
      <c r="G10" s="127">
        <f t="shared" si="1"/>
        <v>538.32989222840172</v>
      </c>
      <c r="L10" s="124">
        <v>45107</v>
      </c>
    </row>
    <row r="11" spans="2:12">
      <c r="D11" s="124">
        <f t="shared" si="3"/>
        <v>45565</v>
      </c>
      <c r="E11" s="125">
        <f t="shared" si="2"/>
        <v>634.26575000000003</v>
      </c>
      <c r="F11" s="126">
        <f t="shared" si="0"/>
        <v>6.0164383561643833</v>
      </c>
      <c r="G11" s="127">
        <f t="shared" si="1"/>
        <v>520.84732000818838</v>
      </c>
      <c r="K11" t="s">
        <v>157</v>
      </c>
      <c r="L11" s="128">
        <v>46226</v>
      </c>
    </row>
    <row r="12" spans="2:12">
      <c r="D12" s="124">
        <f t="shared" si="3"/>
        <v>45656</v>
      </c>
      <c r="E12" s="125">
        <f t="shared" si="2"/>
        <v>634.26575000000003</v>
      </c>
      <c r="F12" s="126">
        <f t="shared" si="0"/>
        <v>7.0136986301369859</v>
      </c>
      <c r="G12" s="127">
        <f t="shared" si="1"/>
        <v>504.11337521908388</v>
      </c>
      <c r="L12" s="128">
        <v>46203</v>
      </c>
    </row>
    <row r="13" spans="2:12">
      <c r="D13" s="124">
        <f t="shared" si="3"/>
        <v>45746</v>
      </c>
      <c r="E13" s="125">
        <f t="shared" si="2"/>
        <v>634.26575000000003</v>
      </c>
      <c r="F13" s="126">
        <f t="shared" si="0"/>
        <v>8</v>
      </c>
      <c r="G13" s="127">
        <f t="shared" si="1"/>
        <v>488.09218643701723</v>
      </c>
      <c r="L13">
        <f>(L12-L10)/90</f>
        <v>12.177777777777777</v>
      </c>
    </row>
    <row r="14" spans="2:12">
      <c r="D14" s="124">
        <f t="shared" si="3"/>
        <v>45838</v>
      </c>
      <c r="E14" s="125">
        <f t="shared" si="2"/>
        <v>634.26575000000003</v>
      </c>
      <c r="F14" s="126">
        <f t="shared" si="0"/>
        <v>9.0082191780821912</v>
      </c>
      <c r="G14" s="127">
        <f t="shared" si="1"/>
        <v>472.24111254590451</v>
      </c>
    </row>
    <row r="15" spans="2:12">
      <c r="D15" s="124">
        <f t="shared" si="3"/>
        <v>45930</v>
      </c>
      <c r="E15" s="125">
        <f t="shared" si="2"/>
        <v>634.26575000000003</v>
      </c>
      <c r="F15" s="126">
        <f t="shared" si="0"/>
        <v>10.016438356164384</v>
      </c>
      <c r="G15" s="127">
        <f t="shared" si="1"/>
        <v>456.90481137700186</v>
      </c>
    </row>
    <row r="16" spans="2:12">
      <c r="D16" s="124">
        <f t="shared" si="3"/>
        <v>46021</v>
      </c>
      <c r="E16" s="125">
        <f t="shared" si="2"/>
        <v>634.26575000000003</v>
      </c>
      <c r="F16" s="126">
        <f t="shared" si="0"/>
        <v>11.013698630136986</v>
      </c>
      <c r="G16" s="127">
        <f t="shared" si="1"/>
        <v>442.22523140462386</v>
      </c>
    </row>
    <row r="17" spans="1:11">
      <c r="D17" s="124">
        <f t="shared" si="3"/>
        <v>46111</v>
      </c>
      <c r="E17" s="125">
        <f t="shared" si="2"/>
        <v>634.26575000000003</v>
      </c>
      <c r="F17" s="126">
        <f t="shared" si="0"/>
        <v>12</v>
      </c>
      <c r="G17" s="127">
        <f t="shared" si="1"/>
        <v>428.17090500741716</v>
      </c>
    </row>
    <row r="18" spans="1:11">
      <c r="D18" s="124">
        <f t="shared" si="3"/>
        <v>46203</v>
      </c>
      <c r="E18" s="125">
        <f t="shared" si="2"/>
        <v>634.26575000000003</v>
      </c>
      <c r="F18" s="126">
        <f t="shared" si="0"/>
        <v>13.008219178082191</v>
      </c>
      <c r="G18" s="127">
        <f t="shared" si="1"/>
        <v>414.26580912206634</v>
      </c>
    </row>
    <row r="19" spans="1:11">
      <c r="D19" s="124">
        <v>46226</v>
      </c>
      <c r="E19" s="125">
        <v>253706300</v>
      </c>
      <c r="F19" s="126">
        <f t="shared" si="0"/>
        <v>13.260273972602739</v>
      </c>
      <c r="G19" s="127">
        <f t="shared" si="1"/>
        <v>164344270.01701111</v>
      </c>
    </row>
    <row r="20" spans="1:11">
      <c r="D20" s="129"/>
      <c r="E20" s="130">
        <f>SUM(E6:E19)</f>
        <v>253714545.45475</v>
      </c>
      <c r="F20" s="129"/>
      <c r="G20" s="131">
        <f>SUM(G6:G19)</f>
        <v>164350874.31514034</v>
      </c>
    </row>
    <row r="23" spans="1:11">
      <c r="E23" t="s">
        <v>158</v>
      </c>
    </row>
    <row r="24" spans="1:11" ht="28.8">
      <c r="C24" s="98" t="s">
        <v>159</v>
      </c>
      <c r="D24" s="132">
        <v>7.3150000000000007E-2</v>
      </c>
      <c r="J24" t="s">
        <v>160</v>
      </c>
      <c r="K24">
        <v>253706300</v>
      </c>
    </row>
    <row r="25" spans="1:11">
      <c r="B25" s="133" t="s">
        <v>161</v>
      </c>
      <c r="C25" s="134" t="s">
        <v>162</v>
      </c>
      <c r="D25" s="132">
        <v>0.06</v>
      </c>
      <c r="J25" t="s">
        <v>163</v>
      </c>
      <c r="K25" s="135">
        <f>(0.001/4)%</f>
        <v>2.5000000000000002E-6</v>
      </c>
    </row>
    <row r="26" spans="1:11">
      <c r="C26" s="136" t="s">
        <v>164</v>
      </c>
      <c r="D26" s="137">
        <f>SUM(D24:D25)</f>
        <v>0.13314999999999999</v>
      </c>
      <c r="K26">
        <f>K24*K25</f>
        <v>634.26575000000003</v>
      </c>
    </row>
    <row r="28" spans="1:11">
      <c r="B28" s="120" t="s">
        <v>165</v>
      </c>
      <c r="C28" s="120"/>
      <c r="D28" s="138">
        <f>G20</f>
        <v>164350874.31514034</v>
      </c>
    </row>
    <row r="29" spans="1:11" ht="27.75" customHeight="1">
      <c r="A29" s="133" t="s">
        <v>166</v>
      </c>
      <c r="B29" s="119" t="s">
        <v>167</v>
      </c>
      <c r="C29" s="139">
        <v>0.75</v>
      </c>
      <c r="D29" s="138">
        <f>D28*C29</f>
        <v>123263155.73635525</v>
      </c>
      <c r="F29">
        <f>(SUM(E19:E19)/D30)^(1/15)-1</f>
        <v>0.12903641177426617</v>
      </c>
    </row>
    <row r="30" spans="1:11">
      <c r="B30" s="140" t="s">
        <v>168</v>
      </c>
      <c r="C30" s="140"/>
      <c r="D30" s="141">
        <f>D28-D29</f>
        <v>41087718.578785092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X41"/>
  <sheetViews>
    <sheetView workbookViewId="0">
      <selection activeCell="G29" sqref="G29"/>
    </sheetView>
  </sheetViews>
  <sheetFormatPr defaultRowHeight="14.4"/>
  <cols>
    <col min="2" max="2" width="22" customWidth="1"/>
    <col min="3" max="3" width="13.6640625" bestFit="1" customWidth="1"/>
    <col min="4" max="5" width="15.33203125" bestFit="1" customWidth="1"/>
    <col min="7" max="7" width="15.33203125" bestFit="1" customWidth="1"/>
    <col min="9" max="9" width="14.88671875" bestFit="1" customWidth="1"/>
    <col min="10" max="10" width="12" customWidth="1"/>
    <col min="11" max="11" width="14.5546875" customWidth="1"/>
    <col min="12" max="12" width="10.44140625" bestFit="1" customWidth="1"/>
    <col min="14" max="14" width="10.33203125" bestFit="1" customWidth="1"/>
    <col min="15" max="15" width="13.88671875" bestFit="1" customWidth="1"/>
    <col min="17" max="17" width="13.88671875" style="142" bestFit="1" customWidth="1"/>
    <col min="20" max="20" width="12" bestFit="1" customWidth="1"/>
    <col min="21" max="21" width="10.33203125" bestFit="1" customWidth="1"/>
    <col min="22" max="22" width="12.33203125" bestFit="1" customWidth="1"/>
    <col min="24" max="24" width="12.33203125" customWidth="1"/>
  </cols>
  <sheetData>
    <row r="2" spans="1:24">
      <c r="B2" s="120" t="s">
        <v>151</v>
      </c>
      <c r="C2" s="121">
        <v>45016</v>
      </c>
    </row>
    <row r="3" spans="1:24">
      <c r="B3" s="120" t="s">
        <v>152</v>
      </c>
      <c r="C3" s="122">
        <f>D34/4</f>
        <v>3.4999999999999996E-2</v>
      </c>
    </row>
    <row r="5" spans="1:24">
      <c r="N5" s="123" t="s">
        <v>153</v>
      </c>
      <c r="O5" s="123" t="s">
        <v>154</v>
      </c>
      <c r="P5" s="123" t="s">
        <v>155</v>
      </c>
      <c r="Q5" s="143" t="s">
        <v>156</v>
      </c>
      <c r="U5" s="123" t="s">
        <v>153</v>
      </c>
      <c r="V5" s="123" t="s">
        <v>154</v>
      </c>
      <c r="W5" s="123" t="s">
        <v>155</v>
      </c>
      <c r="X5" s="143" t="s">
        <v>156</v>
      </c>
    </row>
    <row r="6" spans="1:24">
      <c r="D6" s="124"/>
      <c r="E6" s="144"/>
      <c r="F6" s="126"/>
      <c r="G6" s="127"/>
      <c r="N6" s="124"/>
      <c r="O6" s="125"/>
      <c r="P6" s="126"/>
      <c r="Q6" s="145"/>
      <c r="U6" s="124"/>
      <c r="V6" s="125"/>
      <c r="W6" s="126"/>
      <c r="X6" s="145"/>
    </row>
    <row r="7" spans="1:24">
      <c r="D7" s="124"/>
      <c r="E7" s="144"/>
      <c r="F7" s="126"/>
      <c r="G7" s="127"/>
      <c r="N7" s="124"/>
      <c r="O7" s="125"/>
      <c r="P7" s="126"/>
      <c r="Q7" s="145"/>
      <c r="U7" s="124"/>
      <c r="V7" s="125"/>
      <c r="W7" s="126"/>
      <c r="X7" s="145"/>
    </row>
    <row r="8" spans="1:24">
      <c r="A8" t="s">
        <v>151</v>
      </c>
      <c r="B8" s="128">
        <v>45016</v>
      </c>
      <c r="D8" s="124"/>
      <c r="E8" s="144"/>
      <c r="F8" s="126"/>
      <c r="G8" s="127"/>
      <c r="K8" t="s">
        <v>151</v>
      </c>
      <c r="L8" s="128">
        <v>45016</v>
      </c>
      <c r="N8" s="124"/>
      <c r="O8" s="125"/>
      <c r="P8" s="126"/>
      <c r="Q8" s="145"/>
      <c r="S8" t="s">
        <v>151</v>
      </c>
      <c r="T8" s="128">
        <v>45016</v>
      </c>
      <c r="U8" s="124"/>
      <c r="V8" s="125"/>
      <c r="W8" s="126"/>
      <c r="X8" s="145"/>
    </row>
    <row r="9" spans="1:24">
      <c r="B9" s="128">
        <v>45107</v>
      </c>
      <c r="D9" s="124"/>
      <c r="E9" s="144"/>
      <c r="F9" s="126"/>
      <c r="G9" s="127"/>
      <c r="L9" s="128">
        <v>45107</v>
      </c>
      <c r="N9" s="124"/>
      <c r="O9" s="125"/>
      <c r="P9" s="126"/>
      <c r="Q9" s="145"/>
      <c r="T9" s="128">
        <v>45107</v>
      </c>
      <c r="U9" s="124"/>
      <c r="V9" s="125"/>
      <c r="W9" s="126"/>
      <c r="X9" s="145"/>
    </row>
    <row r="10" spans="1:24">
      <c r="A10" t="s">
        <v>157</v>
      </c>
      <c r="B10" s="128">
        <v>45382</v>
      </c>
      <c r="D10" s="124"/>
      <c r="E10" s="144"/>
      <c r="F10" s="126"/>
      <c r="G10" s="127"/>
      <c r="K10" t="s">
        <v>157</v>
      </c>
      <c r="L10" s="128">
        <v>45747</v>
      </c>
      <c r="N10" s="124"/>
      <c r="O10" s="125"/>
      <c r="P10" s="126"/>
      <c r="Q10" s="145"/>
      <c r="S10" t="s">
        <v>157</v>
      </c>
      <c r="T10" s="128">
        <v>46112</v>
      </c>
      <c r="U10" s="124"/>
      <c r="V10" s="125"/>
      <c r="W10" s="126"/>
      <c r="X10" s="145"/>
    </row>
    <row r="11" spans="1:24">
      <c r="B11">
        <f>(B10-B9)/90</f>
        <v>3.0555555555555554</v>
      </c>
      <c r="D11" s="124"/>
      <c r="E11" s="144"/>
      <c r="F11" s="126"/>
      <c r="G11" s="127"/>
      <c r="L11">
        <f>(L10-L9)/90</f>
        <v>7.1111111111111107</v>
      </c>
      <c r="N11" s="124"/>
      <c r="O11" s="125"/>
      <c r="P11" s="126"/>
      <c r="Q11" s="145"/>
      <c r="T11">
        <f>(T10-T9)/90</f>
        <v>11.166666666666666</v>
      </c>
      <c r="U11" s="124"/>
      <c r="V11" s="125"/>
      <c r="W11" s="126"/>
      <c r="X11" s="145"/>
    </row>
    <row r="12" spans="1:24">
      <c r="D12" s="124"/>
      <c r="E12" s="144"/>
      <c r="F12" s="126"/>
      <c r="G12" s="127"/>
      <c r="N12" s="124"/>
      <c r="O12" s="125"/>
      <c r="P12" s="126"/>
      <c r="Q12" s="145"/>
      <c r="U12" s="124"/>
      <c r="V12" s="125"/>
      <c r="W12" s="126"/>
      <c r="X12" s="145"/>
    </row>
    <row r="13" spans="1:24">
      <c r="D13" s="124"/>
      <c r="E13" s="144"/>
      <c r="F13" s="126"/>
      <c r="G13" s="127"/>
      <c r="N13" s="124"/>
      <c r="O13" s="125"/>
      <c r="P13" s="126"/>
      <c r="Q13" s="145"/>
      <c r="U13" s="124"/>
      <c r="V13" s="125"/>
      <c r="W13" s="126"/>
      <c r="X13" s="145"/>
    </row>
    <row r="14" spans="1:24">
      <c r="D14" s="124"/>
      <c r="E14" s="144"/>
      <c r="F14" s="126"/>
      <c r="G14" s="127"/>
      <c r="N14" s="124"/>
      <c r="O14" s="125"/>
      <c r="P14" s="126"/>
      <c r="Q14" s="145"/>
      <c r="U14" s="124"/>
      <c r="V14" s="125"/>
      <c r="W14" s="126"/>
      <c r="X14" s="145"/>
    </row>
    <row r="15" spans="1:24">
      <c r="D15" s="124"/>
      <c r="E15" s="144"/>
      <c r="F15" s="126"/>
      <c r="G15" s="127"/>
      <c r="N15" s="124"/>
      <c r="O15" s="125"/>
      <c r="P15" s="126"/>
      <c r="Q15" s="145"/>
      <c r="U15" s="124"/>
      <c r="V15" s="125"/>
      <c r="W15" s="126"/>
      <c r="X15" s="145"/>
    </row>
    <row r="16" spans="1:24">
      <c r="D16" s="124"/>
      <c r="E16" s="144"/>
      <c r="F16" s="126"/>
      <c r="G16" s="127"/>
      <c r="N16" s="124"/>
      <c r="O16" s="125"/>
      <c r="P16" s="126"/>
      <c r="Q16" s="145"/>
      <c r="U16" s="124"/>
      <c r="V16" s="125"/>
      <c r="W16" s="126"/>
      <c r="X16" s="145"/>
    </row>
    <row r="17" spans="3:24">
      <c r="D17" s="124"/>
      <c r="E17" s="144"/>
      <c r="F17" s="126"/>
      <c r="G17" s="127"/>
      <c r="N17" s="124"/>
      <c r="O17" s="125"/>
      <c r="P17" s="126"/>
      <c r="Q17" s="145"/>
      <c r="U17" s="124"/>
      <c r="V17" s="125"/>
      <c r="W17" s="126"/>
      <c r="X17" s="145"/>
    </row>
    <row r="18" spans="3:24">
      <c r="D18" s="124"/>
      <c r="E18" s="144"/>
      <c r="F18" s="126"/>
      <c r="G18" s="127"/>
      <c r="N18" s="124"/>
      <c r="O18" s="125"/>
      <c r="P18" s="126"/>
      <c r="Q18" s="145"/>
      <c r="U18" s="124"/>
      <c r="V18" s="125"/>
      <c r="W18" s="126"/>
      <c r="X18" s="145"/>
    </row>
    <row r="19" spans="3:24">
      <c r="D19" s="124"/>
      <c r="E19" s="144"/>
      <c r="F19" s="126"/>
      <c r="G19" s="127"/>
      <c r="N19" s="124"/>
      <c r="O19" s="125"/>
      <c r="P19" s="126"/>
      <c r="Q19" s="145"/>
      <c r="U19" s="124"/>
      <c r="V19" s="125"/>
      <c r="W19" s="126"/>
      <c r="X19" s="145"/>
    </row>
    <row r="20" spans="3:24">
      <c r="D20" s="124"/>
      <c r="E20" s="144"/>
      <c r="F20" s="126"/>
      <c r="G20" s="127"/>
      <c r="N20" s="124"/>
      <c r="O20" s="125"/>
      <c r="P20" s="126"/>
      <c r="Q20" s="145"/>
      <c r="U20" s="124"/>
      <c r="V20" s="125"/>
      <c r="W20" s="126"/>
      <c r="X20" s="145"/>
    </row>
    <row r="21" spans="3:24">
      <c r="D21" s="124"/>
      <c r="E21" s="144"/>
      <c r="F21" s="126"/>
      <c r="G21" s="127"/>
      <c r="N21" s="124"/>
      <c r="O21" s="125"/>
      <c r="P21" s="126"/>
      <c r="Q21" s="145"/>
      <c r="U21" s="124"/>
      <c r="V21" s="125"/>
      <c r="W21" s="126"/>
      <c r="X21" s="145"/>
    </row>
    <row r="22" spans="3:24">
      <c r="D22" s="124"/>
      <c r="E22" s="144"/>
      <c r="F22" s="126"/>
      <c r="G22" s="127"/>
      <c r="N22" s="124"/>
      <c r="O22" s="125"/>
      <c r="P22" s="126"/>
      <c r="Q22" s="145"/>
      <c r="U22" s="124"/>
      <c r="V22" s="125"/>
      <c r="W22" s="126"/>
      <c r="X22" s="145"/>
    </row>
    <row r="23" spans="3:24">
      <c r="D23" s="123" t="s">
        <v>153</v>
      </c>
      <c r="E23" s="123" t="s">
        <v>154</v>
      </c>
      <c r="F23" s="123" t="s">
        <v>155</v>
      </c>
      <c r="G23" s="123" t="s">
        <v>156</v>
      </c>
      <c r="N23" s="124"/>
      <c r="O23" s="125"/>
      <c r="P23" s="126"/>
      <c r="Q23" s="145"/>
      <c r="U23" s="124"/>
      <c r="V23" s="125"/>
      <c r="W23" s="126"/>
      <c r="X23" s="145"/>
    </row>
    <row r="24" spans="3:24">
      <c r="D24" s="124">
        <v>45107</v>
      </c>
      <c r="E24" s="144">
        <f>K34</f>
        <v>1831500</v>
      </c>
      <c r="F24" s="126">
        <f t="shared" ref="F24:F28" si="0">(D24-$C$2)/91.25</f>
        <v>0.99726027397260275</v>
      </c>
      <c r="G24" s="127">
        <f t="shared" ref="G24:G28" si="1">E24/(1+$C$3)^F24</f>
        <v>1769732.0076296979</v>
      </c>
      <c r="N24" s="124">
        <v>45107</v>
      </c>
      <c r="O24" s="125">
        <f>O39</f>
        <v>1831500</v>
      </c>
      <c r="P24" s="126">
        <f t="shared" ref="P24:P31" si="2">(N24-$C$2)/91.25</f>
        <v>0.99726027397260275</v>
      </c>
      <c r="Q24" s="145">
        <f t="shared" ref="Q24:Q31" si="3">O24/(1+$C$3)^P24</f>
        <v>1769732.0076296979</v>
      </c>
      <c r="U24" s="124">
        <v>45107</v>
      </c>
      <c r="V24" s="125">
        <f>V41</f>
        <v>1831500</v>
      </c>
      <c r="W24" s="126">
        <f t="shared" ref="W24:W36" si="4">(U24-$C$2)/91.25</f>
        <v>0.99726027397260275</v>
      </c>
      <c r="X24" s="145">
        <f t="shared" ref="X24:X36" si="5">V24/(1+$C$3)^W24</f>
        <v>1769732.0076296979</v>
      </c>
    </row>
    <row r="25" spans="3:24">
      <c r="D25" s="124">
        <f t="shared" ref="D25:D27" si="6">EDATE(D24,3)</f>
        <v>45199</v>
      </c>
      <c r="E25" s="144">
        <f t="shared" ref="E25:E27" si="7">E24</f>
        <v>1831500</v>
      </c>
      <c r="F25" s="126">
        <f t="shared" si="0"/>
        <v>2.0054794520547947</v>
      </c>
      <c r="G25" s="127">
        <f t="shared" si="1"/>
        <v>1709402.59330531</v>
      </c>
      <c r="N25" s="124">
        <f t="shared" ref="N25:N31" si="8">EDATE(N24,3)</f>
        <v>45199</v>
      </c>
      <c r="O25" s="125">
        <f t="shared" ref="O25:O31" si="9">O24</f>
        <v>1831500</v>
      </c>
      <c r="P25" s="126">
        <f t="shared" si="2"/>
        <v>2.0054794520547947</v>
      </c>
      <c r="Q25" s="145">
        <f t="shared" si="3"/>
        <v>1709402.59330531</v>
      </c>
      <c r="U25" s="124">
        <f t="shared" ref="U25:U35" si="10">EDATE(U24,3)</f>
        <v>45199</v>
      </c>
      <c r="V25" s="125">
        <f t="shared" ref="V25:V35" si="11">V24</f>
        <v>1831500</v>
      </c>
      <c r="W25" s="126">
        <f t="shared" si="4"/>
        <v>2.0054794520547947</v>
      </c>
      <c r="X25" s="145">
        <f t="shared" si="5"/>
        <v>1709402.59330531</v>
      </c>
    </row>
    <row r="26" spans="3:24">
      <c r="D26" s="124">
        <f t="shared" si="6"/>
        <v>45290</v>
      </c>
      <c r="E26" s="144">
        <f t="shared" si="7"/>
        <v>1831500</v>
      </c>
      <c r="F26" s="126">
        <f t="shared" si="0"/>
        <v>3.0027397260273974</v>
      </c>
      <c r="G26" s="127">
        <f t="shared" si="1"/>
        <v>1651752.3796328793</v>
      </c>
      <c r="N26" s="124">
        <f t="shared" si="8"/>
        <v>45290</v>
      </c>
      <c r="O26" s="125">
        <f t="shared" si="9"/>
        <v>1831500</v>
      </c>
      <c r="P26" s="126">
        <f t="shared" si="2"/>
        <v>3.0027397260273974</v>
      </c>
      <c r="Q26" s="145">
        <f t="shared" si="3"/>
        <v>1651752.3796328793</v>
      </c>
      <c r="U26" s="124">
        <f t="shared" si="10"/>
        <v>45290</v>
      </c>
      <c r="V26" s="125">
        <f t="shared" si="11"/>
        <v>1831500</v>
      </c>
      <c r="W26" s="126">
        <f t="shared" si="4"/>
        <v>3.0027397260273974</v>
      </c>
      <c r="X26" s="145">
        <f t="shared" si="5"/>
        <v>1651752.3796328793</v>
      </c>
    </row>
    <row r="27" spans="3:24">
      <c r="D27" s="124">
        <f t="shared" si="6"/>
        <v>45381</v>
      </c>
      <c r="E27" s="144">
        <f t="shared" si="7"/>
        <v>1831500</v>
      </c>
      <c r="F27" s="126">
        <f t="shared" si="0"/>
        <v>4</v>
      </c>
      <c r="G27" s="127">
        <f t="shared" si="1"/>
        <v>1596046.4400299354</v>
      </c>
      <c r="N27" s="124">
        <f t="shared" si="8"/>
        <v>45381</v>
      </c>
      <c r="O27" s="125">
        <f t="shared" si="9"/>
        <v>1831500</v>
      </c>
      <c r="P27" s="126">
        <f t="shared" si="2"/>
        <v>4</v>
      </c>
      <c r="Q27" s="145">
        <f t="shared" si="3"/>
        <v>1596046.4400299354</v>
      </c>
      <c r="U27" s="124">
        <f t="shared" si="10"/>
        <v>45381</v>
      </c>
      <c r="V27" s="125">
        <f t="shared" si="11"/>
        <v>1831500</v>
      </c>
      <c r="W27" s="126">
        <f t="shared" si="4"/>
        <v>4</v>
      </c>
      <c r="X27" s="145">
        <f t="shared" si="5"/>
        <v>1596046.4400299354</v>
      </c>
    </row>
    <row r="28" spans="3:24">
      <c r="D28" s="124">
        <v>45382</v>
      </c>
      <c r="E28" s="146">
        <v>81400000</v>
      </c>
      <c r="F28" s="126">
        <f t="shared" si="0"/>
        <v>4.0109589041095894</v>
      </c>
      <c r="G28" s="127">
        <f t="shared" si="1"/>
        <v>70908659.592900038</v>
      </c>
      <c r="N28" s="124">
        <f t="shared" si="8"/>
        <v>45473</v>
      </c>
      <c r="O28" s="125">
        <f t="shared" si="9"/>
        <v>1831500</v>
      </c>
      <c r="P28" s="126">
        <f t="shared" si="2"/>
        <v>5.0082191780821921</v>
      </c>
      <c r="Q28" s="145">
        <f t="shared" si="3"/>
        <v>1541637.8931163859</v>
      </c>
      <c r="U28" s="124">
        <f t="shared" si="10"/>
        <v>45473</v>
      </c>
      <c r="V28" s="125">
        <f t="shared" si="11"/>
        <v>1831500</v>
      </c>
      <c r="W28" s="126">
        <f t="shared" si="4"/>
        <v>5.0082191780821921</v>
      </c>
      <c r="X28" s="145">
        <f t="shared" si="5"/>
        <v>1541637.8931163859</v>
      </c>
    </row>
    <row r="29" spans="3:24">
      <c r="D29" s="129"/>
      <c r="E29" s="130">
        <f>SUM(E24:E28)</f>
        <v>88726000</v>
      </c>
      <c r="F29" s="129"/>
      <c r="G29" s="131">
        <f>SUM(G24:G28)</f>
        <v>77635593.013497859</v>
      </c>
      <c r="N29" s="124">
        <f t="shared" si="8"/>
        <v>45565</v>
      </c>
      <c r="O29" s="125">
        <f t="shared" si="9"/>
        <v>1831500</v>
      </c>
      <c r="P29" s="126">
        <f t="shared" si="2"/>
        <v>6.0164383561643833</v>
      </c>
      <c r="Q29" s="145">
        <f t="shared" si="3"/>
        <v>1489084.110514825</v>
      </c>
      <c r="U29" s="124">
        <f t="shared" si="10"/>
        <v>45565</v>
      </c>
      <c r="V29" s="125">
        <f t="shared" si="11"/>
        <v>1831500</v>
      </c>
      <c r="W29" s="126">
        <f t="shared" si="4"/>
        <v>6.0164383561643833</v>
      </c>
      <c r="X29" s="145">
        <f t="shared" si="5"/>
        <v>1489084.110514825</v>
      </c>
    </row>
    <row r="30" spans="3:24">
      <c r="N30" s="124">
        <f t="shared" si="8"/>
        <v>45656</v>
      </c>
      <c r="O30" s="125">
        <f t="shared" si="9"/>
        <v>1831500</v>
      </c>
      <c r="P30" s="126">
        <f t="shared" si="2"/>
        <v>7.0136986301369859</v>
      </c>
      <c r="Q30" s="145">
        <f t="shared" si="3"/>
        <v>1438864.2164514794</v>
      </c>
      <c r="U30" s="124">
        <f t="shared" si="10"/>
        <v>45656</v>
      </c>
      <c r="V30" s="125">
        <f t="shared" si="11"/>
        <v>1831500</v>
      </c>
      <c r="W30" s="126">
        <f t="shared" si="4"/>
        <v>7.0136986301369859</v>
      </c>
      <c r="X30" s="145">
        <f t="shared" si="5"/>
        <v>1438864.2164514794</v>
      </c>
    </row>
    <row r="31" spans="3:24">
      <c r="N31" s="124">
        <f t="shared" si="8"/>
        <v>45746</v>
      </c>
      <c r="O31" s="125">
        <f t="shared" si="9"/>
        <v>1831500</v>
      </c>
      <c r="P31" s="126">
        <f t="shared" si="2"/>
        <v>8</v>
      </c>
      <c r="Q31" s="145">
        <f t="shared" si="3"/>
        <v>1390862.265210063</v>
      </c>
      <c r="U31" s="124">
        <f t="shared" si="10"/>
        <v>45746</v>
      </c>
      <c r="V31" s="125">
        <f t="shared" si="11"/>
        <v>1831500</v>
      </c>
      <c r="W31" s="126">
        <f t="shared" si="4"/>
        <v>8</v>
      </c>
      <c r="X31" s="145">
        <f t="shared" si="5"/>
        <v>1390862.265210063</v>
      </c>
    </row>
    <row r="32" spans="3:24" ht="28.8">
      <c r="C32" s="98" t="s">
        <v>169</v>
      </c>
      <c r="D32" s="132">
        <v>0.12</v>
      </c>
      <c r="E32" t="s">
        <v>158</v>
      </c>
      <c r="J32" s="120" t="s">
        <v>160</v>
      </c>
      <c r="K32" s="146">
        <v>81400000</v>
      </c>
      <c r="N32" s="124">
        <v>45747</v>
      </c>
      <c r="O32" s="146">
        <v>81400000</v>
      </c>
      <c r="P32" s="126">
        <f>(N32-$C$2)/91.25</f>
        <v>8.0109589041095894</v>
      </c>
      <c r="Q32" s="145">
        <f>O32/(1+$C$3)^P32</f>
        <v>61792800.278756544</v>
      </c>
      <c r="U32" s="124">
        <f t="shared" si="10"/>
        <v>45838</v>
      </c>
      <c r="V32" s="125">
        <f t="shared" si="11"/>
        <v>1831500</v>
      </c>
      <c r="W32" s="126">
        <f t="shared" si="4"/>
        <v>9.0082191780821912</v>
      </c>
      <c r="X32" s="145">
        <f t="shared" si="5"/>
        <v>1343448.359881877</v>
      </c>
    </row>
    <row r="33" spans="1:24">
      <c r="B33" s="133" t="s">
        <v>161</v>
      </c>
      <c r="C33" s="134" t="s">
        <v>162</v>
      </c>
      <c r="D33" s="132">
        <v>0.02</v>
      </c>
      <c r="J33" s="120" t="s">
        <v>163</v>
      </c>
      <c r="K33" s="147">
        <f>(9/4)%</f>
        <v>2.2499999999999999E-2</v>
      </c>
      <c r="N33" s="129"/>
      <c r="O33" s="148">
        <f>SUM(O24:O32)</f>
        <v>96052000</v>
      </c>
      <c r="P33" s="129"/>
      <c r="Q33" s="149">
        <f>SUM(Q24:Q32)</f>
        <v>74380182.184647113</v>
      </c>
      <c r="U33" s="124">
        <f t="shared" si="10"/>
        <v>45930</v>
      </c>
      <c r="V33" s="125">
        <f t="shared" si="11"/>
        <v>1831500</v>
      </c>
      <c r="W33" s="126">
        <f t="shared" si="4"/>
        <v>10.016438356164384</v>
      </c>
      <c r="X33" s="145">
        <f t="shared" si="5"/>
        <v>1297650.7744975863</v>
      </c>
    </row>
    <row r="34" spans="1:24">
      <c r="C34" s="136" t="s">
        <v>164</v>
      </c>
      <c r="D34" s="137">
        <f>SUM(D32:D33)</f>
        <v>0.13999999999999999</v>
      </c>
      <c r="J34" s="120"/>
      <c r="K34" s="120">
        <f>K32*K33</f>
        <v>1831500</v>
      </c>
      <c r="U34" s="124">
        <f t="shared" si="10"/>
        <v>46021</v>
      </c>
      <c r="V34" s="125">
        <f t="shared" si="11"/>
        <v>1831500</v>
      </c>
      <c r="W34" s="126">
        <f t="shared" si="4"/>
        <v>11.013698630136986</v>
      </c>
      <c r="X34" s="145">
        <f t="shared" si="5"/>
        <v>1253887.038140238</v>
      </c>
    </row>
    <row r="35" spans="1:24">
      <c r="U35" s="124">
        <f t="shared" si="10"/>
        <v>46111</v>
      </c>
      <c r="V35" s="125">
        <f t="shared" si="11"/>
        <v>1831500</v>
      </c>
      <c r="W35" s="126">
        <f t="shared" si="4"/>
        <v>12</v>
      </c>
      <c r="X35" s="145">
        <f t="shared" si="5"/>
        <v>1212056.1108165397</v>
      </c>
    </row>
    <row r="36" spans="1:24">
      <c r="B36" s="120" t="s">
        <v>165</v>
      </c>
      <c r="C36" s="120"/>
      <c r="D36" s="138">
        <f>G29</f>
        <v>77635593.013497859</v>
      </c>
      <c r="U36" s="124">
        <v>46112</v>
      </c>
      <c r="V36" s="146">
        <v>81400000</v>
      </c>
      <c r="W36" s="126">
        <f t="shared" si="4"/>
        <v>12.010958904109589</v>
      </c>
      <c r="X36" s="145">
        <f t="shared" si="5"/>
        <v>53848855.530652568</v>
      </c>
    </row>
    <row r="37" spans="1:24" ht="27.75" customHeight="1">
      <c r="A37" s="133" t="s">
        <v>166</v>
      </c>
      <c r="B37" s="119" t="s">
        <v>167</v>
      </c>
      <c r="C37" s="139">
        <v>0.75</v>
      </c>
      <c r="D37" s="138">
        <f>D36*C37</f>
        <v>58226694.760123394</v>
      </c>
      <c r="N37" s="120" t="s">
        <v>160</v>
      </c>
      <c r="O37" s="146">
        <v>81400000</v>
      </c>
      <c r="U37" s="129"/>
      <c r="V37" s="148">
        <f>SUM(V24:V36)</f>
        <v>103378000</v>
      </c>
      <c r="W37" s="129"/>
      <c r="X37" s="149">
        <f>SUM(X24:X36)</f>
        <v>71543279.719879389</v>
      </c>
    </row>
    <row r="38" spans="1:24">
      <c r="B38" s="140" t="s">
        <v>168</v>
      </c>
      <c r="C38" s="140"/>
      <c r="D38" s="141">
        <f>D36-D37</f>
        <v>19408898.253374465</v>
      </c>
      <c r="F38">
        <f>(SUM(E28:E28)/D38)^(1/15)-1</f>
        <v>0.10029270803070389</v>
      </c>
      <c r="N38" s="120" t="s">
        <v>163</v>
      </c>
      <c r="O38" s="147">
        <f>(9/4)%</f>
        <v>2.2499999999999999E-2</v>
      </c>
    </row>
    <row r="39" spans="1:24">
      <c r="N39" s="120"/>
      <c r="O39" s="120">
        <f>O37*O38</f>
        <v>1831500</v>
      </c>
      <c r="U39" s="120" t="s">
        <v>160</v>
      </c>
      <c r="V39" s="146">
        <v>81400000</v>
      </c>
    </row>
    <row r="40" spans="1:24">
      <c r="H40" t="s">
        <v>170</v>
      </c>
      <c r="I40" s="150">
        <f>G29+Q33+X37</f>
        <v>223559054.91802436</v>
      </c>
      <c r="U40" s="120" t="s">
        <v>163</v>
      </c>
      <c r="V40" s="147">
        <f>(9/4)%</f>
        <v>2.2499999999999999E-2</v>
      </c>
    </row>
    <row r="41" spans="1:24">
      <c r="U41" s="120"/>
      <c r="V41" s="120">
        <f>V39*V40</f>
        <v>1831500</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C6"/>
  <sheetViews>
    <sheetView workbookViewId="0">
      <selection activeCell="B6" sqref="B6"/>
    </sheetView>
  </sheetViews>
  <sheetFormatPr defaultRowHeight="14.4"/>
  <cols>
    <col min="3" max="3" width="12" bestFit="1" customWidth="1"/>
  </cols>
  <sheetData>
    <row r="2" spans="2:3">
      <c r="B2" t="s">
        <v>6</v>
      </c>
      <c r="C2" t="e">
        <f>#REF!/2</f>
        <v>#REF!</v>
      </c>
    </row>
    <row r="3" spans="2:3">
      <c r="B3" t="s">
        <v>33</v>
      </c>
      <c r="C3" t="e">
        <f>SUM(#REF!)</f>
        <v>#REF!</v>
      </c>
    </row>
    <row r="4" spans="2:3">
      <c r="B4" t="s">
        <v>34</v>
      </c>
      <c r="C4" t="e">
        <f>#REF!</f>
        <v>#REF!</v>
      </c>
    </row>
    <row r="6" spans="2:3">
      <c r="B6" t="s">
        <v>21</v>
      </c>
      <c r="C6" t="e">
        <f>SUM(C2:C4)</f>
        <v>#REF!</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B1:P25"/>
  <sheetViews>
    <sheetView zoomScaleNormal="100" workbookViewId="0">
      <pane ySplit="1" topLeftCell="A2" activePane="bottomLeft" state="frozen"/>
      <selection pane="bottomLeft" activeCell="J6" sqref="J6"/>
    </sheetView>
  </sheetViews>
  <sheetFormatPr defaultColWidth="9.109375" defaultRowHeight="11.4"/>
  <cols>
    <col min="1" max="1" width="4.5546875" style="22" customWidth="1"/>
    <col min="2" max="2" width="10.109375" style="22" customWidth="1"/>
    <col min="3" max="3" width="30.88671875" style="22" customWidth="1"/>
    <col min="4" max="4" width="15.109375" style="22" customWidth="1"/>
    <col min="5" max="5" width="9.6640625" style="22" hidden="1" customWidth="1"/>
    <col min="6" max="6" width="10.109375" style="22" hidden="1" customWidth="1"/>
    <col min="7" max="7" width="13.44140625" style="22" hidden="1" customWidth="1"/>
    <col min="8" max="9" width="11" style="22" customWidth="1"/>
    <col min="10" max="10" width="52.5546875" style="22" customWidth="1"/>
    <col min="11" max="14" width="9.109375" style="22"/>
    <col min="15" max="15" width="25.33203125" style="22" customWidth="1"/>
    <col min="16" max="16" width="20.33203125" style="22" customWidth="1"/>
    <col min="17" max="16384" width="9.109375" style="22"/>
  </cols>
  <sheetData>
    <row r="1" spans="2:16" ht="0.6" customHeight="1"/>
    <row r="2" spans="2:16" ht="12">
      <c r="B2" s="395" t="s">
        <v>70</v>
      </c>
      <c r="C2" s="395"/>
      <c r="D2" s="395"/>
      <c r="E2" s="395"/>
      <c r="F2" s="395"/>
      <c r="G2" s="395"/>
      <c r="H2" s="395"/>
      <c r="I2" s="395"/>
      <c r="J2" s="395"/>
    </row>
    <row r="3" spans="2:16" ht="15" customHeight="1">
      <c r="B3" s="400" t="str">
        <f>'SUMMARY-2023'!B3</f>
        <v>Details as on 31st March 2023</v>
      </c>
      <c r="C3" s="401"/>
      <c r="D3" s="401"/>
      <c r="E3" s="401"/>
      <c r="F3" s="401"/>
      <c r="G3" s="401"/>
      <c r="H3" s="401"/>
      <c r="I3" s="401"/>
      <c r="J3" s="402"/>
    </row>
    <row r="4" spans="2:16" ht="24">
      <c r="B4" s="37" t="s">
        <v>0</v>
      </c>
      <c r="C4" s="37" t="s">
        <v>71</v>
      </c>
      <c r="D4" s="37" t="s">
        <v>64</v>
      </c>
      <c r="E4" s="37" t="s">
        <v>72</v>
      </c>
      <c r="F4" s="37" t="s">
        <v>77</v>
      </c>
      <c r="G4" s="24" t="s">
        <v>75</v>
      </c>
      <c r="H4" s="37" t="s">
        <v>142</v>
      </c>
      <c r="I4" s="37" t="s">
        <v>143</v>
      </c>
      <c r="J4" s="37" t="s">
        <v>22</v>
      </c>
      <c r="O4" s="37" t="s">
        <v>2</v>
      </c>
      <c r="P4" s="37" t="s">
        <v>456</v>
      </c>
    </row>
    <row r="5" spans="2:16" ht="14.4">
      <c r="B5" s="403" t="str">
        <f>'SUMMARY-2023'!B5</f>
        <v>Figures in INR Crores</v>
      </c>
      <c r="C5" s="404"/>
      <c r="D5" s="404"/>
      <c r="E5" s="404"/>
      <c r="F5" s="404"/>
      <c r="G5" s="404"/>
      <c r="H5" s="404"/>
      <c r="I5" s="404"/>
      <c r="J5" s="405"/>
      <c r="O5" s="212" t="s">
        <v>514</v>
      </c>
      <c r="P5" s="213">
        <v>253452594</v>
      </c>
    </row>
    <row r="6" spans="2:16" ht="125.4">
      <c r="B6" s="50">
        <v>1</v>
      </c>
      <c r="C6" s="63" t="s">
        <v>94</v>
      </c>
      <c r="D6" s="45">
        <v>11.83</v>
      </c>
      <c r="E6" s="48">
        <v>100000</v>
      </c>
      <c r="F6" s="49">
        <f t="shared" ref="F6:F9" si="0">(D6*100000)/E6</f>
        <v>11.83</v>
      </c>
      <c r="G6" s="44" t="s">
        <v>76</v>
      </c>
      <c r="H6" s="58">
        <f>14.1939*50%</f>
        <v>7.0969499999999996</v>
      </c>
      <c r="I6" s="58">
        <f>14.1939*50%</f>
        <v>7.0969499999999996</v>
      </c>
      <c r="J6" s="65" t="s">
        <v>697</v>
      </c>
      <c r="O6" s="212" t="s">
        <v>515</v>
      </c>
      <c r="P6" s="213">
        <v>132769687</v>
      </c>
    </row>
    <row r="7" spans="2:16" ht="114">
      <c r="B7" s="51">
        <v>2</v>
      </c>
      <c r="C7" s="64" t="s">
        <v>95</v>
      </c>
      <c r="D7" s="45">
        <v>0.25</v>
      </c>
      <c r="E7" s="48">
        <v>10000</v>
      </c>
      <c r="F7" s="49">
        <f t="shared" si="0"/>
        <v>2.5</v>
      </c>
      <c r="G7" s="44" t="s">
        <v>76</v>
      </c>
      <c r="H7" s="58">
        <f>0.3388*39.69%</f>
        <v>0.13446971999999999</v>
      </c>
      <c r="I7" s="58">
        <f>0.3388*39.69%</f>
        <v>0.13446971999999999</v>
      </c>
      <c r="J7" s="65" t="s">
        <v>698</v>
      </c>
      <c r="O7" s="212" t="s">
        <v>516</v>
      </c>
      <c r="P7" s="213">
        <v>12320</v>
      </c>
    </row>
    <row r="8" spans="2:16" ht="91.2">
      <c r="B8" s="51">
        <v>3</v>
      </c>
      <c r="C8" s="64" t="s">
        <v>141</v>
      </c>
      <c r="D8" s="45">
        <v>18.86</v>
      </c>
      <c r="E8" s="48">
        <v>10000</v>
      </c>
      <c r="F8" s="49">
        <f t="shared" si="0"/>
        <v>188.6</v>
      </c>
      <c r="G8" s="44" t="s">
        <v>76</v>
      </c>
      <c r="H8" s="58">
        <v>0</v>
      </c>
      <c r="I8" s="58">
        <v>0</v>
      </c>
      <c r="J8" s="65" t="s">
        <v>684</v>
      </c>
      <c r="K8" s="113"/>
      <c r="L8" s="113"/>
      <c r="O8" s="215" t="s">
        <v>517</v>
      </c>
      <c r="P8" s="216">
        <f>(P5+P6+P7)/10^7</f>
        <v>38.623460100000003</v>
      </c>
    </row>
    <row r="9" spans="2:16" ht="79.8">
      <c r="B9" s="51">
        <v>4</v>
      </c>
      <c r="C9" s="64" t="s">
        <v>96</v>
      </c>
      <c r="D9" s="45">
        <v>16.53</v>
      </c>
      <c r="E9" s="48">
        <v>50000</v>
      </c>
      <c r="F9" s="49">
        <f t="shared" si="0"/>
        <v>33.06</v>
      </c>
      <c r="G9" s="44" t="s">
        <v>76</v>
      </c>
      <c r="H9" s="58">
        <v>0</v>
      </c>
      <c r="I9" s="58">
        <v>0</v>
      </c>
      <c r="J9" s="65" t="s">
        <v>685</v>
      </c>
      <c r="K9" s="151"/>
      <c r="L9" s="113"/>
      <c r="O9" s="214"/>
      <c r="P9" s="214"/>
    </row>
    <row r="10" spans="2:16" ht="14.4">
      <c r="B10" s="38"/>
      <c r="C10" s="52" t="s">
        <v>23</v>
      </c>
      <c r="D10" s="53">
        <f>SUM(D6:D9)</f>
        <v>47.47</v>
      </c>
      <c r="E10" s="43"/>
      <c r="F10" s="43"/>
      <c r="G10" s="57"/>
      <c r="H10" s="53">
        <f t="shared" ref="H10:I10" si="1">SUM(H6:H9)</f>
        <v>7.2314197199999999</v>
      </c>
      <c r="I10" s="53">
        <f t="shared" si="1"/>
        <v>7.2314197199999999</v>
      </c>
      <c r="J10" s="42"/>
      <c r="O10" s="120" t="s">
        <v>518</v>
      </c>
      <c r="P10" s="146">
        <v>24394081</v>
      </c>
    </row>
    <row r="11" spans="2:16" ht="14.4">
      <c r="B11" s="396" t="str">
        <f>'Loans-III'!B9:K9</f>
        <v>REMARKS &amp; NOTES:-</v>
      </c>
      <c r="C11" s="397"/>
      <c r="D11" s="397"/>
      <c r="E11" s="397"/>
      <c r="F11" s="398"/>
      <c r="G11" s="397"/>
      <c r="H11" s="397"/>
      <c r="I11" s="397"/>
      <c r="J11" s="397"/>
      <c r="O11" s="120" t="s">
        <v>519</v>
      </c>
      <c r="P11" s="146">
        <v>219546733</v>
      </c>
    </row>
    <row r="12" spans="2:16" ht="83.25" customHeight="1">
      <c r="B12" s="399" t="s">
        <v>694</v>
      </c>
      <c r="C12" s="399"/>
      <c r="D12" s="399"/>
      <c r="E12" s="399"/>
      <c r="F12" s="399"/>
      <c r="G12" s="399"/>
      <c r="H12" s="399"/>
      <c r="I12" s="399"/>
      <c r="J12" s="399"/>
      <c r="O12" s="215" t="s">
        <v>520</v>
      </c>
      <c r="P12" s="216">
        <f>(P10+P11)/10^7</f>
        <v>24.394081400000001</v>
      </c>
    </row>
    <row r="16" spans="2:16" ht="12" customHeight="1">
      <c r="J16" s="109"/>
    </row>
    <row r="17" spans="2:9" ht="46.2" customHeight="1">
      <c r="B17" s="104"/>
      <c r="I17" s="108"/>
    </row>
    <row r="18" spans="2:9" ht="46.2" customHeight="1">
      <c r="B18" s="104"/>
    </row>
    <row r="19" spans="2:9" ht="46.2" customHeight="1">
      <c r="B19" s="104"/>
    </row>
    <row r="21" spans="2:9">
      <c r="B21" s="104"/>
    </row>
    <row r="22" spans="2:9">
      <c r="C22" s="105"/>
    </row>
    <row r="23" spans="2:9">
      <c r="B23" s="104"/>
      <c r="C23" s="106"/>
    </row>
    <row r="24" spans="2:9">
      <c r="B24" s="104"/>
    </row>
    <row r="25" spans="2:9">
      <c r="B25" s="104"/>
      <c r="C25" s="107"/>
    </row>
  </sheetData>
  <mergeCells count="5">
    <mergeCell ref="B2:J2"/>
    <mergeCell ref="B11:J11"/>
    <mergeCell ref="B12:J12"/>
    <mergeCell ref="B3:J3"/>
    <mergeCell ref="B5:J5"/>
  </mergeCells>
  <pageMargins left="0.7" right="0.7" top="0.75" bottom="0.75" header="0.3" footer="0.3"/>
  <pageSetup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D5"/>
  <sheetViews>
    <sheetView topLeftCell="B1" workbookViewId="0">
      <selection activeCell="D5" sqref="D5"/>
    </sheetView>
  </sheetViews>
  <sheetFormatPr defaultRowHeight="14.4"/>
  <cols>
    <col min="2" max="2" width="22.5546875" bestFit="1" customWidth="1"/>
    <col min="4" max="4" width="14.88671875" bestFit="1" customWidth="1"/>
  </cols>
  <sheetData>
    <row r="2" spans="2:4">
      <c r="B2" t="s">
        <v>32</v>
      </c>
      <c r="D2" s="20" t="e">
        <f>#REF!</f>
        <v>#REF!</v>
      </c>
    </row>
    <row r="3" spans="2:4">
      <c r="B3" t="s">
        <v>62</v>
      </c>
      <c r="D3" t="e">
        <f>+#REF!+#REF!</f>
        <v>#REF!</v>
      </c>
    </row>
    <row r="5" spans="2:4">
      <c r="D5" s="21" t="e">
        <f>SUM(D2:D3)</f>
        <v>#REF!</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2:C11"/>
  <sheetViews>
    <sheetView workbookViewId="0">
      <selection activeCell="C11" sqref="C11"/>
    </sheetView>
  </sheetViews>
  <sheetFormatPr defaultRowHeight="14.4"/>
  <cols>
    <col min="2" max="2" width="4.88671875" bestFit="1" customWidth="1"/>
    <col min="3" max="3" width="14.33203125" bestFit="1" customWidth="1"/>
  </cols>
  <sheetData>
    <row r="2" spans="2:3">
      <c r="B2" t="s">
        <v>35</v>
      </c>
      <c r="C2" s="20">
        <v>50414099.780000001</v>
      </c>
    </row>
    <row r="5" spans="2:3">
      <c r="C5" s="21" t="e">
        <f>C2+'SECL Assets'!D2</f>
        <v>#REF!</v>
      </c>
    </row>
    <row r="8" spans="2:3">
      <c r="C8">
        <v>892500000</v>
      </c>
    </row>
    <row r="11" spans="2:3">
      <c r="C11" s="21" t="e">
        <f>+C5-C8</f>
        <v>#REF!</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E30"/>
  <sheetViews>
    <sheetView topLeftCell="A10" workbookViewId="0">
      <selection activeCell="D25" sqref="D25"/>
    </sheetView>
  </sheetViews>
  <sheetFormatPr defaultRowHeight="14.4"/>
  <cols>
    <col min="2" max="2" width="55.109375" bestFit="1" customWidth="1"/>
    <col min="3" max="3" width="14.6640625" bestFit="1" customWidth="1"/>
    <col min="4" max="4" width="12.6640625" bestFit="1" customWidth="1"/>
  </cols>
  <sheetData>
    <row r="2" spans="2:4">
      <c r="B2" t="s">
        <v>36</v>
      </c>
    </row>
    <row r="3" spans="2:4">
      <c r="C3" t="s">
        <v>37</v>
      </c>
    </row>
    <row r="4" spans="2:4">
      <c r="B4" t="s">
        <v>38</v>
      </c>
      <c r="C4" t="s">
        <v>39</v>
      </c>
      <c r="D4" t="s">
        <v>40</v>
      </c>
    </row>
    <row r="5" spans="2:4">
      <c r="B5" t="s">
        <v>41</v>
      </c>
      <c r="D5">
        <v>955</v>
      </c>
    </row>
    <row r="6" spans="2:4">
      <c r="B6" t="s">
        <v>42</v>
      </c>
      <c r="C6">
        <v>0.14000000000000001</v>
      </c>
      <c r="D6">
        <v>133.70000000000002</v>
      </c>
    </row>
    <row r="7" spans="2:4">
      <c r="B7" t="s">
        <v>43</v>
      </c>
      <c r="C7">
        <v>0</v>
      </c>
      <c r="D7">
        <v>0</v>
      </c>
    </row>
    <row r="8" spans="2:4">
      <c r="B8" t="s">
        <v>44</v>
      </c>
      <c r="C8">
        <v>87</v>
      </c>
      <c r="D8">
        <v>87</v>
      </c>
    </row>
    <row r="9" spans="2:4">
      <c r="B9" t="s">
        <v>45</v>
      </c>
      <c r="C9">
        <v>0.3</v>
      </c>
      <c r="D9">
        <v>40.110000000000007</v>
      </c>
    </row>
    <row r="10" spans="2:4">
      <c r="B10" t="s">
        <v>46</v>
      </c>
      <c r="C10">
        <v>0.02</v>
      </c>
      <c r="D10">
        <v>2.6740000000000004</v>
      </c>
    </row>
    <row r="11" spans="2:4">
      <c r="B11" t="s">
        <v>47</v>
      </c>
      <c r="C11">
        <v>7.5</v>
      </c>
      <c r="D11">
        <v>7.5</v>
      </c>
    </row>
    <row r="12" spans="2:4">
      <c r="B12" t="s">
        <v>48</v>
      </c>
      <c r="C12">
        <v>7.5</v>
      </c>
      <c r="D12">
        <v>7.5</v>
      </c>
    </row>
    <row r="13" spans="2:4">
      <c r="B13" t="s">
        <v>49</v>
      </c>
      <c r="C13">
        <v>0</v>
      </c>
      <c r="D13">
        <v>0</v>
      </c>
    </row>
    <row r="14" spans="2:4">
      <c r="B14" t="s">
        <v>50</v>
      </c>
      <c r="C14">
        <v>400</v>
      </c>
      <c r="D14">
        <v>400</v>
      </c>
    </row>
    <row r="15" spans="2:4">
      <c r="B15" t="s">
        <v>51</v>
      </c>
      <c r="C15">
        <v>1.04</v>
      </c>
      <c r="D15">
        <v>1.04</v>
      </c>
    </row>
    <row r="16" spans="2:4">
      <c r="B16" t="s">
        <v>52</v>
      </c>
      <c r="C16">
        <v>0.05</v>
      </c>
      <c r="D16">
        <v>65.5762</v>
      </c>
    </row>
    <row r="17" spans="2:5">
      <c r="B17" t="s">
        <v>53</v>
      </c>
      <c r="D17">
        <v>77</v>
      </c>
    </row>
    <row r="18" spans="2:5">
      <c r="B18" t="s">
        <v>21</v>
      </c>
      <c r="D18">
        <v>1777.1001999999999</v>
      </c>
    </row>
    <row r="20" spans="2:5">
      <c r="B20" t="s">
        <v>54</v>
      </c>
      <c r="C20">
        <v>1537</v>
      </c>
      <c r="D20">
        <v>1537</v>
      </c>
    </row>
    <row r="21" spans="2:5">
      <c r="B21" t="s">
        <v>55</v>
      </c>
      <c r="D21">
        <v>0</v>
      </c>
    </row>
    <row r="22" spans="2:5">
      <c r="B22" t="s">
        <v>56</v>
      </c>
      <c r="D22">
        <v>0</v>
      </c>
    </row>
    <row r="23" spans="2:5">
      <c r="B23" t="s">
        <v>57</v>
      </c>
      <c r="C23">
        <v>0</v>
      </c>
      <c r="D23">
        <v>0</v>
      </c>
    </row>
    <row r="24" spans="2:5">
      <c r="B24" t="s">
        <v>58</v>
      </c>
      <c r="C24">
        <v>0</v>
      </c>
      <c r="D24">
        <v>0</v>
      </c>
    </row>
    <row r="25" spans="2:5">
      <c r="B25" t="s">
        <v>52</v>
      </c>
      <c r="C25">
        <v>0.05</v>
      </c>
      <c r="D25">
        <v>76.850000000000009</v>
      </c>
    </row>
    <row r="26" spans="2:5">
      <c r="B26" t="s">
        <v>59</v>
      </c>
      <c r="D26">
        <v>1613.85</v>
      </c>
      <c r="E26">
        <f>D26/D30</f>
        <v>0.43191919835968068</v>
      </c>
    </row>
    <row r="28" spans="2:5">
      <c r="B28" t="s">
        <v>60</v>
      </c>
      <c r="C28">
        <v>345.51256000000001</v>
      </c>
      <c r="D28">
        <v>345.51256000000001</v>
      </c>
    </row>
    <row r="30" spans="2:5">
      <c r="B30" t="s">
        <v>61</v>
      </c>
      <c r="D30">
        <v>3736.4627599999999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2:M166"/>
  <sheetViews>
    <sheetView workbookViewId="0">
      <selection activeCell="K31" sqref="K31"/>
    </sheetView>
  </sheetViews>
  <sheetFormatPr defaultRowHeight="14.4"/>
  <cols>
    <col min="1" max="1" width="24.6640625" customWidth="1"/>
  </cols>
  <sheetData>
    <row r="2" spans="1:13">
      <c r="B2" s="217" t="s">
        <v>184</v>
      </c>
      <c r="C2" s="218"/>
      <c r="D2" s="218"/>
      <c r="E2" s="219">
        <f>SUBTOTAL(9,E5:E166)</f>
        <v>273.22992206699996</v>
      </c>
      <c r="F2" s="219">
        <f>SUBTOTAL(9,F5:F166)</f>
        <v>235.26110614211305</v>
      </c>
      <c r="G2" s="219">
        <f>SUBTOTAL(9,G5:G166)</f>
        <v>37.96881592488694</v>
      </c>
      <c r="H2" s="150">
        <f>SUM(H5:H162)</f>
        <v>128.96841961669702</v>
      </c>
      <c r="I2" s="254">
        <f>H2/F2</f>
        <v>0.54819269420076466</v>
      </c>
    </row>
    <row r="3" spans="1:13">
      <c r="B3" s="406" t="s">
        <v>185</v>
      </c>
      <c r="C3" s="406" t="s">
        <v>186</v>
      </c>
      <c r="D3" s="406" t="s">
        <v>187</v>
      </c>
      <c r="E3" s="407" t="s">
        <v>6</v>
      </c>
      <c r="F3" s="407"/>
      <c r="G3" s="407"/>
    </row>
    <row r="4" spans="1:13" ht="22.8">
      <c r="B4" s="406"/>
      <c r="C4" s="406"/>
      <c r="D4" s="406"/>
      <c r="E4" s="220" t="s">
        <v>523</v>
      </c>
      <c r="F4" s="220" t="s">
        <v>524</v>
      </c>
      <c r="G4" s="220" t="s">
        <v>525</v>
      </c>
      <c r="H4" s="253" t="s">
        <v>554</v>
      </c>
      <c r="K4" s="252" t="s">
        <v>553</v>
      </c>
      <c r="L4">
        <v>261.36419721795426</v>
      </c>
      <c r="M4" s="3">
        <f>L4*54.82%</f>
        <v>143.27985291488253</v>
      </c>
    </row>
    <row r="5" spans="1:13" ht="24">
      <c r="A5" s="247" t="s">
        <v>541</v>
      </c>
      <c r="B5" s="221" t="s">
        <v>188</v>
      </c>
      <c r="C5" s="156" t="s">
        <v>189</v>
      </c>
      <c r="D5" s="156" t="s">
        <v>190</v>
      </c>
      <c r="E5" s="246">
        <v>2.1787622230000001</v>
      </c>
      <c r="F5" s="246">
        <v>2.9633582230000006</v>
      </c>
      <c r="G5" s="246">
        <f t="shared" ref="G5:G36" si="0">E5-F5</f>
        <v>-0.78459600000000052</v>
      </c>
      <c r="H5" s="235">
        <f>F5*70%</f>
        <v>2.0743507561000003</v>
      </c>
    </row>
    <row r="6" spans="1:13" ht="24" hidden="1">
      <c r="B6" s="221" t="s">
        <v>188</v>
      </c>
      <c r="C6" s="156" t="s">
        <v>191</v>
      </c>
      <c r="D6" s="156" t="s">
        <v>190</v>
      </c>
      <c r="E6" s="246">
        <v>3.915725031</v>
      </c>
      <c r="F6" s="246">
        <v>1.4197314731806352</v>
      </c>
      <c r="G6" s="246">
        <f t="shared" si="0"/>
        <v>2.4959935578193648</v>
      </c>
    </row>
    <row r="7" spans="1:13" ht="24" hidden="1">
      <c r="B7" s="221" t="s">
        <v>192</v>
      </c>
      <c r="C7" s="156" t="s">
        <v>192</v>
      </c>
      <c r="D7" s="156" t="s">
        <v>193</v>
      </c>
      <c r="E7" s="246">
        <v>0.72045250000000005</v>
      </c>
      <c r="F7" s="246">
        <v>0</v>
      </c>
      <c r="G7" s="246">
        <f t="shared" si="0"/>
        <v>0.72045250000000005</v>
      </c>
    </row>
    <row r="8" spans="1:13" ht="24" hidden="1">
      <c r="B8" s="249" t="s">
        <v>194</v>
      </c>
      <c r="C8" s="222" t="s">
        <v>195</v>
      </c>
      <c r="D8" s="156" t="s">
        <v>196</v>
      </c>
      <c r="E8" s="246">
        <v>1.6074655</v>
      </c>
      <c r="F8" s="246">
        <v>1.6074657000000001</v>
      </c>
      <c r="G8" s="246">
        <f t="shared" si="0"/>
        <v>-2.0000000011677344E-7</v>
      </c>
    </row>
    <row r="9" spans="1:13" hidden="1">
      <c r="B9" s="249" t="s">
        <v>194</v>
      </c>
      <c r="C9" s="222" t="s">
        <v>197</v>
      </c>
      <c r="D9" s="156" t="s">
        <v>197</v>
      </c>
      <c r="E9" s="246">
        <v>0</v>
      </c>
      <c r="F9" s="246">
        <v>0</v>
      </c>
      <c r="G9" s="246">
        <f t="shared" si="0"/>
        <v>0</v>
      </c>
    </row>
    <row r="10" spans="1:13" ht="24" hidden="1">
      <c r="B10" s="249" t="s">
        <v>194</v>
      </c>
      <c r="C10" s="222" t="s">
        <v>198</v>
      </c>
      <c r="D10" s="156" t="s">
        <v>199</v>
      </c>
      <c r="E10" s="246">
        <v>0.83869740000000004</v>
      </c>
      <c r="F10" s="246">
        <v>0.71331160000000005</v>
      </c>
      <c r="G10" s="246">
        <f t="shared" si="0"/>
        <v>0.12538579999999999</v>
      </c>
    </row>
    <row r="11" spans="1:13" ht="24" hidden="1">
      <c r="B11" s="249" t="s">
        <v>194</v>
      </c>
      <c r="C11" s="222" t="s">
        <v>200</v>
      </c>
      <c r="D11" s="156" t="s">
        <v>201</v>
      </c>
      <c r="E11" s="246">
        <v>0</v>
      </c>
      <c r="F11" s="246">
        <v>0</v>
      </c>
      <c r="G11" s="246">
        <f t="shared" si="0"/>
        <v>0</v>
      </c>
    </row>
    <row r="12" spans="1:13" ht="24" hidden="1">
      <c r="B12" s="249" t="s">
        <v>194</v>
      </c>
      <c r="C12" s="222" t="s">
        <v>202</v>
      </c>
      <c r="D12" s="156" t="s">
        <v>201</v>
      </c>
      <c r="E12" s="246">
        <v>0</v>
      </c>
      <c r="F12" s="246">
        <v>0</v>
      </c>
      <c r="G12" s="246">
        <f t="shared" si="0"/>
        <v>0</v>
      </c>
    </row>
    <row r="13" spans="1:13" ht="24" hidden="1">
      <c r="B13" s="249" t="s">
        <v>194</v>
      </c>
      <c r="C13" s="222" t="s">
        <v>203</v>
      </c>
      <c r="D13" s="156" t="s">
        <v>199</v>
      </c>
      <c r="E13" s="246">
        <v>1.3248826</v>
      </c>
      <c r="F13" s="246">
        <v>0</v>
      </c>
      <c r="G13" s="246">
        <f t="shared" si="0"/>
        <v>1.3248826</v>
      </c>
    </row>
    <row r="14" spans="1:13" ht="36" hidden="1">
      <c r="B14" s="249" t="s">
        <v>194</v>
      </c>
      <c r="C14" s="222" t="s">
        <v>204</v>
      </c>
      <c r="D14" s="156" t="s">
        <v>205</v>
      </c>
      <c r="E14" s="246">
        <v>0</v>
      </c>
      <c r="F14" s="246">
        <v>0</v>
      </c>
      <c r="G14" s="246">
        <f t="shared" si="0"/>
        <v>0</v>
      </c>
    </row>
    <row r="15" spans="1:13" ht="48" hidden="1">
      <c r="B15" s="249" t="s">
        <v>194</v>
      </c>
      <c r="C15" s="222" t="s">
        <v>206</v>
      </c>
      <c r="D15" s="156" t="s">
        <v>207</v>
      </c>
      <c r="E15" s="246">
        <v>0</v>
      </c>
      <c r="F15" s="246">
        <v>0</v>
      </c>
      <c r="G15" s="246">
        <f t="shared" si="0"/>
        <v>0</v>
      </c>
    </row>
    <row r="16" spans="1:13" ht="48" hidden="1">
      <c r="B16" s="249" t="s">
        <v>194</v>
      </c>
      <c r="C16" s="222" t="s">
        <v>208</v>
      </c>
      <c r="D16" s="156" t="s">
        <v>209</v>
      </c>
      <c r="E16" s="246">
        <v>0.12815779999999999</v>
      </c>
      <c r="F16" s="246">
        <v>3.5884184E-2</v>
      </c>
      <c r="G16" s="246">
        <f t="shared" si="0"/>
        <v>9.2273615999999989E-2</v>
      </c>
    </row>
    <row r="17" spans="2:13" ht="36" hidden="1">
      <c r="B17" s="249" t="s">
        <v>194</v>
      </c>
      <c r="C17" s="222" t="s">
        <v>210</v>
      </c>
      <c r="D17" s="156" t="s">
        <v>211</v>
      </c>
      <c r="E17" s="246">
        <v>9.7881624E-2</v>
      </c>
      <c r="F17" s="246">
        <v>0</v>
      </c>
      <c r="G17" s="246">
        <f t="shared" si="0"/>
        <v>9.7881624E-2</v>
      </c>
    </row>
    <row r="18" spans="2:13" ht="36" hidden="1">
      <c r="B18" s="249" t="s">
        <v>194</v>
      </c>
      <c r="C18" s="222" t="s">
        <v>212</v>
      </c>
      <c r="D18" s="156" t="s">
        <v>213</v>
      </c>
      <c r="E18" s="246">
        <v>0</v>
      </c>
      <c r="F18" s="246">
        <v>0</v>
      </c>
      <c r="G18" s="246">
        <f t="shared" si="0"/>
        <v>0</v>
      </c>
    </row>
    <row r="19" spans="2:13" ht="24" hidden="1">
      <c r="B19" s="249" t="s">
        <v>194</v>
      </c>
      <c r="C19" s="222" t="s">
        <v>214</v>
      </c>
      <c r="D19" s="156" t="s">
        <v>201</v>
      </c>
      <c r="E19" s="246">
        <v>0</v>
      </c>
      <c r="F19" s="246">
        <v>0</v>
      </c>
      <c r="G19" s="246">
        <f t="shared" si="0"/>
        <v>0</v>
      </c>
    </row>
    <row r="20" spans="2:13" ht="36" hidden="1">
      <c r="B20" s="249" t="s">
        <v>194</v>
      </c>
      <c r="C20" s="222" t="s">
        <v>215</v>
      </c>
      <c r="D20" s="156" t="s">
        <v>216</v>
      </c>
      <c r="E20" s="246">
        <v>0.35679793999999998</v>
      </c>
      <c r="F20" s="246">
        <v>6.3656415199999997E-2</v>
      </c>
      <c r="G20" s="246">
        <f t="shared" si="0"/>
        <v>0.2931415248</v>
      </c>
    </row>
    <row r="21" spans="2:13" ht="24" hidden="1">
      <c r="B21" s="249" t="s">
        <v>194</v>
      </c>
      <c r="C21" s="222" t="s">
        <v>217</v>
      </c>
      <c r="D21" s="156" t="s">
        <v>201</v>
      </c>
      <c r="E21" s="246">
        <v>0</v>
      </c>
      <c r="F21" s="246">
        <v>0</v>
      </c>
      <c r="G21" s="246">
        <f t="shared" si="0"/>
        <v>0</v>
      </c>
    </row>
    <row r="22" spans="2:13" ht="24" hidden="1">
      <c r="B22" s="249" t="s">
        <v>194</v>
      </c>
      <c r="C22" s="222" t="s">
        <v>218</v>
      </c>
      <c r="D22" s="156" t="s">
        <v>219</v>
      </c>
      <c r="E22" s="246">
        <v>0</v>
      </c>
      <c r="F22" s="246">
        <v>0</v>
      </c>
      <c r="G22" s="246">
        <f t="shared" si="0"/>
        <v>0</v>
      </c>
    </row>
    <row r="23" spans="2:13" ht="36" hidden="1">
      <c r="B23" s="249" t="s">
        <v>194</v>
      </c>
      <c r="C23" s="222" t="s">
        <v>220</v>
      </c>
      <c r="D23" s="156" t="s">
        <v>221</v>
      </c>
      <c r="E23" s="246">
        <v>0</v>
      </c>
      <c r="F23" s="246">
        <v>0</v>
      </c>
      <c r="G23" s="246">
        <f t="shared" si="0"/>
        <v>0</v>
      </c>
    </row>
    <row r="24" spans="2:13" ht="48" hidden="1">
      <c r="B24" s="249" t="s">
        <v>194</v>
      </c>
      <c r="C24" s="222" t="s">
        <v>222</v>
      </c>
      <c r="D24" s="156" t="s">
        <v>223</v>
      </c>
      <c r="E24" s="246">
        <v>0</v>
      </c>
      <c r="F24" s="246">
        <v>0</v>
      </c>
      <c r="G24" s="246">
        <f t="shared" si="0"/>
        <v>0</v>
      </c>
    </row>
    <row r="25" spans="2:13" ht="36" hidden="1">
      <c r="B25" s="249" t="s">
        <v>194</v>
      </c>
      <c r="C25" s="222" t="s">
        <v>224</v>
      </c>
      <c r="D25" s="156" t="s">
        <v>205</v>
      </c>
      <c r="E25" s="246">
        <v>0</v>
      </c>
      <c r="F25" s="246">
        <v>0</v>
      </c>
      <c r="G25" s="246">
        <f t="shared" si="0"/>
        <v>0</v>
      </c>
    </row>
    <row r="26" spans="2:13" ht="36" hidden="1">
      <c r="B26" s="249" t="s">
        <v>194</v>
      </c>
      <c r="C26" s="222" t="s">
        <v>225</v>
      </c>
      <c r="D26" s="156" t="s">
        <v>226</v>
      </c>
      <c r="E26" s="246">
        <v>1.9307999999999999E-2</v>
      </c>
      <c r="F26" s="246">
        <v>5.4062400000000005E-3</v>
      </c>
      <c r="G26" s="246">
        <f t="shared" si="0"/>
        <v>1.3901759999999999E-2</v>
      </c>
    </row>
    <row r="27" spans="2:13" ht="36" hidden="1">
      <c r="B27" s="249" t="s">
        <v>194</v>
      </c>
      <c r="C27" s="222" t="s">
        <v>227</v>
      </c>
      <c r="D27" s="156" t="s">
        <v>228</v>
      </c>
      <c r="E27" s="246">
        <v>7.5644779999999995E-3</v>
      </c>
      <c r="F27" s="246">
        <v>0</v>
      </c>
      <c r="G27" s="246">
        <f t="shared" si="0"/>
        <v>7.5644779999999995E-3</v>
      </c>
    </row>
    <row r="28" spans="2:13" ht="48" hidden="1">
      <c r="B28" s="249" t="s">
        <v>194</v>
      </c>
      <c r="C28" s="222" t="s">
        <v>229</v>
      </c>
      <c r="D28" s="156" t="s">
        <v>209</v>
      </c>
      <c r="E28" s="246">
        <v>0</v>
      </c>
      <c r="F28" s="246">
        <v>0</v>
      </c>
      <c r="G28" s="246">
        <f t="shared" si="0"/>
        <v>0</v>
      </c>
    </row>
    <row r="29" spans="2:13" ht="24" hidden="1">
      <c r="B29" s="249" t="s">
        <v>194</v>
      </c>
      <c r="C29" s="251" t="s">
        <v>230</v>
      </c>
      <c r="D29" s="156" t="s">
        <v>231</v>
      </c>
      <c r="E29" s="246">
        <v>2E-3</v>
      </c>
      <c r="F29" s="246">
        <v>0</v>
      </c>
      <c r="G29" s="246">
        <f t="shared" si="0"/>
        <v>2E-3</v>
      </c>
    </row>
    <row r="30" spans="2:13" ht="24" hidden="1">
      <c r="B30" s="157" t="s">
        <v>232</v>
      </c>
      <c r="C30" s="223" t="s">
        <v>233</v>
      </c>
      <c r="D30" s="156" t="s">
        <v>234</v>
      </c>
      <c r="E30" s="246">
        <v>0.88555509900000007</v>
      </c>
      <c r="F30" s="246">
        <v>0.88555505379608701</v>
      </c>
      <c r="G30" s="246">
        <f t="shared" si="0"/>
        <v>4.5203913057179079E-8</v>
      </c>
    </row>
    <row r="31" spans="2:13" ht="24">
      <c r="B31" s="157" t="s">
        <v>232</v>
      </c>
      <c r="C31" s="223" t="s">
        <v>235</v>
      </c>
      <c r="D31" s="156" t="s">
        <v>236</v>
      </c>
      <c r="E31" s="246">
        <v>7.255328016</v>
      </c>
      <c r="F31" s="246">
        <v>5.7903438251659196</v>
      </c>
      <c r="G31" s="246">
        <f t="shared" si="0"/>
        <v>1.4649841908340804</v>
      </c>
      <c r="H31" s="235">
        <f>F31*50%</f>
        <v>2.8951719125829598</v>
      </c>
      <c r="K31" t="s">
        <v>143</v>
      </c>
      <c r="M31" s="150">
        <f>H5+H36+H37+H43+H45+H47+H49+H68+H76+H85+H86+H145+H151</f>
        <v>99.753717544970158</v>
      </c>
    </row>
    <row r="32" spans="2:13" ht="36" hidden="1">
      <c r="B32" s="157" t="s">
        <v>232</v>
      </c>
      <c r="C32" s="223" t="s">
        <v>237</v>
      </c>
      <c r="D32" s="156" t="s">
        <v>238</v>
      </c>
      <c r="E32" s="246">
        <v>2.5312781630000032</v>
      </c>
      <c r="F32" s="246">
        <v>0.35354265282000003</v>
      </c>
      <c r="G32" s="246">
        <f t="shared" si="0"/>
        <v>2.1777355101800033</v>
      </c>
    </row>
    <row r="33" spans="1:8" ht="36" hidden="1">
      <c r="B33" s="157" t="s">
        <v>232</v>
      </c>
      <c r="C33" s="223" t="s">
        <v>239</v>
      </c>
      <c r="D33" s="156" t="s">
        <v>240</v>
      </c>
      <c r="E33" s="246">
        <v>5.1205800000002607E-3</v>
      </c>
      <c r="F33" s="246">
        <v>7.1688400000000021E-4</v>
      </c>
      <c r="G33" s="246">
        <f t="shared" si="0"/>
        <v>4.4036960000002606E-3</v>
      </c>
    </row>
    <row r="34" spans="1:8" ht="36" hidden="1">
      <c r="B34" s="157" t="s">
        <v>232</v>
      </c>
      <c r="C34" s="223" t="s">
        <v>241</v>
      </c>
      <c r="D34" s="156" t="s">
        <v>242</v>
      </c>
      <c r="E34" s="246">
        <v>30.884673516000003</v>
      </c>
      <c r="F34" s="246">
        <v>0.40941890261999997</v>
      </c>
      <c r="G34" s="246">
        <f t="shared" si="0"/>
        <v>30.475254613380002</v>
      </c>
    </row>
    <row r="35" spans="1:8" ht="96" hidden="1">
      <c r="B35" s="157" t="s">
        <v>232</v>
      </c>
      <c r="C35" s="224" t="s">
        <v>243</v>
      </c>
      <c r="D35" s="156" t="s">
        <v>244</v>
      </c>
      <c r="E35" s="246">
        <v>1.1970801410000005</v>
      </c>
      <c r="F35" s="246">
        <v>0</v>
      </c>
      <c r="G35" s="246">
        <f t="shared" si="0"/>
        <v>1.1970801410000005</v>
      </c>
    </row>
    <row r="36" spans="1:8" ht="48">
      <c r="A36" s="115" t="s">
        <v>552</v>
      </c>
      <c r="B36" s="157" t="s">
        <v>245</v>
      </c>
      <c r="C36" s="158" t="s">
        <v>245</v>
      </c>
      <c r="D36" s="156" t="s">
        <v>246</v>
      </c>
      <c r="E36" s="246">
        <v>11.895599799999999</v>
      </c>
      <c r="F36" s="246">
        <v>11.8451906</v>
      </c>
      <c r="G36" s="246">
        <f t="shared" si="0"/>
        <v>5.0409199999998933E-2</v>
      </c>
      <c r="H36" s="235">
        <f>F36*70%</f>
        <v>8.2916334200000001</v>
      </c>
    </row>
    <row r="37" spans="1:8" ht="48">
      <c r="A37" s="115" t="s">
        <v>552</v>
      </c>
      <c r="B37" s="157" t="s">
        <v>245</v>
      </c>
      <c r="C37" s="158" t="s">
        <v>245</v>
      </c>
      <c r="D37" s="156" t="s">
        <v>247</v>
      </c>
      <c r="E37" s="246">
        <v>9.0653637000000007</v>
      </c>
      <c r="F37" s="246">
        <v>9.075366279999999</v>
      </c>
      <c r="G37" s="246">
        <f t="shared" ref="G37:G68" si="1">E37-F37</f>
        <v>-1.0002579999998318E-2</v>
      </c>
      <c r="H37" s="235">
        <f>F37*70%</f>
        <v>6.3527563959999993</v>
      </c>
    </row>
    <row r="38" spans="1:8" ht="48" hidden="1">
      <c r="B38" s="157" t="s">
        <v>245</v>
      </c>
      <c r="C38" s="158" t="s">
        <v>245</v>
      </c>
      <c r="D38" s="156" t="s">
        <v>248</v>
      </c>
      <c r="E38" s="246">
        <v>3.4458510000000002</v>
      </c>
      <c r="F38" s="246">
        <v>0</v>
      </c>
      <c r="G38" s="246">
        <f t="shared" si="1"/>
        <v>3.4458510000000002</v>
      </c>
    </row>
    <row r="39" spans="1:8" ht="60" hidden="1">
      <c r="B39" s="157" t="s">
        <v>245</v>
      </c>
      <c r="C39" s="158" t="s">
        <v>245</v>
      </c>
      <c r="D39" s="156" t="s">
        <v>249</v>
      </c>
      <c r="E39" s="246">
        <v>-0.19346379999999999</v>
      </c>
      <c r="F39" s="246">
        <v>0</v>
      </c>
      <c r="G39" s="246">
        <f t="shared" si="1"/>
        <v>-0.19346379999999999</v>
      </c>
    </row>
    <row r="40" spans="1:8" ht="48" hidden="1">
      <c r="B40" s="157" t="s">
        <v>245</v>
      </c>
      <c r="C40" s="158" t="s">
        <v>245</v>
      </c>
      <c r="D40" s="156" t="s">
        <v>250</v>
      </c>
      <c r="E40" s="246">
        <v>3.6050000000000001E-3</v>
      </c>
      <c r="F40" s="246">
        <v>3.0049E-3</v>
      </c>
      <c r="G40" s="246">
        <f t="shared" si="1"/>
        <v>6.0010000000000011E-4</v>
      </c>
    </row>
    <row r="41" spans="1:8" ht="24" hidden="1">
      <c r="B41" s="157" t="s">
        <v>245</v>
      </c>
      <c r="C41" s="158" t="s">
        <v>245</v>
      </c>
      <c r="D41" s="156" t="s">
        <v>251</v>
      </c>
      <c r="E41" s="246">
        <v>7.3472700000000002E-2</v>
      </c>
      <c r="F41" s="246">
        <v>0.23296239999999999</v>
      </c>
      <c r="G41" s="246">
        <f t="shared" si="1"/>
        <v>-0.15948969999999998</v>
      </c>
    </row>
    <row r="42" spans="1:8" ht="36" hidden="1">
      <c r="B42" s="157" t="s">
        <v>245</v>
      </c>
      <c r="C42" s="158" t="s">
        <v>245</v>
      </c>
      <c r="D42" s="156" t="s">
        <v>252</v>
      </c>
      <c r="E42" s="246">
        <v>7.7830994000000001E-2</v>
      </c>
      <c r="F42" s="246">
        <v>9.5554600000000003E-2</v>
      </c>
      <c r="G42" s="246">
        <f t="shared" si="1"/>
        <v>-1.7723606000000003E-2</v>
      </c>
    </row>
    <row r="43" spans="1:8" ht="43.2">
      <c r="A43" s="115" t="s">
        <v>551</v>
      </c>
      <c r="B43" s="225" t="s">
        <v>253</v>
      </c>
      <c r="C43" s="226" t="s">
        <v>254</v>
      </c>
      <c r="D43" s="156" t="s">
        <v>255</v>
      </c>
      <c r="E43" s="246">
        <v>34.739175361999997</v>
      </c>
      <c r="F43" s="246">
        <v>17.234742575101695</v>
      </c>
      <c r="G43" s="246">
        <f t="shared" si="1"/>
        <v>17.504432786898303</v>
      </c>
      <c r="H43" s="235">
        <f>F43</f>
        <v>17.234742575101695</v>
      </c>
    </row>
    <row r="44" spans="1:8" ht="48" hidden="1">
      <c r="B44" s="225" t="s">
        <v>253</v>
      </c>
      <c r="C44" s="226" t="s">
        <v>256</v>
      </c>
      <c r="D44" s="156" t="s">
        <v>257</v>
      </c>
      <c r="E44" s="246">
        <v>1.316238</v>
      </c>
      <c r="F44" s="246">
        <v>0.39508776789041095</v>
      </c>
      <c r="G44" s="246">
        <f t="shared" si="1"/>
        <v>0.92115023210958902</v>
      </c>
    </row>
    <row r="45" spans="1:8" ht="60">
      <c r="A45" t="s">
        <v>540</v>
      </c>
      <c r="B45" s="225" t="s">
        <v>253</v>
      </c>
      <c r="C45" s="226" t="s">
        <v>258</v>
      </c>
      <c r="D45" s="156" t="s">
        <v>259</v>
      </c>
      <c r="E45" s="246">
        <v>8.0556628799999999</v>
      </c>
      <c r="F45" s="246">
        <v>8.0556628799999999</v>
      </c>
      <c r="G45" s="246">
        <f t="shared" si="1"/>
        <v>0</v>
      </c>
      <c r="H45" s="235">
        <f>F45</f>
        <v>8.0556628799999999</v>
      </c>
    </row>
    <row r="46" spans="1:8" ht="36" hidden="1">
      <c r="B46" s="225" t="s">
        <v>253</v>
      </c>
      <c r="C46" s="226" t="s">
        <v>260</v>
      </c>
      <c r="D46" s="156" t="s">
        <v>261</v>
      </c>
      <c r="E46" s="246">
        <v>4.0000000000000001E-8</v>
      </c>
      <c r="F46" s="246">
        <v>0</v>
      </c>
      <c r="G46" s="246">
        <f t="shared" si="1"/>
        <v>4.0000000000000001E-8</v>
      </c>
    </row>
    <row r="47" spans="1:8" ht="60">
      <c r="A47" t="s">
        <v>540</v>
      </c>
      <c r="B47" s="225" t="s">
        <v>253</v>
      </c>
      <c r="C47" s="226" t="s">
        <v>262</v>
      </c>
      <c r="D47" s="156" t="s">
        <v>259</v>
      </c>
      <c r="E47" s="246">
        <v>3.9665639100000001</v>
      </c>
      <c r="F47" s="246">
        <v>3.9665639000000001</v>
      </c>
      <c r="G47" s="246">
        <f t="shared" si="1"/>
        <v>9.9999999392252903E-9</v>
      </c>
      <c r="H47" s="235">
        <f>F47</f>
        <v>3.9665639000000001</v>
      </c>
    </row>
    <row r="48" spans="1:8" ht="60" hidden="1">
      <c r="B48" s="225" t="s">
        <v>253</v>
      </c>
      <c r="C48" s="226" t="s">
        <v>263</v>
      </c>
      <c r="D48" s="156" t="s">
        <v>259</v>
      </c>
      <c r="E48" s="246">
        <v>0</v>
      </c>
      <c r="F48" s="246">
        <v>0</v>
      </c>
      <c r="G48" s="246">
        <f t="shared" si="1"/>
        <v>0</v>
      </c>
    </row>
    <row r="49" spans="1:8" ht="84">
      <c r="A49" t="s">
        <v>550</v>
      </c>
      <c r="B49" s="225" t="s">
        <v>253</v>
      </c>
      <c r="C49" s="226" t="s">
        <v>264</v>
      </c>
      <c r="D49" s="156" t="s">
        <v>549</v>
      </c>
      <c r="E49" s="246">
        <v>24.253834600000001</v>
      </c>
      <c r="F49" s="246">
        <v>11.291144110879999</v>
      </c>
      <c r="G49" s="246">
        <f t="shared" si="1"/>
        <v>12.962690489120002</v>
      </c>
      <c r="H49" s="235">
        <f>F49</f>
        <v>11.291144110879999</v>
      </c>
    </row>
    <row r="50" spans="1:8" ht="60" hidden="1">
      <c r="B50" s="225" t="s">
        <v>253</v>
      </c>
      <c r="C50" s="226" t="s">
        <v>266</v>
      </c>
      <c r="D50" s="156" t="s">
        <v>267</v>
      </c>
      <c r="E50" s="246">
        <v>3.5999999999999998E-8</v>
      </c>
      <c r="F50" s="246">
        <v>0</v>
      </c>
      <c r="G50" s="246">
        <f t="shared" si="1"/>
        <v>3.5999999999999998E-8</v>
      </c>
    </row>
    <row r="51" spans="1:8" hidden="1">
      <c r="B51" s="225" t="s">
        <v>253</v>
      </c>
      <c r="C51" s="226" t="s">
        <v>268</v>
      </c>
      <c r="D51" s="156" t="s">
        <v>265</v>
      </c>
      <c r="E51" s="246">
        <v>0.95592719999999998</v>
      </c>
      <c r="F51" s="246">
        <v>0</v>
      </c>
      <c r="G51" s="246">
        <f t="shared" si="1"/>
        <v>0.95592719999999998</v>
      </c>
    </row>
    <row r="52" spans="1:8" ht="36" hidden="1">
      <c r="B52" s="225" t="s">
        <v>253</v>
      </c>
      <c r="C52" s="226" t="s">
        <v>269</v>
      </c>
      <c r="D52" s="156" t="s">
        <v>270</v>
      </c>
      <c r="E52" s="246">
        <v>0.35787007799999998</v>
      </c>
      <c r="F52" s="246">
        <v>0.35787010000000002</v>
      </c>
      <c r="G52" s="246">
        <f t="shared" si="1"/>
        <v>-2.2000000043931323E-8</v>
      </c>
    </row>
    <row r="53" spans="1:8" ht="36" hidden="1">
      <c r="B53" s="157" t="s">
        <v>271</v>
      </c>
      <c r="C53" s="223" t="s">
        <v>272</v>
      </c>
      <c r="D53" s="156" t="s">
        <v>273</v>
      </c>
      <c r="E53" s="246">
        <v>2.3000000000000001E-8</v>
      </c>
      <c r="F53" s="246">
        <v>0</v>
      </c>
      <c r="G53" s="246">
        <f t="shared" si="1"/>
        <v>2.3000000000000001E-8</v>
      </c>
    </row>
    <row r="54" spans="1:8">
      <c r="A54" t="s">
        <v>181</v>
      </c>
      <c r="B54" s="157" t="s">
        <v>271</v>
      </c>
      <c r="C54" s="223" t="s">
        <v>274</v>
      </c>
      <c r="D54" s="156" t="s">
        <v>275</v>
      </c>
      <c r="E54" s="246">
        <v>3.8153676000000001</v>
      </c>
      <c r="F54" s="246">
        <v>3.8153676000000001</v>
      </c>
      <c r="G54" s="246">
        <f t="shared" si="1"/>
        <v>0</v>
      </c>
      <c r="H54" s="235">
        <f>F54*50%</f>
        <v>1.9076838</v>
      </c>
    </row>
    <row r="55" spans="1:8" hidden="1">
      <c r="B55" s="157" t="s">
        <v>271</v>
      </c>
      <c r="C55" s="223" t="s">
        <v>276</v>
      </c>
      <c r="D55" s="156" t="s">
        <v>277</v>
      </c>
      <c r="E55" s="246">
        <v>3.4046518369999998</v>
      </c>
      <c r="F55" s="246">
        <v>0.24556648717999999</v>
      </c>
      <c r="G55" s="246">
        <f t="shared" si="1"/>
        <v>3.1590853498199998</v>
      </c>
    </row>
    <row r="56" spans="1:8" ht="24" hidden="1">
      <c r="B56" s="157" t="s">
        <v>271</v>
      </c>
      <c r="C56" s="223" t="s">
        <v>278</v>
      </c>
      <c r="D56" s="156" t="s">
        <v>279</v>
      </c>
      <c r="E56" s="246">
        <v>4.4364648569999998</v>
      </c>
      <c r="F56" s="246">
        <v>0</v>
      </c>
      <c r="G56" s="246">
        <f t="shared" si="1"/>
        <v>4.4364648569999998</v>
      </c>
    </row>
    <row r="57" spans="1:8" ht="36" hidden="1">
      <c r="B57" s="157" t="s">
        <v>271</v>
      </c>
      <c r="C57" s="223" t="s">
        <v>280</v>
      </c>
      <c r="D57" s="156" t="s">
        <v>281</v>
      </c>
      <c r="E57" s="246">
        <v>0</v>
      </c>
      <c r="F57" s="246">
        <v>0.27999956600000003</v>
      </c>
      <c r="G57" s="246">
        <f t="shared" si="1"/>
        <v>-0.27999956600000003</v>
      </c>
    </row>
    <row r="58" spans="1:8" ht="48">
      <c r="A58" t="s">
        <v>548</v>
      </c>
      <c r="B58" s="157" t="s">
        <v>271</v>
      </c>
      <c r="C58" s="223" t="s">
        <v>282</v>
      </c>
      <c r="D58" s="156" t="s">
        <v>283</v>
      </c>
      <c r="E58" s="246">
        <v>19.760966116999999</v>
      </c>
      <c r="F58" s="246">
        <v>19.770349817</v>
      </c>
      <c r="G58" s="246">
        <f t="shared" si="1"/>
        <v>-9.383700000000772E-3</v>
      </c>
      <c r="H58" s="235">
        <v>0</v>
      </c>
    </row>
    <row r="59" spans="1:8" ht="24" hidden="1">
      <c r="B59" s="157" t="s">
        <v>271</v>
      </c>
      <c r="C59" s="223" t="s">
        <v>284</v>
      </c>
      <c r="D59" s="156" t="s">
        <v>279</v>
      </c>
      <c r="E59" s="246">
        <v>2.069273913</v>
      </c>
      <c r="F59" s="246">
        <v>0.95573876999999996</v>
      </c>
      <c r="G59" s="246">
        <f t="shared" si="1"/>
        <v>1.113535143</v>
      </c>
    </row>
    <row r="60" spans="1:8" ht="48" hidden="1">
      <c r="B60" s="157" t="s">
        <v>271</v>
      </c>
      <c r="C60" s="223" t="s">
        <v>285</v>
      </c>
      <c r="D60" s="156" t="s">
        <v>286</v>
      </c>
      <c r="E60" s="246">
        <v>2.2640555</v>
      </c>
      <c r="F60" s="246">
        <v>0.63393554000000008</v>
      </c>
      <c r="G60" s="246">
        <f t="shared" si="1"/>
        <v>1.63011996</v>
      </c>
    </row>
    <row r="61" spans="1:8" ht="84" hidden="1">
      <c r="B61" s="157" t="s">
        <v>271</v>
      </c>
      <c r="C61" s="223" t="s">
        <v>287</v>
      </c>
      <c r="D61" s="156" t="s">
        <v>288</v>
      </c>
      <c r="E61" s="246">
        <v>1.7264860929999999</v>
      </c>
      <c r="F61" s="246">
        <v>1.7264860929999999</v>
      </c>
      <c r="G61" s="246">
        <f t="shared" si="1"/>
        <v>0</v>
      </c>
    </row>
    <row r="62" spans="1:8" hidden="1">
      <c r="B62" s="227" t="s">
        <v>271</v>
      </c>
      <c r="C62" s="228" t="s">
        <v>289</v>
      </c>
      <c r="D62" s="156">
        <v>0</v>
      </c>
      <c r="E62" s="246">
        <v>3.8999999999999998E-8</v>
      </c>
      <c r="F62" s="246">
        <v>0</v>
      </c>
      <c r="G62" s="246">
        <f t="shared" si="1"/>
        <v>3.8999999999999998E-8</v>
      </c>
    </row>
    <row r="63" spans="1:8" ht="100.8">
      <c r="A63" s="115" t="s">
        <v>547</v>
      </c>
      <c r="B63" s="249" t="s">
        <v>290</v>
      </c>
      <c r="C63" s="250" t="s">
        <v>291</v>
      </c>
      <c r="D63" s="156" t="s">
        <v>546</v>
      </c>
      <c r="E63" s="246">
        <v>3.5687547999999998</v>
      </c>
      <c r="F63" s="246">
        <v>6.0965330067769861</v>
      </c>
      <c r="G63" s="246">
        <f t="shared" si="1"/>
        <v>-2.5277782067769863</v>
      </c>
      <c r="H63" s="235">
        <f>F63*70%</f>
        <v>4.2675731047438896</v>
      </c>
    </row>
    <row r="64" spans="1:8" ht="24" hidden="1">
      <c r="B64" s="249" t="s">
        <v>290</v>
      </c>
      <c r="C64" s="250" t="s">
        <v>293</v>
      </c>
      <c r="D64" s="156" t="s">
        <v>294</v>
      </c>
      <c r="E64" s="246">
        <v>8.7857592407787732E-2</v>
      </c>
      <c r="F64" s="246">
        <v>8.7857592407787732E-2</v>
      </c>
      <c r="G64" s="246">
        <f t="shared" si="1"/>
        <v>0</v>
      </c>
    </row>
    <row r="65" spans="1:8" ht="24" hidden="1">
      <c r="B65" s="249" t="s">
        <v>290</v>
      </c>
      <c r="C65" s="250" t="s">
        <v>295</v>
      </c>
      <c r="D65" s="156" t="s">
        <v>296</v>
      </c>
      <c r="E65" s="246">
        <v>4.5505006269999981</v>
      </c>
      <c r="F65" s="246">
        <v>0</v>
      </c>
      <c r="G65" s="246">
        <f t="shared" si="1"/>
        <v>4.5505006269999981</v>
      </c>
    </row>
    <row r="66" spans="1:8" ht="60" hidden="1">
      <c r="B66" s="249" t="s">
        <v>290</v>
      </c>
      <c r="C66" s="250" t="s">
        <v>297</v>
      </c>
      <c r="D66" s="156" t="s">
        <v>294</v>
      </c>
      <c r="E66" s="246">
        <v>0.83837542399999998</v>
      </c>
      <c r="F66" s="246">
        <v>0.83837543519373792</v>
      </c>
      <c r="G66" s="246">
        <f t="shared" si="1"/>
        <v>-1.119373793656564E-8</v>
      </c>
    </row>
    <row r="67" spans="1:8" ht="24" hidden="1">
      <c r="B67" s="249" t="s">
        <v>290</v>
      </c>
      <c r="C67" s="250" t="s">
        <v>298</v>
      </c>
      <c r="D67" s="156" t="s">
        <v>296</v>
      </c>
      <c r="E67" s="246">
        <v>4.0528300000000002</v>
      </c>
      <c r="F67" s="246">
        <v>0</v>
      </c>
      <c r="G67" s="246">
        <f t="shared" si="1"/>
        <v>4.0528300000000002</v>
      </c>
    </row>
    <row r="68" spans="1:8" ht="86.4">
      <c r="A68" s="115" t="s">
        <v>545</v>
      </c>
      <c r="B68" s="249" t="s">
        <v>290</v>
      </c>
      <c r="C68" s="250" t="s">
        <v>299</v>
      </c>
      <c r="D68" s="156" t="s">
        <v>544</v>
      </c>
      <c r="E68" s="246">
        <v>4.0372884999999998</v>
      </c>
      <c r="F68" s="246">
        <v>4.0372884878894997</v>
      </c>
      <c r="G68" s="246">
        <f t="shared" si="1"/>
        <v>1.2110500158257764E-8</v>
      </c>
      <c r="H68" s="235">
        <f>F68</f>
        <v>4.0372884878894997</v>
      </c>
    </row>
    <row r="69" spans="1:8" ht="84" hidden="1">
      <c r="B69" s="249" t="s">
        <v>290</v>
      </c>
      <c r="C69" s="250" t="s">
        <v>300</v>
      </c>
      <c r="D69" s="156" t="s">
        <v>301</v>
      </c>
      <c r="E69" s="246">
        <v>3.3893966369999999</v>
      </c>
      <c r="F69" s="246">
        <v>0</v>
      </c>
      <c r="G69" s="246">
        <f t="shared" ref="G69:G100" si="2">E69-F69</f>
        <v>3.3893966369999999</v>
      </c>
    </row>
    <row r="70" spans="1:8" ht="84" hidden="1">
      <c r="B70" s="249" t="s">
        <v>290</v>
      </c>
      <c r="C70" s="250" t="s">
        <v>302</v>
      </c>
      <c r="D70" s="156" t="s">
        <v>303</v>
      </c>
      <c r="E70" s="246">
        <v>1.3637971</v>
      </c>
      <c r="F70" s="246">
        <v>0</v>
      </c>
      <c r="G70" s="246">
        <f t="shared" si="2"/>
        <v>1.3637971</v>
      </c>
    </row>
    <row r="71" spans="1:8" ht="24" hidden="1">
      <c r="B71" s="249" t="s">
        <v>290</v>
      </c>
      <c r="C71" s="250" t="s">
        <v>304</v>
      </c>
      <c r="D71" s="156" t="s">
        <v>292</v>
      </c>
      <c r="E71" s="246">
        <v>0.29525269799999998</v>
      </c>
      <c r="F71" s="246">
        <v>0</v>
      </c>
      <c r="G71" s="246">
        <f t="shared" si="2"/>
        <v>0.29525269799999998</v>
      </c>
    </row>
    <row r="72" spans="1:8" ht="72" hidden="1">
      <c r="B72" s="249" t="s">
        <v>290</v>
      </c>
      <c r="C72" s="250" t="s">
        <v>305</v>
      </c>
      <c r="D72" s="156" t="s">
        <v>306</v>
      </c>
      <c r="E72" s="246">
        <v>10.520797629</v>
      </c>
      <c r="F72" s="246">
        <v>0</v>
      </c>
      <c r="G72" s="246">
        <f t="shared" si="2"/>
        <v>10.520797629</v>
      </c>
    </row>
    <row r="73" spans="1:8" ht="72" hidden="1">
      <c r="B73" s="249" t="s">
        <v>290</v>
      </c>
      <c r="C73" s="250" t="s">
        <v>307</v>
      </c>
      <c r="D73" s="156" t="s">
        <v>306</v>
      </c>
      <c r="E73" s="246">
        <v>0.29999221700000006</v>
      </c>
      <c r="F73" s="246">
        <v>0</v>
      </c>
      <c r="G73" s="246">
        <f t="shared" si="2"/>
        <v>0.29999221700000006</v>
      </c>
    </row>
    <row r="74" spans="1:8" ht="72" hidden="1">
      <c r="B74" s="249" t="s">
        <v>290</v>
      </c>
      <c r="C74" s="250" t="s">
        <v>308</v>
      </c>
      <c r="D74" s="156" t="s">
        <v>306</v>
      </c>
      <c r="E74" s="246">
        <v>4.1268917329999999</v>
      </c>
      <c r="F74" s="246">
        <v>0</v>
      </c>
      <c r="G74" s="246">
        <f t="shared" si="2"/>
        <v>4.1268917329999999</v>
      </c>
    </row>
    <row r="75" spans="1:8" ht="60" hidden="1">
      <c r="B75" s="249" t="s">
        <v>290</v>
      </c>
      <c r="C75" s="250" t="s">
        <v>309</v>
      </c>
      <c r="D75" s="156" t="s">
        <v>310</v>
      </c>
      <c r="E75" s="246">
        <v>1.1357434237288157E-2</v>
      </c>
      <c r="F75" s="246">
        <v>3.1800815864406842E-3</v>
      </c>
      <c r="G75" s="246">
        <f t="shared" si="2"/>
        <v>8.1773526508474737E-3</v>
      </c>
    </row>
    <row r="76" spans="1:8" ht="72">
      <c r="A76" s="115" t="s">
        <v>543</v>
      </c>
      <c r="B76" s="249" t="s">
        <v>290</v>
      </c>
      <c r="C76" s="229" t="s">
        <v>311</v>
      </c>
      <c r="D76" s="156" t="s">
        <v>310</v>
      </c>
      <c r="E76" s="246">
        <v>12.9417496</v>
      </c>
      <c r="F76" s="246">
        <v>3.6236898772989603</v>
      </c>
      <c r="G76" s="246">
        <f t="shared" si="2"/>
        <v>9.3180597227010402</v>
      </c>
      <c r="H76" s="235">
        <f>F76</f>
        <v>3.6236898772989603</v>
      </c>
    </row>
    <row r="77" spans="1:8" ht="60" hidden="1">
      <c r="B77" s="249" t="s">
        <v>290</v>
      </c>
      <c r="C77" s="250" t="s">
        <v>312</v>
      </c>
      <c r="D77" s="156" t="s">
        <v>310</v>
      </c>
      <c r="E77" s="246">
        <v>2.5741438482613961</v>
      </c>
      <c r="F77" s="246">
        <v>0.72076027751319105</v>
      </c>
      <c r="G77" s="246">
        <f t="shared" si="2"/>
        <v>1.8533835707482051</v>
      </c>
    </row>
    <row r="78" spans="1:8" ht="60" hidden="1">
      <c r="B78" s="249" t="s">
        <v>290</v>
      </c>
      <c r="C78" s="250" t="s">
        <v>313</v>
      </c>
      <c r="D78" s="156" t="s">
        <v>310</v>
      </c>
      <c r="E78" s="246">
        <v>3.7333640122508442</v>
      </c>
      <c r="F78" s="246">
        <v>1.3031451631811077</v>
      </c>
      <c r="G78" s="246">
        <f t="shared" si="2"/>
        <v>2.4302188490697363</v>
      </c>
    </row>
    <row r="79" spans="1:8" ht="60" hidden="1">
      <c r="B79" s="249" t="s">
        <v>290</v>
      </c>
      <c r="C79" s="250" t="s">
        <v>314</v>
      </c>
      <c r="D79" s="156" t="s">
        <v>310</v>
      </c>
      <c r="E79" s="246">
        <v>0</v>
      </c>
      <c r="F79" s="246">
        <v>0</v>
      </c>
      <c r="G79" s="246">
        <f t="shared" si="2"/>
        <v>0</v>
      </c>
    </row>
    <row r="80" spans="1:8" ht="60" hidden="1">
      <c r="B80" s="249" t="s">
        <v>290</v>
      </c>
      <c r="C80" s="250" t="s">
        <v>315</v>
      </c>
      <c r="D80" s="156" t="s">
        <v>310</v>
      </c>
      <c r="E80" s="246">
        <v>0</v>
      </c>
      <c r="F80" s="246">
        <v>0</v>
      </c>
      <c r="G80" s="246">
        <f t="shared" si="2"/>
        <v>0</v>
      </c>
    </row>
    <row r="81" spans="1:8" ht="36" hidden="1">
      <c r="B81" s="249" t="s">
        <v>316</v>
      </c>
      <c r="C81" s="248" t="s">
        <v>316</v>
      </c>
      <c r="D81" s="156" t="s">
        <v>317</v>
      </c>
      <c r="E81" s="246">
        <v>2.3379999999999998E-3</v>
      </c>
      <c r="F81" s="246">
        <v>3.2661832271781002E-2</v>
      </c>
      <c r="G81" s="246">
        <f t="shared" si="2"/>
        <v>-3.0323832271781002E-2</v>
      </c>
    </row>
    <row r="82" spans="1:8" hidden="1">
      <c r="B82" s="249" t="s">
        <v>316</v>
      </c>
      <c r="C82" s="248" t="s">
        <v>316</v>
      </c>
      <c r="D82" s="156" t="s">
        <v>318</v>
      </c>
      <c r="E82" s="246">
        <v>3.0323800000000001E-2</v>
      </c>
      <c r="F82" s="246">
        <v>0</v>
      </c>
      <c r="G82" s="246">
        <f t="shared" si="2"/>
        <v>3.0323800000000001E-2</v>
      </c>
    </row>
    <row r="83" spans="1:8" ht="60" hidden="1">
      <c r="B83" s="157" t="s">
        <v>245</v>
      </c>
      <c r="C83" s="158" t="s">
        <v>245</v>
      </c>
      <c r="D83" s="156" t="s">
        <v>319</v>
      </c>
      <c r="E83" s="246">
        <v>7.7210799999999996E-2</v>
      </c>
      <c r="F83" s="246">
        <v>0.10843700000000001</v>
      </c>
      <c r="G83" s="246">
        <f t="shared" si="2"/>
        <v>-3.122620000000001E-2</v>
      </c>
    </row>
    <row r="84" spans="1:8" ht="24" hidden="1">
      <c r="B84" s="157" t="s">
        <v>188</v>
      </c>
      <c r="C84" s="158" t="s">
        <v>320</v>
      </c>
      <c r="D84" s="156" t="s">
        <v>321</v>
      </c>
      <c r="E84" s="246">
        <v>0.72889458899999993</v>
      </c>
      <c r="F84" s="246">
        <v>0.72889458899999993</v>
      </c>
      <c r="G84" s="246">
        <f t="shared" si="2"/>
        <v>0</v>
      </c>
    </row>
    <row r="85" spans="1:8" ht="115.2">
      <c r="A85" s="115" t="s">
        <v>542</v>
      </c>
      <c r="B85" s="157" t="s">
        <v>188</v>
      </c>
      <c r="C85" s="158" t="s">
        <v>322</v>
      </c>
      <c r="D85" s="156" t="s">
        <v>323</v>
      </c>
      <c r="E85" s="246">
        <v>4.5</v>
      </c>
      <c r="F85" s="246">
        <v>4.5</v>
      </c>
      <c r="G85" s="246">
        <f t="shared" si="2"/>
        <v>0</v>
      </c>
      <c r="H85" s="235">
        <f>F85*70%</f>
        <v>3.15</v>
      </c>
    </row>
    <row r="86" spans="1:8" ht="24">
      <c r="A86" s="247" t="s">
        <v>541</v>
      </c>
      <c r="B86" s="157" t="s">
        <v>188</v>
      </c>
      <c r="C86" s="158" t="s">
        <v>324</v>
      </c>
      <c r="D86" s="156" t="s">
        <v>190</v>
      </c>
      <c r="E86" s="246">
        <v>5.6918976909999994</v>
      </c>
      <c r="F86" s="246">
        <v>5.6918976909999994</v>
      </c>
      <c r="G86" s="246">
        <f t="shared" si="2"/>
        <v>0</v>
      </c>
      <c r="H86" s="235">
        <f>F86*70%</f>
        <v>3.9843283836999994</v>
      </c>
    </row>
    <row r="87" spans="1:8" ht="24" hidden="1">
      <c r="B87" s="157" t="s">
        <v>188</v>
      </c>
      <c r="C87" s="158" t="s">
        <v>325</v>
      </c>
      <c r="D87" s="156" t="s">
        <v>190</v>
      </c>
      <c r="E87" s="246">
        <v>1.225947388</v>
      </c>
      <c r="F87" s="246">
        <v>1.225947388</v>
      </c>
      <c r="G87" s="246">
        <f t="shared" si="2"/>
        <v>0</v>
      </c>
    </row>
    <row r="88" spans="1:8" ht="24" hidden="1">
      <c r="B88" s="157" t="s">
        <v>188</v>
      </c>
      <c r="C88" s="158" t="s">
        <v>326</v>
      </c>
      <c r="D88" s="156" t="s">
        <v>190</v>
      </c>
      <c r="E88" s="246">
        <v>0</v>
      </c>
      <c r="F88" s="246">
        <v>0</v>
      </c>
      <c r="G88" s="246">
        <f t="shared" si="2"/>
        <v>0</v>
      </c>
    </row>
    <row r="89" spans="1:8" ht="24" hidden="1">
      <c r="B89" s="157" t="s">
        <v>188</v>
      </c>
      <c r="C89" s="158" t="s">
        <v>327</v>
      </c>
      <c r="D89" s="156" t="s">
        <v>190</v>
      </c>
      <c r="E89" s="246">
        <v>1.5848475369999999</v>
      </c>
      <c r="F89" s="246">
        <v>1.5848475369999999</v>
      </c>
      <c r="G89" s="246">
        <f t="shared" si="2"/>
        <v>0</v>
      </c>
    </row>
    <row r="90" spans="1:8" ht="24" hidden="1">
      <c r="B90" s="157" t="s">
        <v>194</v>
      </c>
      <c r="C90" s="158" t="s">
        <v>328</v>
      </c>
      <c r="D90" s="156" t="s">
        <v>199</v>
      </c>
      <c r="E90" s="246">
        <v>0</v>
      </c>
      <c r="F90" s="246">
        <v>0</v>
      </c>
      <c r="G90" s="246">
        <f t="shared" si="2"/>
        <v>0</v>
      </c>
    </row>
    <row r="91" spans="1:8" ht="24" hidden="1">
      <c r="B91" s="157" t="s">
        <v>194</v>
      </c>
      <c r="C91" s="158" t="s">
        <v>329</v>
      </c>
      <c r="D91" s="156" t="s">
        <v>330</v>
      </c>
      <c r="E91" s="246">
        <v>0</v>
      </c>
      <c r="F91" s="246">
        <v>0</v>
      </c>
      <c r="G91" s="246">
        <f t="shared" si="2"/>
        <v>0</v>
      </c>
    </row>
    <row r="92" spans="1:8" ht="60" hidden="1">
      <c r="B92" s="157" t="s">
        <v>194</v>
      </c>
      <c r="C92" s="158" t="s">
        <v>331</v>
      </c>
      <c r="D92" s="156" t="s">
        <v>332</v>
      </c>
      <c r="E92" s="246">
        <v>0</v>
      </c>
      <c r="F92" s="246">
        <v>0</v>
      </c>
      <c r="G92" s="246">
        <f t="shared" si="2"/>
        <v>0</v>
      </c>
    </row>
    <row r="93" spans="1:8" hidden="1">
      <c r="B93" s="157" t="s">
        <v>194</v>
      </c>
      <c r="C93" s="158" t="s">
        <v>333</v>
      </c>
      <c r="D93" s="156" t="s">
        <v>334</v>
      </c>
      <c r="E93" s="246">
        <v>0</v>
      </c>
      <c r="F93" s="246">
        <v>0</v>
      </c>
      <c r="G93" s="246">
        <f t="shared" si="2"/>
        <v>0</v>
      </c>
    </row>
    <row r="94" spans="1:8" hidden="1">
      <c r="B94" s="157" t="s">
        <v>194</v>
      </c>
      <c r="C94" s="158" t="s">
        <v>335</v>
      </c>
      <c r="D94" s="156" t="s">
        <v>334</v>
      </c>
      <c r="E94" s="246">
        <v>0</v>
      </c>
      <c r="F94" s="246">
        <v>0</v>
      </c>
      <c r="G94" s="246">
        <f t="shared" si="2"/>
        <v>0</v>
      </c>
    </row>
    <row r="95" spans="1:8" hidden="1">
      <c r="B95" s="157" t="s">
        <v>194</v>
      </c>
      <c r="C95" s="158" t="s">
        <v>336</v>
      </c>
      <c r="D95" s="156" t="s">
        <v>334</v>
      </c>
      <c r="E95" s="246">
        <v>0</v>
      </c>
      <c r="F95" s="246">
        <v>0</v>
      </c>
      <c r="G95" s="246">
        <f t="shared" si="2"/>
        <v>0</v>
      </c>
    </row>
    <row r="96" spans="1:8" hidden="1">
      <c r="B96" s="157" t="s">
        <v>194</v>
      </c>
      <c r="C96" s="158" t="s">
        <v>337</v>
      </c>
      <c r="D96" s="156" t="s">
        <v>334</v>
      </c>
      <c r="E96" s="246">
        <v>0</v>
      </c>
      <c r="F96" s="246">
        <v>0</v>
      </c>
      <c r="G96" s="246">
        <f t="shared" si="2"/>
        <v>0</v>
      </c>
    </row>
    <row r="97" spans="2:7" hidden="1">
      <c r="B97" s="157" t="s">
        <v>194</v>
      </c>
      <c r="C97" s="158" t="s">
        <v>338</v>
      </c>
      <c r="D97" s="156" t="s">
        <v>334</v>
      </c>
      <c r="E97" s="246">
        <v>0</v>
      </c>
      <c r="F97" s="246">
        <v>0</v>
      </c>
      <c r="G97" s="246">
        <f t="shared" si="2"/>
        <v>0</v>
      </c>
    </row>
    <row r="98" spans="2:7" hidden="1">
      <c r="B98" s="157" t="s">
        <v>194</v>
      </c>
      <c r="C98" s="158" t="s">
        <v>339</v>
      </c>
      <c r="D98" s="156" t="s">
        <v>334</v>
      </c>
      <c r="E98" s="246">
        <v>0</v>
      </c>
      <c r="F98" s="246">
        <v>0</v>
      </c>
      <c r="G98" s="246">
        <f t="shared" si="2"/>
        <v>0</v>
      </c>
    </row>
    <row r="99" spans="2:7" hidden="1">
      <c r="B99" s="157" t="s">
        <v>194</v>
      </c>
      <c r="C99" s="158" t="s">
        <v>340</v>
      </c>
      <c r="D99" s="156" t="s">
        <v>334</v>
      </c>
      <c r="E99" s="246">
        <v>0</v>
      </c>
      <c r="F99" s="246">
        <v>0</v>
      </c>
      <c r="G99" s="246">
        <f t="shared" si="2"/>
        <v>0</v>
      </c>
    </row>
    <row r="100" spans="2:7" hidden="1">
      <c r="B100" s="157" t="s">
        <v>194</v>
      </c>
      <c r="C100" s="158" t="s">
        <v>341</v>
      </c>
      <c r="D100" s="156" t="s">
        <v>334</v>
      </c>
      <c r="E100" s="246">
        <v>0</v>
      </c>
      <c r="F100" s="246">
        <v>0</v>
      </c>
      <c r="G100" s="246">
        <f t="shared" si="2"/>
        <v>0</v>
      </c>
    </row>
    <row r="101" spans="2:7" hidden="1">
      <c r="B101" s="157" t="s">
        <v>194</v>
      </c>
      <c r="C101" s="158" t="s">
        <v>342</v>
      </c>
      <c r="D101" s="156" t="s">
        <v>334</v>
      </c>
      <c r="E101" s="246">
        <v>0</v>
      </c>
      <c r="F101" s="246">
        <v>0</v>
      </c>
      <c r="G101" s="246">
        <f t="shared" ref="G101:G132" si="3">E101-F101</f>
        <v>0</v>
      </c>
    </row>
    <row r="102" spans="2:7" hidden="1">
      <c r="B102" s="157" t="s">
        <v>194</v>
      </c>
      <c r="C102" s="158" t="s">
        <v>343</v>
      </c>
      <c r="D102" s="156" t="s">
        <v>334</v>
      </c>
      <c r="E102" s="246">
        <v>0</v>
      </c>
      <c r="F102" s="246">
        <v>0</v>
      </c>
      <c r="G102" s="246">
        <f t="shared" si="3"/>
        <v>0</v>
      </c>
    </row>
    <row r="103" spans="2:7" hidden="1">
      <c r="B103" s="157" t="s">
        <v>194</v>
      </c>
      <c r="C103" s="158" t="s">
        <v>344</v>
      </c>
      <c r="D103" s="156" t="s">
        <v>334</v>
      </c>
      <c r="E103" s="246">
        <v>0</v>
      </c>
      <c r="F103" s="246">
        <v>0</v>
      </c>
      <c r="G103" s="246">
        <f t="shared" si="3"/>
        <v>0</v>
      </c>
    </row>
    <row r="104" spans="2:7" hidden="1">
      <c r="B104" s="157" t="s">
        <v>194</v>
      </c>
      <c r="C104" s="158" t="s">
        <v>345</v>
      </c>
      <c r="D104" s="156" t="s">
        <v>334</v>
      </c>
      <c r="E104" s="246">
        <v>0</v>
      </c>
      <c r="F104" s="246">
        <v>0</v>
      </c>
      <c r="G104" s="246">
        <f t="shared" si="3"/>
        <v>0</v>
      </c>
    </row>
    <row r="105" spans="2:7" hidden="1">
      <c r="B105" s="157" t="s">
        <v>194</v>
      </c>
      <c r="C105" s="158" t="s">
        <v>346</v>
      </c>
      <c r="D105" s="156" t="s">
        <v>334</v>
      </c>
      <c r="E105" s="246">
        <v>0</v>
      </c>
      <c r="F105" s="246">
        <v>0</v>
      </c>
      <c r="G105" s="246">
        <f t="shared" si="3"/>
        <v>0</v>
      </c>
    </row>
    <row r="106" spans="2:7" hidden="1">
      <c r="B106" s="157" t="s">
        <v>194</v>
      </c>
      <c r="C106" s="158" t="s">
        <v>347</v>
      </c>
      <c r="D106" s="156" t="s">
        <v>334</v>
      </c>
      <c r="E106" s="246">
        <v>0</v>
      </c>
      <c r="F106" s="246">
        <v>0</v>
      </c>
      <c r="G106" s="246">
        <f t="shared" si="3"/>
        <v>0</v>
      </c>
    </row>
    <row r="107" spans="2:7" hidden="1">
      <c r="B107" s="157" t="s">
        <v>194</v>
      </c>
      <c r="C107" s="158" t="s">
        <v>348</v>
      </c>
      <c r="D107" s="156" t="s">
        <v>334</v>
      </c>
      <c r="E107" s="246">
        <v>0</v>
      </c>
      <c r="F107" s="246">
        <v>0</v>
      </c>
      <c r="G107" s="246">
        <f t="shared" si="3"/>
        <v>0</v>
      </c>
    </row>
    <row r="108" spans="2:7" hidden="1">
      <c r="B108" s="157" t="s">
        <v>194</v>
      </c>
      <c r="C108" s="158" t="s">
        <v>349</v>
      </c>
      <c r="D108" s="156" t="s">
        <v>334</v>
      </c>
      <c r="E108" s="246">
        <v>0</v>
      </c>
      <c r="F108" s="246">
        <v>0</v>
      </c>
      <c r="G108" s="246">
        <f t="shared" si="3"/>
        <v>0</v>
      </c>
    </row>
    <row r="109" spans="2:7" hidden="1">
      <c r="B109" s="157" t="s">
        <v>194</v>
      </c>
      <c r="C109" s="158" t="s">
        <v>350</v>
      </c>
      <c r="D109" s="156" t="s">
        <v>334</v>
      </c>
      <c r="E109" s="246">
        <v>0</v>
      </c>
      <c r="F109" s="246">
        <v>0</v>
      </c>
      <c r="G109" s="246">
        <f t="shared" si="3"/>
        <v>0</v>
      </c>
    </row>
    <row r="110" spans="2:7" hidden="1">
      <c r="B110" s="157" t="s">
        <v>194</v>
      </c>
      <c r="C110" s="158" t="s">
        <v>351</v>
      </c>
      <c r="D110" s="156" t="s">
        <v>334</v>
      </c>
      <c r="E110" s="246">
        <v>0</v>
      </c>
      <c r="F110" s="246">
        <v>0</v>
      </c>
      <c r="G110" s="246">
        <f t="shared" si="3"/>
        <v>0</v>
      </c>
    </row>
    <row r="111" spans="2:7" hidden="1">
      <c r="B111" s="157" t="s">
        <v>194</v>
      </c>
      <c r="C111" s="158" t="s">
        <v>352</v>
      </c>
      <c r="D111" s="156" t="s">
        <v>334</v>
      </c>
      <c r="E111" s="246">
        <v>0</v>
      </c>
      <c r="F111" s="246">
        <v>0</v>
      </c>
      <c r="G111" s="246">
        <f t="shared" si="3"/>
        <v>0</v>
      </c>
    </row>
    <row r="112" spans="2:7" hidden="1">
      <c r="B112" s="157" t="s">
        <v>194</v>
      </c>
      <c r="C112" s="158" t="s">
        <v>353</v>
      </c>
      <c r="D112" s="156" t="s">
        <v>334</v>
      </c>
      <c r="E112" s="246">
        <v>0</v>
      </c>
      <c r="F112" s="246">
        <v>0</v>
      </c>
      <c r="G112" s="246">
        <f t="shared" si="3"/>
        <v>0</v>
      </c>
    </row>
    <row r="113" spans="2:7" hidden="1">
      <c r="B113" s="157" t="s">
        <v>194</v>
      </c>
      <c r="C113" s="158" t="s">
        <v>354</v>
      </c>
      <c r="D113" s="156" t="s">
        <v>334</v>
      </c>
      <c r="E113" s="246">
        <v>0</v>
      </c>
      <c r="F113" s="246">
        <v>0</v>
      </c>
      <c r="G113" s="246">
        <f t="shared" si="3"/>
        <v>0</v>
      </c>
    </row>
    <row r="114" spans="2:7" hidden="1">
      <c r="B114" s="157" t="s">
        <v>194</v>
      </c>
      <c r="C114" s="158" t="s">
        <v>355</v>
      </c>
      <c r="D114" s="156" t="s">
        <v>334</v>
      </c>
      <c r="E114" s="246">
        <v>0</v>
      </c>
      <c r="F114" s="246">
        <v>0</v>
      </c>
      <c r="G114" s="246">
        <f t="shared" si="3"/>
        <v>0</v>
      </c>
    </row>
    <row r="115" spans="2:7" hidden="1">
      <c r="B115" s="157" t="s">
        <v>194</v>
      </c>
      <c r="C115" s="158" t="s">
        <v>356</v>
      </c>
      <c r="D115" s="156" t="s">
        <v>334</v>
      </c>
      <c r="E115" s="246">
        <v>0</v>
      </c>
      <c r="F115" s="246">
        <v>0</v>
      </c>
      <c r="G115" s="246">
        <f t="shared" si="3"/>
        <v>0</v>
      </c>
    </row>
    <row r="116" spans="2:7" hidden="1">
      <c r="B116" s="157" t="s">
        <v>194</v>
      </c>
      <c r="C116" s="158" t="s">
        <v>357</v>
      </c>
      <c r="D116" s="156" t="s">
        <v>334</v>
      </c>
      <c r="E116" s="246">
        <v>0</v>
      </c>
      <c r="F116" s="246">
        <v>0</v>
      </c>
      <c r="G116" s="246">
        <f t="shared" si="3"/>
        <v>0</v>
      </c>
    </row>
    <row r="117" spans="2:7" hidden="1">
      <c r="B117" s="157" t="s">
        <v>194</v>
      </c>
      <c r="C117" s="158" t="s">
        <v>358</v>
      </c>
      <c r="D117" s="156" t="s">
        <v>334</v>
      </c>
      <c r="E117" s="246">
        <v>0</v>
      </c>
      <c r="F117" s="246">
        <v>0</v>
      </c>
      <c r="G117" s="246">
        <f t="shared" si="3"/>
        <v>0</v>
      </c>
    </row>
    <row r="118" spans="2:7" hidden="1">
      <c r="B118" s="157" t="s">
        <v>194</v>
      </c>
      <c r="C118" s="158" t="s">
        <v>359</v>
      </c>
      <c r="D118" s="156" t="s">
        <v>334</v>
      </c>
      <c r="E118" s="246">
        <v>0</v>
      </c>
      <c r="F118" s="246">
        <v>0</v>
      </c>
      <c r="G118" s="246">
        <f t="shared" si="3"/>
        <v>0</v>
      </c>
    </row>
    <row r="119" spans="2:7" hidden="1">
      <c r="B119" s="157" t="s">
        <v>194</v>
      </c>
      <c r="C119" s="158" t="s">
        <v>360</v>
      </c>
      <c r="D119" s="156" t="s">
        <v>334</v>
      </c>
      <c r="E119" s="246">
        <v>0</v>
      </c>
      <c r="F119" s="246">
        <v>0</v>
      </c>
      <c r="G119" s="246">
        <f t="shared" si="3"/>
        <v>0</v>
      </c>
    </row>
    <row r="120" spans="2:7" ht="60" hidden="1">
      <c r="B120" s="157" t="s">
        <v>232</v>
      </c>
      <c r="C120" s="158" t="s">
        <v>361</v>
      </c>
      <c r="D120" s="156" t="s">
        <v>362</v>
      </c>
      <c r="E120" s="246">
        <v>0</v>
      </c>
      <c r="F120" s="246">
        <v>0</v>
      </c>
      <c r="G120" s="246">
        <f t="shared" si="3"/>
        <v>0</v>
      </c>
    </row>
    <row r="121" spans="2:7" ht="24" hidden="1">
      <c r="B121" s="157" t="s">
        <v>232</v>
      </c>
      <c r="C121" s="158" t="s">
        <v>363</v>
      </c>
      <c r="D121" s="156" t="s">
        <v>364</v>
      </c>
      <c r="E121" s="246">
        <v>0</v>
      </c>
      <c r="F121" s="246">
        <v>0</v>
      </c>
      <c r="G121" s="246">
        <f t="shared" si="3"/>
        <v>0</v>
      </c>
    </row>
    <row r="122" spans="2:7" ht="60" hidden="1">
      <c r="B122" s="157" t="s">
        <v>245</v>
      </c>
      <c r="C122" s="158" t="s">
        <v>245</v>
      </c>
      <c r="D122" s="156" t="s">
        <v>365</v>
      </c>
      <c r="E122" s="246">
        <v>0</v>
      </c>
      <c r="F122" s="246">
        <v>0</v>
      </c>
      <c r="G122" s="246">
        <f t="shared" si="3"/>
        <v>0</v>
      </c>
    </row>
    <row r="123" spans="2:7" ht="48" hidden="1">
      <c r="B123" s="157" t="s">
        <v>245</v>
      </c>
      <c r="C123" s="158" t="s">
        <v>245</v>
      </c>
      <c r="D123" s="156" t="s">
        <v>366</v>
      </c>
      <c r="E123" s="246">
        <v>9.8831137999999985E-2</v>
      </c>
      <c r="F123" s="246">
        <v>9.8831137999999985E-2</v>
      </c>
      <c r="G123" s="246">
        <f t="shared" si="3"/>
        <v>0</v>
      </c>
    </row>
    <row r="124" spans="2:7" ht="60" hidden="1">
      <c r="B124" s="157" t="s">
        <v>245</v>
      </c>
      <c r="C124" s="158" t="s">
        <v>245</v>
      </c>
      <c r="D124" s="156" t="s">
        <v>367</v>
      </c>
      <c r="E124" s="246">
        <v>0.31169970000000002</v>
      </c>
      <c r="F124" s="246">
        <v>0.31169970000000002</v>
      </c>
      <c r="G124" s="246">
        <f t="shared" si="3"/>
        <v>0</v>
      </c>
    </row>
    <row r="125" spans="2:7" ht="36" hidden="1">
      <c r="B125" s="157" t="s">
        <v>245</v>
      </c>
      <c r="C125" s="158" t="s">
        <v>245</v>
      </c>
      <c r="D125" s="156" t="s">
        <v>368</v>
      </c>
      <c r="E125" s="246">
        <v>6.7202799999999993E-2</v>
      </c>
      <c r="F125" s="246">
        <v>6.7202799999999993E-2</v>
      </c>
      <c r="G125" s="246">
        <f t="shared" si="3"/>
        <v>0</v>
      </c>
    </row>
    <row r="126" spans="2:7" ht="36" hidden="1">
      <c r="B126" s="157" t="s">
        <v>369</v>
      </c>
      <c r="C126" s="158" t="s">
        <v>245</v>
      </c>
      <c r="D126" s="156" t="s">
        <v>370</v>
      </c>
      <c r="E126" s="246">
        <v>0.398729</v>
      </c>
      <c r="F126" s="246">
        <v>0.398729</v>
      </c>
      <c r="G126" s="246">
        <f t="shared" si="3"/>
        <v>0</v>
      </c>
    </row>
    <row r="127" spans="2:7" ht="24" hidden="1">
      <c r="B127" s="157" t="s">
        <v>245</v>
      </c>
      <c r="C127" s="158" t="s">
        <v>245</v>
      </c>
      <c r="D127" s="156" t="s">
        <v>371</v>
      </c>
      <c r="E127" s="246">
        <v>3.5723499999999998E-2</v>
      </c>
      <c r="F127" s="246">
        <v>3.5723499999999998E-2</v>
      </c>
      <c r="G127" s="246">
        <f t="shared" si="3"/>
        <v>0</v>
      </c>
    </row>
    <row r="128" spans="2:7" ht="48" hidden="1">
      <c r="B128" s="157" t="s">
        <v>245</v>
      </c>
      <c r="C128" s="158" t="s">
        <v>245</v>
      </c>
      <c r="D128" s="156" t="s">
        <v>372</v>
      </c>
      <c r="E128" s="246">
        <v>1.4745899999999999E-2</v>
      </c>
      <c r="F128" s="246">
        <v>1.4745899999999999E-2</v>
      </c>
      <c r="G128" s="246">
        <f t="shared" si="3"/>
        <v>0</v>
      </c>
    </row>
    <row r="129" spans="2:7" ht="36" hidden="1">
      <c r="B129" s="157" t="s">
        <v>245</v>
      </c>
      <c r="C129" s="158" t="s">
        <v>245</v>
      </c>
      <c r="D129" s="156" t="s">
        <v>373</v>
      </c>
      <c r="E129" s="246">
        <v>1.2774499999999999E-2</v>
      </c>
      <c r="F129" s="246">
        <v>1.2774499999999999E-2</v>
      </c>
      <c r="G129" s="246">
        <f t="shared" si="3"/>
        <v>0</v>
      </c>
    </row>
    <row r="130" spans="2:7" ht="36" hidden="1">
      <c r="B130" s="157" t="s">
        <v>245</v>
      </c>
      <c r="C130" s="158" t="s">
        <v>245</v>
      </c>
      <c r="D130" s="156" t="s">
        <v>374</v>
      </c>
      <c r="E130" s="246">
        <v>1.65281E-2</v>
      </c>
      <c r="F130" s="246">
        <v>1.65281E-2</v>
      </c>
      <c r="G130" s="246">
        <f t="shared" si="3"/>
        <v>0</v>
      </c>
    </row>
    <row r="131" spans="2:7" ht="36" hidden="1">
      <c r="B131" s="157" t="s">
        <v>245</v>
      </c>
      <c r="C131" s="158" t="s">
        <v>245</v>
      </c>
      <c r="D131" s="156" t="s">
        <v>375</v>
      </c>
      <c r="E131" s="246">
        <v>6.3699999999999998E-3</v>
      </c>
      <c r="F131" s="246">
        <v>6.3699999999999998E-3</v>
      </c>
      <c r="G131" s="246">
        <f t="shared" si="3"/>
        <v>0</v>
      </c>
    </row>
    <row r="132" spans="2:7" ht="36" hidden="1">
      <c r="B132" s="157" t="s">
        <v>245</v>
      </c>
      <c r="C132" s="158" t="s">
        <v>245</v>
      </c>
      <c r="D132" s="156" t="s">
        <v>376</v>
      </c>
      <c r="E132" s="246">
        <v>0.65155700000000005</v>
      </c>
      <c r="F132" s="246">
        <v>0.65155700000000005</v>
      </c>
      <c r="G132" s="246">
        <f t="shared" si="3"/>
        <v>0</v>
      </c>
    </row>
    <row r="133" spans="2:7" ht="24" hidden="1">
      <c r="B133" s="157" t="s">
        <v>245</v>
      </c>
      <c r="C133" s="158" t="s">
        <v>245</v>
      </c>
      <c r="D133" s="156" t="s">
        <v>377</v>
      </c>
      <c r="E133" s="246">
        <v>0.25609470000000001</v>
      </c>
      <c r="F133" s="246">
        <v>0.25609470000000001</v>
      </c>
      <c r="G133" s="246">
        <f t="shared" ref="G133:G164" si="4">E133-F133</f>
        <v>0</v>
      </c>
    </row>
    <row r="134" spans="2:7" ht="48" hidden="1">
      <c r="B134" s="157" t="s">
        <v>245</v>
      </c>
      <c r="C134" s="158" t="s">
        <v>245</v>
      </c>
      <c r="D134" s="156" t="s">
        <v>378</v>
      </c>
      <c r="E134" s="246">
        <v>8.9845800000000003E-2</v>
      </c>
      <c r="F134" s="246">
        <v>8.9845800000000003E-2</v>
      </c>
      <c r="G134" s="246">
        <f t="shared" si="4"/>
        <v>0</v>
      </c>
    </row>
    <row r="135" spans="2:7" ht="72" hidden="1">
      <c r="B135" s="157" t="s">
        <v>245</v>
      </c>
      <c r="C135" s="158" t="s">
        <v>245</v>
      </c>
      <c r="D135" s="156" t="s">
        <v>379</v>
      </c>
      <c r="E135" s="246">
        <v>8.9403200000000002E-2</v>
      </c>
      <c r="F135" s="246">
        <v>8.9403200000000002E-2</v>
      </c>
      <c r="G135" s="246">
        <f t="shared" si="4"/>
        <v>0</v>
      </c>
    </row>
    <row r="136" spans="2:7" ht="24" hidden="1">
      <c r="B136" s="157" t="s">
        <v>245</v>
      </c>
      <c r="C136" s="158" t="s">
        <v>245</v>
      </c>
      <c r="D136" s="156" t="s">
        <v>380</v>
      </c>
      <c r="E136" s="246">
        <v>6.8242300000000006E-2</v>
      </c>
      <c r="F136" s="246">
        <v>6.8242300000000006E-2</v>
      </c>
      <c r="G136" s="246">
        <f t="shared" si="4"/>
        <v>0</v>
      </c>
    </row>
    <row r="137" spans="2:7" ht="48" hidden="1">
      <c r="B137" s="157" t="s">
        <v>245</v>
      </c>
      <c r="C137" s="158" t="s">
        <v>245</v>
      </c>
      <c r="D137" s="156" t="s">
        <v>381</v>
      </c>
      <c r="E137" s="246">
        <v>4.2346700000000001E-2</v>
      </c>
      <c r="F137" s="246">
        <v>4.2346700000000001E-2</v>
      </c>
      <c r="G137" s="246">
        <f t="shared" si="4"/>
        <v>0</v>
      </c>
    </row>
    <row r="138" spans="2:7" ht="36" hidden="1">
      <c r="B138" s="157" t="s">
        <v>245</v>
      </c>
      <c r="C138" s="158" t="s">
        <v>245</v>
      </c>
      <c r="D138" s="156" t="s">
        <v>382</v>
      </c>
      <c r="E138" s="246">
        <v>3.07137E-2</v>
      </c>
      <c r="F138" s="246">
        <v>3.07137E-2</v>
      </c>
      <c r="G138" s="246">
        <f t="shared" si="4"/>
        <v>0</v>
      </c>
    </row>
    <row r="139" spans="2:7" ht="60" hidden="1">
      <c r="B139" s="157" t="s">
        <v>245</v>
      </c>
      <c r="C139" s="158" t="s">
        <v>245</v>
      </c>
      <c r="D139" s="156" t="s">
        <v>383</v>
      </c>
      <c r="E139" s="246">
        <v>0</v>
      </c>
      <c r="F139" s="246">
        <v>0</v>
      </c>
      <c r="G139" s="246">
        <f t="shared" si="4"/>
        <v>0</v>
      </c>
    </row>
    <row r="140" spans="2:7" ht="48" hidden="1">
      <c r="B140" s="157" t="s">
        <v>245</v>
      </c>
      <c r="C140" s="158" t="s">
        <v>245</v>
      </c>
      <c r="D140" s="156" t="s">
        <v>384</v>
      </c>
      <c r="E140" s="246">
        <v>2.6562000000000001E-3</v>
      </c>
      <c r="F140" s="246">
        <v>2.6562000000000001E-3</v>
      </c>
      <c r="G140" s="246">
        <f t="shared" si="4"/>
        <v>0</v>
      </c>
    </row>
    <row r="141" spans="2:7" ht="36" hidden="1">
      <c r="B141" s="157" t="s">
        <v>245</v>
      </c>
      <c r="C141" s="158" t="s">
        <v>245</v>
      </c>
      <c r="D141" s="156" t="s">
        <v>385</v>
      </c>
      <c r="E141" s="246">
        <v>1.5549109000000001</v>
      </c>
      <c r="F141" s="246">
        <v>1.5549109000000001</v>
      </c>
      <c r="G141" s="246">
        <f t="shared" si="4"/>
        <v>0</v>
      </c>
    </row>
    <row r="142" spans="2:7" ht="60" hidden="1">
      <c r="B142" s="157" t="s">
        <v>245</v>
      </c>
      <c r="C142" s="158" t="s">
        <v>245</v>
      </c>
      <c r="D142" s="156" t="s">
        <v>386</v>
      </c>
      <c r="E142" s="246">
        <v>4.3647E-3</v>
      </c>
      <c r="F142" s="246">
        <v>4.3647E-3</v>
      </c>
      <c r="G142" s="246">
        <f t="shared" si="4"/>
        <v>0</v>
      </c>
    </row>
    <row r="143" spans="2:7" ht="60" hidden="1">
      <c r="B143" s="157" t="s">
        <v>245</v>
      </c>
      <c r="C143" s="158" t="s">
        <v>245</v>
      </c>
      <c r="D143" s="156" t="s">
        <v>387</v>
      </c>
      <c r="E143" s="246">
        <v>0.12776399999999999</v>
      </c>
      <c r="F143" s="246">
        <v>0.12776399999999999</v>
      </c>
      <c r="G143" s="246">
        <f t="shared" si="4"/>
        <v>0</v>
      </c>
    </row>
    <row r="144" spans="2:7" ht="36" hidden="1">
      <c r="B144" s="157" t="s">
        <v>245</v>
      </c>
      <c r="C144" s="158" t="s">
        <v>245</v>
      </c>
      <c r="D144" s="156" t="s">
        <v>388</v>
      </c>
      <c r="E144" s="246">
        <v>5.7997699999999999E-2</v>
      </c>
      <c r="F144" s="246">
        <v>5.7997699999999999E-2</v>
      </c>
      <c r="G144" s="246">
        <f t="shared" si="4"/>
        <v>0</v>
      </c>
    </row>
    <row r="145" spans="1:8" ht="60">
      <c r="A145" t="s">
        <v>540</v>
      </c>
      <c r="B145" s="157" t="s">
        <v>253</v>
      </c>
      <c r="C145" s="158" t="s">
        <v>389</v>
      </c>
      <c r="D145" s="156" t="s">
        <v>259</v>
      </c>
      <c r="E145" s="246">
        <v>24.887383712000002</v>
      </c>
      <c r="F145" s="246">
        <v>24.887383712000002</v>
      </c>
      <c r="G145" s="246">
        <f t="shared" si="4"/>
        <v>0</v>
      </c>
      <c r="H145" s="235">
        <f>F145</f>
        <v>24.887383712000002</v>
      </c>
    </row>
    <row r="146" spans="1:8" ht="60">
      <c r="A146" t="s">
        <v>539</v>
      </c>
      <c r="B146" s="157" t="s">
        <v>253</v>
      </c>
      <c r="C146" s="158" t="s">
        <v>390</v>
      </c>
      <c r="D146" s="156" t="s">
        <v>267</v>
      </c>
      <c r="E146" s="246">
        <v>40.341070289999998</v>
      </c>
      <c r="F146" s="246">
        <v>40.341070289999998</v>
      </c>
      <c r="G146" s="246">
        <f t="shared" si="4"/>
        <v>0</v>
      </c>
      <c r="H146" s="235">
        <f>F146*40%</f>
        <v>16.136428116000001</v>
      </c>
    </row>
    <row r="147" spans="1:8" hidden="1">
      <c r="B147" s="157" t="s">
        <v>253</v>
      </c>
      <c r="C147" s="158" t="s">
        <v>391</v>
      </c>
      <c r="D147" s="156" t="s">
        <v>392</v>
      </c>
      <c r="E147" s="246">
        <v>0</v>
      </c>
      <c r="F147" s="246">
        <v>0</v>
      </c>
      <c r="G147" s="246">
        <f t="shared" si="4"/>
        <v>0</v>
      </c>
    </row>
    <row r="148" spans="1:8" ht="60">
      <c r="A148" t="s">
        <v>539</v>
      </c>
      <c r="B148" s="157" t="s">
        <v>253</v>
      </c>
      <c r="C148" s="158" t="s">
        <v>393</v>
      </c>
      <c r="D148" s="156" t="s">
        <v>267</v>
      </c>
      <c r="E148" s="246">
        <v>10.019612845999999</v>
      </c>
      <c r="F148" s="246">
        <v>10.019612845999999</v>
      </c>
      <c r="G148" s="246">
        <f t="shared" si="4"/>
        <v>0</v>
      </c>
      <c r="H148" s="235">
        <f>F148*40%</f>
        <v>4.0078451383999996</v>
      </c>
    </row>
    <row r="149" spans="1:8" ht="36" hidden="1">
      <c r="B149" s="157" t="s">
        <v>253</v>
      </c>
      <c r="C149" s="158" t="s">
        <v>394</v>
      </c>
      <c r="D149" s="156" t="s">
        <v>395</v>
      </c>
      <c r="E149" s="246">
        <v>1.42</v>
      </c>
      <c r="F149" s="246">
        <v>1.42</v>
      </c>
      <c r="G149" s="246">
        <f t="shared" si="4"/>
        <v>0</v>
      </c>
    </row>
    <row r="150" spans="1:8" ht="48" hidden="1">
      <c r="B150" s="157" t="s">
        <v>253</v>
      </c>
      <c r="C150" s="158" t="s">
        <v>396</v>
      </c>
      <c r="D150" s="156" t="s">
        <v>397</v>
      </c>
      <c r="E150" s="246">
        <v>0</v>
      </c>
      <c r="F150" s="246">
        <v>0</v>
      </c>
      <c r="G150" s="246">
        <f t="shared" si="4"/>
        <v>0</v>
      </c>
    </row>
    <row r="151" spans="1:8" ht="36">
      <c r="A151" t="s">
        <v>538</v>
      </c>
      <c r="B151" s="157" t="s">
        <v>271</v>
      </c>
      <c r="C151" s="158" t="s">
        <v>398</v>
      </c>
      <c r="D151" s="156" t="s">
        <v>399</v>
      </c>
      <c r="E151" s="246">
        <v>2.8041730460000003</v>
      </c>
      <c r="F151" s="246">
        <v>2.8041730460000003</v>
      </c>
      <c r="G151" s="246">
        <f t="shared" si="4"/>
        <v>0</v>
      </c>
      <c r="H151" s="235">
        <f>F151</f>
        <v>2.8041730460000003</v>
      </c>
    </row>
    <row r="152" spans="1:8" ht="24" hidden="1">
      <c r="B152" s="157" t="s">
        <v>271</v>
      </c>
      <c r="C152" s="158" t="s">
        <v>400</v>
      </c>
      <c r="D152" s="156" t="s">
        <v>401</v>
      </c>
      <c r="E152" s="246">
        <v>5.8063499999999997E-2</v>
      </c>
      <c r="F152" s="246">
        <v>5.8063499999999997E-2</v>
      </c>
      <c r="G152" s="246">
        <f t="shared" si="4"/>
        <v>0</v>
      </c>
    </row>
    <row r="153" spans="1:8" ht="72" hidden="1">
      <c r="B153" s="157" t="s">
        <v>271</v>
      </c>
      <c r="C153" s="158" t="s">
        <v>402</v>
      </c>
      <c r="D153" s="156" t="s">
        <v>403</v>
      </c>
      <c r="E153" s="246">
        <v>0.10636449199999999</v>
      </c>
      <c r="F153" s="246">
        <v>0.10636449199999999</v>
      </c>
      <c r="G153" s="246">
        <f t="shared" si="4"/>
        <v>0</v>
      </c>
    </row>
    <row r="154" spans="1:8" hidden="1">
      <c r="B154" s="157" t="s">
        <v>271</v>
      </c>
      <c r="C154" s="158" t="s">
        <v>404</v>
      </c>
      <c r="D154" s="156" t="s">
        <v>405</v>
      </c>
      <c r="E154" s="246">
        <v>0</v>
      </c>
      <c r="F154" s="246">
        <v>0</v>
      </c>
      <c r="G154" s="246">
        <f t="shared" si="4"/>
        <v>0</v>
      </c>
    </row>
    <row r="155" spans="1:8" ht="36" hidden="1">
      <c r="B155" s="157" t="s">
        <v>271</v>
      </c>
      <c r="C155" s="158" t="s">
        <v>406</v>
      </c>
      <c r="D155" s="156" t="s">
        <v>407</v>
      </c>
      <c r="E155" s="246">
        <v>1.2234500000000001E-2</v>
      </c>
      <c r="F155" s="246">
        <v>1.2234500000000001E-2</v>
      </c>
      <c r="G155" s="246">
        <f t="shared" si="4"/>
        <v>0</v>
      </c>
    </row>
    <row r="156" spans="1:8" ht="24" hidden="1">
      <c r="B156" s="157" t="s">
        <v>271</v>
      </c>
      <c r="C156" s="158" t="s">
        <v>408</v>
      </c>
      <c r="D156" s="156" t="s">
        <v>401</v>
      </c>
      <c r="E156" s="246">
        <v>0</v>
      </c>
      <c r="F156" s="246">
        <v>0</v>
      </c>
      <c r="G156" s="246">
        <f t="shared" si="4"/>
        <v>0</v>
      </c>
    </row>
    <row r="157" spans="1:8" ht="24" hidden="1">
      <c r="B157" s="157" t="s">
        <v>271</v>
      </c>
      <c r="C157" s="158" t="s">
        <v>409</v>
      </c>
      <c r="D157" s="156" t="s">
        <v>410</v>
      </c>
      <c r="E157" s="246">
        <v>1.2990276999999999</v>
      </c>
      <c r="F157" s="246">
        <v>1.2990276999999999</v>
      </c>
      <c r="G157" s="246">
        <f t="shared" si="4"/>
        <v>0</v>
      </c>
    </row>
    <row r="158" spans="1:8" ht="72" hidden="1">
      <c r="B158" s="157" t="s">
        <v>271</v>
      </c>
      <c r="C158" s="158" t="s">
        <v>411</v>
      </c>
      <c r="D158" s="156" t="s">
        <v>412</v>
      </c>
      <c r="E158" s="246">
        <v>6.08502E-2</v>
      </c>
      <c r="F158" s="246">
        <v>6.08502E-2</v>
      </c>
      <c r="G158" s="246">
        <f t="shared" si="4"/>
        <v>0</v>
      </c>
    </row>
    <row r="159" spans="1:8" hidden="1">
      <c r="B159" s="157" t="s">
        <v>271</v>
      </c>
      <c r="C159" s="158" t="s">
        <v>413</v>
      </c>
      <c r="D159" s="156">
        <v>0</v>
      </c>
      <c r="E159" s="246">
        <v>0</v>
      </c>
      <c r="F159" s="246">
        <v>0</v>
      </c>
      <c r="G159" s="246">
        <f t="shared" si="4"/>
        <v>0</v>
      </c>
    </row>
    <row r="160" spans="1:8" hidden="1">
      <c r="B160" s="157" t="s">
        <v>271</v>
      </c>
      <c r="C160" s="158" t="s">
        <v>414</v>
      </c>
      <c r="D160" s="156">
        <v>0</v>
      </c>
      <c r="E160" s="246">
        <v>0.1681049</v>
      </c>
      <c r="F160" s="246">
        <v>0.1681049</v>
      </c>
      <c r="G160" s="246">
        <f t="shared" si="4"/>
        <v>0</v>
      </c>
    </row>
    <row r="161" spans="2:8" hidden="1">
      <c r="B161" s="157" t="s">
        <v>271</v>
      </c>
      <c r="C161" s="158" t="s">
        <v>289</v>
      </c>
      <c r="D161" s="156">
        <v>0</v>
      </c>
      <c r="E161" s="246">
        <v>3.8999999999999998E-8</v>
      </c>
      <c r="F161" s="246">
        <v>0</v>
      </c>
      <c r="G161" s="246">
        <f t="shared" si="4"/>
        <v>3.8999999999999998E-8</v>
      </c>
    </row>
    <row r="162" spans="2:8" ht="24">
      <c r="B162" s="157" t="s">
        <v>290</v>
      </c>
      <c r="C162" s="158" t="s">
        <v>415</v>
      </c>
      <c r="D162" s="156" t="s">
        <v>415</v>
      </c>
      <c r="E162" s="246">
        <v>39.451367374</v>
      </c>
      <c r="F162" s="246">
        <v>39.451367374</v>
      </c>
      <c r="G162" s="246">
        <f t="shared" si="4"/>
        <v>0</v>
      </c>
      <c r="H162" s="235">
        <v>0</v>
      </c>
    </row>
    <row r="163" spans="2:8" hidden="1">
      <c r="B163" s="157" t="s">
        <v>290</v>
      </c>
      <c r="C163" s="158" t="s">
        <v>416</v>
      </c>
      <c r="D163" s="156" t="s">
        <v>292</v>
      </c>
      <c r="E163" s="246">
        <v>0</v>
      </c>
      <c r="F163" s="246">
        <v>0</v>
      </c>
      <c r="G163" s="246">
        <f t="shared" si="4"/>
        <v>0</v>
      </c>
    </row>
    <row r="164" spans="2:8" ht="36" hidden="1">
      <c r="B164" s="157" t="s">
        <v>316</v>
      </c>
      <c r="C164" s="158" t="s">
        <v>316</v>
      </c>
      <c r="D164" s="156" t="s">
        <v>417</v>
      </c>
      <c r="E164" s="246">
        <v>0.30449179999999998</v>
      </c>
      <c r="F164" s="246">
        <v>0.30449179999999998</v>
      </c>
      <c r="G164" s="246">
        <f t="shared" si="4"/>
        <v>0</v>
      </c>
    </row>
    <row r="165" spans="2:8" ht="36" hidden="1">
      <c r="B165" s="157" t="s">
        <v>316</v>
      </c>
      <c r="C165" s="158" t="s">
        <v>316</v>
      </c>
      <c r="D165" s="156" t="s">
        <v>418</v>
      </c>
      <c r="E165" s="246">
        <v>1.6350769199999999</v>
      </c>
      <c r="F165" s="246">
        <v>1.6350769199999999</v>
      </c>
      <c r="G165" s="246">
        <f t="shared" ref="G165:G166" si="5">E165-F165</f>
        <v>0</v>
      </c>
    </row>
    <row r="166" spans="2:8" ht="60" hidden="1">
      <c r="B166" s="157" t="s">
        <v>245</v>
      </c>
      <c r="C166" s="158" t="s">
        <v>245</v>
      </c>
      <c r="D166" s="156" t="s">
        <v>419</v>
      </c>
      <c r="E166" s="246">
        <v>4.5373299999999998E-2</v>
      </c>
      <c r="F166" s="246">
        <v>4.5373299999999998E-2</v>
      </c>
      <c r="G166" s="246">
        <f t="shared" si="5"/>
        <v>0</v>
      </c>
    </row>
  </sheetData>
  <autoFilter ref="E2:G166" xr:uid="{00000000-0009-0000-0000-000003000000}">
    <filterColumn colId="1">
      <filters blank="1">
        <filter val="10"/>
        <filter val="11"/>
        <filter val="12"/>
        <filter val="17"/>
        <filter val="20"/>
        <filter val="25"/>
        <filter val="3"/>
        <filter val="39"/>
        <filter val="4"/>
        <filter val="40"/>
        <filter val="5"/>
        <filter val="6"/>
        <filter val="8"/>
        <filter val="9"/>
        <filter val="Total Provisions"/>
      </filters>
    </filterColumn>
  </autoFilter>
  <mergeCells count="4">
    <mergeCell ref="B3:B4"/>
    <mergeCell ref="C3:C4"/>
    <mergeCell ref="D3:D4"/>
    <mergeCell ref="E3:G3"/>
  </mergeCells>
  <conditionalFormatting sqref="A5">
    <cfRule type="duplicateValues" dxfId="1" priority="2"/>
  </conditionalFormatting>
  <conditionalFormatting sqref="A86">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2:V265"/>
  <sheetViews>
    <sheetView topLeftCell="A6" workbookViewId="0">
      <selection activeCell="B11" sqref="B11:K11"/>
    </sheetView>
  </sheetViews>
  <sheetFormatPr defaultRowHeight="14.4"/>
  <cols>
    <col min="1" max="1" width="4.44140625" customWidth="1"/>
    <col min="3" max="3" width="21.33203125" customWidth="1"/>
    <col min="4" max="10" width="14.6640625" customWidth="1"/>
    <col min="11" max="12" width="28.5546875" customWidth="1"/>
    <col min="13" max="13" width="13" customWidth="1"/>
    <col min="14" max="14" width="8.88671875" customWidth="1"/>
    <col min="15" max="15" width="17.109375" customWidth="1"/>
    <col min="27" max="28" width="0" hidden="1" customWidth="1"/>
  </cols>
  <sheetData>
    <row r="2" spans="2:19" ht="15" customHeight="1">
      <c r="B2" s="408" t="s">
        <v>98</v>
      </c>
      <c r="C2" s="408"/>
      <c r="D2" s="408"/>
      <c r="E2" s="408"/>
      <c r="F2" s="408"/>
      <c r="G2" s="408"/>
      <c r="H2" s="408"/>
      <c r="I2" s="408"/>
      <c r="J2" s="408"/>
      <c r="K2" s="408"/>
      <c r="L2" s="350"/>
    </row>
    <row r="3" spans="2:19">
      <c r="B3" s="409" t="s">
        <v>93</v>
      </c>
      <c r="C3" s="409"/>
      <c r="D3" s="409"/>
      <c r="E3" s="409"/>
      <c r="F3" s="409"/>
      <c r="G3" s="409"/>
      <c r="H3" s="409"/>
      <c r="I3" s="409"/>
      <c r="J3" s="409"/>
      <c r="K3" s="409"/>
      <c r="L3" s="351"/>
    </row>
    <row r="4" spans="2:19">
      <c r="B4" s="81"/>
      <c r="C4" s="81"/>
      <c r="D4" s="81"/>
      <c r="E4" s="411" t="s">
        <v>522</v>
      </c>
      <c r="F4" s="411"/>
      <c r="G4" s="411"/>
      <c r="H4" s="411"/>
      <c r="I4" s="411"/>
      <c r="J4" s="411"/>
      <c r="K4" s="81"/>
      <c r="L4" s="351"/>
      <c r="O4">
        <f>I8/D8</f>
        <v>0.71574518454733682</v>
      </c>
    </row>
    <row r="5" spans="2:19" ht="43.2">
      <c r="B5" s="86" t="s">
        <v>0</v>
      </c>
      <c r="C5" s="86" t="s">
        <v>1</v>
      </c>
      <c r="D5" s="37" t="s">
        <v>64</v>
      </c>
      <c r="E5" s="86" t="s">
        <v>556</v>
      </c>
      <c r="F5" s="86" t="s">
        <v>557</v>
      </c>
      <c r="G5" s="86" t="s">
        <v>528</v>
      </c>
      <c r="H5" s="86" t="s">
        <v>661</v>
      </c>
      <c r="I5" s="86" t="s">
        <v>97</v>
      </c>
      <c r="J5" s="86" t="s">
        <v>143</v>
      </c>
      <c r="K5" s="86" t="s">
        <v>22</v>
      </c>
      <c r="L5" s="352"/>
      <c r="O5">
        <f>J8/D8</f>
        <v>0.39755708819755919</v>
      </c>
    </row>
    <row r="6" spans="2:19" ht="14.4" customHeight="1">
      <c r="B6" s="414" t="str">
        <f>'SUMMARY-2023'!B5</f>
        <v>Figures in INR Crores</v>
      </c>
      <c r="C6" s="414"/>
      <c r="D6" s="414"/>
      <c r="E6" s="414"/>
      <c r="F6" s="414"/>
      <c r="G6" s="414"/>
      <c r="H6" s="414"/>
      <c r="I6" s="414"/>
      <c r="J6" s="414"/>
      <c r="K6" s="414"/>
      <c r="L6" s="353"/>
    </row>
    <row r="7" spans="2:19" ht="178.5" customHeight="1">
      <c r="B7" s="95">
        <v>1</v>
      </c>
      <c r="C7" s="66" t="s">
        <v>98</v>
      </c>
      <c r="D7" s="70">
        <v>124.86</v>
      </c>
      <c r="E7" s="70">
        <f>H186</f>
        <v>36.455581424029276</v>
      </c>
      <c r="F7" s="70">
        <f>I186</f>
        <v>34.303526098961974</v>
      </c>
      <c r="G7" s="70">
        <f>J21</f>
        <v>0</v>
      </c>
      <c r="H7" s="70">
        <f>K186</f>
        <v>54.099729163211819</v>
      </c>
      <c r="I7" s="101">
        <f>P28</f>
        <v>89.367943742580479</v>
      </c>
      <c r="J7" s="102">
        <f>P31</f>
        <v>49.638978032347239</v>
      </c>
      <c r="K7" s="98" t="s">
        <v>686</v>
      </c>
      <c r="L7" s="354"/>
      <c r="M7" s="47"/>
      <c r="N7" s="47"/>
      <c r="O7" s="47">
        <v>0.3</v>
      </c>
    </row>
    <row r="8" spans="2:19">
      <c r="B8" s="99"/>
      <c r="C8" s="68" t="s">
        <v>21</v>
      </c>
      <c r="D8" s="71">
        <f t="shared" ref="D8:J8" si="0">D7</f>
        <v>124.86</v>
      </c>
      <c r="E8" s="71">
        <f t="shared" si="0"/>
        <v>36.455581424029276</v>
      </c>
      <c r="F8" s="71">
        <f t="shared" si="0"/>
        <v>34.303526098961974</v>
      </c>
      <c r="G8" s="71">
        <f t="shared" si="0"/>
        <v>0</v>
      </c>
      <c r="H8" s="71">
        <f t="shared" si="0"/>
        <v>54.099729163211819</v>
      </c>
      <c r="I8" s="71">
        <f t="shared" si="0"/>
        <v>89.367943742580479</v>
      </c>
      <c r="J8" s="71">
        <f t="shared" si="0"/>
        <v>49.638978032347239</v>
      </c>
      <c r="K8" s="100"/>
      <c r="L8" s="355"/>
    </row>
    <row r="9" spans="2:19">
      <c r="B9" s="98"/>
      <c r="C9" s="98"/>
      <c r="D9" s="98"/>
      <c r="E9" s="98"/>
      <c r="F9" s="98"/>
      <c r="G9" s="98"/>
      <c r="H9" s="98"/>
      <c r="I9" s="98"/>
      <c r="J9" s="98"/>
      <c r="K9" s="98"/>
      <c r="L9" s="354"/>
    </row>
    <row r="10" spans="2:19">
      <c r="B10" s="410" t="s">
        <v>20</v>
      </c>
      <c r="C10" s="410"/>
      <c r="D10" s="410"/>
      <c r="E10" s="410"/>
      <c r="F10" s="410"/>
      <c r="G10" s="410"/>
      <c r="H10" s="410"/>
      <c r="I10" s="410"/>
      <c r="J10" s="410"/>
      <c r="K10" s="410"/>
      <c r="L10" s="356"/>
    </row>
    <row r="11" spans="2:19" ht="195" customHeight="1">
      <c r="B11" s="415" t="s">
        <v>695</v>
      </c>
      <c r="C11" s="415"/>
      <c r="D11" s="415"/>
      <c r="E11" s="415"/>
      <c r="F11" s="415"/>
      <c r="G11" s="415"/>
      <c r="H11" s="415"/>
      <c r="I11" s="415"/>
      <c r="J11" s="415"/>
      <c r="K11" s="415"/>
      <c r="L11" s="357"/>
    </row>
    <row r="12" spans="2:19" ht="14.4" customHeight="1">
      <c r="B12" s="412"/>
      <c r="C12" s="413"/>
      <c r="D12" s="413"/>
      <c r="E12" s="413"/>
      <c r="F12" s="413"/>
      <c r="G12" s="413"/>
      <c r="H12" s="413"/>
      <c r="I12" s="413"/>
      <c r="J12" s="413"/>
      <c r="K12" s="413"/>
      <c r="L12" s="317"/>
    </row>
    <row r="13" spans="2:19" ht="14.4" customHeight="1">
      <c r="B13" s="412"/>
      <c r="C13" s="413"/>
      <c r="D13" s="413"/>
      <c r="E13" s="413"/>
      <c r="F13" s="413"/>
      <c r="G13" s="413"/>
      <c r="H13" s="413"/>
      <c r="I13" s="413"/>
      <c r="J13" s="413"/>
      <c r="K13" s="413"/>
      <c r="L13" s="317"/>
    </row>
    <row r="14" spans="2:19" ht="14.4" customHeight="1">
      <c r="B14" s="412"/>
      <c r="C14" s="413"/>
      <c r="D14" s="413"/>
      <c r="E14" s="413"/>
      <c r="F14" s="413"/>
      <c r="G14" s="413"/>
      <c r="H14" s="413"/>
      <c r="I14" s="413"/>
      <c r="J14" s="413"/>
      <c r="K14" s="413"/>
      <c r="L14" s="317"/>
    </row>
    <row r="15" spans="2:19" ht="14.4" customHeight="1">
      <c r="B15" s="412"/>
      <c r="C15" s="413"/>
      <c r="D15" s="413"/>
      <c r="E15" s="413"/>
      <c r="F15" s="413"/>
      <c r="G15" s="413"/>
      <c r="H15" s="413"/>
      <c r="I15" s="413"/>
      <c r="J15" s="413"/>
      <c r="K15" s="413"/>
      <c r="L15" s="317"/>
    </row>
    <row r="16" spans="2:19" ht="15" customHeight="1">
      <c r="B16" s="416"/>
      <c r="C16" s="416"/>
      <c r="D16" s="416"/>
      <c r="E16" s="416"/>
      <c r="F16" s="416"/>
      <c r="G16" s="416"/>
      <c r="H16" s="416"/>
      <c r="I16" s="416"/>
      <c r="J16" s="416"/>
      <c r="K16" s="416"/>
      <c r="L16" s="317"/>
      <c r="P16">
        <v>33.445487544980985</v>
      </c>
      <c r="Q16">
        <v>28.872591615993578</v>
      </c>
      <c r="R16">
        <v>0</v>
      </c>
      <c r="S16">
        <v>38.325612051018297</v>
      </c>
    </row>
    <row r="17" spans="1:19">
      <c r="P17">
        <v>100.64369121199286</v>
      </c>
    </row>
    <row r="21" spans="1:19" ht="22.95" customHeight="1">
      <c r="A21" s="230" t="s">
        <v>184</v>
      </c>
      <c r="B21" s="231"/>
      <c r="C21" s="231"/>
      <c r="D21" s="232">
        <f>SUBTOTAL(9,D24:D185)</f>
        <v>386.23303390415725</v>
      </c>
      <c r="E21" s="232">
        <f t="shared" ref="E21:K21" si="1">SUBTOTAL(9,E24:E185)</f>
        <v>261.36419721795426</v>
      </c>
      <c r="F21" s="232">
        <f>SUBTOTAL(9,F24:F185)</f>
        <v>124.8688366862031</v>
      </c>
      <c r="G21" s="232"/>
      <c r="H21" s="232">
        <f t="shared" si="1"/>
        <v>36.455581424029276</v>
      </c>
      <c r="I21" s="232">
        <f t="shared" si="1"/>
        <v>34.303526098961974</v>
      </c>
      <c r="J21" s="232">
        <f t="shared" si="1"/>
        <v>0</v>
      </c>
      <c r="K21" s="232">
        <f t="shared" si="1"/>
        <v>54.099729163211819</v>
      </c>
      <c r="L21" s="219"/>
      <c r="O21" s="238" t="s">
        <v>529</v>
      </c>
      <c r="P21" s="123">
        <v>1</v>
      </c>
      <c r="Q21" s="123">
        <f>P21+1</f>
        <v>2</v>
      </c>
      <c r="R21" s="123">
        <f t="shared" ref="R21:S21" si="2">Q21+1</f>
        <v>3</v>
      </c>
      <c r="S21" s="123">
        <f t="shared" si="2"/>
        <v>4</v>
      </c>
    </row>
    <row r="22" spans="1:19" ht="27.6" customHeight="1">
      <c r="A22" s="417" t="s">
        <v>185</v>
      </c>
      <c r="B22" s="417" t="s">
        <v>186</v>
      </c>
      <c r="C22" s="417" t="s">
        <v>187</v>
      </c>
      <c r="D22" s="327" t="s">
        <v>6</v>
      </c>
      <c r="E22" s="328"/>
      <c r="F22" s="329"/>
      <c r="G22" s="316"/>
      <c r="H22" s="418" t="s">
        <v>522</v>
      </c>
      <c r="I22" s="418"/>
      <c r="J22" s="418"/>
      <c r="K22" s="418"/>
      <c r="L22" s="358"/>
      <c r="O22" s="255" t="s">
        <v>64</v>
      </c>
      <c r="P22" s="240">
        <f>F186</f>
        <v>124.8688366862031</v>
      </c>
      <c r="Q22" s="241"/>
      <c r="R22" s="241"/>
      <c r="S22" s="241"/>
    </row>
    <row r="23" spans="1:19">
      <c r="A23" s="417"/>
      <c r="B23" s="417"/>
      <c r="C23" s="417"/>
      <c r="D23" s="176" t="s">
        <v>523</v>
      </c>
      <c r="E23" s="176" t="s">
        <v>524</v>
      </c>
      <c r="F23" s="176" t="s">
        <v>525</v>
      </c>
      <c r="G23" s="176"/>
      <c r="H23" s="176" t="s">
        <v>526</v>
      </c>
      <c r="I23" s="176" t="s">
        <v>527</v>
      </c>
      <c r="J23" s="176" t="s">
        <v>528</v>
      </c>
      <c r="K23" s="176" t="s">
        <v>555</v>
      </c>
      <c r="L23" s="359"/>
      <c r="O23" s="239" t="s">
        <v>559</v>
      </c>
      <c r="P23" s="240">
        <f>H186</f>
        <v>36.455581424029276</v>
      </c>
      <c r="Q23" s="240">
        <f>I186</f>
        <v>34.303526098961974</v>
      </c>
      <c r="R23" s="240">
        <f>J186</f>
        <v>0</v>
      </c>
      <c r="S23" s="240">
        <f>K186</f>
        <v>54.099729163211819</v>
      </c>
    </row>
    <row r="24" spans="1:19" ht="24">
      <c r="A24" s="160" t="s">
        <v>188</v>
      </c>
      <c r="B24" s="161" t="s">
        <v>189</v>
      </c>
      <c r="C24" s="161" t="s">
        <v>190</v>
      </c>
      <c r="D24" s="233">
        <v>2.1787622230000001</v>
      </c>
      <c r="E24" s="233">
        <v>2.9633582230000006</v>
      </c>
      <c r="F24" s="233">
        <f t="shared" ref="F24:F55" si="3">D24-E24</f>
        <v>-0.78459600000000052</v>
      </c>
      <c r="G24" s="233"/>
      <c r="H24" s="233"/>
      <c r="I24" s="233"/>
      <c r="J24" s="233"/>
      <c r="K24" s="233">
        <v>-0.78459600000000052</v>
      </c>
      <c r="L24" s="360"/>
      <c r="O24" s="239" t="s">
        <v>532</v>
      </c>
      <c r="P24" s="241">
        <v>1</v>
      </c>
      <c r="Q24" s="241">
        <f>P24+1</f>
        <v>2</v>
      </c>
      <c r="R24" s="241">
        <f t="shared" ref="R24:S24" si="4">Q24+1</f>
        <v>3</v>
      </c>
      <c r="S24" s="241">
        <f t="shared" si="4"/>
        <v>4</v>
      </c>
    </row>
    <row r="25" spans="1:19" ht="24">
      <c r="A25" s="160" t="s">
        <v>188</v>
      </c>
      <c r="B25" s="161" t="s">
        <v>191</v>
      </c>
      <c r="C25" s="161" t="s">
        <v>190</v>
      </c>
      <c r="D25" s="233">
        <v>3.915725031</v>
      </c>
      <c r="E25" s="233">
        <v>1.4197314731806352</v>
      </c>
      <c r="F25" s="233">
        <f t="shared" si="3"/>
        <v>2.4959935578193648</v>
      </c>
      <c r="G25" s="233"/>
      <c r="H25" s="233"/>
      <c r="I25" s="233"/>
      <c r="J25" s="233"/>
      <c r="K25" s="233">
        <f>F25</f>
        <v>2.4959935578193648</v>
      </c>
      <c r="L25" s="360"/>
      <c r="O25" s="239" t="s">
        <v>533</v>
      </c>
      <c r="P25" s="242">
        <f>1/(1+$P$26)^P24</f>
        <v>0.9174311926605504</v>
      </c>
      <c r="Q25" s="242">
        <f>1/(1+$P$26)^Q24</f>
        <v>0.84167999326655996</v>
      </c>
      <c r="R25" s="242">
        <f>1/(1+$P$26)^R24</f>
        <v>0.77218348006106419</v>
      </c>
      <c r="S25" s="364">
        <v>0.5</v>
      </c>
    </row>
    <row r="26" spans="1:19">
      <c r="A26" s="160" t="s">
        <v>192</v>
      </c>
      <c r="B26" s="161" t="s">
        <v>192</v>
      </c>
      <c r="C26" s="161" t="s">
        <v>193</v>
      </c>
      <c r="D26" s="233">
        <v>0.72045250000000005</v>
      </c>
      <c r="E26" s="233">
        <v>0</v>
      </c>
      <c r="F26" s="233">
        <f t="shared" si="3"/>
        <v>0.72045250000000005</v>
      </c>
      <c r="G26" s="233"/>
      <c r="H26" s="233"/>
      <c r="I26" s="233"/>
      <c r="J26" s="233"/>
      <c r="K26" s="233">
        <f>F26</f>
        <v>0.72045250000000005</v>
      </c>
      <c r="L26" s="360"/>
      <c r="O26" s="239" t="s">
        <v>534</v>
      </c>
      <c r="P26" s="243">
        <v>0.09</v>
      </c>
      <c r="Q26" s="241"/>
      <c r="R26" s="241"/>
      <c r="S26" s="241"/>
    </row>
    <row r="27" spans="1:19" ht="14.4" customHeight="1">
      <c r="A27" s="162" t="s">
        <v>194</v>
      </c>
      <c r="B27" s="163" t="s">
        <v>195</v>
      </c>
      <c r="C27" s="161" t="s">
        <v>196</v>
      </c>
      <c r="D27" s="233">
        <v>1.6074655</v>
      </c>
      <c r="E27" s="233">
        <v>1.6074657000000001</v>
      </c>
      <c r="F27" s="233">
        <f t="shared" si="3"/>
        <v>-2.0000000011677344E-7</v>
      </c>
      <c r="G27" s="233"/>
      <c r="H27" s="233"/>
      <c r="I27" s="233"/>
      <c r="J27" s="233"/>
      <c r="K27" s="233">
        <v>-2.0000000011677344E-7</v>
      </c>
      <c r="L27" s="360"/>
      <c r="O27" s="239" t="s">
        <v>535</v>
      </c>
      <c r="P27" s="240">
        <f>P23*P25</f>
        <v>33.445487544980985</v>
      </c>
      <c r="Q27" s="240">
        <f t="shared" ref="Q27:R27" si="5">Q23*Q25</f>
        <v>28.872591615993578</v>
      </c>
      <c r="R27" s="240">
        <f t="shared" si="5"/>
        <v>0</v>
      </c>
      <c r="S27" s="240">
        <f>S23*S25</f>
        <v>27.04986458160591</v>
      </c>
    </row>
    <row r="28" spans="1:19" ht="43.2">
      <c r="A28" s="162" t="s">
        <v>194</v>
      </c>
      <c r="B28" s="163" t="s">
        <v>197</v>
      </c>
      <c r="C28" s="161" t="s">
        <v>197</v>
      </c>
      <c r="D28" s="233">
        <v>0</v>
      </c>
      <c r="E28" s="233">
        <v>0</v>
      </c>
      <c r="F28" s="233">
        <f t="shared" si="3"/>
        <v>0</v>
      </c>
      <c r="G28" s="233"/>
      <c r="H28" s="233"/>
      <c r="I28" s="233"/>
      <c r="J28" s="233"/>
      <c r="K28" s="233"/>
      <c r="L28" s="360"/>
      <c r="O28" s="244" t="s">
        <v>537</v>
      </c>
      <c r="P28" s="245">
        <f>SUM(P27:S27)</f>
        <v>89.367943742580479</v>
      </c>
      <c r="Q28" s="238"/>
      <c r="R28" s="238"/>
      <c r="S28" s="238"/>
    </row>
    <row r="29" spans="1:19" ht="14.4" hidden="1" customHeight="1">
      <c r="A29" s="162" t="s">
        <v>194</v>
      </c>
      <c r="B29" s="163" t="s">
        <v>198</v>
      </c>
      <c r="C29" s="161" t="s">
        <v>199</v>
      </c>
      <c r="D29" s="233">
        <v>0.83869740000000004</v>
      </c>
      <c r="E29" s="233">
        <v>0.71331160000000005</v>
      </c>
      <c r="F29" s="233">
        <f t="shared" si="3"/>
        <v>0.12538579999999999</v>
      </c>
      <c r="G29" s="233"/>
      <c r="H29" s="233"/>
      <c r="I29" s="233">
        <v>0.12538579999999999</v>
      </c>
      <c r="J29" s="233"/>
      <c r="K29" s="233"/>
      <c r="L29" s="360"/>
    </row>
    <row r="30" spans="1:19" ht="14.4" hidden="1" customHeight="1">
      <c r="A30" s="162" t="s">
        <v>194</v>
      </c>
      <c r="B30" s="163" t="s">
        <v>200</v>
      </c>
      <c r="C30" s="161" t="s">
        <v>201</v>
      </c>
      <c r="D30" s="233">
        <v>0</v>
      </c>
      <c r="E30" s="233">
        <v>0</v>
      </c>
      <c r="F30" s="233">
        <f t="shared" si="3"/>
        <v>0</v>
      </c>
      <c r="G30" s="233"/>
      <c r="H30" s="233"/>
      <c r="I30" s="233"/>
      <c r="J30" s="233"/>
      <c r="K30" s="233"/>
      <c r="L30" s="360"/>
    </row>
    <row r="31" spans="1:19">
      <c r="A31" s="162" t="s">
        <v>194</v>
      </c>
      <c r="B31" s="163" t="s">
        <v>202</v>
      </c>
      <c r="C31" s="161" t="s">
        <v>201</v>
      </c>
      <c r="D31" s="233">
        <v>0</v>
      </c>
      <c r="E31" s="233">
        <v>0</v>
      </c>
      <c r="F31" s="233">
        <f t="shared" si="3"/>
        <v>0</v>
      </c>
      <c r="G31" s="233"/>
      <c r="H31" s="233"/>
      <c r="I31" s="233"/>
      <c r="J31" s="233"/>
      <c r="K31" s="233"/>
      <c r="L31" s="360"/>
      <c r="O31" t="s">
        <v>683</v>
      </c>
      <c r="P31" s="363">
        <f>(P23*0.75)+(Q23*0.65)</f>
        <v>49.638978032347239</v>
      </c>
    </row>
    <row r="32" spans="1:19" ht="14.4" hidden="1" customHeight="1">
      <c r="A32" s="162" t="s">
        <v>194</v>
      </c>
      <c r="B32" s="163" t="s">
        <v>203</v>
      </c>
      <c r="C32" s="161" t="s">
        <v>199</v>
      </c>
      <c r="D32" s="233">
        <v>1.3248826</v>
      </c>
      <c r="E32" s="233">
        <v>0</v>
      </c>
      <c r="F32" s="233">
        <f t="shared" si="3"/>
        <v>1.3248826</v>
      </c>
      <c r="G32" s="233"/>
      <c r="H32" s="233"/>
      <c r="I32" s="233">
        <f>F32</f>
        <v>1.3248826</v>
      </c>
      <c r="J32" s="233"/>
      <c r="K32" s="233"/>
      <c r="L32" s="360"/>
    </row>
    <row r="33" spans="1:12" ht="24" hidden="1" customHeight="1">
      <c r="A33" s="162" t="s">
        <v>194</v>
      </c>
      <c r="B33" s="163" t="s">
        <v>204</v>
      </c>
      <c r="C33" s="161" t="s">
        <v>205</v>
      </c>
      <c r="D33" s="233">
        <v>0</v>
      </c>
      <c r="E33" s="233">
        <v>0</v>
      </c>
      <c r="F33" s="233">
        <f t="shared" si="3"/>
        <v>0</v>
      </c>
      <c r="G33" s="233"/>
      <c r="H33" s="233"/>
      <c r="I33" s="233"/>
      <c r="J33" s="233"/>
      <c r="K33" s="233"/>
      <c r="L33" s="360"/>
    </row>
    <row r="34" spans="1:12" ht="24">
      <c r="A34" s="162" t="s">
        <v>194</v>
      </c>
      <c r="B34" s="163" t="s">
        <v>206</v>
      </c>
      <c r="C34" s="161" t="s">
        <v>207</v>
      </c>
      <c r="D34" s="233">
        <v>0</v>
      </c>
      <c r="E34" s="233">
        <v>0</v>
      </c>
      <c r="F34" s="233">
        <f t="shared" si="3"/>
        <v>0</v>
      </c>
      <c r="G34" s="233"/>
      <c r="H34" s="233"/>
      <c r="I34" s="233"/>
      <c r="J34" s="233"/>
      <c r="K34" s="233"/>
      <c r="L34" s="360"/>
    </row>
    <row r="35" spans="1:12" ht="24">
      <c r="A35" s="162" t="s">
        <v>194</v>
      </c>
      <c r="B35" s="163" t="s">
        <v>208</v>
      </c>
      <c r="C35" s="161" t="s">
        <v>209</v>
      </c>
      <c r="D35" s="233">
        <v>0.12815779999999999</v>
      </c>
      <c r="E35" s="233">
        <v>3.5884184E-2</v>
      </c>
      <c r="F35" s="233">
        <f t="shared" si="3"/>
        <v>9.2273615999999989E-2</v>
      </c>
      <c r="G35" s="233"/>
      <c r="H35" s="233"/>
      <c r="I35" s="233"/>
      <c r="J35" s="233"/>
      <c r="K35" s="233">
        <v>9.2273615999999989E-2</v>
      </c>
      <c r="L35" s="360"/>
    </row>
    <row r="36" spans="1:12" ht="14.4" hidden="1" customHeight="1">
      <c r="A36" s="162" t="s">
        <v>194</v>
      </c>
      <c r="B36" s="163" t="s">
        <v>210</v>
      </c>
      <c r="C36" s="161" t="s">
        <v>211</v>
      </c>
      <c r="D36" s="233">
        <v>9.7881624E-2</v>
      </c>
      <c r="E36" s="233">
        <v>0</v>
      </c>
      <c r="F36" s="233">
        <f t="shared" si="3"/>
        <v>9.7881624E-2</v>
      </c>
      <c r="G36" s="233"/>
      <c r="H36" s="233"/>
      <c r="I36" s="233"/>
      <c r="J36" s="233"/>
      <c r="K36" s="233">
        <v>9.7881624E-2</v>
      </c>
      <c r="L36" s="360"/>
    </row>
    <row r="37" spans="1:12" ht="34.200000000000003" hidden="1" customHeight="1">
      <c r="A37" s="162" t="s">
        <v>194</v>
      </c>
      <c r="B37" s="163" t="s">
        <v>212</v>
      </c>
      <c r="C37" s="161" t="s">
        <v>213</v>
      </c>
      <c r="D37" s="233">
        <v>0</v>
      </c>
      <c r="E37" s="233">
        <v>0</v>
      </c>
      <c r="F37" s="233">
        <f t="shared" si="3"/>
        <v>0</v>
      </c>
      <c r="G37" s="233"/>
      <c r="H37" s="233"/>
      <c r="I37" s="233"/>
      <c r="J37" s="233"/>
      <c r="K37" s="233"/>
      <c r="L37" s="360"/>
    </row>
    <row r="38" spans="1:12">
      <c r="A38" s="162" t="s">
        <v>194</v>
      </c>
      <c r="B38" s="163" t="s">
        <v>214</v>
      </c>
      <c r="C38" s="161" t="s">
        <v>201</v>
      </c>
      <c r="D38" s="233">
        <v>0</v>
      </c>
      <c r="E38" s="233">
        <v>0</v>
      </c>
      <c r="F38" s="233">
        <f t="shared" si="3"/>
        <v>0</v>
      </c>
      <c r="G38" s="233"/>
      <c r="H38" s="233"/>
      <c r="I38" s="233"/>
      <c r="J38" s="233"/>
      <c r="K38" s="233"/>
      <c r="L38" s="360"/>
    </row>
    <row r="39" spans="1:12" ht="24" hidden="1" customHeight="1">
      <c r="A39" s="162" t="s">
        <v>194</v>
      </c>
      <c r="B39" s="163" t="s">
        <v>215</v>
      </c>
      <c r="C39" s="161" t="s">
        <v>216</v>
      </c>
      <c r="D39" s="233">
        <v>0.35679793999999998</v>
      </c>
      <c r="E39" s="233">
        <v>6.3656415199999997E-2</v>
      </c>
      <c r="F39" s="233">
        <f t="shared" si="3"/>
        <v>0.2931415248</v>
      </c>
      <c r="G39" s="233"/>
      <c r="H39" s="233"/>
      <c r="I39" s="233"/>
      <c r="J39" s="233"/>
      <c r="K39" s="233">
        <v>0.2931415248</v>
      </c>
      <c r="L39" s="360"/>
    </row>
    <row r="40" spans="1:12" ht="24" hidden="1" customHeight="1">
      <c r="A40" s="162" t="s">
        <v>194</v>
      </c>
      <c r="B40" s="163" t="s">
        <v>217</v>
      </c>
      <c r="C40" s="161" t="s">
        <v>201</v>
      </c>
      <c r="D40" s="233">
        <v>0</v>
      </c>
      <c r="E40" s="233">
        <v>0</v>
      </c>
      <c r="F40" s="233">
        <f t="shared" si="3"/>
        <v>0</v>
      </c>
      <c r="G40" s="233"/>
      <c r="H40" s="233"/>
      <c r="I40" s="233"/>
      <c r="J40" s="233"/>
      <c r="K40" s="233"/>
      <c r="L40" s="360"/>
    </row>
    <row r="41" spans="1:12" ht="24" hidden="1" customHeight="1">
      <c r="A41" s="162" t="s">
        <v>194</v>
      </c>
      <c r="B41" s="163" t="s">
        <v>218</v>
      </c>
      <c r="C41" s="161" t="s">
        <v>219</v>
      </c>
      <c r="D41" s="233">
        <v>0</v>
      </c>
      <c r="E41" s="233">
        <v>0</v>
      </c>
      <c r="F41" s="233">
        <f t="shared" si="3"/>
        <v>0</v>
      </c>
      <c r="G41" s="233"/>
      <c r="H41" s="233"/>
      <c r="I41" s="233"/>
      <c r="J41" s="233"/>
      <c r="K41" s="233"/>
      <c r="L41" s="360"/>
    </row>
    <row r="42" spans="1:12" ht="14.4" hidden="1" customHeight="1">
      <c r="A42" s="162" t="s">
        <v>194</v>
      </c>
      <c r="B42" s="163" t="s">
        <v>220</v>
      </c>
      <c r="C42" s="161" t="s">
        <v>221</v>
      </c>
      <c r="D42" s="233">
        <v>0</v>
      </c>
      <c r="E42" s="233">
        <v>0</v>
      </c>
      <c r="F42" s="233">
        <f t="shared" si="3"/>
        <v>0</v>
      </c>
      <c r="G42" s="233"/>
      <c r="H42" s="233"/>
      <c r="I42" s="233"/>
      <c r="J42" s="233"/>
      <c r="K42" s="233"/>
      <c r="L42" s="360"/>
    </row>
    <row r="43" spans="1:12" ht="24" hidden="1" customHeight="1">
      <c r="A43" s="162" t="s">
        <v>194</v>
      </c>
      <c r="B43" s="163" t="s">
        <v>222</v>
      </c>
      <c r="C43" s="161" t="s">
        <v>223</v>
      </c>
      <c r="D43" s="233">
        <v>0</v>
      </c>
      <c r="E43" s="233">
        <v>0</v>
      </c>
      <c r="F43" s="233">
        <f t="shared" si="3"/>
        <v>0</v>
      </c>
      <c r="G43" s="233"/>
      <c r="H43" s="233"/>
      <c r="I43" s="233"/>
      <c r="J43" s="233"/>
      <c r="K43" s="233"/>
      <c r="L43" s="360"/>
    </row>
    <row r="44" spans="1:12" ht="24">
      <c r="A44" s="162" t="s">
        <v>194</v>
      </c>
      <c r="B44" s="163" t="s">
        <v>224</v>
      </c>
      <c r="C44" s="161" t="s">
        <v>205</v>
      </c>
      <c r="D44" s="233">
        <v>0</v>
      </c>
      <c r="E44" s="233">
        <v>0</v>
      </c>
      <c r="F44" s="233">
        <f t="shared" si="3"/>
        <v>0</v>
      </c>
      <c r="G44" s="233"/>
      <c r="H44" s="233"/>
      <c r="I44" s="233"/>
      <c r="J44" s="233"/>
      <c r="K44" s="233"/>
      <c r="L44" s="360"/>
    </row>
    <row r="45" spans="1:12" ht="14.4" customHeight="1">
      <c r="A45" s="162" t="s">
        <v>194</v>
      </c>
      <c r="B45" s="163" t="s">
        <v>225</v>
      </c>
      <c r="C45" s="161" t="s">
        <v>226</v>
      </c>
      <c r="D45" s="233">
        <v>1.9307999999999999E-2</v>
      </c>
      <c r="E45" s="233">
        <v>5.4062400000000005E-3</v>
      </c>
      <c r="F45" s="233">
        <f t="shared" si="3"/>
        <v>1.3901759999999999E-2</v>
      </c>
      <c r="G45" s="233"/>
      <c r="H45" s="233"/>
      <c r="I45" s="233"/>
      <c r="J45" s="233"/>
      <c r="K45" s="233">
        <v>1.3901759999999999E-2</v>
      </c>
      <c r="L45" s="360"/>
    </row>
    <row r="46" spans="1:12" ht="34.200000000000003" hidden="1" customHeight="1">
      <c r="A46" s="162" t="s">
        <v>194</v>
      </c>
      <c r="B46" s="163" t="s">
        <v>227</v>
      </c>
      <c r="C46" s="161" t="s">
        <v>228</v>
      </c>
      <c r="D46" s="233">
        <v>7.5644779999999995E-3</v>
      </c>
      <c r="E46" s="233">
        <v>0</v>
      </c>
      <c r="F46" s="233">
        <f t="shared" si="3"/>
        <v>7.5644779999999995E-3</v>
      </c>
      <c r="G46" s="233"/>
      <c r="H46" s="233"/>
      <c r="I46" s="233"/>
      <c r="J46" s="233"/>
      <c r="K46" s="233">
        <v>7.5644779999999995E-3</v>
      </c>
      <c r="L46" s="360"/>
    </row>
    <row r="47" spans="1:12" ht="24">
      <c r="A47" s="162" t="s">
        <v>194</v>
      </c>
      <c r="B47" s="163" t="s">
        <v>229</v>
      </c>
      <c r="C47" s="161" t="s">
        <v>209</v>
      </c>
      <c r="D47" s="233">
        <v>0</v>
      </c>
      <c r="E47" s="233">
        <v>0</v>
      </c>
      <c r="F47" s="233">
        <f t="shared" si="3"/>
        <v>0</v>
      </c>
      <c r="G47" s="233"/>
      <c r="H47" s="233"/>
      <c r="I47" s="233"/>
      <c r="J47" s="233"/>
      <c r="K47" s="233"/>
      <c r="L47" s="360"/>
    </row>
    <row r="48" spans="1:12" ht="24" hidden="1" customHeight="1">
      <c r="A48" s="162" t="s">
        <v>194</v>
      </c>
      <c r="B48" s="164" t="s">
        <v>230</v>
      </c>
      <c r="C48" s="161" t="s">
        <v>231</v>
      </c>
      <c r="D48" s="233">
        <v>2E-3</v>
      </c>
      <c r="E48" s="233">
        <v>0</v>
      </c>
      <c r="F48" s="233">
        <f t="shared" si="3"/>
        <v>2E-3</v>
      </c>
      <c r="G48" s="233"/>
      <c r="H48" s="233"/>
      <c r="I48" s="233"/>
      <c r="J48" s="233"/>
      <c r="K48" s="233">
        <v>2E-3</v>
      </c>
      <c r="L48" s="360"/>
    </row>
    <row r="49" spans="1:12">
      <c r="A49" s="165" t="s">
        <v>232</v>
      </c>
      <c r="B49" s="166" t="s">
        <v>233</v>
      </c>
      <c r="C49" s="161" t="s">
        <v>234</v>
      </c>
      <c r="D49" s="233">
        <v>0.88555509900000007</v>
      </c>
      <c r="E49" s="233">
        <v>0.88555505379608701</v>
      </c>
      <c r="F49" s="233">
        <f t="shared" si="3"/>
        <v>4.5203913057179079E-8</v>
      </c>
      <c r="G49" s="233"/>
      <c r="H49" s="233"/>
      <c r="I49" s="233"/>
      <c r="J49" s="233"/>
      <c r="K49" s="233">
        <v>4.5203913057179079E-8</v>
      </c>
      <c r="L49" s="360"/>
    </row>
    <row r="50" spans="1:12">
      <c r="A50" s="165" t="s">
        <v>232</v>
      </c>
      <c r="B50" s="166" t="s">
        <v>235</v>
      </c>
      <c r="C50" s="161" t="s">
        <v>236</v>
      </c>
      <c r="D50" s="233">
        <v>7.255328016</v>
      </c>
      <c r="E50" s="233">
        <v>5.7903438251659196</v>
      </c>
      <c r="F50" s="233">
        <f t="shared" si="3"/>
        <v>1.4649841908340804</v>
      </c>
      <c r="G50" s="233"/>
      <c r="H50" s="233"/>
      <c r="I50" s="233">
        <f>F50</f>
        <v>1.4649841908340804</v>
      </c>
      <c r="J50" s="233"/>
      <c r="K50" s="233">
        <v>0</v>
      </c>
      <c r="L50" s="360"/>
    </row>
    <row r="51" spans="1:12">
      <c r="A51" s="165" t="s">
        <v>232</v>
      </c>
      <c r="B51" s="166" t="s">
        <v>237</v>
      </c>
      <c r="C51" s="161" t="s">
        <v>238</v>
      </c>
      <c r="D51" s="233">
        <v>2.5312781630000032</v>
      </c>
      <c r="E51" s="233">
        <v>0.35354265282000003</v>
      </c>
      <c r="F51" s="233">
        <f t="shared" si="3"/>
        <v>2.1777355101800033</v>
      </c>
      <c r="G51" s="233"/>
      <c r="H51" s="233">
        <v>2.1777355101800033</v>
      </c>
      <c r="I51" s="233"/>
      <c r="J51" s="233"/>
      <c r="K51" s="233"/>
      <c r="L51" s="360"/>
    </row>
    <row r="52" spans="1:12">
      <c r="A52" s="165" t="s">
        <v>232</v>
      </c>
      <c r="B52" s="166" t="s">
        <v>239</v>
      </c>
      <c r="C52" s="161" t="s">
        <v>240</v>
      </c>
      <c r="D52" s="233">
        <v>5.1205800000002607E-3</v>
      </c>
      <c r="E52" s="233">
        <v>7.1688400000000021E-4</v>
      </c>
      <c r="F52" s="233">
        <f t="shared" si="3"/>
        <v>4.4036960000002606E-3</v>
      </c>
      <c r="G52" s="233"/>
      <c r="H52" s="233"/>
      <c r="I52" s="233"/>
      <c r="J52" s="233"/>
      <c r="K52" s="233">
        <f>F52</f>
        <v>4.4036960000002606E-3</v>
      </c>
      <c r="L52" s="360"/>
    </row>
    <row r="53" spans="1:12">
      <c r="A53" s="165" t="s">
        <v>232</v>
      </c>
      <c r="B53" s="166" t="s">
        <v>241</v>
      </c>
      <c r="C53" s="161" t="s">
        <v>242</v>
      </c>
      <c r="D53" s="233">
        <v>30.884673516000003</v>
      </c>
      <c r="E53" s="233">
        <v>0.40941890261999997</v>
      </c>
      <c r="F53" s="233">
        <f t="shared" si="3"/>
        <v>30.475254613380002</v>
      </c>
      <c r="G53" s="233"/>
      <c r="H53" s="233"/>
      <c r="I53" s="233"/>
      <c r="J53" s="233"/>
      <c r="K53" s="233">
        <f>F53</f>
        <v>30.475254613380002</v>
      </c>
      <c r="L53" s="360"/>
    </row>
    <row r="54" spans="1:12" ht="36">
      <c r="A54" s="165" t="s">
        <v>232</v>
      </c>
      <c r="B54" s="167" t="s">
        <v>243</v>
      </c>
      <c r="C54" s="161" t="s">
        <v>244</v>
      </c>
      <c r="D54" s="233">
        <v>1.1970801410000005</v>
      </c>
      <c r="E54" s="233">
        <v>0</v>
      </c>
      <c r="F54" s="233">
        <f t="shared" si="3"/>
        <v>1.1970801410000005</v>
      </c>
      <c r="G54" s="233"/>
      <c r="H54" s="233">
        <f>F54</f>
        <v>1.1970801410000005</v>
      </c>
      <c r="I54" s="233"/>
      <c r="J54" s="233"/>
      <c r="K54" s="233"/>
      <c r="L54" s="360"/>
    </row>
    <row r="55" spans="1:12" ht="24">
      <c r="A55" s="165" t="s">
        <v>245</v>
      </c>
      <c r="B55" s="168" t="s">
        <v>245</v>
      </c>
      <c r="C55" s="161" t="s">
        <v>246</v>
      </c>
      <c r="D55" s="233">
        <v>11.895599799999999</v>
      </c>
      <c r="E55" s="233">
        <v>11.8451906</v>
      </c>
      <c r="F55" s="233">
        <f t="shared" si="3"/>
        <v>5.0409199999998933E-2</v>
      </c>
      <c r="G55" s="233"/>
      <c r="H55" s="233">
        <v>-1.7</v>
      </c>
      <c r="I55" s="233"/>
      <c r="J55" s="233"/>
      <c r="K55" s="233">
        <v>5.0409199999998933E-2</v>
      </c>
      <c r="L55" s="360"/>
    </row>
    <row r="56" spans="1:12" ht="24">
      <c r="A56" s="165" t="s">
        <v>245</v>
      </c>
      <c r="B56" s="168" t="s">
        <v>245</v>
      </c>
      <c r="C56" s="161" t="s">
        <v>247</v>
      </c>
      <c r="D56" s="233">
        <v>9.0653637000000007</v>
      </c>
      <c r="E56" s="233">
        <v>9.075366279999999</v>
      </c>
      <c r="F56" s="233">
        <f t="shared" ref="F56:F87" si="6">D56-E56</f>
        <v>-1.0002579999998318E-2</v>
      </c>
      <c r="G56" s="233"/>
      <c r="H56" s="233"/>
      <c r="I56" s="233"/>
      <c r="J56" s="233"/>
      <c r="K56" s="233">
        <v>-1.0002579999998318E-2</v>
      </c>
      <c r="L56" s="360"/>
    </row>
    <row r="57" spans="1:12" ht="24">
      <c r="A57" s="165" t="s">
        <v>245</v>
      </c>
      <c r="B57" s="168" t="s">
        <v>245</v>
      </c>
      <c r="C57" s="161" t="s">
        <v>248</v>
      </c>
      <c r="D57" s="233">
        <v>3.4458510000000002</v>
      </c>
      <c r="E57" s="233">
        <v>0</v>
      </c>
      <c r="F57" s="233">
        <f t="shared" si="6"/>
        <v>3.4458510000000002</v>
      </c>
      <c r="G57" s="233"/>
      <c r="H57" s="233"/>
      <c r="I57" s="233"/>
      <c r="J57" s="233"/>
      <c r="K57" s="233">
        <v>3.4458510000000002</v>
      </c>
      <c r="L57" s="360"/>
    </row>
    <row r="58" spans="1:12" ht="24">
      <c r="A58" s="165" t="s">
        <v>245</v>
      </c>
      <c r="B58" s="168" t="s">
        <v>245</v>
      </c>
      <c r="C58" s="161" t="s">
        <v>249</v>
      </c>
      <c r="D58" s="233">
        <v>-0.19346379999999999</v>
      </c>
      <c r="E58" s="233">
        <v>0</v>
      </c>
      <c r="F58" s="233">
        <f t="shared" si="6"/>
        <v>-0.19346379999999999</v>
      </c>
      <c r="G58" s="233"/>
      <c r="H58" s="233"/>
      <c r="I58" s="233"/>
      <c r="J58" s="233"/>
      <c r="K58" s="233">
        <v>-0.19346379999999999</v>
      </c>
      <c r="L58" s="360"/>
    </row>
    <row r="59" spans="1:12" ht="24">
      <c r="A59" s="165" t="s">
        <v>245</v>
      </c>
      <c r="B59" s="168" t="s">
        <v>245</v>
      </c>
      <c r="C59" s="161" t="s">
        <v>250</v>
      </c>
      <c r="D59" s="233">
        <v>3.6050000000000001E-3</v>
      </c>
      <c r="E59" s="233">
        <v>3.0049E-3</v>
      </c>
      <c r="F59" s="233">
        <f t="shared" si="6"/>
        <v>6.0010000000000011E-4</v>
      </c>
      <c r="G59" s="233"/>
      <c r="H59" s="233"/>
      <c r="I59" s="233"/>
      <c r="J59" s="233"/>
      <c r="K59" s="233">
        <v>6.0010000000000011E-4</v>
      </c>
      <c r="L59" s="360"/>
    </row>
    <row r="60" spans="1:12">
      <c r="A60" s="165" t="s">
        <v>245</v>
      </c>
      <c r="B60" s="168" t="s">
        <v>245</v>
      </c>
      <c r="C60" s="161" t="s">
        <v>251</v>
      </c>
      <c r="D60" s="233">
        <v>7.3472700000000002E-2</v>
      </c>
      <c r="E60" s="233">
        <v>0.23296239999999999</v>
      </c>
      <c r="F60" s="233">
        <f t="shared" si="6"/>
        <v>-0.15948969999999998</v>
      </c>
      <c r="G60" s="233"/>
      <c r="H60" s="233"/>
      <c r="I60" s="233"/>
      <c r="J60" s="233"/>
      <c r="K60" s="233">
        <v>-0.15948969999999998</v>
      </c>
      <c r="L60" s="360"/>
    </row>
    <row r="61" spans="1:12" ht="24">
      <c r="A61" s="165" t="s">
        <v>245</v>
      </c>
      <c r="B61" s="168" t="s">
        <v>245</v>
      </c>
      <c r="C61" s="161" t="s">
        <v>252</v>
      </c>
      <c r="D61" s="233">
        <v>7.7830994000000001E-2</v>
      </c>
      <c r="E61" s="233">
        <v>9.5554600000000003E-2</v>
      </c>
      <c r="F61" s="233">
        <f t="shared" si="6"/>
        <v>-1.7723606000000003E-2</v>
      </c>
      <c r="G61" s="233"/>
      <c r="H61" s="233"/>
      <c r="I61" s="233"/>
      <c r="J61" s="233"/>
      <c r="K61" s="233">
        <v>-1.7723606000000003E-2</v>
      </c>
      <c r="L61" s="360"/>
    </row>
    <row r="62" spans="1:12">
      <c r="A62" s="169" t="s">
        <v>253</v>
      </c>
      <c r="B62" s="170" t="s">
        <v>254</v>
      </c>
      <c r="C62" s="161" t="s">
        <v>255</v>
      </c>
      <c r="D62" s="233">
        <v>34.739175361999997</v>
      </c>
      <c r="E62" s="233">
        <v>17.234742575101695</v>
      </c>
      <c r="F62" s="233">
        <f t="shared" si="6"/>
        <v>17.504432786898303</v>
      </c>
      <c r="G62" s="233"/>
      <c r="H62" s="233"/>
      <c r="I62" s="233">
        <f>F62</f>
        <v>17.504432786898303</v>
      </c>
      <c r="J62" s="233"/>
      <c r="K62" s="233"/>
      <c r="L62" s="360"/>
    </row>
    <row r="63" spans="1:12" ht="24" hidden="1" customHeight="1">
      <c r="A63" s="169" t="s">
        <v>253</v>
      </c>
      <c r="B63" s="170" t="s">
        <v>256</v>
      </c>
      <c r="C63" s="161" t="s">
        <v>257</v>
      </c>
      <c r="D63" s="233">
        <v>1.316238</v>
      </c>
      <c r="E63" s="233">
        <v>0.39508776789041095</v>
      </c>
      <c r="F63" s="233">
        <f t="shared" si="6"/>
        <v>0.92115023210958902</v>
      </c>
      <c r="G63" s="233"/>
      <c r="H63" s="233"/>
      <c r="I63" s="233">
        <f>F63</f>
        <v>0.92115023210958902</v>
      </c>
      <c r="J63" s="233"/>
      <c r="K63" s="233"/>
      <c r="L63" s="360"/>
    </row>
    <row r="64" spans="1:12" ht="24" hidden="1" customHeight="1">
      <c r="A64" s="169" t="s">
        <v>253</v>
      </c>
      <c r="B64" s="170" t="s">
        <v>258</v>
      </c>
      <c r="C64" s="161" t="s">
        <v>259</v>
      </c>
      <c r="D64" s="233">
        <v>8.0556628799999999</v>
      </c>
      <c r="E64" s="233">
        <v>8.0556628799999999</v>
      </c>
      <c r="F64" s="233">
        <f t="shared" si="6"/>
        <v>0</v>
      </c>
      <c r="G64" s="233"/>
      <c r="H64" s="233"/>
      <c r="I64" s="233"/>
      <c r="J64" s="233"/>
      <c r="K64" s="233"/>
      <c r="L64" s="360"/>
    </row>
    <row r="65" spans="1:12" ht="36" hidden="1" customHeight="1">
      <c r="A65" s="169" t="s">
        <v>253</v>
      </c>
      <c r="B65" s="170" t="s">
        <v>260</v>
      </c>
      <c r="C65" s="161" t="s">
        <v>261</v>
      </c>
      <c r="D65" s="233">
        <v>4.0000000000000001E-8</v>
      </c>
      <c r="E65" s="233">
        <v>0</v>
      </c>
      <c r="F65" s="233">
        <f t="shared" si="6"/>
        <v>4.0000000000000001E-8</v>
      </c>
      <c r="G65" s="233"/>
      <c r="H65" s="233"/>
      <c r="I65" s="233"/>
      <c r="J65" s="233"/>
      <c r="K65" s="233">
        <v>4.0000000000000001E-8</v>
      </c>
      <c r="L65" s="360"/>
    </row>
    <row r="66" spans="1:12" ht="48" hidden="1" customHeight="1">
      <c r="A66" s="169" t="s">
        <v>253</v>
      </c>
      <c r="B66" s="170" t="s">
        <v>262</v>
      </c>
      <c r="C66" s="161" t="s">
        <v>259</v>
      </c>
      <c r="D66" s="233">
        <v>3.9665639100000001</v>
      </c>
      <c r="E66" s="233">
        <v>3.9665639000000001</v>
      </c>
      <c r="F66" s="233">
        <f t="shared" si="6"/>
        <v>9.9999999392252903E-9</v>
      </c>
      <c r="G66" s="233"/>
      <c r="H66" s="233"/>
      <c r="I66" s="233"/>
      <c r="J66" s="233"/>
      <c r="K66" s="233">
        <v>9.9999999392252903E-9</v>
      </c>
      <c r="L66" s="360"/>
    </row>
    <row r="67" spans="1:12" ht="24">
      <c r="A67" s="169" t="s">
        <v>253</v>
      </c>
      <c r="B67" s="170" t="s">
        <v>263</v>
      </c>
      <c r="C67" s="161" t="s">
        <v>259</v>
      </c>
      <c r="D67" s="233">
        <v>0</v>
      </c>
      <c r="E67" s="233">
        <v>0</v>
      </c>
      <c r="F67" s="233">
        <f t="shared" si="6"/>
        <v>0</v>
      </c>
      <c r="G67" s="233"/>
      <c r="H67" s="233"/>
      <c r="I67" s="233"/>
      <c r="J67" s="233"/>
      <c r="K67" s="233"/>
      <c r="L67" s="360"/>
    </row>
    <row r="68" spans="1:12" ht="36" hidden="1" customHeight="1">
      <c r="A68" s="169" t="s">
        <v>253</v>
      </c>
      <c r="B68" s="170" t="s">
        <v>264</v>
      </c>
      <c r="C68" s="161" t="s">
        <v>265</v>
      </c>
      <c r="D68" s="233">
        <v>24.253834600000001</v>
      </c>
      <c r="E68" s="233">
        <v>11.291144110879999</v>
      </c>
      <c r="F68" s="233">
        <f t="shared" si="6"/>
        <v>12.962690489120002</v>
      </c>
      <c r="G68" s="233"/>
      <c r="H68" s="233"/>
      <c r="I68" s="233">
        <f>F68</f>
        <v>12.962690489120002</v>
      </c>
      <c r="J68" s="233"/>
      <c r="K68" s="233"/>
      <c r="L68" s="360"/>
    </row>
    <row r="69" spans="1:12" ht="24">
      <c r="A69" s="169" t="s">
        <v>253</v>
      </c>
      <c r="B69" s="170" t="s">
        <v>266</v>
      </c>
      <c r="C69" s="161" t="s">
        <v>267</v>
      </c>
      <c r="D69" s="233">
        <v>3.5999999999999998E-8</v>
      </c>
      <c r="E69" s="233">
        <v>0</v>
      </c>
      <c r="F69" s="233">
        <f t="shared" si="6"/>
        <v>3.5999999999999998E-8</v>
      </c>
      <c r="G69" s="233"/>
      <c r="H69" s="233"/>
      <c r="I69" s="233"/>
      <c r="J69" s="233"/>
      <c r="K69" s="233">
        <v>3.5999999999999998E-8</v>
      </c>
      <c r="L69" s="360"/>
    </row>
    <row r="70" spans="1:12" ht="48" hidden="1" customHeight="1">
      <c r="A70" s="169" t="s">
        <v>253</v>
      </c>
      <c r="B70" s="170" t="s">
        <v>268</v>
      </c>
      <c r="C70" s="161" t="s">
        <v>265</v>
      </c>
      <c r="D70" s="233">
        <v>0.95592719999999998</v>
      </c>
      <c r="E70" s="233">
        <v>0</v>
      </c>
      <c r="F70" s="233">
        <f t="shared" si="6"/>
        <v>0.95592719999999998</v>
      </c>
      <c r="G70" s="233"/>
      <c r="H70" s="233"/>
      <c r="I70" s="233"/>
      <c r="J70" s="233"/>
      <c r="K70" s="233">
        <f>F70</f>
        <v>0.95592719999999998</v>
      </c>
      <c r="L70" s="360"/>
    </row>
    <row r="71" spans="1:12" ht="24" hidden="1" customHeight="1">
      <c r="A71" s="169" t="s">
        <v>253</v>
      </c>
      <c r="B71" s="170" t="s">
        <v>269</v>
      </c>
      <c r="C71" s="161" t="s">
        <v>270</v>
      </c>
      <c r="D71" s="233">
        <v>0.35787007799999998</v>
      </c>
      <c r="E71" s="233">
        <v>0.35787010000000002</v>
      </c>
      <c r="F71" s="233">
        <f t="shared" si="6"/>
        <v>-2.2000000043931323E-8</v>
      </c>
      <c r="G71" s="233"/>
      <c r="H71" s="233"/>
      <c r="I71" s="233"/>
      <c r="J71" s="233"/>
      <c r="K71" s="233">
        <v>-2.2000000043931323E-8</v>
      </c>
      <c r="L71" s="360"/>
    </row>
    <row r="72" spans="1:12" ht="24" hidden="1" customHeight="1">
      <c r="A72" s="165" t="s">
        <v>271</v>
      </c>
      <c r="B72" s="166" t="s">
        <v>272</v>
      </c>
      <c r="C72" s="161" t="s">
        <v>273</v>
      </c>
      <c r="D72" s="233">
        <v>2.3000000000000001E-8</v>
      </c>
      <c r="E72" s="233">
        <v>0</v>
      </c>
      <c r="F72" s="233">
        <f t="shared" si="6"/>
        <v>2.3000000000000001E-8</v>
      </c>
      <c r="G72" s="233"/>
      <c r="H72" s="233"/>
      <c r="I72" s="233"/>
      <c r="J72" s="233"/>
      <c r="K72" s="233">
        <v>2.3000000000000001E-8</v>
      </c>
      <c r="L72" s="360"/>
    </row>
    <row r="73" spans="1:12">
      <c r="A73" s="165" t="s">
        <v>271</v>
      </c>
      <c r="B73" s="166" t="s">
        <v>274</v>
      </c>
      <c r="C73" s="161" t="s">
        <v>275</v>
      </c>
      <c r="D73" s="233">
        <v>3.8153676000000001</v>
      </c>
      <c r="E73" s="233">
        <v>3.8153676000000001</v>
      </c>
      <c r="F73" s="233">
        <f t="shared" si="6"/>
        <v>0</v>
      </c>
      <c r="G73" s="233"/>
      <c r="H73" s="233"/>
      <c r="I73" s="233"/>
      <c r="J73" s="233"/>
      <c r="K73" s="233"/>
      <c r="L73" s="360"/>
    </row>
    <row r="74" spans="1:12">
      <c r="A74" s="165" t="s">
        <v>271</v>
      </c>
      <c r="B74" s="166" t="s">
        <v>276</v>
      </c>
      <c r="C74" s="161" t="s">
        <v>277</v>
      </c>
      <c r="D74" s="233">
        <v>3.4046518369999998</v>
      </c>
      <c r="E74" s="233">
        <v>0.24556648717999999</v>
      </c>
      <c r="F74" s="233">
        <f t="shared" si="6"/>
        <v>3.1590853498199998</v>
      </c>
      <c r="G74" s="233"/>
      <c r="H74" s="233">
        <f>F74</f>
        <v>3.1590853498199998</v>
      </c>
      <c r="I74" s="233"/>
      <c r="J74" s="233"/>
      <c r="K74" s="233"/>
      <c r="L74" s="360"/>
    </row>
    <row r="75" spans="1:12">
      <c r="A75" s="165" t="s">
        <v>271</v>
      </c>
      <c r="B75" s="166" t="s">
        <v>278</v>
      </c>
      <c r="C75" s="161" t="s">
        <v>279</v>
      </c>
      <c r="D75" s="233">
        <v>4.4364648569999998</v>
      </c>
      <c r="E75" s="233">
        <v>0</v>
      </c>
      <c r="F75" s="233">
        <f t="shared" si="6"/>
        <v>4.4364648569999998</v>
      </c>
      <c r="G75" s="233"/>
      <c r="H75" s="233">
        <f>F75</f>
        <v>4.4364648569999998</v>
      </c>
      <c r="I75" s="233"/>
      <c r="J75" s="233"/>
      <c r="K75" s="233"/>
      <c r="L75" s="360"/>
    </row>
    <row r="76" spans="1:12">
      <c r="A76" s="165" t="s">
        <v>271</v>
      </c>
      <c r="B76" s="166" t="s">
        <v>280</v>
      </c>
      <c r="C76" s="161" t="s">
        <v>281</v>
      </c>
      <c r="D76" s="233">
        <v>0</v>
      </c>
      <c r="E76" s="233">
        <v>0.27999956600000003</v>
      </c>
      <c r="F76" s="233">
        <f t="shared" si="6"/>
        <v>-0.27999956600000003</v>
      </c>
      <c r="G76" s="233"/>
      <c r="H76" s="233"/>
      <c r="I76" s="233"/>
      <c r="J76" s="233"/>
      <c r="K76" s="233">
        <v>-0.27999956600000003</v>
      </c>
      <c r="L76" s="360"/>
    </row>
    <row r="77" spans="1:12" ht="24">
      <c r="A77" s="165" t="s">
        <v>271</v>
      </c>
      <c r="B77" s="166" t="s">
        <v>282</v>
      </c>
      <c r="C77" s="161" t="s">
        <v>283</v>
      </c>
      <c r="D77" s="233">
        <v>19.760966116999999</v>
      </c>
      <c r="E77" s="233">
        <v>19.770349817</v>
      </c>
      <c r="F77" s="233">
        <f t="shared" si="6"/>
        <v>-9.383700000000772E-3</v>
      </c>
      <c r="G77" s="233"/>
      <c r="H77" s="233"/>
      <c r="I77" s="233"/>
      <c r="J77" s="233"/>
      <c r="K77" s="233">
        <v>-9.383700000000772E-3</v>
      </c>
      <c r="L77" s="360"/>
    </row>
    <row r="78" spans="1:12">
      <c r="A78" s="165" t="s">
        <v>271</v>
      </c>
      <c r="B78" s="166" t="s">
        <v>284</v>
      </c>
      <c r="C78" s="161" t="s">
        <v>279</v>
      </c>
      <c r="D78" s="233">
        <v>2.069273913</v>
      </c>
      <c r="E78" s="233">
        <v>0.95573876999999996</v>
      </c>
      <c r="F78" s="233">
        <f t="shared" si="6"/>
        <v>1.113535143</v>
      </c>
      <c r="G78" s="233"/>
      <c r="H78" s="233">
        <f>F78</f>
        <v>1.113535143</v>
      </c>
      <c r="I78" s="233"/>
      <c r="J78" s="233"/>
      <c r="K78" s="233"/>
      <c r="L78" s="360"/>
    </row>
    <row r="79" spans="1:12" ht="48" hidden="1" customHeight="1">
      <c r="A79" s="165" t="s">
        <v>271</v>
      </c>
      <c r="B79" s="166" t="s">
        <v>285</v>
      </c>
      <c r="C79" s="161" t="s">
        <v>286</v>
      </c>
      <c r="D79" s="233">
        <v>2.2640555</v>
      </c>
      <c r="E79" s="233">
        <v>0.63393554000000008</v>
      </c>
      <c r="F79" s="233">
        <f t="shared" si="6"/>
        <v>1.63011996</v>
      </c>
      <c r="G79" s="233"/>
      <c r="H79" s="233"/>
      <c r="I79" s="233"/>
      <c r="J79" s="233"/>
      <c r="K79" s="233">
        <f>F79</f>
        <v>1.63011996</v>
      </c>
      <c r="L79" s="360"/>
    </row>
    <row r="80" spans="1:12" ht="24">
      <c r="A80" s="165" t="s">
        <v>271</v>
      </c>
      <c r="B80" s="166" t="s">
        <v>287</v>
      </c>
      <c r="C80" s="161" t="s">
        <v>288</v>
      </c>
      <c r="D80" s="233">
        <v>1.7264860929999999</v>
      </c>
      <c r="E80" s="233">
        <v>1.7264860929999999</v>
      </c>
      <c r="F80" s="233">
        <f t="shared" si="6"/>
        <v>0</v>
      </c>
      <c r="G80" s="233"/>
      <c r="H80" s="233"/>
      <c r="I80" s="233"/>
      <c r="J80" s="233"/>
      <c r="K80" s="233"/>
      <c r="L80" s="360"/>
    </row>
    <row r="81" spans="1:12">
      <c r="A81" s="171" t="s">
        <v>271</v>
      </c>
      <c r="B81" s="172" t="s">
        <v>289</v>
      </c>
      <c r="C81" s="161">
        <v>0</v>
      </c>
      <c r="D81" s="233">
        <v>3.8999999999999998E-8</v>
      </c>
      <c r="E81" s="233">
        <v>0</v>
      </c>
      <c r="F81" s="233">
        <f t="shared" si="6"/>
        <v>3.8999999999999998E-8</v>
      </c>
      <c r="G81" s="233"/>
      <c r="H81" s="233"/>
      <c r="I81" s="233"/>
      <c r="J81" s="233"/>
      <c r="K81" s="233">
        <v>3.8999999999999998E-8</v>
      </c>
      <c r="L81" s="360"/>
    </row>
    <row r="82" spans="1:12" ht="36">
      <c r="A82" s="162" t="s">
        <v>290</v>
      </c>
      <c r="B82" s="173" t="s">
        <v>291</v>
      </c>
      <c r="C82" s="161" t="s">
        <v>292</v>
      </c>
      <c r="D82" s="233">
        <v>3.5687547999999998</v>
      </c>
      <c r="E82" s="233">
        <v>6.0965330067769861</v>
      </c>
      <c r="F82" s="233">
        <f t="shared" si="6"/>
        <v>-2.5277782067769863</v>
      </c>
      <c r="G82" s="233"/>
      <c r="H82" s="233">
        <f>F82-V82</f>
        <v>-2.5277782067769863</v>
      </c>
      <c r="I82" s="233"/>
      <c r="J82" s="233"/>
      <c r="K82" s="233">
        <v>1.6899999999999995</v>
      </c>
      <c r="L82" s="360"/>
    </row>
    <row r="83" spans="1:12" ht="24">
      <c r="A83" s="162" t="s">
        <v>290</v>
      </c>
      <c r="B83" s="173" t="s">
        <v>293</v>
      </c>
      <c r="C83" s="161" t="s">
        <v>294</v>
      </c>
      <c r="D83" s="233">
        <v>8.7857592407787732E-2</v>
      </c>
      <c r="E83" s="233">
        <v>8.7857592407787732E-2</v>
      </c>
      <c r="F83" s="233">
        <f t="shared" si="6"/>
        <v>0</v>
      </c>
      <c r="G83" s="233"/>
      <c r="H83" s="233"/>
      <c r="I83" s="233"/>
      <c r="J83" s="233"/>
      <c r="K83" s="233"/>
      <c r="L83" s="360"/>
    </row>
    <row r="84" spans="1:12" ht="36" hidden="1" customHeight="1">
      <c r="A84" s="162" t="s">
        <v>290</v>
      </c>
      <c r="B84" s="173" t="s">
        <v>295</v>
      </c>
      <c r="C84" s="161" t="s">
        <v>296</v>
      </c>
      <c r="D84" s="233">
        <v>4.5505006269999981</v>
      </c>
      <c r="E84" s="233">
        <v>0</v>
      </c>
      <c r="F84" s="233">
        <f t="shared" si="6"/>
        <v>4.5505006269999981</v>
      </c>
      <c r="G84" s="233"/>
      <c r="H84" s="233">
        <f>F84</f>
        <v>4.5505006269999981</v>
      </c>
      <c r="I84" s="233"/>
      <c r="J84" s="233"/>
      <c r="K84" s="233"/>
      <c r="L84" s="360"/>
    </row>
    <row r="85" spans="1:12" ht="60">
      <c r="A85" s="162" t="s">
        <v>290</v>
      </c>
      <c r="B85" s="173" t="s">
        <v>297</v>
      </c>
      <c r="C85" s="161" t="s">
        <v>294</v>
      </c>
      <c r="D85" s="233">
        <v>0.83837542399999998</v>
      </c>
      <c r="E85" s="233">
        <v>0.83837543519373792</v>
      </c>
      <c r="F85" s="233">
        <f t="shared" si="6"/>
        <v>-1.119373793656564E-8</v>
      </c>
      <c r="G85" s="233"/>
      <c r="H85" s="233">
        <f>F85</f>
        <v>-1.119373793656564E-8</v>
      </c>
      <c r="I85" s="233"/>
      <c r="J85" s="233"/>
      <c r="K85" s="233"/>
      <c r="L85" s="360"/>
    </row>
    <row r="86" spans="1:12" ht="48" hidden="1" customHeight="1">
      <c r="A86" s="162" t="s">
        <v>290</v>
      </c>
      <c r="B86" s="173" t="s">
        <v>298</v>
      </c>
      <c r="C86" s="161" t="s">
        <v>296</v>
      </c>
      <c r="D86" s="233">
        <v>4.0528300000000002</v>
      </c>
      <c r="E86" s="233">
        <v>0</v>
      </c>
      <c r="F86" s="233">
        <f t="shared" si="6"/>
        <v>4.0528300000000002</v>
      </c>
      <c r="G86" s="233"/>
      <c r="H86" s="233">
        <f>F86</f>
        <v>4.0528300000000002</v>
      </c>
      <c r="I86" s="233"/>
      <c r="J86" s="233"/>
      <c r="K86" s="233"/>
      <c r="L86" s="360"/>
    </row>
    <row r="87" spans="1:12" ht="24">
      <c r="A87" s="162" t="s">
        <v>290</v>
      </c>
      <c r="B87" s="173" t="s">
        <v>299</v>
      </c>
      <c r="C87" s="161" t="s">
        <v>296</v>
      </c>
      <c r="D87" s="233">
        <v>4.0372884999999998</v>
      </c>
      <c r="E87" s="233">
        <v>4.0372884878894997</v>
      </c>
      <c r="F87" s="233">
        <f t="shared" si="6"/>
        <v>1.2110500158257764E-8</v>
      </c>
      <c r="G87" s="233"/>
      <c r="H87" s="233"/>
      <c r="I87" s="233"/>
      <c r="J87" s="233"/>
      <c r="K87" s="233">
        <v>1.2110500158257764E-8</v>
      </c>
      <c r="L87" s="360"/>
    </row>
    <row r="88" spans="1:12" ht="24">
      <c r="A88" s="162" t="s">
        <v>290</v>
      </c>
      <c r="B88" s="173" t="s">
        <v>300</v>
      </c>
      <c r="C88" s="161" t="s">
        <v>301</v>
      </c>
      <c r="D88" s="233">
        <v>3.3893966369999999</v>
      </c>
      <c r="E88" s="233">
        <v>0</v>
      </c>
      <c r="F88" s="233">
        <f t="shared" ref="F88:F119" si="7">D88-E88</f>
        <v>3.3893966369999999</v>
      </c>
      <c r="G88" s="233"/>
      <c r="H88" s="233">
        <f t="shared" ref="H88:H93" si="8">F88</f>
        <v>3.3893966369999999</v>
      </c>
      <c r="I88" s="233"/>
      <c r="J88" s="233"/>
      <c r="K88" s="233"/>
      <c r="L88" s="360"/>
    </row>
    <row r="89" spans="1:12" ht="24">
      <c r="A89" s="162" t="s">
        <v>290</v>
      </c>
      <c r="B89" s="173" t="s">
        <v>302</v>
      </c>
      <c r="C89" s="161" t="s">
        <v>303</v>
      </c>
      <c r="D89" s="233">
        <v>1.3637971</v>
      </c>
      <c r="E89" s="233">
        <v>0</v>
      </c>
      <c r="F89" s="233">
        <f t="shared" si="7"/>
        <v>1.3637971</v>
      </c>
      <c r="G89" s="233"/>
      <c r="H89" s="233">
        <f t="shared" si="8"/>
        <v>1.3637971</v>
      </c>
      <c r="I89" s="233"/>
      <c r="J89" s="233"/>
      <c r="K89" s="233"/>
      <c r="L89" s="360"/>
    </row>
    <row r="90" spans="1:12" ht="24">
      <c r="A90" s="162" t="s">
        <v>290</v>
      </c>
      <c r="B90" s="173" t="s">
        <v>304</v>
      </c>
      <c r="C90" s="161" t="s">
        <v>292</v>
      </c>
      <c r="D90" s="233">
        <v>0.29525269799999998</v>
      </c>
      <c r="E90" s="233">
        <v>0</v>
      </c>
      <c r="F90" s="233">
        <f t="shared" si="7"/>
        <v>0.29525269799999998</v>
      </c>
      <c r="G90" s="233"/>
      <c r="H90" s="233">
        <f t="shared" si="8"/>
        <v>0.29525269799999998</v>
      </c>
      <c r="I90" s="233"/>
      <c r="J90" s="233"/>
      <c r="K90" s="233"/>
      <c r="L90" s="360"/>
    </row>
    <row r="91" spans="1:12" ht="48">
      <c r="A91" s="162" t="s">
        <v>290</v>
      </c>
      <c r="B91" s="173" t="s">
        <v>305</v>
      </c>
      <c r="C91" s="161" t="s">
        <v>306</v>
      </c>
      <c r="D91" s="233">
        <v>10.520797629</v>
      </c>
      <c r="E91" s="233">
        <v>0</v>
      </c>
      <c r="F91" s="233">
        <f t="shared" si="7"/>
        <v>10.520797629</v>
      </c>
      <c r="G91" s="233"/>
      <c r="H91" s="233">
        <f t="shared" si="8"/>
        <v>10.520797629</v>
      </c>
      <c r="I91" s="233"/>
      <c r="J91" s="233"/>
      <c r="K91" s="233"/>
      <c r="L91" s="360"/>
    </row>
    <row r="92" spans="1:12" ht="48">
      <c r="A92" s="162" t="s">
        <v>290</v>
      </c>
      <c r="B92" s="173" t="s">
        <v>307</v>
      </c>
      <c r="C92" s="161" t="s">
        <v>306</v>
      </c>
      <c r="D92" s="233">
        <v>0.29999221700000006</v>
      </c>
      <c r="E92" s="233">
        <v>0</v>
      </c>
      <c r="F92" s="233">
        <f t="shared" si="7"/>
        <v>0.29999221700000006</v>
      </c>
      <c r="G92" s="233"/>
      <c r="H92" s="233">
        <f t="shared" si="8"/>
        <v>0.29999221700000006</v>
      </c>
      <c r="I92" s="233"/>
      <c r="J92" s="233"/>
      <c r="K92" s="233"/>
      <c r="L92" s="360"/>
    </row>
    <row r="93" spans="1:12" ht="36">
      <c r="A93" s="162" t="s">
        <v>290</v>
      </c>
      <c r="B93" s="173" t="s">
        <v>308</v>
      </c>
      <c r="C93" s="161" t="s">
        <v>306</v>
      </c>
      <c r="D93" s="233">
        <v>4.1268917329999999</v>
      </c>
      <c r="E93" s="233">
        <v>0</v>
      </c>
      <c r="F93" s="233">
        <f t="shared" si="7"/>
        <v>4.1268917329999999</v>
      </c>
      <c r="G93" s="233"/>
      <c r="H93" s="233">
        <f t="shared" si="8"/>
        <v>4.1268917329999999</v>
      </c>
      <c r="I93" s="233"/>
      <c r="J93" s="233"/>
      <c r="K93" s="233"/>
      <c r="L93" s="360"/>
    </row>
    <row r="94" spans="1:12" ht="36">
      <c r="A94" s="162" t="s">
        <v>290</v>
      </c>
      <c r="B94" s="173" t="s">
        <v>309</v>
      </c>
      <c r="C94" s="161" t="s">
        <v>310</v>
      </c>
      <c r="D94" s="233">
        <v>1.1357434237288157E-2</v>
      </c>
      <c r="E94" s="233">
        <v>3.1800815864406842E-3</v>
      </c>
      <c r="F94" s="233">
        <f t="shared" si="7"/>
        <v>8.1773526508474737E-3</v>
      </c>
      <c r="G94" s="233"/>
      <c r="H94" s="233"/>
      <c r="I94" s="233"/>
      <c r="J94" s="233"/>
      <c r="K94" s="233">
        <f>F94</f>
        <v>8.1773526508474737E-3</v>
      </c>
      <c r="L94" s="360"/>
    </row>
    <row r="95" spans="1:12" ht="36">
      <c r="A95" s="162" t="s">
        <v>290</v>
      </c>
      <c r="B95" s="174" t="s">
        <v>311</v>
      </c>
      <c r="C95" s="161" t="s">
        <v>310</v>
      </c>
      <c r="D95" s="233">
        <v>12.9417496</v>
      </c>
      <c r="E95" s="233">
        <v>3.6236898772989603</v>
      </c>
      <c r="F95" s="233">
        <f t="shared" si="7"/>
        <v>9.3180597227010402</v>
      </c>
      <c r="G95" s="233"/>
      <c r="H95" s="233"/>
      <c r="I95" s="233"/>
      <c r="J95" s="233"/>
      <c r="K95" s="233">
        <f>F95</f>
        <v>9.3180597227010402</v>
      </c>
      <c r="L95" s="360"/>
    </row>
    <row r="96" spans="1:12" ht="48">
      <c r="A96" s="162" t="s">
        <v>290</v>
      </c>
      <c r="B96" s="173" t="s">
        <v>312</v>
      </c>
      <c r="C96" s="161" t="s">
        <v>310</v>
      </c>
      <c r="D96" s="233">
        <v>2.5741438482613961</v>
      </c>
      <c r="E96" s="233">
        <v>0.72076027751319105</v>
      </c>
      <c r="F96" s="233">
        <f t="shared" si="7"/>
        <v>1.8533835707482051</v>
      </c>
      <c r="G96" s="233"/>
      <c r="H96" s="233"/>
      <c r="I96" s="233"/>
      <c r="J96" s="233"/>
      <c r="K96" s="233">
        <f>F96</f>
        <v>1.8533835707482051</v>
      </c>
      <c r="L96" s="360"/>
    </row>
    <row r="97" spans="1:22" ht="48" hidden="1" customHeight="1">
      <c r="A97" s="162" t="s">
        <v>290</v>
      </c>
      <c r="B97" s="173" t="s">
        <v>313</v>
      </c>
      <c r="C97" s="161" t="s">
        <v>310</v>
      </c>
      <c r="D97" s="233">
        <v>3.7333640122508442</v>
      </c>
      <c r="E97" s="233">
        <v>1.3031451631811077</v>
      </c>
      <c r="F97" s="233">
        <f t="shared" si="7"/>
        <v>2.4302188490697363</v>
      </c>
      <c r="G97" s="233"/>
      <c r="H97" s="233"/>
      <c r="I97" s="233"/>
      <c r="J97" s="233"/>
      <c r="K97" s="233">
        <f>F97</f>
        <v>2.4302188490697363</v>
      </c>
      <c r="L97" s="360"/>
    </row>
    <row r="98" spans="1:22" ht="48" hidden="1" customHeight="1">
      <c r="A98" s="162" t="s">
        <v>290</v>
      </c>
      <c r="B98" s="173" t="s">
        <v>314</v>
      </c>
      <c r="C98" s="161" t="s">
        <v>310</v>
      </c>
      <c r="D98" s="233">
        <v>0</v>
      </c>
      <c r="E98" s="233">
        <v>0</v>
      </c>
      <c r="F98" s="233">
        <f t="shared" si="7"/>
        <v>0</v>
      </c>
      <c r="G98" s="233"/>
      <c r="H98" s="233"/>
      <c r="I98" s="233"/>
      <c r="J98" s="233"/>
      <c r="K98" s="233"/>
      <c r="L98" s="360"/>
    </row>
    <row r="99" spans="1:22" ht="36">
      <c r="A99" s="162" t="s">
        <v>290</v>
      </c>
      <c r="B99" s="173" t="s">
        <v>315</v>
      </c>
      <c r="C99" s="161" t="s">
        <v>310</v>
      </c>
      <c r="D99" s="233">
        <v>0</v>
      </c>
      <c r="E99" s="233">
        <v>0</v>
      </c>
      <c r="F99" s="233">
        <f t="shared" si="7"/>
        <v>0</v>
      </c>
      <c r="G99" s="233"/>
      <c r="H99" s="233"/>
      <c r="I99" s="233"/>
      <c r="J99" s="233"/>
      <c r="K99" s="233"/>
      <c r="L99" s="360"/>
    </row>
    <row r="100" spans="1:22">
      <c r="A100" s="162" t="s">
        <v>316</v>
      </c>
      <c r="B100" s="175" t="s">
        <v>316</v>
      </c>
      <c r="C100" s="161" t="s">
        <v>317</v>
      </c>
      <c r="D100" s="233">
        <v>2.3379999999999998E-3</v>
      </c>
      <c r="E100" s="233">
        <v>3.2661832271781002E-2</v>
      </c>
      <c r="F100" s="233">
        <f t="shared" si="7"/>
        <v>-3.0323832271781002E-2</v>
      </c>
      <c r="G100" s="233"/>
      <c r="H100" s="233"/>
      <c r="I100" s="233"/>
      <c r="J100" s="233"/>
      <c r="K100" s="233">
        <v>-3.0323832271781002E-2</v>
      </c>
      <c r="L100" s="230" t="s">
        <v>184</v>
      </c>
      <c r="M100" s="231"/>
      <c r="N100" s="231"/>
      <c r="O100" s="232">
        <f>SUBTOTAL(9,O103:O264)</f>
        <v>386.23303390415725</v>
      </c>
      <c r="P100" s="232">
        <f t="shared" ref="P100" si="9">SUBTOTAL(9,P103:P264)</f>
        <v>261.36419721795426</v>
      </c>
      <c r="Q100" s="232">
        <f>SUBTOTAL(9,Q103:Q264)</f>
        <v>124.8688366862031</v>
      </c>
      <c r="R100" s="232"/>
      <c r="S100" s="232">
        <f t="shared" ref="S100:V100" si="10">SUBTOTAL(9,S103:S264)</f>
        <v>36.455581424029276</v>
      </c>
      <c r="T100" s="232">
        <f t="shared" si="10"/>
        <v>34.303526098961974</v>
      </c>
      <c r="U100" s="232">
        <f t="shared" si="10"/>
        <v>0</v>
      </c>
      <c r="V100" s="232">
        <f t="shared" si="10"/>
        <v>54.099729163211819</v>
      </c>
    </row>
    <row r="101" spans="1:22" ht="14.4" customHeight="1">
      <c r="A101" s="162" t="s">
        <v>316</v>
      </c>
      <c r="B101" s="175" t="s">
        <v>316</v>
      </c>
      <c r="C101" s="161" t="s">
        <v>318</v>
      </c>
      <c r="D101" s="233">
        <v>3.0323800000000001E-2</v>
      </c>
      <c r="E101" s="233">
        <v>0</v>
      </c>
      <c r="F101" s="233">
        <f t="shared" si="7"/>
        <v>3.0323800000000001E-2</v>
      </c>
      <c r="G101" s="233"/>
      <c r="H101" s="233"/>
      <c r="I101" s="233"/>
      <c r="J101" s="233"/>
      <c r="K101" s="233">
        <v>3.0323800000000001E-2</v>
      </c>
      <c r="L101" s="417" t="s">
        <v>185</v>
      </c>
      <c r="M101" s="417" t="s">
        <v>186</v>
      </c>
      <c r="N101" s="417" t="s">
        <v>187</v>
      </c>
      <c r="O101" s="327" t="s">
        <v>6</v>
      </c>
      <c r="P101" s="328"/>
      <c r="Q101" s="329"/>
      <c r="R101" s="316"/>
      <c r="S101" s="418" t="s">
        <v>522</v>
      </c>
      <c r="T101" s="418"/>
      <c r="U101" s="418"/>
      <c r="V101" s="418"/>
    </row>
    <row r="102" spans="1:22" ht="36">
      <c r="A102" s="165" t="s">
        <v>245</v>
      </c>
      <c r="B102" s="168" t="s">
        <v>245</v>
      </c>
      <c r="C102" s="161" t="s">
        <v>319</v>
      </c>
      <c r="D102" s="233">
        <v>7.7210799999999996E-2</v>
      </c>
      <c r="E102" s="233">
        <v>0.10843700000000001</v>
      </c>
      <c r="F102" s="233">
        <f t="shared" si="7"/>
        <v>-3.122620000000001E-2</v>
      </c>
      <c r="G102" s="233"/>
      <c r="H102" s="233"/>
      <c r="I102" s="233"/>
      <c r="J102" s="233"/>
      <c r="K102" s="233">
        <v>-3.122620000000001E-2</v>
      </c>
      <c r="L102" s="417"/>
      <c r="M102" s="417"/>
      <c r="N102" s="417"/>
      <c r="O102" s="176" t="s">
        <v>523</v>
      </c>
      <c r="P102" s="176" t="s">
        <v>524</v>
      </c>
      <c r="Q102" s="176" t="s">
        <v>525</v>
      </c>
      <c r="R102" s="176"/>
      <c r="S102" s="176" t="s">
        <v>526</v>
      </c>
      <c r="T102" s="176" t="s">
        <v>527</v>
      </c>
      <c r="U102" s="176" t="s">
        <v>528</v>
      </c>
      <c r="V102" s="176" t="s">
        <v>555</v>
      </c>
    </row>
    <row r="103" spans="1:22" ht="24">
      <c r="A103" s="165" t="s">
        <v>188</v>
      </c>
      <c r="B103" s="168" t="s">
        <v>320</v>
      </c>
      <c r="C103" s="161" t="s">
        <v>321</v>
      </c>
      <c r="D103" s="233">
        <v>0.72889458899999993</v>
      </c>
      <c r="E103" s="233">
        <v>0.72889458899999993</v>
      </c>
      <c r="F103" s="233">
        <f t="shared" si="7"/>
        <v>0</v>
      </c>
      <c r="G103" s="233"/>
      <c r="H103" s="234">
        <v>0</v>
      </c>
      <c r="I103" s="234">
        <v>0</v>
      </c>
      <c r="J103" s="234">
        <v>0</v>
      </c>
      <c r="K103" s="234">
        <v>0</v>
      </c>
      <c r="L103" s="160" t="s">
        <v>188</v>
      </c>
      <c r="M103" s="161" t="s">
        <v>189</v>
      </c>
      <c r="N103" s="161" t="s">
        <v>190</v>
      </c>
      <c r="O103" s="233">
        <v>2.1787622230000001</v>
      </c>
      <c r="P103" s="233">
        <v>2.9633582230000006</v>
      </c>
      <c r="Q103" s="349">
        <f t="shared" ref="Q103:Q166" si="11">O103-P103</f>
        <v>-0.78459600000000052</v>
      </c>
      <c r="R103" s="349"/>
      <c r="S103" s="349"/>
      <c r="T103" s="349"/>
      <c r="U103" s="349"/>
      <c r="V103" s="349">
        <v>-0.78459600000000052</v>
      </c>
    </row>
    <row r="104" spans="1:22" ht="24">
      <c r="A104" s="165" t="s">
        <v>188</v>
      </c>
      <c r="B104" s="168" t="s">
        <v>322</v>
      </c>
      <c r="C104" s="161" t="s">
        <v>323</v>
      </c>
      <c r="D104" s="233">
        <v>4.5</v>
      </c>
      <c r="E104" s="233">
        <v>4.5</v>
      </c>
      <c r="F104" s="233">
        <f t="shared" si="7"/>
        <v>0</v>
      </c>
      <c r="G104" s="233"/>
      <c r="H104" s="234">
        <v>0</v>
      </c>
      <c r="I104" s="234">
        <v>0</v>
      </c>
      <c r="J104" s="234">
        <v>0</v>
      </c>
      <c r="K104" s="234">
        <v>0</v>
      </c>
      <c r="L104" s="160" t="s">
        <v>188</v>
      </c>
      <c r="M104" s="161" t="s">
        <v>191</v>
      </c>
      <c r="N104" s="161" t="s">
        <v>190</v>
      </c>
      <c r="O104" s="233">
        <v>3.915725031</v>
      </c>
      <c r="P104" s="233">
        <v>1.4197314731806352</v>
      </c>
      <c r="Q104" s="349">
        <f t="shared" si="11"/>
        <v>2.4959935578193648</v>
      </c>
      <c r="R104" s="349"/>
      <c r="S104" s="349"/>
      <c r="T104" s="349"/>
      <c r="U104" s="349"/>
      <c r="V104" s="349">
        <f>Q104</f>
        <v>2.4959935578193648</v>
      </c>
    </row>
    <row r="105" spans="1:22" ht="24">
      <c r="A105" s="165" t="s">
        <v>188</v>
      </c>
      <c r="B105" s="168" t="s">
        <v>324</v>
      </c>
      <c r="C105" s="161" t="s">
        <v>190</v>
      </c>
      <c r="D105" s="233">
        <v>5.6918976909999994</v>
      </c>
      <c r="E105" s="233">
        <v>5.6918976909999994</v>
      </c>
      <c r="F105" s="233">
        <f t="shared" si="7"/>
        <v>0</v>
      </c>
      <c r="G105" s="233"/>
      <c r="H105" s="234">
        <v>0</v>
      </c>
      <c r="I105" s="234">
        <v>0</v>
      </c>
      <c r="J105" s="234">
        <v>0</v>
      </c>
      <c r="K105" s="234">
        <v>0</v>
      </c>
      <c r="L105" s="160" t="s">
        <v>192</v>
      </c>
      <c r="M105" s="161" t="s">
        <v>192</v>
      </c>
      <c r="N105" s="161" t="s">
        <v>193</v>
      </c>
      <c r="O105" s="233">
        <v>0.72045250000000005</v>
      </c>
      <c r="P105" s="233">
        <v>0</v>
      </c>
      <c r="Q105" s="349">
        <f t="shared" si="11"/>
        <v>0.72045250000000005</v>
      </c>
      <c r="R105" s="349"/>
      <c r="S105" s="349"/>
      <c r="T105" s="349"/>
      <c r="U105" s="349"/>
      <c r="V105" s="349">
        <f>Q105</f>
        <v>0.72045250000000005</v>
      </c>
    </row>
    <row r="106" spans="1:22" ht="24">
      <c r="A106" s="165" t="s">
        <v>188</v>
      </c>
      <c r="B106" s="168" t="s">
        <v>325</v>
      </c>
      <c r="C106" s="161" t="s">
        <v>190</v>
      </c>
      <c r="D106" s="233">
        <v>1.225947388</v>
      </c>
      <c r="E106" s="233">
        <v>1.225947388</v>
      </c>
      <c r="F106" s="233">
        <f t="shared" si="7"/>
        <v>0</v>
      </c>
      <c r="G106" s="233"/>
      <c r="H106" s="234">
        <v>0</v>
      </c>
      <c r="I106" s="234">
        <v>0</v>
      </c>
      <c r="J106" s="234">
        <v>0</v>
      </c>
      <c r="K106" s="234">
        <v>0</v>
      </c>
      <c r="L106" s="162" t="s">
        <v>194</v>
      </c>
      <c r="M106" s="163" t="s">
        <v>195</v>
      </c>
      <c r="N106" s="161" t="s">
        <v>196</v>
      </c>
      <c r="O106" s="233">
        <v>1.6074655</v>
      </c>
      <c r="P106" s="233">
        <v>1.6074657000000001</v>
      </c>
      <c r="Q106" s="349">
        <f t="shared" si="11"/>
        <v>-2.0000000011677344E-7</v>
      </c>
      <c r="R106" s="349"/>
      <c r="S106" s="349"/>
      <c r="T106" s="349"/>
      <c r="U106" s="349"/>
      <c r="V106" s="349">
        <v>-2.0000000011677344E-7</v>
      </c>
    </row>
    <row r="107" spans="1:22">
      <c r="A107" s="165" t="s">
        <v>188</v>
      </c>
      <c r="B107" s="168" t="s">
        <v>326</v>
      </c>
      <c r="C107" s="161" t="s">
        <v>190</v>
      </c>
      <c r="D107" s="233">
        <v>0</v>
      </c>
      <c r="E107" s="233">
        <v>0</v>
      </c>
      <c r="F107" s="233">
        <f t="shared" si="7"/>
        <v>0</v>
      </c>
      <c r="G107" s="233"/>
      <c r="H107" s="234">
        <v>0</v>
      </c>
      <c r="I107" s="234">
        <v>0</v>
      </c>
      <c r="J107" s="234">
        <v>0</v>
      </c>
      <c r="K107" s="234">
        <v>0</v>
      </c>
      <c r="L107" s="162" t="s">
        <v>194</v>
      </c>
      <c r="M107" s="163" t="s">
        <v>197</v>
      </c>
      <c r="N107" s="161" t="s">
        <v>197</v>
      </c>
      <c r="O107" s="233">
        <v>0</v>
      </c>
      <c r="P107" s="233">
        <v>0</v>
      </c>
      <c r="Q107" s="349">
        <f t="shared" si="11"/>
        <v>0</v>
      </c>
      <c r="R107" s="349"/>
      <c r="S107" s="349"/>
      <c r="T107" s="349"/>
      <c r="U107" s="349"/>
      <c r="V107" s="349"/>
    </row>
    <row r="108" spans="1:22" ht="24">
      <c r="A108" s="165" t="s">
        <v>188</v>
      </c>
      <c r="B108" s="168" t="s">
        <v>327</v>
      </c>
      <c r="C108" s="161" t="s">
        <v>190</v>
      </c>
      <c r="D108" s="233">
        <v>1.5848475369999999</v>
      </c>
      <c r="E108" s="233">
        <v>1.5848475369999999</v>
      </c>
      <c r="F108" s="233">
        <f t="shared" si="7"/>
        <v>0</v>
      </c>
      <c r="G108" s="233"/>
      <c r="H108" s="234">
        <v>0</v>
      </c>
      <c r="I108" s="234">
        <v>0</v>
      </c>
      <c r="J108" s="234">
        <v>0</v>
      </c>
      <c r="K108" s="234">
        <v>0</v>
      </c>
      <c r="L108" s="162" t="s">
        <v>194</v>
      </c>
      <c r="M108" s="163" t="s">
        <v>198</v>
      </c>
      <c r="N108" s="161" t="s">
        <v>199</v>
      </c>
      <c r="O108" s="233">
        <v>0.83869740000000004</v>
      </c>
      <c r="P108" s="233">
        <v>0.71331160000000005</v>
      </c>
      <c r="Q108" s="349">
        <f t="shared" si="11"/>
        <v>0.12538579999999999</v>
      </c>
      <c r="R108" s="349"/>
      <c r="S108" s="349"/>
      <c r="T108" s="349">
        <v>0.12538579999999999</v>
      </c>
      <c r="U108" s="349"/>
      <c r="V108" s="349"/>
    </row>
    <row r="109" spans="1:22" ht="24">
      <c r="A109" s="165" t="s">
        <v>194</v>
      </c>
      <c r="B109" s="168" t="s">
        <v>328</v>
      </c>
      <c r="C109" s="161" t="s">
        <v>199</v>
      </c>
      <c r="D109" s="233">
        <v>0</v>
      </c>
      <c r="E109" s="233">
        <v>0</v>
      </c>
      <c r="F109" s="233">
        <f t="shared" si="7"/>
        <v>0</v>
      </c>
      <c r="G109" s="233"/>
      <c r="H109" s="234">
        <v>0</v>
      </c>
      <c r="I109" s="234">
        <v>0</v>
      </c>
      <c r="J109" s="234">
        <v>0</v>
      </c>
      <c r="K109" s="234">
        <v>0</v>
      </c>
      <c r="L109" s="162" t="s">
        <v>194</v>
      </c>
      <c r="M109" s="163" t="s">
        <v>200</v>
      </c>
      <c r="N109" s="161" t="s">
        <v>201</v>
      </c>
      <c r="O109" s="233">
        <v>0</v>
      </c>
      <c r="P109" s="233">
        <v>0</v>
      </c>
      <c r="Q109" s="349">
        <f t="shared" si="11"/>
        <v>0</v>
      </c>
      <c r="R109" s="349"/>
      <c r="S109" s="349"/>
      <c r="T109" s="349"/>
      <c r="U109" s="349"/>
      <c r="V109" s="349"/>
    </row>
    <row r="110" spans="1:22" ht="24">
      <c r="A110" s="165" t="s">
        <v>194</v>
      </c>
      <c r="B110" s="168" t="s">
        <v>329</v>
      </c>
      <c r="C110" s="161" t="s">
        <v>330</v>
      </c>
      <c r="D110" s="233">
        <v>0</v>
      </c>
      <c r="E110" s="233">
        <v>0</v>
      </c>
      <c r="F110" s="233">
        <f t="shared" si="7"/>
        <v>0</v>
      </c>
      <c r="G110" s="233"/>
      <c r="H110" s="234">
        <v>0</v>
      </c>
      <c r="I110" s="234">
        <v>0</v>
      </c>
      <c r="J110" s="234">
        <v>0</v>
      </c>
      <c r="K110" s="234">
        <v>0</v>
      </c>
      <c r="L110" s="162" t="s">
        <v>194</v>
      </c>
      <c r="M110" s="163" t="s">
        <v>202</v>
      </c>
      <c r="N110" s="161" t="s">
        <v>201</v>
      </c>
      <c r="O110" s="233">
        <v>0</v>
      </c>
      <c r="P110" s="233">
        <v>0</v>
      </c>
      <c r="Q110" s="349">
        <f t="shared" si="11"/>
        <v>0</v>
      </c>
      <c r="R110" s="349"/>
      <c r="S110" s="349"/>
      <c r="T110" s="349"/>
      <c r="U110" s="349"/>
      <c r="V110" s="349"/>
    </row>
    <row r="111" spans="1:22" ht="24">
      <c r="A111" s="165" t="s">
        <v>194</v>
      </c>
      <c r="B111" s="168" t="s">
        <v>331</v>
      </c>
      <c r="C111" s="161" t="s">
        <v>332</v>
      </c>
      <c r="D111" s="233">
        <v>0</v>
      </c>
      <c r="E111" s="233">
        <v>0</v>
      </c>
      <c r="F111" s="233">
        <f t="shared" si="7"/>
        <v>0</v>
      </c>
      <c r="G111" s="233"/>
      <c r="H111" s="234">
        <v>0</v>
      </c>
      <c r="I111" s="234">
        <v>0</v>
      </c>
      <c r="J111" s="234">
        <v>0</v>
      </c>
      <c r="K111" s="234">
        <v>0</v>
      </c>
      <c r="L111" s="162" t="s">
        <v>194</v>
      </c>
      <c r="M111" s="163" t="s">
        <v>203</v>
      </c>
      <c r="N111" s="161" t="s">
        <v>199</v>
      </c>
      <c r="O111" s="233">
        <v>1.3248826</v>
      </c>
      <c r="P111" s="233">
        <v>0</v>
      </c>
      <c r="Q111" s="349">
        <f t="shared" si="11"/>
        <v>1.3248826</v>
      </c>
      <c r="R111" s="349"/>
      <c r="S111" s="349"/>
      <c r="T111" s="349">
        <f>Q111</f>
        <v>1.3248826</v>
      </c>
      <c r="U111" s="349"/>
      <c r="V111" s="349"/>
    </row>
    <row r="112" spans="1:22" ht="36">
      <c r="A112" s="165" t="s">
        <v>194</v>
      </c>
      <c r="B112" s="168" t="s">
        <v>333</v>
      </c>
      <c r="C112" s="161" t="s">
        <v>334</v>
      </c>
      <c r="D112" s="233">
        <v>0</v>
      </c>
      <c r="E112" s="233">
        <v>0</v>
      </c>
      <c r="F112" s="233">
        <f t="shared" si="7"/>
        <v>0</v>
      </c>
      <c r="G112" s="233"/>
      <c r="H112" s="234">
        <v>0</v>
      </c>
      <c r="I112" s="234">
        <v>0</v>
      </c>
      <c r="J112" s="234">
        <v>0</v>
      </c>
      <c r="K112" s="234">
        <v>0</v>
      </c>
      <c r="L112" s="162" t="s">
        <v>194</v>
      </c>
      <c r="M112" s="163" t="s">
        <v>204</v>
      </c>
      <c r="N112" s="161" t="s">
        <v>205</v>
      </c>
      <c r="O112" s="233">
        <v>0</v>
      </c>
      <c r="P112" s="233">
        <v>0</v>
      </c>
      <c r="Q112" s="349">
        <f t="shared" si="11"/>
        <v>0</v>
      </c>
      <c r="R112" s="349"/>
      <c r="S112" s="349"/>
      <c r="T112" s="349"/>
      <c r="U112" s="349"/>
      <c r="V112" s="349"/>
    </row>
    <row r="113" spans="1:22" ht="48">
      <c r="A113" s="165" t="s">
        <v>194</v>
      </c>
      <c r="B113" s="168" t="s">
        <v>335</v>
      </c>
      <c r="C113" s="161" t="s">
        <v>334</v>
      </c>
      <c r="D113" s="233">
        <v>0</v>
      </c>
      <c r="E113" s="233">
        <v>0</v>
      </c>
      <c r="F113" s="233">
        <f t="shared" si="7"/>
        <v>0</v>
      </c>
      <c r="G113" s="233"/>
      <c r="H113" s="234">
        <v>0</v>
      </c>
      <c r="I113" s="234">
        <v>0</v>
      </c>
      <c r="J113" s="234">
        <v>0</v>
      </c>
      <c r="K113" s="234">
        <v>0</v>
      </c>
      <c r="L113" s="162" t="s">
        <v>194</v>
      </c>
      <c r="M113" s="163" t="s">
        <v>206</v>
      </c>
      <c r="N113" s="161" t="s">
        <v>207</v>
      </c>
      <c r="O113" s="233">
        <v>0</v>
      </c>
      <c r="P113" s="233">
        <v>0</v>
      </c>
      <c r="Q113" s="349">
        <f t="shared" si="11"/>
        <v>0</v>
      </c>
      <c r="R113" s="349"/>
      <c r="S113" s="349"/>
      <c r="T113" s="349"/>
      <c r="U113" s="349"/>
      <c r="V113" s="349"/>
    </row>
    <row r="114" spans="1:22" ht="48">
      <c r="A114" s="165" t="s">
        <v>194</v>
      </c>
      <c r="B114" s="168" t="s">
        <v>336</v>
      </c>
      <c r="C114" s="161" t="s">
        <v>334</v>
      </c>
      <c r="D114" s="233">
        <v>0</v>
      </c>
      <c r="E114" s="233">
        <v>0</v>
      </c>
      <c r="F114" s="233">
        <f t="shared" si="7"/>
        <v>0</v>
      </c>
      <c r="G114" s="233"/>
      <c r="H114" s="234">
        <v>0</v>
      </c>
      <c r="I114" s="234">
        <v>0</v>
      </c>
      <c r="J114" s="234">
        <v>0</v>
      </c>
      <c r="K114" s="234">
        <v>0</v>
      </c>
      <c r="L114" s="162" t="s">
        <v>194</v>
      </c>
      <c r="M114" s="163" t="s">
        <v>208</v>
      </c>
      <c r="N114" s="161" t="s">
        <v>209</v>
      </c>
      <c r="O114" s="233">
        <v>0.12815779999999999</v>
      </c>
      <c r="P114" s="233">
        <v>3.5884184E-2</v>
      </c>
      <c r="Q114" s="349">
        <f t="shared" si="11"/>
        <v>9.2273615999999989E-2</v>
      </c>
      <c r="R114" s="349"/>
      <c r="S114" s="349"/>
      <c r="T114" s="349"/>
      <c r="U114" s="349"/>
      <c r="V114" s="349">
        <v>9.2273615999999989E-2</v>
      </c>
    </row>
    <row r="115" spans="1:22" ht="36">
      <c r="A115" s="165" t="s">
        <v>194</v>
      </c>
      <c r="B115" s="168" t="s">
        <v>337</v>
      </c>
      <c r="C115" s="161" t="s">
        <v>334</v>
      </c>
      <c r="D115" s="233">
        <v>0</v>
      </c>
      <c r="E115" s="233">
        <v>0</v>
      </c>
      <c r="F115" s="233">
        <f t="shared" si="7"/>
        <v>0</v>
      </c>
      <c r="G115" s="233"/>
      <c r="H115" s="234">
        <v>0</v>
      </c>
      <c r="I115" s="234">
        <v>0</v>
      </c>
      <c r="J115" s="234">
        <v>0</v>
      </c>
      <c r="K115" s="234">
        <v>0</v>
      </c>
      <c r="L115" s="162" t="s">
        <v>194</v>
      </c>
      <c r="M115" s="163" t="s">
        <v>210</v>
      </c>
      <c r="N115" s="161" t="s">
        <v>211</v>
      </c>
      <c r="O115" s="233">
        <v>9.7881624E-2</v>
      </c>
      <c r="P115" s="233">
        <v>0</v>
      </c>
      <c r="Q115" s="349">
        <f t="shared" si="11"/>
        <v>9.7881624E-2</v>
      </c>
      <c r="R115" s="349"/>
      <c r="S115" s="349"/>
      <c r="T115" s="349"/>
      <c r="U115" s="349"/>
      <c r="V115" s="349">
        <v>9.7881624E-2</v>
      </c>
    </row>
    <row r="116" spans="1:22" ht="36">
      <c r="A116" s="165" t="s">
        <v>194</v>
      </c>
      <c r="B116" s="168" t="s">
        <v>338</v>
      </c>
      <c r="C116" s="161" t="s">
        <v>334</v>
      </c>
      <c r="D116" s="233">
        <v>0</v>
      </c>
      <c r="E116" s="233">
        <v>0</v>
      </c>
      <c r="F116" s="233">
        <f t="shared" si="7"/>
        <v>0</v>
      </c>
      <c r="G116" s="233"/>
      <c r="H116" s="234">
        <v>0</v>
      </c>
      <c r="I116" s="234">
        <v>0</v>
      </c>
      <c r="J116" s="234">
        <v>0</v>
      </c>
      <c r="K116" s="234">
        <v>0</v>
      </c>
      <c r="L116" s="162" t="s">
        <v>194</v>
      </c>
      <c r="M116" s="163" t="s">
        <v>212</v>
      </c>
      <c r="N116" s="161" t="s">
        <v>213</v>
      </c>
      <c r="O116" s="233">
        <v>0</v>
      </c>
      <c r="P116" s="233">
        <v>0</v>
      </c>
      <c r="Q116" s="349">
        <f t="shared" si="11"/>
        <v>0</v>
      </c>
      <c r="R116" s="349"/>
      <c r="S116" s="349"/>
      <c r="T116" s="349"/>
      <c r="U116" s="349"/>
      <c r="V116" s="349"/>
    </row>
    <row r="117" spans="1:22" ht="24">
      <c r="A117" s="165" t="s">
        <v>194</v>
      </c>
      <c r="B117" s="168" t="s">
        <v>339</v>
      </c>
      <c r="C117" s="161" t="s">
        <v>334</v>
      </c>
      <c r="D117" s="233">
        <v>0</v>
      </c>
      <c r="E117" s="233">
        <v>0</v>
      </c>
      <c r="F117" s="233">
        <f t="shared" si="7"/>
        <v>0</v>
      </c>
      <c r="G117" s="233"/>
      <c r="H117" s="234">
        <v>0</v>
      </c>
      <c r="I117" s="234">
        <v>0</v>
      </c>
      <c r="J117" s="234">
        <v>0</v>
      </c>
      <c r="K117" s="234">
        <v>0</v>
      </c>
      <c r="L117" s="162" t="s">
        <v>194</v>
      </c>
      <c r="M117" s="163" t="s">
        <v>214</v>
      </c>
      <c r="N117" s="161" t="s">
        <v>201</v>
      </c>
      <c r="O117" s="233">
        <v>0</v>
      </c>
      <c r="P117" s="233">
        <v>0</v>
      </c>
      <c r="Q117" s="349">
        <f t="shared" si="11"/>
        <v>0</v>
      </c>
      <c r="R117" s="349"/>
      <c r="S117" s="349"/>
      <c r="T117" s="349"/>
      <c r="U117" s="349"/>
      <c r="V117" s="349"/>
    </row>
    <row r="118" spans="1:22" ht="36">
      <c r="A118" s="165" t="s">
        <v>194</v>
      </c>
      <c r="B118" s="168" t="s">
        <v>340</v>
      </c>
      <c r="C118" s="161" t="s">
        <v>334</v>
      </c>
      <c r="D118" s="233">
        <v>0</v>
      </c>
      <c r="E118" s="233">
        <v>0</v>
      </c>
      <c r="F118" s="233">
        <f t="shared" si="7"/>
        <v>0</v>
      </c>
      <c r="G118" s="233"/>
      <c r="H118" s="234">
        <v>0</v>
      </c>
      <c r="I118" s="234">
        <v>0</v>
      </c>
      <c r="J118" s="234">
        <v>0</v>
      </c>
      <c r="K118" s="234">
        <v>0</v>
      </c>
      <c r="L118" s="162" t="s">
        <v>194</v>
      </c>
      <c r="M118" s="163" t="s">
        <v>215</v>
      </c>
      <c r="N118" s="161" t="s">
        <v>216</v>
      </c>
      <c r="O118" s="233">
        <v>0.35679793999999998</v>
      </c>
      <c r="P118" s="233">
        <v>6.3656415199999997E-2</v>
      </c>
      <c r="Q118" s="349">
        <f t="shared" si="11"/>
        <v>0.2931415248</v>
      </c>
      <c r="R118" s="349"/>
      <c r="S118" s="349"/>
      <c r="T118" s="349"/>
      <c r="U118" s="349"/>
      <c r="V118" s="349">
        <v>0.2931415248</v>
      </c>
    </row>
    <row r="119" spans="1:22" ht="24">
      <c r="A119" s="165" t="s">
        <v>194</v>
      </c>
      <c r="B119" s="168" t="s">
        <v>341</v>
      </c>
      <c r="C119" s="161" t="s">
        <v>334</v>
      </c>
      <c r="D119" s="233">
        <v>0</v>
      </c>
      <c r="E119" s="233">
        <v>0</v>
      </c>
      <c r="F119" s="233">
        <f t="shared" si="7"/>
        <v>0</v>
      </c>
      <c r="G119" s="233"/>
      <c r="H119" s="234">
        <v>0</v>
      </c>
      <c r="I119" s="234">
        <v>0</v>
      </c>
      <c r="J119" s="234">
        <v>0</v>
      </c>
      <c r="K119" s="234">
        <v>0</v>
      </c>
      <c r="L119" s="162" t="s">
        <v>194</v>
      </c>
      <c r="M119" s="163" t="s">
        <v>217</v>
      </c>
      <c r="N119" s="161" t="s">
        <v>201</v>
      </c>
      <c r="O119" s="233">
        <v>0</v>
      </c>
      <c r="P119" s="233">
        <v>0</v>
      </c>
      <c r="Q119" s="349">
        <f t="shared" si="11"/>
        <v>0</v>
      </c>
      <c r="R119" s="349"/>
      <c r="S119" s="349"/>
      <c r="T119" s="349"/>
      <c r="U119" s="349"/>
      <c r="V119" s="349"/>
    </row>
    <row r="120" spans="1:22" ht="24">
      <c r="A120" s="165" t="s">
        <v>194</v>
      </c>
      <c r="B120" s="168" t="s">
        <v>342</v>
      </c>
      <c r="C120" s="161" t="s">
        <v>334</v>
      </c>
      <c r="D120" s="233">
        <v>0</v>
      </c>
      <c r="E120" s="233">
        <v>0</v>
      </c>
      <c r="F120" s="233">
        <f t="shared" ref="F120:F151" si="12">D120-E120</f>
        <v>0</v>
      </c>
      <c r="G120" s="233"/>
      <c r="H120" s="234">
        <v>0</v>
      </c>
      <c r="I120" s="234">
        <v>0</v>
      </c>
      <c r="J120" s="234">
        <v>0</v>
      </c>
      <c r="K120" s="234">
        <v>0</v>
      </c>
      <c r="L120" s="162" t="s">
        <v>194</v>
      </c>
      <c r="M120" s="163" t="s">
        <v>218</v>
      </c>
      <c r="N120" s="161" t="s">
        <v>219</v>
      </c>
      <c r="O120" s="233">
        <v>0</v>
      </c>
      <c r="P120" s="233">
        <v>0</v>
      </c>
      <c r="Q120" s="349">
        <f t="shared" si="11"/>
        <v>0</v>
      </c>
      <c r="R120" s="349"/>
      <c r="S120" s="349"/>
      <c r="T120" s="349"/>
      <c r="U120" s="349"/>
      <c r="V120" s="349"/>
    </row>
    <row r="121" spans="1:22" ht="36">
      <c r="A121" s="165" t="s">
        <v>194</v>
      </c>
      <c r="B121" s="168" t="s">
        <v>343</v>
      </c>
      <c r="C121" s="161" t="s">
        <v>334</v>
      </c>
      <c r="D121" s="233">
        <v>0</v>
      </c>
      <c r="E121" s="233">
        <v>0</v>
      </c>
      <c r="F121" s="233">
        <f t="shared" si="12"/>
        <v>0</v>
      </c>
      <c r="G121" s="233"/>
      <c r="H121" s="234">
        <v>0</v>
      </c>
      <c r="I121" s="234">
        <v>0</v>
      </c>
      <c r="J121" s="234">
        <v>0</v>
      </c>
      <c r="K121" s="234">
        <v>0</v>
      </c>
      <c r="L121" s="162" t="s">
        <v>194</v>
      </c>
      <c r="M121" s="163" t="s">
        <v>220</v>
      </c>
      <c r="N121" s="161" t="s">
        <v>221</v>
      </c>
      <c r="O121" s="233">
        <v>0</v>
      </c>
      <c r="P121" s="233">
        <v>0</v>
      </c>
      <c r="Q121" s="349">
        <f t="shared" si="11"/>
        <v>0</v>
      </c>
      <c r="R121" s="349"/>
      <c r="S121" s="349"/>
      <c r="T121" s="349"/>
      <c r="U121" s="349"/>
      <c r="V121" s="349"/>
    </row>
    <row r="122" spans="1:22" ht="48">
      <c r="A122" s="165" t="s">
        <v>194</v>
      </c>
      <c r="B122" s="168" t="s">
        <v>344</v>
      </c>
      <c r="C122" s="161" t="s">
        <v>334</v>
      </c>
      <c r="D122" s="233">
        <v>0</v>
      </c>
      <c r="E122" s="233">
        <v>0</v>
      </c>
      <c r="F122" s="233">
        <f t="shared" si="12"/>
        <v>0</v>
      </c>
      <c r="G122" s="233"/>
      <c r="H122" s="234">
        <v>0</v>
      </c>
      <c r="I122" s="234">
        <v>0</v>
      </c>
      <c r="J122" s="234">
        <v>0</v>
      </c>
      <c r="K122" s="234">
        <v>0</v>
      </c>
      <c r="L122" s="162" t="s">
        <v>194</v>
      </c>
      <c r="M122" s="163" t="s">
        <v>222</v>
      </c>
      <c r="N122" s="161" t="s">
        <v>223</v>
      </c>
      <c r="O122" s="233">
        <v>0</v>
      </c>
      <c r="P122" s="233">
        <v>0</v>
      </c>
      <c r="Q122" s="349">
        <f t="shared" si="11"/>
        <v>0</v>
      </c>
      <c r="R122" s="349"/>
      <c r="S122" s="349"/>
      <c r="T122" s="349"/>
      <c r="U122" s="349"/>
      <c r="V122" s="349"/>
    </row>
    <row r="123" spans="1:22" ht="36">
      <c r="A123" s="165" t="s">
        <v>194</v>
      </c>
      <c r="B123" s="168" t="s">
        <v>345</v>
      </c>
      <c r="C123" s="161" t="s">
        <v>334</v>
      </c>
      <c r="D123" s="233">
        <v>0</v>
      </c>
      <c r="E123" s="233">
        <v>0</v>
      </c>
      <c r="F123" s="233">
        <f t="shared" si="12"/>
        <v>0</v>
      </c>
      <c r="G123" s="233"/>
      <c r="H123" s="234">
        <v>0</v>
      </c>
      <c r="I123" s="234">
        <v>0</v>
      </c>
      <c r="J123" s="234">
        <v>0</v>
      </c>
      <c r="K123" s="234">
        <v>0</v>
      </c>
      <c r="L123" s="162" t="s">
        <v>194</v>
      </c>
      <c r="M123" s="163" t="s">
        <v>224</v>
      </c>
      <c r="N123" s="161" t="s">
        <v>205</v>
      </c>
      <c r="O123" s="233">
        <v>0</v>
      </c>
      <c r="P123" s="233">
        <v>0</v>
      </c>
      <c r="Q123" s="349">
        <f t="shared" si="11"/>
        <v>0</v>
      </c>
      <c r="R123" s="349"/>
      <c r="S123" s="349"/>
      <c r="T123" s="349"/>
      <c r="U123" s="349"/>
      <c r="V123" s="349"/>
    </row>
    <row r="124" spans="1:22" ht="36">
      <c r="A124" s="165" t="s">
        <v>194</v>
      </c>
      <c r="B124" s="168" t="s">
        <v>346</v>
      </c>
      <c r="C124" s="161" t="s">
        <v>334</v>
      </c>
      <c r="D124" s="233">
        <v>0</v>
      </c>
      <c r="E124" s="233">
        <v>0</v>
      </c>
      <c r="F124" s="233">
        <f t="shared" si="12"/>
        <v>0</v>
      </c>
      <c r="G124" s="233"/>
      <c r="H124" s="234">
        <v>0</v>
      </c>
      <c r="I124" s="234">
        <v>0</v>
      </c>
      <c r="J124" s="234">
        <v>0</v>
      </c>
      <c r="K124" s="234">
        <v>0</v>
      </c>
      <c r="L124" s="162" t="s">
        <v>194</v>
      </c>
      <c r="M124" s="163" t="s">
        <v>225</v>
      </c>
      <c r="N124" s="161" t="s">
        <v>226</v>
      </c>
      <c r="O124" s="233">
        <v>1.9307999999999999E-2</v>
      </c>
      <c r="P124" s="233">
        <v>5.4062400000000005E-3</v>
      </c>
      <c r="Q124" s="349">
        <f t="shared" si="11"/>
        <v>1.3901759999999999E-2</v>
      </c>
      <c r="R124" s="349"/>
      <c r="S124" s="349"/>
      <c r="T124" s="349"/>
      <c r="U124" s="349"/>
      <c r="V124" s="349">
        <v>1.3901759999999999E-2</v>
      </c>
    </row>
    <row r="125" spans="1:22" ht="36">
      <c r="A125" s="165" t="s">
        <v>194</v>
      </c>
      <c r="B125" s="168" t="s">
        <v>347</v>
      </c>
      <c r="C125" s="161" t="s">
        <v>334</v>
      </c>
      <c r="D125" s="233">
        <v>0</v>
      </c>
      <c r="E125" s="233">
        <v>0</v>
      </c>
      <c r="F125" s="233">
        <f t="shared" si="12"/>
        <v>0</v>
      </c>
      <c r="G125" s="233"/>
      <c r="H125" s="234">
        <v>0</v>
      </c>
      <c r="I125" s="234">
        <v>0</v>
      </c>
      <c r="J125" s="234">
        <v>0</v>
      </c>
      <c r="K125" s="234">
        <v>0</v>
      </c>
      <c r="L125" s="162" t="s">
        <v>194</v>
      </c>
      <c r="M125" s="163" t="s">
        <v>227</v>
      </c>
      <c r="N125" s="161" t="s">
        <v>228</v>
      </c>
      <c r="O125" s="233">
        <v>7.5644779999999995E-3</v>
      </c>
      <c r="P125" s="233">
        <v>0</v>
      </c>
      <c r="Q125" s="349">
        <f t="shared" si="11"/>
        <v>7.5644779999999995E-3</v>
      </c>
      <c r="R125" s="349"/>
      <c r="S125" s="349"/>
      <c r="T125" s="349"/>
      <c r="U125" s="349"/>
      <c r="V125" s="349">
        <v>7.5644779999999995E-3</v>
      </c>
    </row>
    <row r="126" spans="1:22" ht="48">
      <c r="A126" s="165" t="s">
        <v>194</v>
      </c>
      <c r="B126" s="168" t="s">
        <v>348</v>
      </c>
      <c r="C126" s="161" t="s">
        <v>334</v>
      </c>
      <c r="D126" s="233">
        <v>0</v>
      </c>
      <c r="E126" s="233">
        <v>0</v>
      </c>
      <c r="F126" s="233">
        <f t="shared" si="12"/>
        <v>0</v>
      </c>
      <c r="G126" s="233"/>
      <c r="H126" s="234">
        <v>0</v>
      </c>
      <c r="I126" s="234">
        <v>0</v>
      </c>
      <c r="J126" s="234">
        <v>0</v>
      </c>
      <c r="K126" s="234">
        <v>0</v>
      </c>
      <c r="L126" s="162" t="s">
        <v>194</v>
      </c>
      <c r="M126" s="163" t="s">
        <v>229</v>
      </c>
      <c r="N126" s="161" t="s">
        <v>209</v>
      </c>
      <c r="O126" s="233">
        <v>0</v>
      </c>
      <c r="P126" s="233">
        <v>0</v>
      </c>
      <c r="Q126" s="349">
        <f t="shared" si="11"/>
        <v>0</v>
      </c>
      <c r="R126" s="349"/>
      <c r="S126" s="349"/>
      <c r="T126" s="349"/>
      <c r="U126" s="349"/>
      <c r="V126" s="349"/>
    </row>
    <row r="127" spans="1:22" ht="24">
      <c r="A127" s="165" t="s">
        <v>194</v>
      </c>
      <c r="B127" s="168" t="s">
        <v>349</v>
      </c>
      <c r="C127" s="161" t="s">
        <v>334</v>
      </c>
      <c r="D127" s="233">
        <v>0</v>
      </c>
      <c r="E127" s="233">
        <v>0</v>
      </c>
      <c r="F127" s="233">
        <f t="shared" si="12"/>
        <v>0</v>
      </c>
      <c r="G127" s="233"/>
      <c r="H127" s="234">
        <v>0</v>
      </c>
      <c r="I127" s="234">
        <v>0</v>
      </c>
      <c r="J127" s="234">
        <v>0</v>
      </c>
      <c r="K127" s="234">
        <v>0</v>
      </c>
      <c r="L127" s="162" t="s">
        <v>194</v>
      </c>
      <c r="M127" s="164" t="s">
        <v>230</v>
      </c>
      <c r="N127" s="161" t="s">
        <v>231</v>
      </c>
      <c r="O127" s="233">
        <v>2E-3</v>
      </c>
      <c r="P127" s="233">
        <v>0</v>
      </c>
      <c r="Q127" s="349">
        <f t="shared" si="11"/>
        <v>2E-3</v>
      </c>
      <c r="R127" s="349"/>
      <c r="S127" s="349"/>
      <c r="T127" s="349"/>
      <c r="U127" s="349"/>
      <c r="V127" s="349">
        <v>2E-3</v>
      </c>
    </row>
    <row r="128" spans="1:22" ht="24">
      <c r="A128" s="165" t="s">
        <v>194</v>
      </c>
      <c r="B128" s="168" t="s">
        <v>350</v>
      </c>
      <c r="C128" s="161" t="s">
        <v>334</v>
      </c>
      <c r="D128" s="233">
        <v>0</v>
      </c>
      <c r="E128" s="233">
        <v>0</v>
      </c>
      <c r="F128" s="233">
        <f t="shared" si="12"/>
        <v>0</v>
      </c>
      <c r="G128" s="233"/>
      <c r="H128" s="234">
        <v>0</v>
      </c>
      <c r="I128" s="234">
        <v>0</v>
      </c>
      <c r="J128" s="234">
        <v>0</v>
      </c>
      <c r="K128" s="234">
        <v>0</v>
      </c>
      <c r="L128" s="165" t="s">
        <v>232</v>
      </c>
      <c r="M128" s="166" t="s">
        <v>233</v>
      </c>
      <c r="N128" s="161" t="s">
        <v>234</v>
      </c>
      <c r="O128" s="233">
        <v>0.88555509900000007</v>
      </c>
      <c r="P128" s="233">
        <v>0.88555505379608701</v>
      </c>
      <c r="Q128" s="349">
        <f t="shared" si="11"/>
        <v>4.5203913057179079E-8</v>
      </c>
      <c r="R128" s="349"/>
      <c r="S128" s="349"/>
      <c r="T128" s="349"/>
      <c r="U128" s="349"/>
      <c r="V128" s="349">
        <v>4.5203913057179079E-8</v>
      </c>
    </row>
    <row r="129" spans="1:22" ht="24">
      <c r="A129" s="165" t="s">
        <v>194</v>
      </c>
      <c r="B129" s="168" t="s">
        <v>351</v>
      </c>
      <c r="C129" s="161" t="s">
        <v>334</v>
      </c>
      <c r="D129" s="233">
        <v>0</v>
      </c>
      <c r="E129" s="233">
        <v>0</v>
      </c>
      <c r="F129" s="233">
        <f t="shared" si="12"/>
        <v>0</v>
      </c>
      <c r="G129" s="233"/>
      <c r="H129" s="234">
        <v>0</v>
      </c>
      <c r="I129" s="234">
        <v>0</v>
      </c>
      <c r="J129" s="234">
        <v>0</v>
      </c>
      <c r="K129" s="234">
        <v>0</v>
      </c>
      <c r="L129" s="165" t="s">
        <v>232</v>
      </c>
      <c r="M129" s="166" t="s">
        <v>235</v>
      </c>
      <c r="N129" s="161" t="s">
        <v>236</v>
      </c>
      <c r="O129" s="233">
        <v>7.255328016</v>
      </c>
      <c r="P129" s="233">
        <v>5.7903438251659196</v>
      </c>
      <c r="Q129" s="349">
        <f t="shared" si="11"/>
        <v>1.4649841908340804</v>
      </c>
      <c r="R129" s="349"/>
      <c r="S129" s="349"/>
      <c r="T129" s="349">
        <f>Q129</f>
        <v>1.4649841908340804</v>
      </c>
      <c r="U129" s="349"/>
      <c r="V129" s="349">
        <v>0</v>
      </c>
    </row>
    <row r="130" spans="1:22" ht="36">
      <c r="A130" s="165" t="s">
        <v>194</v>
      </c>
      <c r="B130" s="168" t="s">
        <v>352</v>
      </c>
      <c r="C130" s="161" t="s">
        <v>334</v>
      </c>
      <c r="D130" s="233">
        <v>0</v>
      </c>
      <c r="E130" s="233">
        <v>0</v>
      </c>
      <c r="F130" s="233">
        <f t="shared" si="12"/>
        <v>0</v>
      </c>
      <c r="G130" s="233"/>
      <c r="H130" s="234">
        <v>0</v>
      </c>
      <c r="I130" s="234">
        <v>0</v>
      </c>
      <c r="J130" s="234">
        <v>0</v>
      </c>
      <c r="K130" s="234">
        <v>0</v>
      </c>
      <c r="L130" s="165" t="s">
        <v>232</v>
      </c>
      <c r="M130" s="166" t="s">
        <v>237</v>
      </c>
      <c r="N130" s="161" t="s">
        <v>238</v>
      </c>
      <c r="O130" s="233">
        <v>2.5312781630000032</v>
      </c>
      <c r="P130" s="233">
        <v>0.35354265282000003</v>
      </c>
      <c r="Q130" s="349">
        <f t="shared" si="11"/>
        <v>2.1777355101800033</v>
      </c>
      <c r="R130" s="349"/>
      <c r="S130" s="349">
        <v>2.1777355101800033</v>
      </c>
      <c r="T130" s="349"/>
      <c r="U130" s="349"/>
      <c r="V130" s="349"/>
    </row>
    <row r="131" spans="1:22" ht="36">
      <c r="A131" s="165" t="s">
        <v>194</v>
      </c>
      <c r="B131" s="168" t="s">
        <v>353</v>
      </c>
      <c r="C131" s="161" t="s">
        <v>334</v>
      </c>
      <c r="D131" s="233">
        <v>0</v>
      </c>
      <c r="E131" s="233">
        <v>0</v>
      </c>
      <c r="F131" s="233">
        <f t="shared" si="12"/>
        <v>0</v>
      </c>
      <c r="G131" s="233"/>
      <c r="H131" s="234">
        <v>0</v>
      </c>
      <c r="I131" s="234">
        <v>0</v>
      </c>
      <c r="J131" s="234">
        <v>0</v>
      </c>
      <c r="K131" s="234">
        <v>0</v>
      </c>
      <c r="L131" s="165" t="s">
        <v>232</v>
      </c>
      <c r="M131" s="166" t="s">
        <v>239</v>
      </c>
      <c r="N131" s="161" t="s">
        <v>240</v>
      </c>
      <c r="O131" s="233">
        <v>5.1205800000002607E-3</v>
      </c>
      <c r="P131" s="233">
        <v>7.1688400000000021E-4</v>
      </c>
      <c r="Q131" s="349">
        <f t="shared" si="11"/>
        <v>4.4036960000002606E-3</v>
      </c>
      <c r="R131" s="349"/>
      <c r="S131" s="349"/>
      <c r="T131" s="349"/>
      <c r="U131" s="349"/>
      <c r="V131" s="349">
        <f>Q131</f>
        <v>4.4036960000002606E-3</v>
      </c>
    </row>
    <row r="132" spans="1:22" ht="36">
      <c r="A132" s="165" t="s">
        <v>194</v>
      </c>
      <c r="B132" s="168" t="s">
        <v>354</v>
      </c>
      <c r="C132" s="161" t="s">
        <v>334</v>
      </c>
      <c r="D132" s="233">
        <v>0</v>
      </c>
      <c r="E132" s="233">
        <v>0</v>
      </c>
      <c r="F132" s="233">
        <f t="shared" si="12"/>
        <v>0</v>
      </c>
      <c r="G132" s="233"/>
      <c r="H132" s="234">
        <v>0</v>
      </c>
      <c r="I132" s="234">
        <v>0</v>
      </c>
      <c r="J132" s="234">
        <v>0</v>
      </c>
      <c r="K132" s="234">
        <v>0</v>
      </c>
      <c r="L132" s="165" t="s">
        <v>232</v>
      </c>
      <c r="M132" s="166" t="s">
        <v>241</v>
      </c>
      <c r="N132" s="161" t="s">
        <v>242</v>
      </c>
      <c r="O132" s="233">
        <v>30.884673516000003</v>
      </c>
      <c r="P132" s="233">
        <v>0.40941890261999997</v>
      </c>
      <c r="Q132" s="349">
        <f t="shared" si="11"/>
        <v>30.475254613380002</v>
      </c>
      <c r="R132" s="349"/>
      <c r="S132" s="349"/>
      <c r="T132" s="349"/>
      <c r="U132" s="349"/>
      <c r="V132" s="349">
        <f>Q132</f>
        <v>30.475254613380002</v>
      </c>
    </row>
    <row r="133" spans="1:22" ht="96">
      <c r="A133" s="165" t="s">
        <v>194</v>
      </c>
      <c r="B133" s="168" t="s">
        <v>355</v>
      </c>
      <c r="C133" s="161" t="s">
        <v>334</v>
      </c>
      <c r="D133" s="233">
        <v>0</v>
      </c>
      <c r="E133" s="233">
        <v>0</v>
      </c>
      <c r="F133" s="233">
        <f t="shared" si="12"/>
        <v>0</v>
      </c>
      <c r="G133" s="233"/>
      <c r="H133" s="234">
        <v>0</v>
      </c>
      <c r="I133" s="234">
        <v>0</v>
      </c>
      <c r="J133" s="234">
        <v>0</v>
      </c>
      <c r="K133" s="234">
        <v>0</v>
      </c>
      <c r="L133" s="165" t="s">
        <v>232</v>
      </c>
      <c r="M133" s="167" t="s">
        <v>243</v>
      </c>
      <c r="N133" s="161" t="s">
        <v>244</v>
      </c>
      <c r="O133" s="233">
        <v>1.1970801410000005</v>
      </c>
      <c r="P133" s="233">
        <v>0</v>
      </c>
      <c r="Q133" s="349">
        <f t="shared" si="11"/>
        <v>1.1970801410000005</v>
      </c>
      <c r="R133" s="349"/>
      <c r="S133" s="349">
        <f>Q133</f>
        <v>1.1970801410000005</v>
      </c>
      <c r="T133" s="349"/>
      <c r="U133" s="349"/>
      <c r="V133" s="349"/>
    </row>
    <row r="134" spans="1:22" ht="48">
      <c r="A134" s="165" t="s">
        <v>194</v>
      </c>
      <c r="B134" s="168" t="s">
        <v>356</v>
      </c>
      <c r="C134" s="161" t="s">
        <v>334</v>
      </c>
      <c r="D134" s="233">
        <v>0</v>
      </c>
      <c r="E134" s="233">
        <v>0</v>
      </c>
      <c r="F134" s="233">
        <f t="shared" si="12"/>
        <v>0</v>
      </c>
      <c r="G134" s="233"/>
      <c r="H134" s="234">
        <v>0</v>
      </c>
      <c r="I134" s="234">
        <v>0</v>
      </c>
      <c r="J134" s="234">
        <v>0</v>
      </c>
      <c r="K134" s="234">
        <v>0</v>
      </c>
      <c r="L134" s="165" t="s">
        <v>245</v>
      </c>
      <c r="M134" s="168" t="s">
        <v>245</v>
      </c>
      <c r="N134" s="161" t="s">
        <v>246</v>
      </c>
      <c r="O134" s="233">
        <v>11.895599799999999</v>
      </c>
      <c r="P134" s="233">
        <v>11.8451906</v>
      </c>
      <c r="Q134" s="349">
        <f t="shared" si="11"/>
        <v>5.0409199999998933E-2</v>
      </c>
      <c r="R134" s="349"/>
      <c r="S134" s="349">
        <v>-1.7</v>
      </c>
      <c r="T134" s="349"/>
      <c r="U134" s="349"/>
      <c r="V134" s="349">
        <v>5.0409199999998933E-2</v>
      </c>
    </row>
    <row r="135" spans="1:22" ht="48">
      <c r="A135" s="165" t="s">
        <v>194</v>
      </c>
      <c r="B135" s="168" t="s">
        <v>357</v>
      </c>
      <c r="C135" s="161" t="s">
        <v>334</v>
      </c>
      <c r="D135" s="233">
        <v>0</v>
      </c>
      <c r="E135" s="233">
        <v>0</v>
      </c>
      <c r="F135" s="233">
        <f t="shared" si="12"/>
        <v>0</v>
      </c>
      <c r="G135" s="233"/>
      <c r="H135" s="234">
        <v>0</v>
      </c>
      <c r="I135" s="234">
        <v>0</v>
      </c>
      <c r="J135" s="234">
        <v>0</v>
      </c>
      <c r="K135" s="234">
        <v>0</v>
      </c>
      <c r="L135" s="165" t="s">
        <v>245</v>
      </c>
      <c r="M135" s="168" t="s">
        <v>245</v>
      </c>
      <c r="N135" s="161" t="s">
        <v>247</v>
      </c>
      <c r="O135" s="233">
        <v>9.0653637000000007</v>
      </c>
      <c r="P135" s="233">
        <v>9.075366279999999</v>
      </c>
      <c r="Q135" s="349">
        <f t="shared" si="11"/>
        <v>-1.0002579999998318E-2</v>
      </c>
      <c r="R135" s="349"/>
      <c r="S135" s="349"/>
      <c r="T135" s="349"/>
      <c r="U135" s="349"/>
      <c r="V135" s="349">
        <v>-1.0002579999998318E-2</v>
      </c>
    </row>
    <row r="136" spans="1:22" ht="48">
      <c r="A136" s="165" t="s">
        <v>194</v>
      </c>
      <c r="B136" s="168" t="s">
        <v>358</v>
      </c>
      <c r="C136" s="161" t="s">
        <v>334</v>
      </c>
      <c r="D136" s="233">
        <v>0</v>
      </c>
      <c r="E136" s="233">
        <v>0</v>
      </c>
      <c r="F136" s="233">
        <f t="shared" si="12"/>
        <v>0</v>
      </c>
      <c r="G136" s="233"/>
      <c r="H136" s="234">
        <v>0</v>
      </c>
      <c r="I136" s="234">
        <v>0</v>
      </c>
      <c r="J136" s="234">
        <v>0</v>
      </c>
      <c r="K136" s="234">
        <v>0</v>
      </c>
      <c r="L136" s="165" t="s">
        <v>245</v>
      </c>
      <c r="M136" s="168" t="s">
        <v>245</v>
      </c>
      <c r="N136" s="161" t="s">
        <v>248</v>
      </c>
      <c r="O136" s="233">
        <v>3.4458510000000002</v>
      </c>
      <c r="P136" s="233">
        <v>0</v>
      </c>
      <c r="Q136" s="349">
        <f t="shared" si="11"/>
        <v>3.4458510000000002</v>
      </c>
      <c r="R136" s="349"/>
      <c r="S136" s="349"/>
      <c r="T136" s="349"/>
      <c r="U136" s="349"/>
      <c r="V136" s="349">
        <v>3.4458510000000002</v>
      </c>
    </row>
    <row r="137" spans="1:22" ht="60">
      <c r="A137" s="165" t="s">
        <v>194</v>
      </c>
      <c r="B137" s="168" t="s">
        <v>359</v>
      </c>
      <c r="C137" s="161" t="s">
        <v>334</v>
      </c>
      <c r="D137" s="233">
        <v>0</v>
      </c>
      <c r="E137" s="233">
        <v>0</v>
      </c>
      <c r="F137" s="233">
        <f t="shared" si="12"/>
        <v>0</v>
      </c>
      <c r="G137" s="233"/>
      <c r="H137" s="234">
        <v>0</v>
      </c>
      <c r="I137" s="234">
        <v>0</v>
      </c>
      <c r="J137" s="234">
        <v>0</v>
      </c>
      <c r="K137" s="234">
        <v>0</v>
      </c>
      <c r="L137" s="165" t="s">
        <v>245</v>
      </c>
      <c r="M137" s="168" t="s">
        <v>245</v>
      </c>
      <c r="N137" s="161" t="s">
        <v>249</v>
      </c>
      <c r="O137" s="233">
        <v>-0.19346379999999999</v>
      </c>
      <c r="P137" s="233">
        <v>0</v>
      </c>
      <c r="Q137" s="349">
        <f t="shared" si="11"/>
        <v>-0.19346379999999999</v>
      </c>
      <c r="R137" s="349"/>
      <c r="S137" s="349"/>
      <c r="T137" s="349"/>
      <c r="U137" s="349"/>
      <c r="V137" s="349">
        <v>-0.19346379999999999</v>
      </c>
    </row>
    <row r="138" spans="1:22" ht="48">
      <c r="A138" s="165" t="s">
        <v>194</v>
      </c>
      <c r="B138" s="168" t="s">
        <v>360</v>
      </c>
      <c r="C138" s="161" t="s">
        <v>334</v>
      </c>
      <c r="D138" s="233">
        <v>0</v>
      </c>
      <c r="E138" s="233">
        <v>0</v>
      </c>
      <c r="F138" s="233">
        <f t="shared" si="12"/>
        <v>0</v>
      </c>
      <c r="G138" s="233"/>
      <c r="H138" s="234">
        <v>0</v>
      </c>
      <c r="I138" s="234">
        <v>0</v>
      </c>
      <c r="J138" s="234">
        <v>0</v>
      </c>
      <c r="K138" s="234">
        <v>0</v>
      </c>
      <c r="L138" s="165" t="s">
        <v>245</v>
      </c>
      <c r="M138" s="168" t="s">
        <v>245</v>
      </c>
      <c r="N138" s="161" t="s">
        <v>250</v>
      </c>
      <c r="O138" s="233">
        <v>3.6050000000000001E-3</v>
      </c>
      <c r="P138" s="233">
        <v>3.0049E-3</v>
      </c>
      <c r="Q138" s="349">
        <f t="shared" si="11"/>
        <v>6.0010000000000011E-4</v>
      </c>
      <c r="R138" s="349"/>
      <c r="S138" s="349"/>
      <c r="T138" s="349"/>
      <c r="U138" s="349"/>
      <c r="V138" s="349">
        <v>6.0010000000000011E-4</v>
      </c>
    </row>
    <row r="139" spans="1:22" ht="24">
      <c r="A139" s="165" t="s">
        <v>232</v>
      </c>
      <c r="B139" s="168" t="s">
        <v>361</v>
      </c>
      <c r="C139" s="161" t="s">
        <v>362</v>
      </c>
      <c r="D139" s="233">
        <v>0</v>
      </c>
      <c r="E139" s="233">
        <v>0</v>
      </c>
      <c r="F139" s="233">
        <f t="shared" si="12"/>
        <v>0</v>
      </c>
      <c r="G139" s="233"/>
      <c r="H139" s="234">
        <v>0</v>
      </c>
      <c r="I139" s="234">
        <v>0</v>
      </c>
      <c r="J139" s="234">
        <v>0</v>
      </c>
      <c r="K139" s="234">
        <v>0</v>
      </c>
      <c r="L139" s="165" t="s">
        <v>245</v>
      </c>
      <c r="M139" s="168" t="s">
        <v>245</v>
      </c>
      <c r="N139" s="161" t="s">
        <v>251</v>
      </c>
      <c r="O139" s="233">
        <v>7.3472700000000002E-2</v>
      </c>
      <c r="P139" s="233">
        <v>0.23296239999999999</v>
      </c>
      <c r="Q139" s="349">
        <f t="shared" si="11"/>
        <v>-0.15948969999999998</v>
      </c>
      <c r="R139" s="349"/>
      <c r="S139" s="349"/>
      <c r="T139" s="349"/>
      <c r="U139" s="349"/>
      <c r="V139" s="349">
        <v>-0.15948969999999998</v>
      </c>
    </row>
    <row r="140" spans="1:22" ht="36">
      <c r="A140" s="165" t="s">
        <v>232</v>
      </c>
      <c r="B140" s="168" t="s">
        <v>363</v>
      </c>
      <c r="C140" s="161" t="s">
        <v>364</v>
      </c>
      <c r="D140" s="233">
        <v>0</v>
      </c>
      <c r="E140" s="233">
        <v>0</v>
      </c>
      <c r="F140" s="233">
        <f t="shared" si="12"/>
        <v>0</v>
      </c>
      <c r="G140" s="233"/>
      <c r="H140" s="234">
        <v>0</v>
      </c>
      <c r="I140" s="234">
        <v>0</v>
      </c>
      <c r="J140" s="234">
        <v>0</v>
      </c>
      <c r="K140" s="234">
        <v>0</v>
      </c>
      <c r="L140" s="165" t="s">
        <v>245</v>
      </c>
      <c r="M140" s="168" t="s">
        <v>245</v>
      </c>
      <c r="N140" s="161" t="s">
        <v>252</v>
      </c>
      <c r="O140" s="233">
        <v>7.7830994000000001E-2</v>
      </c>
      <c r="P140" s="233">
        <v>9.5554600000000003E-2</v>
      </c>
      <c r="Q140" s="349">
        <f t="shared" si="11"/>
        <v>-1.7723606000000003E-2</v>
      </c>
      <c r="R140" s="349"/>
      <c r="S140" s="349"/>
      <c r="T140" s="349"/>
      <c r="U140" s="349"/>
      <c r="V140" s="349">
        <v>-1.7723606000000003E-2</v>
      </c>
    </row>
    <row r="141" spans="1:22" ht="36">
      <c r="A141" s="165" t="s">
        <v>245</v>
      </c>
      <c r="B141" s="168" t="s">
        <v>245</v>
      </c>
      <c r="C141" s="161" t="s">
        <v>365</v>
      </c>
      <c r="D141" s="233">
        <v>0</v>
      </c>
      <c r="E141" s="233">
        <v>0</v>
      </c>
      <c r="F141" s="233">
        <f t="shared" si="12"/>
        <v>0</v>
      </c>
      <c r="G141" s="233"/>
      <c r="H141" s="234">
        <v>0</v>
      </c>
      <c r="I141" s="234">
        <v>0</v>
      </c>
      <c r="J141" s="234">
        <v>0</v>
      </c>
      <c r="K141" s="234">
        <v>0</v>
      </c>
      <c r="L141" s="169" t="s">
        <v>253</v>
      </c>
      <c r="M141" s="170" t="s">
        <v>254</v>
      </c>
      <c r="N141" s="161" t="s">
        <v>255</v>
      </c>
      <c r="O141" s="233">
        <v>34.739175361999997</v>
      </c>
      <c r="P141" s="233">
        <v>17.234742575101695</v>
      </c>
      <c r="Q141" s="349">
        <f t="shared" si="11"/>
        <v>17.504432786898303</v>
      </c>
      <c r="R141" s="349"/>
      <c r="S141" s="349"/>
      <c r="T141" s="349">
        <f>Q141</f>
        <v>17.504432786898303</v>
      </c>
      <c r="U141" s="349"/>
      <c r="V141" s="349"/>
    </row>
    <row r="142" spans="1:22" ht="48">
      <c r="A142" s="165" t="s">
        <v>245</v>
      </c>
      <c r="B142" s="168" t="s">
        <v>245</v>
      </c>
      <c r="C142" s="161" t="s">
        <v>366</v>
      </c>
      <c r="D142" s="233">
        <v>9.8831137999999985E-2</v>
      </c>
      <c r="E142" s="233">
        <v>9.8831137999999985E-2</v>
      </c>
      <c r="F142" s="233">
        <f t="shared" si="12"/>
        <v>0</v>
      </c>
      <c r="G142" s="233"/>
      <c r="H142" s="234">
        <v>0</v>
      </c>
      <c r="I142" s="234">
        <v>0</v>
      </c>
      <c r="J142" s="234">
        <v>0</v>
      </c>
      <c r="K142" s="234">
        <v>0</v>
      </c>
      <c r="L142" s="169" t="s">
        <v>253</v>
      </c>
      <c r="M142" s="170" t="s">
        <v>256</v>
      </c>
      <c r="N142" s="161" t="s">
        <v>257</v>
      </c>
      <c r="O142" s="233">
        <v>1.316238</v>
      </c>
      <c r="P142" s="233">
        <v>0.39508776789041095</v>
      </c>
      <c r="Q142" s="349">
        <f t="shared" si="11"/>
        <v>0.92115023210958902</v>
      </c>
      <c r="R142" s="349"/>
      <c r="S142" s="349"/>
      <c r="T142" s="349">
        <f>Q142</f>
        <v>0.92115023210958902</v>
      </c>
      <c r="U142" s="349"/>
      <c r="V142" s="349"/>
    </row>
    <row r="143" spans="1:22" ht="60">
      <c r="A143" s="165" t="s">
        <v>245</v>
      </c>
      <c r="B143" s="168" t="s">
        <v>245</v>
      </c>
      <c r="C143" s="161" t="s">
        <v>367</v>
      </c>
      <c r="D143" s="233">
        <v>0.31169970000000002</v>
      </c>
      <c r="E143" s="233">
        <v>0.31169970000000002</v>
      </c>
      <c r="F143" s="233">
        <f t="shared" si="12"/>
        <v>0</v>
      </c>
      <c r="G143" s="233"/>
      <c r="H143" s="234">
        <v>0</v>
      </c>
      <c r="I143" s="234">
        <v>0</v>
      </c>
      <c r="J143" s="234">
        <v>0</v>
      </c>
      <c r="K143" s="234">
        <v>0</v>
      </c>
      <c r="L143" s="169" t="s">
        <v>253</v>
      </c>
      <c r="M143" s="170" t="s">
        <v>258</v>
      </c>
      <c r="N143" s="161" t="s">
        <v>259</v>
      </c>
      <c r="O143" s="233">
        <v>8.0556628799999999</v>
      </c>
      <c r="P143" s="233">
        <v>8.0556628799999999</v>
      </c>
      <c r="Q143" s="349">
        <f t="shared" si="11"/>
        <v>0</v>
      </c>
      <c r="R143" s="349"/>
      <c r="S143" s="349"/>
      <c r="T143" s="349"/>
      <c r="U143" s="349"/>
      <c r="V143" s="349"/>
    </row>
    <row r="144" spans="1:22" ht="36">
      <c r="A144" s="165" t="s">
        <v>245</v>
      </c>
      <c r="B144" s="168" t="s">
        <v>245</v>
      </c>
      <c r="C144" s="161" t="s">
        <v>368</v>
      </c>
      <c r="D144" s="233">
        <v>6.7202799999999993E-2</v>
      </c>
      <c r="E144" s="233">
        <v>6.7202799999999993E-2</v>
      </c>
      <c r="F144" s="233">
        <f t="shared" si="12"/>
        <v>0</v>
      </c>
      <c r="G144" s="233"/>
      <c r="H144" s="234">
        <v>0</v>
      </c>
      <c r="I144" s="234">
        <v>0</v>
      </c>
      <c r="J144" s="234">
        <v>0</v>
      </c>
      <c r="K144" s="234">
        <v>0</v>
      </c>
      <c r="L144" s="169" t="s">
        <v>253</v>
      </c>
      <c r="M144" s="170" t="s">
        <v>260</v>
      </c>
      <c r="N144" s="161" t="s">
        <v>261</v>
      </c>
      <c r="O144" s="233">
        <v>4.0000000000000001E-8</v>
      </c>
      <c r="P144" s="233">
        <v>0</v>
      </c>
      <c r="Q144" s="349">
        <f t="shared" si="11"/>
        <v>4.0000000000000001E-8</v>
      </c>
      <c r="R144" s="349"/>
      <c r="S144" s="349"/>
      <c r="T144" s="349"/>
      <c r="U144" s="349"/>
      <c r="V144" s="349">
        <v>4.0000000000000001E-8</v>
      </c>
    </row>
    <row r="145" spans="1:22" ht="60">
      <c r="A145" s="165" t="s">
        <v>369</v>
      </c>
      <c r="B145" s="168" t="s">
        <v>245</v>
      </c>
      <c r="C145" s="161" t="s">
        <v>370</v>
      </c>
      <c r="D145" s="233">
        <v>0.398729</v>
      </c>
      <c r="E145" s="233">
        <v>0.398729</v>
      </c>
      <c r="F145" s="233">
        <f t="shared" si="12"/>
        <v>0</v>
      </c>
      <c r="G145" s="233"/>
      <c r="H145" s="234">
        <v>0</v>
      </c>
      <c r="I145" s="234">
        <v>0</v>
      </c>
      <c r="J145" s="234">
        <v>0</v>
      </c>
      <c r="K145" s="234">
        <v>0</v>
      </c>
      <c r="L145" s="169" t="s">
        <v>253</v>
      </c>
      <c r="M145" s="170" t="s">
        <v>262</v>
      </c>
      <c r="N145" s="161" t="s">
        <v>259</v>
      </c>
      <c r="O145" s="233">
        <v>3.9665639100000001</v>
      </c>
      <c r="P145" s="233">
        <v>3.9665639000000001</v>
      </c>
      <c r="Q145" s="349">
        <f t="shared" si="11"/>
        <v>9.9999999392252903E-9</v>
      </c>
      <c r="R145" s="349"/>
      <c r="S145" s="349"/>
      <c r="T145" s="349"/>
      <c r="U145" s="349"/>
      <c r="V145" s="349">
        <v>9.9999999392252903E-9</v>
      </c>
    </row>
    <row r="146" spans="1:22" ht="60">
      <c r="A146" s="165" t="s">
        <v>245</v>
      </c>
      <c r="B146" s="168" t="s">
        <v>245</v>
      </c>
      <c r="C146" s="161" t="s">
        <v>371</v>
      </c>
      <c r="D146" s="233">
        <v>3.5723499999999998E-2</v>
      </c>
      <c r="E146" s="233">
        <v>3.5723499999999998E-2</v>
      </c>
      <c r="F146" s="233">
        <f t="shared" si="12"/>
        <v>0</v>
      </c>
      <c r="G146" s="233"/>
      <c r="H146" s="234">
        <v>0</v>
      </c>
      <c r="I146" s="234">
        <v>0</v>
      </c>
      <c r="J146" s="234">
        <v>0</v>
      </c>
      <c r="K146" s="234">
        <v>0</v>
      </c>
      <c r="L146" s="169" t="s">
        <v>253</v>
      </c>
      <c r="M146" s="170" t="s">
        <v>263</v>
      </c>
      <c r="N146" s="161" t="s">
        <v>259</v>
      </c>
      <c r="O146" s="233">
        <v>0</v>
      </c>
      <c r="P146" s="233">
        <v>0</v>
      </c>
      <c r="Q146" s="349">
        <f t="shared" si="11"/>
        <v>0</v>
      </c>
      <c r="R146" s="349"/>
      <c r="S146" s="349"/>
      <c r="T146" s="349"/>
      <c r="U146" s="349"/>
      <c r="V146" s="349"/>
    </row>
    <row r="147" spans="1:22">
      <c r="A147" s="165" t="s">
        <v>245</v>
      </c>
      <c r="B147" s="168" t="s">
        <v>245</v>
      </c>
      <c r="C147" s="161" t="s">
        <v>372</v>
      </c>
      <c r="D147" s="233">
        <v>1.4745899999999999E-2</v>
      </c>
      <c r="E147" s="233">
        <v>1.4745899999999999E-2</v>
      </c>
      <c r="F147" s="233">
        <f t="shared" si="12"/>
        <v>0</v>
      </c>
      <c r="G147" s="233"/>
      <c r="H147" s="234">
        <v>0</v>
      </c>
      <c r="I147" s="234">
        <v>0</v>
      </c>
      <c r="J147" s="234">
        <v>0</v>
      </c>
      <c r="K147" s="234">
        <v>0</v>
      </c>
      <c r="L147" s="169" t="s">
        <v>253</v>
      </c>
      <c r="M147" s="170" t="s">
        <v>264</v>
      </c>
      <c r="N147" s="161" t="s">
        <v>265</v>
      </c>
      <c r="O147" s="233">
        <v>24.253834600000001</v>
      </c>
      <c r="P147" s="233">
        <v>11.291144110879999</v>
      </c>
      <c r="Q147" s="349">
        <f t="shared" si="11"/>
        <v>12.962690489120002</v>
      </c>
      <c r="R147" s="349"/>
      <c r="S147" s="349"/>
      <c r="T147" s="349">
        <f>Q147</f>
        <v>12.962690489120002</v>
      </c>
      <c r="U147" s="349"/>
      <c r="V147" s="349"/>
    </row>
    <row r="148" spans="1:22" ht="60">
      <c r="A148" s="165" t="s">
        <v>245</v>
      </c>
      <c r="B148" s="168" t="s">
        <v>245</v>
      </c>
      <c r="C148" s="161" t="s">
        <v>373</v>
      </c>
      <c r="D148" s="233">
        <v>1.2774499999999999E-2</v>
      </c>
      <c r="E148" s="233">
        <v>1.2774499999999999E-2</v>
      </c>
      <c r="F148" s="233">
        <f t="shared" si="12"/>
        <v>0</v>
      </c>
      <c r="G148" s="233"/>
      <c r="H148" s="234">
        <v>0</v>
      </c>
      <c r="I148" s="234">
        <v>0</v>
      </c>
      <c r="J148" s="234">
        <v>0</v>
      </c>
      <c r="K148" s="234">
        <v>0</v>
      </c>
      <c r="L148" s="169" t="s">
        <v>253</v>
      </c>
      <c r="M148" s="170" t="s">
        <v>266</v>
      </c>
      <c r="N148" s="161" t="s">
        <v>267</v>
      </c>
      <c r="O148" s="233">
        <v>3.5999999999999998E-8</v>
      </c>
      <c r="P148" s="233">
        <v>0</v>
      </c>
      <c r="Q148" s="349">
        <f t="shared" si="11"/>
        <v>3.5999999999999998E-8</v>
      </c>
      <c r="R148" s="349"/>
      <c r="S148" s="349"/>
      <c r="T148" s="349"/>
      <c r="U148" s="349"/>
      <c r="V148" s="349">
        <v>3.5999999999999998E-8</v>
      </c>
    </row>
    <row r="149" spans="1:22">
      <c r="A149" s="165" t="s">
        <v>245</v>
      </c>
      <c r="B149" s="168" t="s">
        <v>245</v>
      </c>
      <c r="C149" s="161" t="s">
        <v>374</v>
      </c>
      <c r="D149" s="233">
        <v>1.65281E-2</v>
      </c>
      <c r="E149" s="233">
        <v>1.65281E-2</v>
      </c>
      <c r="F149" s="233">
        <f t="shared" si="12"/>
        <v>0</v>
      </c>
      <c r="G149" s="233"/>
      <c r="H149" s="234">
        <v>0</v>
      </c>
      <c r="I149" s="234">
        <v>0</v>
      </c>
      <c r="J149" s="234">
        <v>0</v>
      </c>
      <c r="K149" s="234">
        <v>0</v>
      </c>
      <c r="L149" s="169" t="s">
        <v>253</v>
      </c>
      <c r="M149" s="170" t="s">
        <v>268</v>
      </c>
      <c r="N149" s="161" t="s">
        <v>265</v>
      </c>
      <c r="O149" s="233">
        <v>0.95592719999999998</v>
      </c>
      <c r="P149" s="233">
        <v>0</v>
      </c>
      <c r="Q149" s="349">
        <f t="shared" si="11"/>
        <v>0.95592719999999998</v>
      </c>
      <c r="R149" s="349"/>
      <c r="S149" s="349"/>
      <c r="T149" s="349"/>
      <c r="U149" s="349"/>
      <c r="V149" s="349">
        <f>Q149</f>
        <v>0.95592719999999998</v>
      </c>
    </row>
    <row r="150" spans="1:22" ht="36">
      <c r="A150" s="165" t="s">
        <v>245</v>
      </c>
      <c r="B150" s="168" t="s">
        <v>245</v>
      </c>
      <c r="C150" s="161" t="s">
        <v>375</v>
      </c>
      <c r="D150" s="233">
        <v>6.3699999999999998E-3</v>
      </c>
      <c r="E150" s="233">
        <v>6.3699999999999998E-3</v>
      </c>
      <c r="F150" s="233">
        <f t="shared" si="12"/>
        <v>0</v>
      </c>
      <c r="G150" s="233"/>
      <c r="H150" s="234">
        <v>0</v>
      </c>
      <c r="I150" s="234">
        <v>0</v>
      </c>
      <c r="J150" s="234">
        <v>0</v>
      </c>
      <c r="K150" s="234">
        <v>0</v>
      </c>
      <c r="L150" s="169" t="s">
        <v>253</v>
      </c>
      <c r="M150" s="170" t="s">
        <v>269</v>
      </c>
      <c r="N150" s="161" t="s">
        <v>270</v>
      </c>
      <c r="O150" s="233">
        <v>0.35787007799999998</v>
      </c>
      <c r="P150" s="233">
        <v>0.35787010000000002</v>
      </c>
      <c r="Q150" s="349">
        <f t="shared" si="11"/>
        <v>-2.2000000043931323E-8</v>
      </c>
      <c r="R150" s="349"/>
      <c r="S150" s="349"/>
      <c r="T150" s="349"/>
      <c r="U150" s="349"/>
      <c r="V150" s="349">
        <v>-2.2000000043931323E-8</v>
      </c>
    </row>
    <row r="151" spans="1:22" ht="36">
      <c r="A151" s="165" t="s">
        <v>245</v>
      </c>
      <c r="B151" s="168" t="s">
        <v>245</v>
      </c>
      <c r="C151" s="161" t="s">
        <v>376</v>
      </c>
      <c r="D151" s="233">
        <v>0.65155700000000005</v>
      </c>
      <c r="E151" s="233">
        <v>0.65155700000000005</v>
      </c>
      <c r="F151" s="233">
        <f t="shared" si="12"/>
        <v>0</v>
      </c>
      <c r="G151" s="233"/>
      <c r="H151" s="234">
        <v>0</v>
      </c>
      <c r="I151" s="234">
        <v>0</v>
      </c>
      <c r="J151" s="234">
        <v>0</v>
      </c>
      <c r="K151" s="234">
        <v>0</v>
      </c>
      <c r="L151" s="165" t="s">
        <v>271</v>
      </c>
      <c r="M151" s="166" t="s">
        <v>272</v>
      </c>
      <c r="N151" s="161" t="s">
        <v>273</v>
      </c>
      <c r="O151" s="233">
        <v>2.3000000000000001E-8</v>
      </c>
      <c r="P151" s="233">
        <v>0</v>
      </c>
      <c r="Q151" s="349">
        <f t="shared" si="11"/>
        <v>2.3000000000000001E-8</v>
      </c>
      <c r="R151" s="349"/>
      <c r="S151" s="349"/>
      <c r="T151" s="349"/>
      <c r="U151" s="349"/>
      <c r="V151" s="349">
        <v>2.3000000000000001E-8</v>
      </c>
    </row>
    <row r="152" spans="1:22">
      <c r="A152" s="165" t="s">
        <v>245</v>
      </c>
      <c r="B152" s="168" t="s">
        <v>245</v>
      </c>
      <c r="C152" s="161" t="s">
        <v>377</v>
      </c>
      <c r="D152" s="233">
        <v>0.25609470000000001</v>
      </c>
      <c r="E152" s="233">
        <v>0.25609470000000001</v>
      </c>
      <c r="F152" s="233">
        <f t="shared" ref="F152:F183" si="13">D152-E152</f>
        <v>0</v>
      </c>
      <c r="G152" s="233"/>
      <c r="H152" s="234">
        <v>0</v>
      </c>
      <c r="I152" s="234">
        <v>0</v>
      </c>
      <c r="J152" s="234">
        <v>0</v>
      </c>
      <c r="K152" s="234">
        <v>0</v>
      </c>
      <c r="L152" s="165" t="s">
        <v>271</v>
      </c>
      <c r="M152" s="166" t="s">
        <v>274</v>
      </c>
      <c r="N152" s="161" t="s">
        <v>275</v>
      </c>
      <c r="O152" s="233">
        <v>3.8153676000000001</v>
      </c>
      <c r="P152" s="233">
        <v>3.8153676000000001</v>
      </c>
      <c r="Q152" s="349">
        <f t="shared" si="11"/>
        <v>0</v>
      </c>
      <c r="R152" s="349"/>
      <c r="S152" s="349"/>
      <c r="T152" s="349"/>
      <c r="U152" s="349"/>
      <c r="V152" s="349"/>
    </row>
    <row r="153" spans="1:22" ht="24">
      <c r="A153" s="165" t="s">
        <v>245</v>
      </c>
      <c r="B153" s="168" t="s">
        <v>245</v>
      </c>
      <c r="C153" s="161" t="s">
        <v>378</v>
      </c>
      <c r="D153" s="233">
        <v>8.9845800000000003E-2</v>
      </c>
      <c r="E153" s="233">
        <v>8.9845800000000003E-2</v>
      </c>
      <c r="F153" s="233">
        <f t="shared" si="13"/>
        <v>0</v>
      </c>
      <c r="G153" s="233"/>
      <c r="H153" s="234">
        <v>0</v>
      </c>
      <c r="I153" s="234">
        <v>0</v>
      </c>
      <c r="J153" s="234">
        <v>0</v>
      </c>
      <c r="K153" s="234">
        <v>0</v>
      </c>
      <c r="L153" s="165" t="s">
        <v>271</v>
      </c>
      <c r="M153" s="166" t="s">
        <v>276</v>
      </c>
      <c r="N153" s="161" t="s">
        <v>277</v>
      </c>
      <c r="O153" s="233">
        <v>3.4046518369999998</v>
      </c>
      <c r="P153" s="233">
        <v>0.24556648717999999</v>
      </c>
      <c r="Q153" s="349">
        <f t="shared" si="11"/>
        <v>3.1590853498199998</v>
      </c>
      <c r="R153" s="349"/>
      <c r="S153" s="349">
        <f>Q153</f>
        <v>3.1590853498199998</v>
      </c>
      <c r="T153" s="349"/>
      <c r="U153" s="349"/>
      <c r="V153" s="349"/>
    </row>
    <row r="154" spans="1:22" ht="24">
      <c r="A154" s="165" t="s">
        <v>245</v>
      </c>
      <c r="B154" s="168" t="s">
        <v>245</v>
      </c>
      <c r="C154" s="161" t="s">
        <v>379</v>
      </c>
      <c r="D154" s="233">
        <v>8.9403200000000002E-2</v>
      </c>
      <c r="E154" s="233">
        <v>8.9403200000000002E-2</v>
      </c>
      <c r="F154" s="233">
        <f t="shared" si="13"/>
        <v>0</v>
      </c>
      <c r="G154" s="233"/>
      <c r="H154" s="234">
        <v>0</v>
      </c>
      <c r="I154" s="234">
        <v>0</v>
      </c>
      <c r="J154" s="234">
        <v>0</v>
      </c>
      <c r="K154" s="234">
        <v>0</v>
      </c>
      <c r="L154" s="165" t="s">
        <v>271</v>
      </c>
      <c r="M154" s="166" t="s">
        <v>278</v>
      </c>
      <c r="N154" s="161" t="s">
        <v>279</v>
      </c>
      <c r="O154" s="233">
        <v>4.4364648569999998</v>
      </c>
      <c r="P154" s="233">
        <v>0</v>
      </c>
      <c r="Q154" s="349">
        <f t="shared" si="11"/>
        <v>4.4364648569999998</v>
      </c>
      <c r="R154" s="349"/>
      <c r="S154" s="349">
        <f>Q154</f>
        <v>4.4364648569999998</v>
      </c>
      <c r="T154" s="349"/>
      <c r="U154" s="349"/>
      <c r="V154" s="349"/>
    </row>
    <row r="155" spans="1:22" ht="36">
      <c r="A155" s="165" t="s">
        <v>245</v>
      </c>
      <c r="B155" s="168" t="s">
        <v>245</v>
      </c>
      <c r="C155" s="161" t="s">
        <v>380</v>
      </c>
      <c r="D155" s="233">
        <v>6.8242300000000006E-2</v>
      </c>
      <c r="E155" s="233">
        <v>6.8242300000000006E-2</v>
      </c>
      <c r="F155" s="233">
        <f t="shared" si="13"/>
        <v>0</v>
      </c>
      <c r="G155" s="233"/>
      <c r="H155" s="234">
        <v>0</v>
      </c>
      <c r="I155" s="234">
        <v>0</v>
      </c>
      <c r="J155" s="234">
        <v>0</v>
      </c>
      <c r="K155" s="234">
        <v>0</v>
      </c>
      <c r="L155" s="165" t="s">
        <v>271</v>
      </c>
      <c r="M155" s="166" t="s">
        <v>280</v>
      </c>
      <c r="N155" s="161" t="s">
        <v>281</v>
      </c>
      <c r="O155" s="233">
        <v>0</v>
      </c>
      <c r="P155" s="233">
        <v>0.27999956600000003</v>
      </c>
      <c r="Q155" s="349">
        <f t="shared" si="11"/>
        <v>-0.27999956600000003</v>
      </c>
      <c r="R155" s="349"/>
      <c r="S155" s="349"/>
      <c r="T155" s="349"/>
      <c r="U155" s="349"/>
      <c r="V155" s="349">
        <v>-0.27999956600000003</v>
      </c>
    </row>
    <row r="156" spans="1:22" ht="48">
      <c r="A156" s="165" t="s">
        <v>245</v>
      </c>
      <c r="B156" s="168" t="s">
        <v>245</v>
      </c>
      <c r="C156" s="161" t="s">
        <v>381</v>
      </c>
      <c r="D156" s="233">
        <v>4.2346700000000001E-2</v>
      </c>
      <c r="E156" s="233">
        <v>4.2346700000000001E-2</v>
      </c>
      <c r="F156" s="233">
        <f t="shared" si="13"/>
        <v>0</v>
      </c>
      <c r="G156" s="233"/>
      <c r="H156" s="234">
        <v>0</v>
      </c>
      <c r="I156" s="234">
        <v>0</v>
      </c>
      <c r="J156" s="234">
        <v>0</v>
      </c>
      <c r="K156" s="234">
        <v>0</v>
      </c>
      <c r="L156" s="165" t="s">
        <v>271</v>
      </c>
      <c r="M156" s="166" t="s">
        <v>282</v>
      </c>
      <c r="N156" s="161" t="s">
        <v>283</v>
      </c>
      <c r="O156" s="233">
        <v>19.760966116999999</v>
      </c>
      <c r="P156" s="233">
        <v>19.770349817</v>
      </c>
      <c r="Q156" s="349">
        <f t="shared" si="11"/>
        <v>-9.383700000000772E-3</v>
      </c>
      <c r="R156" s="349"/>
      <c r="S156" s="349"/>
      <c r="T156" s="349"/>
      <c r="U156" s="349"/>
      <c r="V156" s="349">
        <v>-9.383700000000772E-3</v>
      </c>
    </row>
    <row r="157" spans="1:22" ht="24">
      <c r="A157" s="165" t="s">
        <v>245</v>
      </c>
      <c r="B157" s="168" t="s">
        <v>245</v>
      </c>
      <c r="C157" s="161" t="s">
        <v>382</v>
      </c>
      <c r="D157" s="233">
        <v>3.07137E-2</v>
      </c>
      <c r="E157" s="233">
        <v>3.07137E-2</v>
      </c>
      <c r="F157" s="233">
        <f t="shared" si="13"/>
        <v>0</v>
      </c>
      <c r="G157" s="233"/>
      <c r="H157" s="234">
        <v>0</v>
      </c>
      <c r="I157" s="234">
        <v>0</v>
      </c>
      <c r="J157" s="234">
        <v>0</v>
      </c>
      <c r="K157" s="234">
        <v>0</v>
      </c>
      <c r="L157" s="165" t="s">
        <v>271</v>
      </c>
      <c r="M157" s="166" t="s">
        <v>284</v>
      </c>
      <c r="N157" s="161" t="s">
        <v>279</v>
      </c>
      <c r="O157" s="233">
        <v>2.069273913</v>
      </c>
      <c r="P157" s="233">
        <v>0.95573876999999996</v>
      </c>
      <c r="Q157" s="349">
        <f t="shared" si="11"/>
        <v>1.113535143</v>
      </c>
      <c r="R157" s="349"/>
      <c r="S157" s="349">
        <f>Q157</f>
        <v>1.113535143</v>
      </c>
      <c r="T157" s="349"/>
      <c r="U157" s="349"/>
      <c r="V157" s="349"/>
    </row>
    <row r="158" spans="1:22" ht="48">
      <c r="A158" s="165" t="s">
        <v>245</v>
      </c>
      <c r="B158" s="168" t="s">
        <v>245</v>
      </c>
      <c r="C158" s="161" t="s">
        <v>383</v>
      </c>
      <c r="D158" s="233">
        <v>0</v>
      </c>
      <c r="E158" s="233">
        <v>0</v>
      </c>
      <c r="F158" s="233">
        <f t="shared" si="13"/>
        <v>0</v>
      </c>
      <c r="G158" s="233"/>
      <c r="H158" s="234">
        <v>0</v>
      </c>
      <c r="I158" s="234">
        <v>0</v>
      </c>
      <c r="J158" s="234">
        <v>0</v>
      </c>
      <c r="K158" s="234">
        <v>0</v>
      </c>
      <c r="L158" s="165" t="s">
        <v>271</v>
      </c>
      <c r="M158" s="166" t="s">
        <v>285</v>
      </c>
      <c r="N158" s="161" t="s">
        <v>286</v>
      </c>
      <c r="O158" s="233">
        <v>2.2640555</v>
      </c>
      <c r="P158" s="233">
        <v>0.63393554000000008</v>
      </c>
      <c r="Q158" s="349">
        <f t="shared" si="11"/>
        <v>1.63011996</v>
      </c>
      <c r="R158" s="349"/>
      <c r="S158" s="349"/>
      <c r="T158" s="349"/>
      <c r="U158" s="349"/>
      <c r="V158" s="349">
        <f>Q158</f>
        <v>1.63011996</v>
      </c>
    </row>
    <row r="159" spans="1:22" ht="84">
      <c r="A159" s="165" t="s">
        <v>245</v>
      </c>
      <c r="B159" s="168" t="s">
        <v>245</v>
      </c>
      <c r="C159" s="161" t="s">
        <v>384</v>
      </c>
      <c r="D159" s="233">
        <v>2.6562000000000001E-3</v>
      </c>
      <c r="E159" s="233">
        <v>2.6562000000000001E-3</v>
      </c>
      <c r="F159" s="233">
        <f t="shared" si="13"/>
        <v>0</v>
      </c>
      <c r="G159" s="233"/>
      <c r="H159" s="234">
        <v>0</v>
      </c>
      <c r="I159" s="234">
        <v>0</v>
      </c>
      <c r="J159" s="234">
        <v>0</v>
      </c>
      <c r="K159" s="234">
        <v>0</v>
      </c>
      <c r="L159" s="165" t="s">
        <v>271</v>
      </c>
      <c r="M159" s="166" t="s">
        <v>287</v>
      </c>
      <c r="N159" s="161" t="s">
        <v>288</v>
      </c>
      <c r="O159" s="233">
        <v>1.7264860929999999</v>
      </c>
      <c r="P159" s="233">
        <v>1.7264860929999999</v>
      </c>
      <c r="Q159" s="349">
        <f t="shared" si="11"/>
        <v>0</v>
      </c>
      <c r="R159" s="349"/>
      <c r="S159" s="349"/>
      <c r="T159" s="349"/>
      <c r="U159" s="349"/>
      <c r="V159" s="349"/>
    </row>
    <row r="160" spans="1:22">
      <c r="A160" s="165" t="s">
        <v>245</v>
      </c>
      <c r="B160" s="168" t="s">
        <v>245</v>
      </c>
      <c r="C160" s="161" t="s">
        <v>385</v>
      </c>
      <c r="D160" s="233">
        <v>1.5549109000000001</v>
      </c>
      <c r="E160" s="233">
        <v>1.5549109000000001</v>
      </c>
      <c r="F160" s="233">
        <f t="shared" si="13"/>
        <v>0</v>
      </c>
      <c r="G160" s="233"/>
      <c r="H160" s="234">
        <v>0</v>
      </c>
      <c r="I160" s="234">
        <v>0</v>
      </c>
      <c r="J160" s="234">
        <v>0</v>
      </c>
      <c r="K160" s="234">
        <v>0</v>
      </c>
      <c r="L160" s="171" t="s">
        <v>271</v>
      </c>
      <c r="M160" s="172" t="s">
        <v>289</v>
      </c>
      <c r="N160" s="161">
        <v>0</v>
      </c>
      <c r="O160" s="233">
        <v>3.8999999999999998E-8</v>
      </c>
      <c r="P160" s="233">
        <v>0</v>
      </c>
      <c r="Q160" s="349">
        <f t="shared" si="11"/>
        <v>3.8999999999999998E-8</v>
      </c>
      <c r="R160" s="349"/>
      <c r="S160" s="349"/>
      <c r="T160" s="349"/>
      <c r="U160" s="349"/>
      <c r="V160" s="349">
        <v>3.8999999999999998E-8</v>
      </c>
    </row>
    <row r="161" spans="1:22" ht="24">
      <c r="A161" s="165" t="s">
        <v>245</v>
      </c>
      <c r="B161" s="168" t="s">
        <v>245</v>
      </c>
      <c r="C161" s="161" t="s">
        <v>386</v>
      </c>
      <c r="D161" s="233">
        <v>4.3647E-3</v>
      </c>
      <c r="E161" s="233">
        <v>4.3647E-3</v>
      </c>
      <c r="F161" s="233">
        <f t="shared" si="13"/>
        <v>0</v>
      </c>
      <c r="G161" s="233"/>
      <c r="H161" s="234">
        <v>0</v>
      </c>
      <c r="I161" s="234">
        <v>0</v>
      </c>
      <c r="J161" s="234">
        <v>0</v>
      </c>
      <c r="K161" s="234">
        <v>0</v>
      </c>
      <c r="L161" s="162" t="s">
        <v>290</v>
      </c>
      <c r="M161" s="173" t="s">
        <v>291</v>
      </c>
      <c r="N161" s="161" t="s">
        <v>292</v>
      </c>
      <c r="O161" s="233">
        <v>3.5687547999999998</v>
      </c>
      <c r="P161" s="233">
        <v>6.0965330067769861</v>
      </c>
      <c r="Q161" s="349">
        <f t="shared" si="11"/>
        <v>-2.5277782067769863</v>
      </c>
      <c r="R161" s="349"/>
      <c r="S161" s="349">
        <f>Q161-AS64</f>
        <v>-2.5277782067769863</v>
      </c>
      <c r="T161" s="349"/>
      <c r="U161" s="349"/>
      <c r="V161" s="349">
        <v>1.6899999999999995</v>
      </c>
    </row>
    <row r="162" spans="1:22" ht="24">
      <c r="A162" s="165" t="s">
        <v>245</v>
      </c>
      <c r="B162" s="168" t="s">
        <v>245</v>
      </c>
      <c r="C162" s="161" t="s">
        <v>387</v>
      </c>
      <c r="D162" s="233">
        <v>0.12776399999999999</v>
      </c>
      <c r="E162" s="233">
        <v>0.12776399999999999</v>
      </c>
      <c r="F162" s="233">
        <f t="shared" si="13"/>
        <v>0</v>
      </c>
      <c r="G162" s="233"/>
      <c r="H162" s="234">
        <v>0</v>
      </c>
      <c r="I162" s="234">
        <v>0</v>
      </c>
      <c r="J162" s="234">
        <v>0</v>
      </c>
      <c r="K162" s="234">
        <v>0</v>
      </c>
      <c r="L162" s="162" t="s">
        <v>290</v>
      </c>
      <c r="M162" s="173" t="s">
        <v>293</v>
      </c>
      <c r="N162" s="161" t="s">
        <v>294</v>
      </c>
      <c r="O162" s="233">
        <v>8.7857592407787732E-2</v>
      </c>
      <c r="P162" s="233">
        <v>8.7857592407787732E-2</v>
      </c>
      <c r="Q162" s="349">
        <f t="shared" si="11"/>
        <v>0</v>
      </c>
      <c r="R162" s="349"/>
      <c r="S162" s="349"/>
      <c r="T162" s="349"/>
      <c r="U162" s="349"/>
      <c r="V162" s="349"/>
    </row>
    <row r="163" spans="1:22" ht="24">
      <c r="A163" s="165" t="s">
        <v>245</v>
      </c>
      <c r="B163" s="168" t="s">
        <v>245</v>
      </c>
      <c r="C163" s="161" t="s">
        <v>388</v>
      </c>
      <c r="D163" s="233">
        <v>5.7997699999999999E-2</v>
      </c>
      <c r="E163" s="233">
        <v>5.7997699999999999E-2</v>
      </c>
      <c r="F163" s="233">
        <f t="shared" si="13"/>
        <v>0</v>
      </c>
      <c r="G163" s="233"/>
      <c r="H163" s="234">
        <v>0</v>
      </c>
      <c r="I163" s="234">
        <v>0</v>
      </c>
      <c r="J163" s="234">
        <v>0</v>
      </c>
      <c r="K163" s="234">
        <v>0</v>
      </c>
      <c r="L163" s="162" t="s">
        <v>290</v>
      </c>
      <c r="M163" s="173" t="s">
        <v>295</v>
      </c>
      <c r="N163" s="161" t="s">
        <v>296</v>
      </c>
      <c r="O163" s="233">
        <v>4.5505006269999981</v>
      </c>
      <c r="P163" s="233">
        <v>0</v>
      </c>
      <c r="Q163" s="349">
        <f t="shared" si="11"/>
        <v>4.5505006269999981</v>
      </c>
      <c r="R163" s="349"/>
      <c r="S163" s="349">
        <f>Q163</f>
        <v>4.5505006269999981</v>
      </c>
      <c r="T163" s="349"/>
      <c r="U163" s="349"/>
      <c r="V163" s="349"/>
    </row>
    <row r="164" spans="1:22" ht="48">
      <c r="A164" s="165" t="s">
        <v>253</v>
      </c>
      <c r="B164" s="168" t="s">
        <v>389</v>
      </c>
      <c r="C164" s="161" t="s">
        <v>259</v>
      </c>
      <c r="D164" s="233">
        <v>24.887383712000002</v>
      </c>
      <c r="E164" s="233">
        <v>24.887383712000002</v>
      </c>
      <c r="F164" s="233">
        <f t="shared" si="13"/>
        <v>0</v>
      </c>
      <c r="G164" s="233"/>
      <c r="H164" s="234">
        <v>0</v>
      </c>
      <c r="I164" s="234">
        <v>0</v>
      </c>
      <c r="J164" s="234">
        <v>0</v>
      </c>
      <c r="K164" s="234">
        <v>0</v>
      </c>
      <c r="L164" s="162" t="s">
        <v>290</v>
      </c>
      <c r="M164" s="173" t="s">
        <v>297</v>
      </c>
      <c r="N164" s="161" t="s">
        <v>294</v>
      </c>
      <c r="O164" s="233">
        <v>0.83837542399999998</v>
      </c>
      <c r="P164" s="233">
        <v>0.83837543519373792</v>
      </c>
      <c r="Q164" s="349">
        <f t="shared" si="11"/>
        <v>-1.119373793656564E-8</v>
      </c>
      <c r="R164" s="349"/>
      <c r="S164" s="349">
        <f>Q164</f>
        <v>-1.119373793656564E-8</v>
      </c>
      <c r="T164" s="349"/>
      <c r="U164" s="349"/>
      <c r="V164" s="349"/>
    </row>
    <row r="165" spans="1:22" ht="24">
      <c r="A165" s="165" t="s">
        <v>253</v>
      </c>
      <c r="B165" s="168" t="s">
        <v>390</v>
      </c>
      <c r="C165" s="161" t="s">
        <v>267</v>
      </c>
      <c r="D165" s="233">
        <v>40.341070289999998</v>
      </c>
      <c r="E165" s="233">
        <v>40.341070289999998</v>
      </c>
      <c r="F165" s="233">
        <f t="shared" si="13"/>
        <v>0</v>
      </c>
      <c r="G165" s="233"/>
      <c r="H165" s="234">
        <v>0</v>
      </c>
      <c r="I165" s="234">
        <v>0</v>
      </c>
      <c r="J165" s="234">
        <v>0</v>
      </c>
      <c r="K165" s="234">
        <v>0</v>
      </c>
      <c r="L165" s="162" t="s">
        <v>290</v>
      </c>
      <c r="M165" s="173" t="s">
        <v>298</v>
      </c>
      <c r="N165" s="161" t="s">
        <v>296</v>
      </c>
      <c r="O165" s="233">
        <v>4.0528300000000002</v>
      </c>
      <c r="P165" s="233">
        <v>0</v>
      </c>
      <c r="Q165" s="349">
        <f t="shared" si="11"/>
        <v>4.0528300000000002</v>
      </c>
      <c r="R165" s="349"/>
      <c r="S165" s="349">
        <f>Q165</f>
        <v>4.0528300000000002</v>
      </c>
      <c r="T165" s="349"/>
      <c r="U165" s="349"/>
      <c r="V165" s="349"/>
    </row>
    <row r="166" spans="1:22">
      <c r="A166" s="165" t="s">
        <v>253</v>
      </c>
      <c r="B166" s="168" t="s">
        <v>391</v>
      </c>
      <c r="C166" s="161" t="s">
        <v>392</v>
      </c>
      <c r="D166" s="233">
        <v>0</v>
      </c>
      <c r="E166" s="233">
        <v>0</v>
      </c>
      <c r="F166" s="233">
        <f t="shared" si="13"/>
        <v>0</v>
      </c>
      <c r="G166" s="233"/>
      <c r="H166" s="234">
        <v>0</v>
      </c>
      <c r="I166" s="234">
        <v>0</v>
      </c>
      <c r="J166" s="234">
        <v>0</v>
      </c>
      <c r="K166" s="234">
        <v>0</v>
      </c>
      <c r="L166" s="162" t="s">
        <v>290</v>
      </c>
      <c r="M166" s="173" t="s">
        <v>299</v>
      </c>
      <c r="N166" s="161" t="s">
        <v>296</v>
      </c>
      <c r="O166" s="233">
        <v>4.0372884999999998</v>
      </c>
      <c r="P166" s="233">
        <v>4.0372884878894997</v>
      </c>
      <c r="Q166" s="349">
        <f t="shared" si="11"/>
        <v>1.2110500158257764E-8</v>
      </c>
      <c r="R166" s="349"/>
      <c r="S166" s="349"/>
      <c r="T166" s="349"/>
      <c r="U166" s="349"/>
      <c r="V166" s="349">
        <v>1.2110500158257764E-8</v>
      </c>
    </row>
    <row r="167" spans="1:22" ht="84">
      <c r="A167" s="165" t="s">
        <v>253</v>
      </c>
      <c r="B167" s="168" t="s">
        <v>393</v>
      </c>
      <c r="C167" s="161" t="s">
        <v>267</v>
      </c>
      <c r="D167" s="233">
        <v>10.019612845999999</v>
      </c>
      <c r="E167" s="233">
        <v>10.019612845999999</v>
      </c>
      <c r="F167" s="233">
        <f t="shared" si="13"/>
        <v>0</v>
      </c>
      <c r="G167" s="233"/>
      <c r="H167" s="234">
        <v>0</v>
      </c>
      <c r="I167" s="234">
        <v>0</v>
      </c>
      <c r="J167" s="234">
        <v>0</v>
      </c>
      <c r="K167" s="234">
        <v>0</v>
      </c>
      <c r="L167" s="162" t="s">
        <v>290</v>
      </c>
      <c r="M167" s="173" t="s">
        <v>300</v>
      </c>
      <c r="N167" s="161" t="s">
        <v>301</v>
      </c>
      <c r="O167" s="233">
        <v>3.3893966369999999</v>
      </c>
      <c r="P167" s="233">
        <v>0</v>
      </c>
      <c r="Q167" s="349">
        <f t="shared" ref="Q167:Q230" si="14">O167-P167</f>
        <v>3.3893966369999999</v>
      </c>
      <c r="R167" s="349"/>
      <c r="S167" s="349">
        <f t="shared" ref="S167:S172" si="15">Q167</f>
        <v>3.3893966369999999</v>
      </c>
      <c r="T167" s="349"/>
      <c r="U167" s="349"/>
      <c r="V167" s="349"/>
    </row>
    <row r="168" spans="1:22" ht="84">
      <c r="A168" s="165" t="s">
        <v>253</v>
      </c>
      <c r="B168" s="168" t="s">
        <v>394</v>
      </c>
      <c r="C168" s="161" t="s">
        <v>395</v>
      </c>
      <c r="D168" s="233">
        <v>1.42</v>
      </c>
      <c r="E168" s="233">
        <v>1.42</v>
      </c>
      <c r="F168" s="233">
        <f t="shared" si="13"/>
        <v>0</v>
      </c>
      <c r="G168" s="233"/>
      <c r="H168" s="234">
        <v>0</v>
      </c>
      <c r="I168" s="234">
        <v>0</v>
      </c>
      <c r="J168" s="234">
        <v>0</v>
      </c>
      <c r="K168" s="234">
        <v>0</v>
      </c>
      <c r="L168" s="162" t="s">
        <v>290</v>
      </c>
      <c r="M168" s="173" t="s">
        <v>302</v>
      </c>
      <c r="N168" s="161" t="s">
        <v>303</v>
      </c>
      <c r="O168" s="233">
        <v>1.3637971</v>
      </c>
      <c r="P168" s="233">
        <v>0</v>
      </c>
      <c r="Q168" s="349">
        <f t="shared" si="14"/>
        <v>1.3637971</v>
      </c>
      <c r="R168" s="349"/>
      <c r="S168" s="349">
        <f t="shared" si="15"/>
        <v>1.3637971</v>
      </c>
      <c r="T168" s="349"/>
      <c r="U168" s="349"/>
      <c r="V168" s="349"/>
    </row>
    <row r="169" spans="1:22" ht="24">
      <c r="A169" s="165" t="s">
        <v>253</v>
      </c>
      <c r="B169" s="168" t="s">
        <v>396</v>
      </c>
      <c r="C169" s="161" t="s">
        <v>397</v>
      </c>
      <c r="D169" s="233">
        <v>0</v>
      </c>
      <c r="E169" s="233">
        <v>0</v>
      </c>
      <c r="F169" s="233">
        <f t="shared" si="13"/>
        <v>0</v>
      </c>
      <c r="G169" s="233"/>
      <c r="H169" s="234">
        <v>0</v>
      </c>
      <c r="I169" s="234">
        <v>0</v>
      </c>
      <c r="J169" s="234">
        <v>0</v>
      </c>
      <c r="K169" s="234">
        <v>0</v>
      </c>
      <c r="L169" s="162" t="s">
        <v>290</v>
      </c>
      <c r="M169" s="173" t="s">
        <v>304</v>
      </c>
      <c r="N169" s="161" t="s">
        <v>292</v>
      </c>
      <c r="O169" s="233">
        <v>0.29525269799999998</v>
      </c>
      <c r="P169" s="233">
        <v>0</v>
      </c>
      <c r="Q169" s="349">
        <f t="shared" si="14"/>
        <v>0.29525269799999998</v>
      </c>
      <c r="R169" s="349"/>
      <c r="S169" s="349">
        <f t="shared" si="15"/>
        <v>0.29525269799999998</v>
      </c>
      <c r="T169" s="349"/>
      <c r="U169" s="349"/>
      <c r="V169" s="349"/>
    </row>
    <row r="170" spans="1:22" ht="72">
      <c r="A170" s="165" t="s">
        <v>271</v>
      </c>
      <c r="B170" s="168" t="s">
        <v>398</v>
      </c>
      <c r="C170" s="161" t="s">
        <v>399</v>
      </c>
      <c r="D170" s="233">
        <v>2.8041730460000003</v>
      </c>
      <c r="E170" s="233">
        <v>2.8041730460000003</v>
      </c>
      <c r="F170" s="233">
        <f t="shared" si="13"/>
        <v>0</v>
      </c>
      <c r="G170" s="233"/>
      <c r="H170" s="234">
        <v>0</v>
      </c>
      <c r="I170" s="234">
        <v>0</v>
      </c>
      <c r="J170" s="234">
        <v>0</v>
      </c>
      <c r="K170" s="234">
        <v>0</v>
      </c>
      <c r="L170" s="162" t="s">
        <v>290</v>
      </c>
      <c r="M170" s="173" t="s">
        <v>305</v>
      </c>
      <c r="N170" s="161" t="s">
        <v>306</v>
      </c>
      <c r="O170" s="233">
        <v>10.520797629</v>
      </c>
      <c r="P170" s="233">
        <v>0</v>
      </c>
      <c r="Q170" s="349">
        <f t="shared" si="14"/>
        <v>10.520797629</v>
      </c>
      <c r="R170" s="349"/>
      <c r="S170" s="349">
        <f t="shared" si="15"/>
        <v>10.520797629</v>
      </c>
      <c r="T170" s="349"/>
      <c r="U170" s="349"/>
      <c r="V170" s="349"/>
    </row>
    <row r="171" spans="1:22" ht="72">
      <c r="A171" s="165" t="s">
        <v>271</v>
      </c>
      <c r="B171" s="168" t="s">
        <v>400</v>
      </c>
      <c r="C171" s="161" t="s">
        <v>401</v>
      </c>
      <c r="D171" s="233">
        <v>5.8063499999999997E-2</v>
      </c>
      <c r="E171" s="233">
        <v>5.8063499999999997E-2</v>
      </c>
      <c r="F171" s="233">
        <f t="shared" si="13"/>
        <v>0</v>
      </c>
      <c r="G171" s="233"/>
      <c r="H171" s="234">
        <v>0</v>
      </c>
      <c r="I171" s="234">
        <v>0</v>
      </c>
      <c r="J171" s="234">
        <v>0</v>
      </c>
      <c r="K171" s="234">
        <v>0</v>
      </c>
      <c r="L171" s="162" t="s">
        <v>290</v>
      </c>
      <c r="M171" s="173" t="s">
        <v>307</v>
      </c>
      <c r="N171" s="161" t="s">
        <v>306</v>
      </c>
      <c r="O171" s="233">
        <v>0.29999221700000006</v>
      </c>
      <c r="P171" s="233">
        <v>0</v>
      </c>
      <c r="Q171" s="349">
        <f t="shared" si="14"/>
        <v>0.29999221700000006</v>
      </c>
      <c r="R171" s="349"/>
      <c r="S171" s="349">
        <f t="shared" si="15"/>
        <v>0.29999221700000006</v>
      </c>
      <c r="T171" s="349"/>
      <c r="U171" s="349"/>
      <c r="V171" s="349"/>
    </row>
    <row r="172" spans="1:22" ht="72">
      <c r="A172" s="165" t="s">
        <v>271</v>
      </c>
      <c r="B172" s="168" t="s">
        <v>402</v>
      </c>
      <c r="C172" s="161" t="s">
        <v>403</v>
      </c>
      <c r="D172" s="233">
        <v>0.10636449199999999</v>
      </c>
      <c r="E172" s="233">
        <v>0.10636449199999999</v>
      </c>
      <c r="F172" s="233">
        <f t="shared" si="13"/>
        <v>0</v>
      </c>
      <c r="G172" s="233"/>
      <c r="H172" s="234">
        <v>0</v>
      </c>
      <c r="I172" s="234">
        <v>0</v>
      </c>
      <c r="J172" s="234">
        <v>0</v>
      </c>
      <c r="K172" s="234">
        <v>0</v>
      </c>
      <c r="L172" s="162" t="s">
        <v>290</v>
      </c>
      <c r="M172" s="173" t="s">
        <v>308</v>
      </c>
      <c r="N172" s="161" t="s">
        <v>306</v>
      </c>
      <c r="O172" s="233">
        <v>4.1268917329999999</v>
      </c>
      <c r="P172" s="233">
        <v>0</v>
      </c>
      <c r="Q172" s="349">
        <f t="shared" si="14"/>
        <v>4.1268917329999999</v>
      </c>
      <c r="R172" s="349"/>
      <c r="S172" s="349">
        <f t="shared" si="15"/>
        <v>4.1268917329999999</v>
      </c>
      <c r="T172" s="349"/>
      <c r="U172" s="349"/>
      <c r="V172" s="349"/>
    </row>
    <row r="173" spans="1:22" ht="60">
      <c r="A173" s="165" t="s">
        <v>271</v>
      </c>
      <c r="B173" s="168" t="s">
        <v>404</v>
      </c>
      <c r="C173" s="161" t="s">
        <v>405</v>
      </c>
      <c r="D173" s="233">
        <v>0</v>
      </c>
      <c r="E173" s="233">
        <v>0</v>
      </c>
      <c r="F173" s="233">
        <f t="shared" si="13"/>
        <v>0</v>
      </c>
      <c r="G173" s="233"/>
      <c r="H173" s="234">
        <v>0</v>
      </c>
      <c r="I173" s="234">
        <v>0</v>
      </c>
      <c r="J173" s="234">
        <v>0</v>
      </c>
      <c r="K173" s="234">
        <v>0</v>
      </c>
      <c r="L173" s="162" t="s">
        <v>290</v>
      </c>
      <c r="M173" s="173" t="s">
        <v>309</v>
      </c>
      <c r="N173" s="161" t="s">
        <v>310</v>
      </c>
      <c r="O173" s="233">
        <v>1.1357434237288157E-2</v>
      </c>
      <c r="P173" s="233">
        <v>3.1800815864406842E-3</v>
      </c>
      <c r="Q173" s="349">
        <f t="shared" si="14"/>
        <v>8.1773526508474737E-3</v>
      </c>
      <c r="R173" s="349"/>
      <c r="S173" s="349"/>
      <c r="T173" s="349"/>
      <c r="U173" s="349"/>
      <c r="V173" s="349">
        <f>Q173</f>
        <v>8.1773526508474737E-3</v>
      </c>
    </row>
    <row r="174" spans="1:22" ht="60">
      <c r="A174" s="165" t="s">
        <v>271</v>
      </c>
      <c r="B174" s="168" t="s">
        <v>406</v>
      </c>
      <c r="C174" s="161" t="s">
        <v>407</v>
      </c>
      <c r="D174" s="233">
        <v>1.2234500000000001E-2</v>
      </c>
      <c r="E174" s="233">
        <v>1.2234500000000001E-2</v>
      </c>
      <c r="F174" s="233">
        <f t="shared" si="13"/>
        <v>0</v>
      </c>
      <c r="G174" s="233"/>
      <c r="H174" s="234">
        <v>0</v>
      </c>
      <c r="I174" s="234">
        <v>0</v>
      </c>
      <c r="J174" s="234">
        <v>0</v>
      </c>
      <c r="K174" s="234">
        <v>0</v>
      </c>
      <c r="L174" s="162" t="s">
        <v>290</v>
      </c>
      <c r="M174" s="174" t="s">
        <v>311</v>
      </c>
      <c r="N174" s="161" t="s">
        <v>310</v>
      </c>
      <c r="O174" s="233">
        <v>12.9417496</v>
      </c>
      <c r="P174" s="233">
        <v>3.6236898772989603</v>
      </c>
      <c r="Q174" s="349">
        <f t="shared" si="14"/>
        <v>9.3180597227010402</v>
      </c>
      <c r="R174" s="349"/>
      <c r="S174" s="349"/>
      <c r="T174" s="349"/>
      <c r="U174" s="349"/>
      <c r="V174" s="349">
        <f>Q174</f>
        <v>9.3180597227010402</v>
      </c>
    </row>
    <row r="175" spans="1:22" ht="60">
      <c r="A175" s="165" t="s">
        <v>271</v>
      </c>
      <c r="B175" s="168" t="s">
        <v>408</v>
      </c>
      <c r="C175" s="161" t="s">
        <v>401</v>
      </c>
      <c r="D175" s="233">
        <v>0</v>
      </c>
      <c r="E175" s="233">
        <v>0</v>
      </c>
      <c r="F175" s="233">
        <f t="shared" si="13"/>
        <v>0</v>
      </c>
      <c r="G175" s="233"/>
      <c r="H175" s="234">
        <v>0</v>
      </c>
      <c r="I175" s="234">
        <v>0</v>
      </c>
      <c r="J175" s="234">
        <v>0</v>
      </c>
      <c r="K175" s="234">
        <v>0</v>
      </c>
      <c r="L175" s="162" t="s">
        <v>290</v>
      </c>
      <c r="M175" s="173" t="s">
        <v>312</v>
      </c>
      <c r="N175" s="161" t="s">
        <v>310</v>
      </c>
      <c r="O175" s="233">
        <v>2.5741438482613961</v>
      </c>
      <c r="P175" s="233">
        <v>0.72076027751319105</v>
      </c>
      <c r="Q175" s="349">
        <f t="shared" si="14"/>
        <v>1.8533835707482051</v>
      </c>
      <c r="R175" s="349"/>
      <c r="S175" s="349"/>
      <c r="T175" s="349"/>
      <c r="U175" s="349"/>
      <c r="V175" s="349">
        <f>Q175</f>
        <v>1.8533835707482051</v>
      </c>
    </row>
    <row r="176" spans="1:22" ht="60">
      <c r="A176" s="165" t="s">
        <v>271</v>
      </c>
      <c r="B176" s="168" t="s">
        <v>409</v>
      </c>
      <c r="C176" s="161" t="s">
        <v>410</v>
      </c>
      <c r="D176" s="233">
        <v>1.2990276999999999</v>
      </c>
      <c r="E176" s="233">
        <v>1.2990276999999999</v>
      </c>
      <c r="F176" s="233">
        <f t="shared" si="13"/>
        <v>0</v>
      </c>
      <c r="G176" s="233"/>
      <c r="H176" s="234">
        <v>0</v>
      </c>
      <c r="I176" s="234">
        <v>0</v>
      </c>
      <c r="J176" s="234">
        <v>0</v>
      </c>
      <c r="K176" s="234">
        <v>0</v>
      </c>
      <c r="L176" s="162" t="s">
        <v>290</v>
      </c>
      <c r="M176" s="173" t="s">
        <v>313</v>
      </c>
      <c r="N176" s="161" t="s">
        <v>310</v>
      </c>
      <c r="O176" s="233">
        <v>3.7333640122508442</v>
      </c>
      <c r="P176" s="233">
        <v>1.3031451631811077</v>
      </c>
      <c r="Q176" s="349">
        <f t="shared" si="14"/>
        <v>2.4302188490697363</v>
      </c>
      <c r="R176" s="349"/>
      <c r="S176" s="349"/>
      <c r="T176" s="349"/>
      <c r="U176" s="349"/>
      <c r="V176" s="349">
        <f>Q176</f>
        <v>2.4302188490697363</v>
      </c>
    </row>
    <row r="177" spans="1:22" ht="60">
      <c r="A177" s="165" t="s">
        <v>271</v>
      </c>
      <c r="B177" s="168" t="s">
        <v>411</v>
      </c>
      <c r="C177" s="161" t="s">
        <v>412</v>
      </c>
      <c r="D177" s="233">
        <v>6.08502E-2</v>
      </c>
      <c r="E177" s="233">
        <v>6.08502E-2</v>
      </c>
      <c r="F177" s="233">
        <f t="shared" si="13"/>
        <v>0</v>
      </c>
      <c r="G177" s="233"/>
      <c r="H177" s="234">
        <v>0</v>
      </c>
      <c r="I177" s="234">
        <v>0</v>
      </c>
      <c r="J177" s="234">
        <v>0</v>
      </c>
      <c r="K177" s="234">
        <v>0</v>
      </c>
      <c r="L177" s="162" t="s">
        <v>290</v>
      </c>
      <c r="M177" s="173" t="s">
        <v>314</v>
      </c>
      <c r="N177" s="161" t="s">
        <v>310</v>
      </c>
      <c r="O177" s="233">
        <v>0</v>
      </c>
      <c r="P177" s="233">
        <v>0</v>
      </c>
      <c r="Q177" s="349">
        <f t="shared" si="14"/>
        <v>0</v>
      </c>
      <c r="R177" s="349"/>
      <c r="S177" s="349"/>
      <c r="T177" s="349"/>
      <c r="U177" s="349"/>
      <c r="V177" s="349"/>
    </row>
    <row r="178" spans="1:22" ht="60">
      <c r="A178" s="165" t="s">
        <v>271</v>
      </c>
      <c r="B178" s="168" t="s">
        <v>413</v>
      </c>
      <c r="C178" s="161">
        <v>0</v>
      </c>
      <c r="D178" s="233">
        <v>0</v>
      </c>
      <c r="E178" s="233">
        <v>0</v>
      </c>
      <c r="F178" s="233">
        <f t="shared" si="13"/>
        <v>0</v>
      </c>
      <c r="G178" s="233"/>
      <c r="H178" s="234">
        <v>0</v>
      </c>
      <c r="I178" s="234">
        <v>0</v>
      </c>
      <c r="J178" s="234">
        <v>0</v>
      </c>
      <c r="K178" s="234">
        <v>0</v>
      </c>
      <c r="L178" s="162" t="s">
        <v>290</v>
      </c>
      <c r="M178" s="173" t="s">
        <v>315</v>
      </c>
      <c r="N178" s="161" t="s">
        <v>310</v>
      </c>
      <c r="O178" s="233">
        <v>0</v>
      </c>
      <c r="P178" s="233">
        <v>0</v>
      </c>
      <c r="Q178" s="349">
        <f t="shared" si="14"/>
        <v>0</v>
      </c>
      <c r="R178" s="349"/>
      <c r="S178" s="349"/>
      <c r="T178" s="349"/>
      <c r="U178" s="349"/>
      <c r="V178" s="349"/>
    </row>
    <row r="179" spans="1:22" ht="36">
      <c r="A179" s="165" t="s">
        <v>271</v>
      </c>
      <c r="B179" s="168" t="s">
        <v>414</v>
      </c>
      <c r="C179" s="161">
        <v>0</v>
      </c>
      <c r="D179" s="233">
        <v>0.1681049</v>
      </c>
      <c r="E179" s="233">
        <v>0.1681049</v>
      </c>
      <c r="F179" s="233">
        <f t="shared" si="13"/>
        <v>0</v>
      </c>
      <c r="G179" s="233"/>
      <c r="H179" s="234">
        <v>0</v>
      </c>
      <c r="I179" s="234">
        <v>0</v>
      </c>
      <c r="J179" s="234">
        <v>0</v>
      </c>
      <c r="K179" s="234">
        <v>0</v>
      </c>
      <c r="L179" s="162" t="s">
        <v>316</v>
      </c>
      <c r="M179" s="175" t="s">
        <v>316</v>
      </c>
      <c r="N179" s="161" t="s">
        <v>317</v>
      </c>
      <c r="O179" s="233">
        <v>2.3379999999999998E-3</v>
      </c>
      <c r="P179" s="233">
        <v>3.2661832271781002E-2</v>
      </c>
      <c r="Q179" s="349">
        <f t="shared" si="14"/>
        <v>-3.0323832271781002E-2</v>
      </c>
      <c r="R179" s="349"/>
      <c r="S179" s="349"/>
      <c r="T179" s="349"/>
      <c r="U179" s="349"/>
      <c r="V179" s="349">
        <v>-3.0323832271781002E-2</v>
      </c>
    </row>
    <row r="180" spans="1:22">
      <c r="A180" s="165" t="s">
        <v>271</v>
      </c>
      <c r="B180" s="168" t="s">
        <v>289</v>
      </c>
      <c r="C180" s="161">
        <v>0</v>
      </c>
      <c r="D180" s="233">
        <v>3.8999999999999998E-8</v>
      </c>
      <c r="E180" s="233">
        <v>0</v>
      </c>
      <c r="F180" s="233">
        <f t="shared" si="13"/>
        <v>3.8999999999999998E-8</v>
      </c>
      <c r="G180" s="233"/>
      <c r="H180" s="234">
        <v>0</v>
      </c>
      <c r="I180" s="234">
        <v>0</v>
      </c>
      <c r="J180" s="234">
        <v>0</v>
      </c>
      <c r="K180" s="234">
        <v>3.8999999999999998E-8</v>
      </c>
      <c r="L180" s="162" t="s">
        <v>316</v>
      </c>
      <c r="M180" s="175" t="s">
        <v>316</v>
      </c>
      <c r="N180" s="161" t="s">
        <v>318</v>
      </c>
      <c r="O180" s="233">
        <v>3.0323800000000001E-2</v>
      </c>
      <c r="P180" s="233">
        <v>0</v>
      </c>
      <c r="Q180" s="349">
        <f t="shared" si="14"/>
        <v>3.0323800000000001E-2</v>
      </c>
      <c r="R180" s="349"/>
      <c r="S180" s="349"/>
      <c r="T180" s="349"/>
      <c r="U180" s="349"/>
      <c r="V180" s="349">
        <v>3.0323800000000001E-2</v>
      </c>
    </row>
    <row r="181" spans="1:22" ht="60">
      <c r="A181" s="165" t="s">
        <v>290</v>
      </c>
      <c r="B181" s="168" t="s">
        <v>415</v>
      </c>
      <c r="C181" s="161" t="s">
        <v>415</v>
      </c>
      <c r="D181" s="233">
        <v>39.451367374</v>
      </c>
      <c r="E181" s="233">
        <v>39.451367374</v>
      </c>
      <c r="F181" s="233">
        <f t="shared" si="13"/>
        <v>0</v>
      </c>
      <c r="G181" s="233"/>
      <c r="H181" s="234">
        <v>0</v>
      </c>
      <c r="I181" s="234">
        <v>0</v>
      </c>
      <c r="J181" s="234">
        <v>0</v>
      </c>
      <c r="K181" s="234">
        <v>0</v>
      </c>
      <c r="L181" s="165" t="s">
        <v>245</v>
      </c>
      <c r="M181" s="168" t="s">
        <v>245</v>
      </c>
      <c r="N181" s="161" t="s">
        <v>319</v>
      </c>
      <c r="O181" s="233">
        <v>7.7210799999999996E-2</v>
      </c>
      <c r="P181" s="233">
        <v>0.10843700000000001</v>
      </c>
      <c r="Q181" s="349">
        <f t="shared" si="14"/>
        <v>-3.122620000000001E-2</v>
      </c>
      <c r="R181" s="349"/>
      <c r="S181" s="349"/>
      <c r="T181" s="349"/>
      <c r="U181" s="349"/>
      <c r="V181" s="349">
        <v>-3.122620000000001E-2</v>
      </c>
    </row>
    <row r="182" spans="1:22" ht="24">
      <c r="A182" s="165" t="s">
        <v>290</v>
      </c>
      <c r="B182" s="168" t="s">
        <v>416</v>
      </c>
      <c r="C182" s="161" t="s">
        <v>292</v>
      </c>
      <c r="D182" s="233">
        <v>0</v>
      </c>
      <c r="E182" s="233">
        <v>0</v>
      </c>
      <c r="F182" s="233">
        <f t="shared" si="13"/>
        <v>0</v>
      </c>
      <c r="G182" s="233"/>
      <c r="H182" s="234">
        <v>0</v>
      </c>
      <c r="I182" s="234">
        <v>0</v>
      </c>
      <c r="J182" s="234">
        <v>0</v>
      </c>
      <c r="K182" s="234">
        <v>0</v>
      </c>
      <c r="L182" s="165" t="s">
        <v>188</v>
      </c>
      <c r="M182" s="168" t="s">
        <v>320</v>
      </c>
      <c r="N182" s="161" t="s">
        <v>321</v>
      </c>
      <c r="O182" s="233">
        <v>0.72889458899999993</v>
      </c>
      <c r="P182" s="233">
        <v>0.72889458899999993</v>
      </c>
      <c r="Q182" s="349">
        <f t="shared" si="14"/>
        <v>0</v>
      </c>
      <c r="R182" s="349"/>
      <c r="S182" s="362">
        <v>0</v>
      </c>
      <c r="T182" s="362">
        <v>0</v>
      </c>
      <c r="U182" s="362">
        <v>0</v>
      </c>
      <c r="V182" s="362">
        <v>0</v>
      </c>
    </row>
    <row r="183" spans="1:22" ht="60">
      <c r="A183" s="165" t="s">
        <v>316</v>
      </c>
      <c r="B183" s="168" t="s">
        <v>316</v>
      </c>
      <c r="C183" s="161" t="s">
        <v>417</v>
      </c>
      <c r="D183" s="233">
        <v>0.30449179999999998</v>
      </c>
      <c r="E183" s="233">
        <v>0.30449179999999998</v>
      </c>
      <c r="F183" s="233">
        <f t="shared" si="13"/>
        <v>0</v>
      </c>
      <c r="G183" s="233"/>
      <c r="H183" s="234">
        <v>0</v>
      </c>
      <c r="I183" s="234">
        <v>0</v>
      </c>
      <c r="J183" s="234">
        <v>0</v>
      </c>
      <c r="K183" s="234">
        <v>0</v>
      </c>
      <c r="L183" s="165" t="s">
        <v>188</v>
      </c>
      <c r="M183" s="168" t="s">
        <v>322</v>
      </c>
      <c r="N183" s="161" t="s">
        <v>323</v>
      </c>
      <c r="O183" s="233">
        <v>4.5</v>
      </c>
      <c r="P183" s="233">
        <v>4.5</v>
      </c>
      <c r="Q183" s="349">
        <f t="shared" si="14"/>
        <v>0</v>
      </c>
      <c r="R183" s="349"/>
      <c r="S183" s="362">
        <v>0</v>
      </c>
      <c r="T183" s="362">
        <v>0</v>
      </c>
      <c r="U183" s="362">
        <v>0</v>
      </c>
      <c r="V183" s="362">
        <v>0</v>
      </c>
    </row>
    <row r="184" spans="1:22" ht="24">
      <c r="A184" s="165" t="s">
        <v>316</v>
      </c>
      <c r="B184" s="168" t="s">
        <v>316</v>
      </c>
      <c r="C184" s="161" t="s">
        <v>418</v>
      </c>
      <c r="D184" s="233">
        <v>1.6350769199999999</v>
      </c>
      <c r="E184" s="233">
        <v>1.6350769199999999</v>
      </c>
      <c r="F184" s="233">
        <f t="shared" ref="F184:F185" si="16">D184-E184</f>
        <v>0</v>
      </c>
      <c r="G184" s="233"/>
      <c r="H184" s="234">
        <v>0</v>
      </c>
      <c r="I184" s="234">
        <v>0</v>
      </c>
      <c r="J184" s="234">
        <v>0</v>
      </c>
      <c r="K184" s="234">
        <v>0</v>
      </c>
      <c r="L184" s="165" t="s">
        <v>188</v>
      </c>
      <c r="M184" s="168" t="s">
        <v>324</v>
      </c>
      <c r="N184" s="161" t="s">
        <v>190</v>
      </c>
      <c r="O184" s="233">
        <v>5.6918976909999994</v>
      </c>
      <c r="P184" s="233">
        <v>5.6918976909999994</v>
      </c>
      <c r="Q184" s="349">
        <f t="shared" si="14"/>
        <v>0</v>
      </c>
      <c r="R184" s="349"/>
      <c r="S184" s="362">
        <v>0</v>
      </c>
      <c r="T184" s="362">
        <v>0</v>
      </c>
      <c r="U184" s="362">
        <v>0</v>
      </c>
      <c r="V184" s="362">
        <v>0</v>
      </c>
    </row>
    <row r="185" spans="1:22" ht="36">
      <c r="A185" s="165" t="s">
        <v>245</v>
      </c>
      <c r="B185" s="168" t="s">
        <v>245</v>
      </c>
      <c r="C185" s="161" t="s">
        <v>419</v>
      </c>
      <c r="D185" s="233">
        <v>4.5373299999999998E-2</v>
      </c>
      <c r="E185" s="233">
        <v>4.5373299999999998E-2</v>
      </c>
      <c r="F185" s="233">
        <f t="shared" si="16"/>
        <v>0</v>
      </c>
      <c r="G185" s="233"/>
      <c r="H185" s="234">
        <v>0</v>
      </c>
      <c r="I185" s="234">
        <v>0</v>
      </c>
      <c r="J185" s="234">
        <v>0</v>
      </c>
      <c r="K185" s="234">
        <v>0</v>
      </c>
      <c r="L185" s="165" t="s">
        <v>188</v>
      </c>
      <c r="M185" s="168" t="s">
        <v>325</v>
      </c>
      <c r="N185" s="161" t="s">
        <v>190</v>
      </c>
      <c r="O185" s="233">
        <v>1.225947388</v>
      </c>
      <c r="P185" s="233">
        <v>1.225947388</v>
      </c>
      <c r="Q185" s="349">
        <f t="shared" si="14"/>
        <v>0</v>
      </c>
      <c r="R185" s="349"/>
      <c r="S185" s="362">
        <v>0</v>
      </c>
      <c r="T185" s="362">
        <v>0</v>
      </c>
      <c r="U185" s="362">
        <v>0</v>
      </c>
      <c r="V185" s="362">
        <v>0</v>
      </c>
    </row>
    <row r="186" spans="1:22" ht="24">
      <c r="C186" s="237" t="s">
        <v>130</v>
      </c>
      <c r="D186" s="236">
        <f>SUM(D24:D185)</f>
        <v>386.23303390415725</v>
      </c>
      <c r="E186" s="236">
        <f t="shared" ref="E186:K186" si="17">SUM(E24:E185)</f>
        <v>261.36419721795426</v>
      </c>
      <c r="F186" s="236">
        <f t="shared" si="17"/>
        <v>124.8688366862031</v>
      </c>
      <c r="G186" s="236"/>
      <c r="H186" s="236">
        <f t="shared" si="17"/>
        <v>36.455581424029276</v>
      </c>
      <c r="I186" s="236">
        <f t="shared" si="17"/>
        <v>34.303526098961974</v>
      </c>
      <c r="J186" s="236">
        <f t="shared" si="17"/>
        <v>0</v>
      </c>
      <c r="K186" s="236">
        <f t="shared" si="17"/>
        <v>54.099729163211819</v>
      </c>
      <c r="L186" s="165" t="s">
        <v>188</v>
      </c>
      <c r="M186" s="168" t="s">
        <v>326</v>
      </c>
      <c r="N186" s="161" t="s">
        <v>190</v>
      </c>
      <c r="O186" s="233">
        <v>0</v>
      </c>
      <c r="P186" s="233">
        <v>0</v>
      </c>
      <c r="Q186" s="349">
        <f t="shared" si="14"/>
        <v>0</v>
      </c>
      <c r="R186" s="349"/>
      <c r="S186" s="362">
        <v>0</v>
      </c>
      <c r="T186" s="362">
        <v>0</v>
      </c>
      <c r="U186" s="362">
        <v>0</v>
      </c>
      <c r="V186" s="362">
        <v>0</v>
      </c>
    </row>
    <row r="187" spans="1:22" ht="24">
      <c r="L187" s="165" t="s">
        <v>188</v>
      </c>
      <c r="M187" s="168" t="s">
        <v>327</v>
      </c>
      <c r="N187" s="161" t="s">
        <v>190</v>
      </c>
      <c r="O187" s="233">
        <v>1.5848475369999999</v>
      </c>
      <c r="P187" s="233">
        <v>1.5848475369999999</v>
      </c>
      <c r="Q187" s="349">
        <f t="shared" si="14"/>
        <v>0</v>
      </c>
      <c r="R187" s="349"/>
      <c r="S187" s="362">
        <v>0</v>
      </c>
      <c r="T187" s="362">
        <v>0</v>
      </c>
      <c r="U187" s="362">
        <v>0</v>
      </c>
      <c r="V187" s="362">
        <v>0</v>
      </c>
    </row>
    <row r="188" spans="1:22" ht="24">
      <c r="L188" s="165" t="s">
        <v>194</v>
      </c>
      <c r="M188" s="168" t="s">
        <v>328</v>
      </c>
      <c r="N188" s="161" t="s">
        <v>199</v>
      </c>
      <c r="O188" s="233">
        <v>0</v>
      </c>
      <c r="P188" s="233">
        <v>0</v>
      </c>
      <c r="Q188" s="349">
        <f t="shared" si="14"/>
        <v>0</v>
      </c>
      <c r="R188" s="349"/>
      <c r="S188" s="362">
        <v>0</v>
      </c>
      <c r="T188" s="362">
        <v>0</v>
      </c>
      <c r="U188" s="362">
        <v>0</v>
      </c>
      <c r="V188" s="362">
        <v>0</v>
      </c>
    </row>
    <row r="189" spans="1:22" ht="24">
      <c r="L189" s="165" t="s">
        <v>194</v>
      </c>
      <c r="M189" s="168" t="s">
        <v>329</v>
      </c>
      <c r="N189" s="161" t="s">
        <v>330</v>
      </c>
      <c r="O189" s="233">
        <v>0</v>
      </c>
      <c r="P189" s="233">
        <v>0</v>
      </c>
      <c r="Q189" s="349">
        <f t="shared" si="14"/>
        <v>0</v>
      </c>
      <c r="R189" s="349"/>
      <c r="S189" s="362">
        <v>0</v>
      </c>
      <c r="T189" s="362">
        <v>0</v>
      </c>
      <c r="U189" s="362">
        <v>0</v>
      </c>
      <c r="V189" s="362">
        <v>0</v>
      </c>
    </row>
    <row r="190" spans="1:22" ht="60">
      <c r="L190" s="165" t="s">
        <v>194</v>
      </c>
      <c r="M190" s="168" t="s">
        <v>331</v>
      </c>
      <c r="N190" s="161" t="s">
        <v>332</v>
      </c>
      <c r="O190" s="233">
        <v>0</v>
      </c>
      <c r="P190" s="233">
        <v>0</v>
      </c>
      <c r="Q190" s="349">
        <f t="shared" si="14"/>
        <v>0</v>
      </c>
      <c r="R190" s="349"/>
      <c r="S190" s="362">
        <v>0</v>
      </c>
      <c r="T190" s="362">
        <v>0</v>
      </c>
      <c r="U190" s="362">
        <v>0</v>
      </c>
      <c r="V190" s="362">
        <v>0</v>
      </c>
    </row>
    <row r="191" spans="1:22">
      <c r="L191" s="165" t="s">
        <v>194</v>
      </c>
      <c r="M191" s="168" t="s">
        <v>333</v>
      </c>
      <c r="N191" s="161" t="s">
        <v>334</v>
      </c>
      <c r="O191" s="233">
        <v>0</v>
      </c>
      <c r="P191" s="233">
        <v>0</v>
      </c>
      <c r="Q191" s="349">
        <f t="shared" si="14"/>
        <v>0</v>
      </c>
      <c r="R191" s="349"/>
      <c r="S191" s="362">
        <v>0</v>
      </c>
      <c r="T191" s="362">
        <v>0</v>
      </c>
      <c r="U191" s="362">
        <v>0</v>
      </c>
      <c r="V191" s="362">
        <v>0</v>
      </c>
    </row>
    <row r="192" spans="1:22">
      <c r="L192" s="165" t="s">
        <v>194</v>
      </c>
      <c r="M192" s="168" t="s">
        <v>335</v>
      </c>
      <c r="N192" s="161" t="s">
        <v>334</v>
      </c>
      <c r="O192" s="233">
        <v>0</v>
      </c>
      <c r="P192" s="233">
        <v>0</v>
      </c>
      <c r="Q192" s="349">
        <f t="shared" si="14"/>
        <v>0</v>
      </c>
      <c r="R192" s="349"/>
      <c r="S192" s="362">
        <v>0</v>
      </c>
      <c r="T192" s="362">
        <v>0</v>
      </c>
      <c r="U192" s="362">
        <v>0</v>
      </c>
      <c r="V192" s="362">
        <v>0</v>
      </c>
    </row>
    <row r="193" spans="12:22">
      <c r="L193" s="165" t="s">
        <v>194</v>
      </c>
      <c r="M193" s="168" t="s">
        <v>336</v>
      </c>
      <c r="N193" s="161" t="s">
        <v>334</v>
      </c>
      <c r="O193" s="233">
        <v>0</v>
      </c>
      <c r="P193" s="233">
        <v>0</v>
      </c>
      <c r="Q193" s="349">
        <f t="shared" si="14"/>
        <v>0</v>
      </c>
      <c r="R193" s="349"/>
      <c r="S193" s="362">
        <v>0</v>
      </c>
      <c r="T193" s="362">
        <v>0</v>
      </c>
      <c r="U193" s="362">
        <v>0</v>
      </c>
      <c r="V193" s="362">
        <v>0</v>
      </c>
    </row>
    <row r="194" spans="12:22">
      <c r="L194" s="165" t="s">
        <v>194</v>
      </c>
      <c r="M194" s="168" t="s">
        <v>337</v>
      </c>
      <c r="N194" s="161" t="s">
        <v>334</v>
      </c>
      <c r="O194" s="233">
        <v>0</v>
      </c>
      <c r="P194" s="233">
        <v>0</v>
      </c>
      <c r="Q194" s="349">
        <f t="shared" si="14"/>
        <v>0</v>
      </c>
      <c r="R194" s="349"/>
      <c r="S194" s="362">
        <v>0</v>
      </c>
      <c r="T194" s="362">
        <v>0</v>
      </c>
      <c r="U194" s="362">
        <v>0</v>
      </c>
      <c r="V194" s="362">
        <v>0</v>
      </c>
    </row>
    <row r="195" spans="12:22">
      <c r="L195" s="165" t="s">
        <v>194</v>
      </c>
      <c r="M195" s="168" t="s">
        <v>338</v>
      </c>
      <c r="N195" s="161" t="s">
        <v>334</v>
      </c>
      <c r="O195" s="233">
        <v>0</v>
      </c>
      <c r="P195" s="233">
        <v>0</v>
      </c>
      <c r="Q195" s="349">
        <f t="shared" si="14"/>
        <v>0</v>
      </c>
      <c r="R195" s="349"/>
      <c r="S195" s="362">
        <v>0</v>
      </c>
      <c r="T195" s="362">
        <v>0</v>
      </c>
      <c r="U195" s="362">
        <v>0</v>
      </c>
      <c r="V195" s="362">
        <v>0</v>
      </c>
    </row>
    <row r="196" spans="12:22">
      <c r="L196" s="165" t="s">
        <v>194</v>
      </c>
      <c r="M196" s="168" t="s">
        <v>339</v>
      </c>
      <c r="N196" s="161" t="s">
        <v>334</v>
      </c>
      <c r="O196" s="233">
        <v>0</v>
      </c>
      <c r="P196" s="233">
        <v>0</v>
      </c>
      <c r="Q196" s="349">
        <f t="shared" si="14"/>
        <v>0</v>
      </c>
      <c r="R196" s="349"/>
      <c r="S196" s="362">
        <v>0</v>
      </c>
      <c r="T196" s="362">
        <v>0</v>
      </c>
      <c r="U196" s="362">
        <v>0</v>
      </c>
      <c r="V196" s="362">
        <v>0</v>
      </c>
    </row>
    <row r="197" spans="12:22">
      <c r="L197" s="165" t="s">
        <v>194</v>
      </c>
      <c r="M197" s="168" t="s">
        <v>340</v>
      </c>
      <c r="N197" s="161" t="s">
        <v>334</v>
      </c>
      <c r="O197" s="233">
        <v>0</v>
      </c>
      <c r="P197" s="233">
        <v>0</v>
      </c>
      <c r="Q197" s="349">
        <f t="shared" si="14"/>
        <v>0</v>
      </c>
      <c r="R197" s="349"/>
      <c r="S197" s="362">
        <v>0</v>
      </c>
      <c r="T197" s="362">
        <v>0</v>
      </c>
      <c r="U197" s="362">
        <v>0</v>
      </c>
      <c r="V197" s="362">
        <v>0</v>
      </c>
    </row>
    <row r="198" spans="12:22">
      <c r="L198" s="165" t="s">
        <v>194</v>
      </c>
      <c r="M198" s="168" t="s">
        <v>341</v>
      </c>
      <c r="N198" s="161" t="s">
        <v>334</v>
      </c>
      <c r="O198" s="233">
        <v>0</v>
      </c>
      <c r="P198" s="233">
        <v>0</v>
      </c>
      <c r="Q198" s="349">
        <f t="shared" si="14"/>
        <v>0</v>
      </c>
      <c r="R198" s="349"/>
      <c r="S198" s="362">
        <v>0</v>
      </c>
      <c r="T198" s="362">
        <v>0</v>
      </c>
      <c r="U198" s="362">
        <v>0</v>
      </c>
      <c r="V198" s="362">
        <v>0</v>
      </c>
    </row>
    <row r="199" spans="12:22">
      <c r="L199" s="165" t="s">
        <v>194</v>
      </c>
      <c r="M199" s="168" t="s">
        <v>342</v>
      </c>
      <c r="N199" s="161" t="s">
        <v>334</v>
      </c>
      <c r="O199" s="233">
        <v>0</v>
      </c>
      <c r="P199" s="233">
        <v>0</v>
      </c>
      <c r="Q199" s="349">
        <f t="shared" si="14"/>
        <v>0</v>
      </c>
      <c r="R199" s="349"/>
      <c r="S199" s="362">
        <v>0</v>
      </c>
      <c r="T199" s="362">
        <v>0</v>
      </c>
      <c r="U199" s="362">
        <v>0</v>
      </c>
      <c r="V199" s="362">
        <v>0</v>
      </c>
    </row>
    <row r="200" spans="12:22">
      <c r="L200" s="165" t="s">
        <v>194</v>
      </c>
      <c r="M200" s="168" t="s">
        <v>343</v>
      </c>
      <c r="N200" s="161" t="s">
        <v>334</v>
      </c>
      <c r="O200" s="233">
        <v>0</v>
      </c>
      <c r="P200" s="233">
        <v>0</v>
      </c>
      <c r="Q200" s="349">
        <f t="shared" si="14"/>
        <v>0</v>
      </c>
      <c r="R200" s="349"/>
      <c r="S200" s="362">
        <v>0</v>
      </c>
      <c r="T200" s="362">
        <v>0</v>
      </c>
      <c r="U200" s="362">
        <v>0</v>
      </c>
      <c r="V200" s="362">
        <v>0</v>
      </c>
    </row>
    <row r="201" spans="12:22">
      <c r="L201" s="165" t="s">
        <v>194</v>
      </c>
      <c r="M201" s="168" t="s">
        <v>344</v>
      </c>
      <c r="N201" s="161" t="s">
        <v>334</v>
      </c>
      <c r="O201" s="233">
        <v>0</v>
      </c>
      <c r="P201" s="233">
        <v>0</v>
      </c>
      <c r="Q201" s="349">
        <f t="shared" si="14"/>
        <v>0</v>
      </c>
      <c r="R201" s="349"/>
      <c r="S201" s="362">
        <v>0</v>
      </c>
      <c r="T201" s="362">
        <v>0</v>
      </c>
      <c r="U201" s="362">
        <v>0</v>
      </c>
      <c r="V201" s="362">
        <v>0</v>
      </c>
    </row>
    <row r="202" spans="12:22">
      <c r="L202" s="165" t="s">
        <v>194</v>
      </c>
      <c r="M202" s="168" t="s">
        <v>345</v>
      </c>
      <c r="N202" s="161" t="s">
        <v>334</v>
      </c>
      <c r="O202" s="233">
        <v>0</v>
      </c>
      <c r="P202" s="233">
        <v>0</v>
      </c>
      <c r="Q202" s="349">
        <f t="shared" si="14"/>
        <v>0</v>
      </c>
      <c r="R202" s="349"/>
      <c r="S202" s="362">
        <v>0</v>
      </c>
      <c r="T202" s="362">
        <v>0</v>
      </c>
      <c r="U202" s="362">
        <v>0</v>
      </c>
      <c r="V202" s="362">
        <v>0</v>
      </c>
    </row>
    <row r="203" spans="12:22">
      <c r="L203" s="165" t="s">
        <v>194</v>
      </c>
      <c r="M203" s="168" t="s">
        <v>346</v>
      </c>
      <c r="N203" s="161" t="s">
        <v>334</v>
      </c>
      <c r="O203" s="233">
        <v>0</v>
      </c>
      <c r="P203" s="233">
        <v>0</v>
      </c>
      <c r="Q203" s="349">
        <f t="shared" si="14"/>
        <v>0</v>
      </c>
      <c r="R203" s="349"/>
      <c r="S203" s="362">
        <v>0</v>
      </c>
      <c r="T203" s="362">
        <v>0</v>
      </c>
      <c r="U203" s="362">
        <v>0</v>
      </c>
      <c r="V203" s="362">
        <v>0</v>
      </c>
    </row>
    <row r="204" spans="12:22">
      <c r="L204" s="165" t="s">
        <v>194</v>
      </c>
      <c r="M204" s="168" t="s">
        <v>347</v>
      </c>
      <c r="N204" s="161" t="s">
        <v>334</v>
      </c>
      <c r="O204" s="233">
        <v>0</v>
      </c>
      <c r="P204" s="233">
        <v>0</v>
      </c>
      <c r="Q204" s="349">
        <f t="shared" si="14"/>
        <v>0</v>
      </c>
      <c r="R204" s="349"/>
      <c r="S204" s="362">
        <v>0</v>
      </c>
      <c r="T204" s="362">
        <v>0</v>
      </c>
      <c r="U204" s="362">
        <v>0</v>
      </c>
      <c r="V204" s="362">
        <v>0</v>
      </c>
    </row>
    <row r="205" spans="12:22">
      <c r="L205" s="165" t="s">
        <v>194</v>
      </c>
      <c r="M205" s="168" t="s">
        <v>348</v>
      </c>
      <c r="N205" s="161" t="s">
        <v>334</v>
      </c>
      <c r="O205" s="233">
        <v>0</v>
      </c>
      <c r="P205" s="233">
        <v>0</v>
      </c>
      <c r="Q205" s="349">
        <f t="shared" si="14"/>
        <v>0</v>
      </c>
      <c r="R205" s="349"/>
      <c r="S205" s="362">
        <v>0</v>
      </c>
      <c r="T205" s="362">
        <v>0</v>
      </c>
      <c r="U205" s="362">
        <v>0</v>
      </c>
      <c r="V205" s="362">
        <v>0</v>
      </c>
    </row>
    <row r="206" spans="12:22">
      <c r="L206" s="165" t="s">
        <v>194</v>
      </c>
      <c r="M206" s="168" t="s">
        <v>349</v>
      </c>
      <c r="N206" s="161" t="s">
        <v>334</v>
      </c>
      <c r="O206" s="233">
        <v>0</v>
      </c>
      <c r="P206" s="233">
        <v>0</v>
      </c>
      <c r="Q206" s="349">
        <f t="shared" si="14"/>
        <v>0</v>
      </c>
      <c r="R206" s="349"/>
      <c r="S206" s="362">
        <v>0</v>
      </c>
      <c r="T206" s="362">
        <v>0</v>
      </c>
      <c r="U206" s="362">
        <v>0</v>
      </c>
      <c r="V206" s="362">
        <v>0</v>
      </c>
    </row>
    <row r="207" spans="12:22">
      <c r="L207" s="165" t="s">
        <v>194</v>
      </c>
      <c r="M207" s="168" t="s">
        <v>350</v>
      </c>
      <c r="N207" s="161" t="s">
        <v>334</v>
      </c>
      <c r="O207" s="233">
        <v>0</v>
      </c>
      <c r="P207" s="233">
        <v>0</v>
      </c>
      <c r="Q207" s="349">
        <f t="shared" si="14"/>
        <v>0</v>
      </c>
      <c r="R207" s="349"/>
      <c r="S207" s="362">
        <v>0</v>
      </c>
      <c r="T207" s="362">
        <v>0</v>
      </c>
      <c r="U207" s="362">
        <v>0</v>
      </c>
      <c r="V207" s="362">
        <v>0</v>
      </c>
    </row>
    <row r="208" spans="12:22">
      <c r="L208" s="165" t="s">
        <v>194</v>
      </c>
      <c r="M208" s="168" t="s">
        <v>351</v>
      </c>
      <c r="N208" s="161" t="s">
        <v>334</v>
      </c>
      <c r="O208" s="233">
        <v>0</v>
      </c>
      <c r="P208" s="233">
        <v>0</v>
      </c>
      <c r="Q208" s="349">
        <f t="shared" si="14"/>
        <v>0</v>
      </c>
      <c r="R208" s="349"/>
      <c r="S208" s="362">
        <v>0</v>
      </c>
      <c r="T208" s="362">
        <v>0</v>
      </c>
      <c r="U208" s="362">
        <v>0</v>
      </c>
      <c r="V208" s="362">
        <v>0</v>
      </c>
    </row>
    <row r="209" spans="12:22">
      <c r="L209" s="165" t="s">
        <v>194</v>
      </c>
      <c r="M209" s="168" t="s">
        <v>352</v>
      </c>
      <c r="N209" s="161" t="s">
        <v>334</v>
      </c>
      <c r="O209" s="233">
        <v>0</v>
      </c>
      <c r="P209" s="233">
        <v>0</v>
      </c>
      <c r="Q209" s="349">
        <f t="shared" si="14"/>
        <v>0</v>
      </c>
      <c r="R209" s="349"/>
      <c r="S209" s="362">
        <v>0</v>
      </c>
      <c r="T209" s="362">
        <v>0</v>
      </c>
      <c r="U209" s="362">
        <v>0</v>
      </c>
      <c r="V209" s="362">
        <v>0</v>
      </c>
    </row>
    <row r="210" spans="12:22">
      <c r="L210" s="165" t="s">
        <v>194</v>
      </c>
      <c r="M210" s="168" t="s">
        <v>353</v>
      </c>
      <c r="N210" s="161" t="s">
        <v>334</v>
      </c>
      <c r="O210" s="233">
        <v>0</v>
      </c>
      <c r="P210" s="233">
        <v>0</v>
      </c>
      <c r="Q210" s="349">
        <f t="shared" si="14"/>
        <v>0</v>
      </c>
      <c r="R210" s="349"/>
      <c r="S210" s="362">
        <v>0</v>
      </c>
      <c r="T210" s="362">
        <v>0</v>
      </c>
      <c r="U210" s="362">
        <v>0</v>
      </c>
      <c r="V210" s="362">
        <v>0</v>
      </c>
    </row>
    <row r="211" spans="12:22">
      <c r="L211" s="165" t="s">
        <v>194</v>
      </c>
      <c r="M211" s="168" t="s">
        <v>354</v>
      </c>
      <c r="N211" s="161" t="s">
        <v>334</v>
      </c>
      <c r="O211" s="233">
        <v>0</v>
      </c>
      <c r="P211" s="233">
        <v>0</v>
      </c>
      <c r="Q211" s="349">
        <f t="shared" si="14"/>
        <v>0</v>
      </c>
      <c r="R211" s="349"/>
      <c r="S211" s="362">
        <v>0</v>
      </c>
      <c r="T211" s="362">
        <v>0</v>
      </c>
      <c r="U211" s="362">
        <v>0</v>
      </c>
      <c r="V211" s="362">
        <v>0</v>
      </c>
    </row>
    <row r="212" spans="12:22">
      <c r="L212" s="165" t="s">
        <v>194</v>
      </c>
      <c r="M212" s="168" t="s">
        <v>355</v>
      </c>
      <c r="N212" s="161" t="s">
        <v>334</v>
      </c>
      <c r="O212" s="233">
        <v>0</v>
      </c>
      <c r="P212" s="233">
        <v>0</v>
      </c>
      <c r="Q212" s="349">
        <f t="shared" si="14"/>
        <v>0</v>
      </c>
      <c r="R212" s="349"/>
      <c r="S212" s="362">
        <v>0</v>
      </c>
      <c r="T212" s="362">
        <v>0</v>
      </c>
      <c r="U212" s="362">
        <v>0</v>
      </c>
      <c r="V212" s="362">
        <v>0</v>
      </c>
    </row>
    <row r="213" spans="12:22">
      <c r="L213" s="165" t="s">
        <v>194</v>
      </c>
      <c r="M213" s="168" t="s">
        <v>356</v>
      </c>
      <c r="N213" s="161" t="s">
        <v>334</v>
      </c>
      <c r="O213" s="233">
        <v>0</v>
      </c>
      <c r="P213" s="233">
        <v>0</v>
      </c>
      <c r="Q213" s="349">
        <f t="shared" si="14"/>
        <v>0</v>
      </c>
      <c r="R213" s="349"/>
      <c r="S213" s="362">
        <v>0</v>
      </c>
      <c r="T213" s="362">
        <v>0</v>
      </c>
      <c r="U213" s="362">
        <v>0</v>
      </c>
      <c r="V213" s="362">
        <v>0</v>
      </c>
    </row>
    <row r="214" spans="12:22">
      <c r="L214" s="165" t="s">
        <v>194</v>
      </c>
      <c r="M214" s="168" t="s">
        <v>357</v>
      </c>
      <c r="N214" s="161" t="s">
        <v>334</v>
      </c>
      <c r="O214" s="233">
        <v>0</v>
      </c>
      <c r="P214" s="233">
        <v>0</v>
      </c>
      <c r="Q214" s="349">
        <f t="shared" si="14"/>
        <v>0</v>
      </c>
      <c r="R214" s="349"/>
      <c r="S214" s="362">
        <v>0</v>
      </c>
      <c r="T214" s="362">
        <v>0</v>
      </c>
      <c r="U214" s="362">
        <v>0</v>
      </c>
      <c r="V214" s="362">
        <v>0</v>
      </c>
    </row>
    <row r="215" spans="12:22">
      <c r="L215" s="165" t="s">
        <v>194</v>
      </c>
      <c r="M215" s="168" t="s">
        <v>358</v>
      </c>
      <c r="N215" s="161" t="s">
        <v>334</v>
      </c>
      <c r="O215" s="233">
        <v>0</v>
      </c>
      <c r="P215" s="233">
        <v>0</v>
      </c>
      <c r="Q215" s="349">
        <f t="shared" si="14"/>
        <v>0</v>
      </c>
      <c r="R215" s="349"/>
      <c r="S215" s="362">
        <v>0</v>
      </c>
      <c r="T215" s="362">
        <v>0</v>
      </c>
      <c r="U215" s="362">
        <v>0</v>
      </c>
      <c r="V215" s="362">
        <v>0</v>
      </c>
    </row>
    <row r="216" spans="12:22">
      <c r="L216" s="165" t="s">
        <v>194</v>
      </c>
      <c r="M216" s="168" t="s">
        <v>359</v>
      </c>
      <c r="N216" s="161" t="s">
        <v>334</v>
      </c>
      <c r="O216" s="233">
        <v>0</v>
      </c>
      <c r="P216" s="233">
        <v>0</v>
      </c>
      <c r="Q216" s="349">
        <f t="shared" si="14"/>
        <v>0</v>
      </c>
      <c r="R216" s="349"/>
      <c r="S216" s="362">
        <v>0</v>
      </c>
      <c r="T216" s="362">
        <v>0</v>
      </c>
      <c r="U216" s="362">
        <v>0</v>
      </c>
      <c r="V216" s="362">
        <v>0</v>
      </c>
    </row>
    <row r="217" spans="12:22">
      <c r="L217" s="165" t="s">
        <v>194</v>
      </c>
      <c r="M217" s="168" t="s">
        <v>360</v>
      </c>
      <c r="N217" s="161" t="s">
        <v>334</v>
      </c>
      <c r="O217" s="233">
        <v>0</v>
      </c>
      <c r="P217" s="233">
        <v>0</v>
      </c>
      <c r="Q217" s="349">
        <f t="shared" si="14"/>
        <v>0</v>
      </c>
      <c r="R217" s="349"/>
      <c r="S217" s="362">
        <v>0</v>
      </c>
      <c r="T217" s="362">
        <v>0</v>
      </c>
      <c r="U217" s="362">
        <v>0</v>
      </c>
      <c r="V217" s="362">
        <v>0</v>
      </c>
    </row>
    <row r="218" spans="12:22" ht="60">
      <c r="L218" s="165" t="s">
        <v>232</v>
      </c>
      <c r="M218" s="168" t="s">
        <v>361</v>
      </c>
      <c r="N218" s="161" t="s">
        <v>362</v>
      </c>
      <c r="O218" s="233">
        <v>0</v>
      </c>
      <c r="P218" s="233">
        <v>0</v>
      </c>
      <c r="Q218" s="349">
        <f t="shared" si="14"/>
        <v>0</v>
      </c>
      <c r="R218" s="349"/>
      <c r="S218" s="362">
        <v>0</v>
      </c>
      <c r="T218" s="362">
        <v>0</v>
      </c>
      <c r="U218" s="362">
        <v>0</v>
      </c>
      <c r="V218" s="362">
        <v>0</v>
      </c>
    </row>
    <row r="219" spans="12:22" ht="24">
      <c r="L219" s="165" t="s">
        <v>232</v>
      </c>
      <c r="M219" s="168" t="s">
        <v>363</v>
      </c>
      <c r="N219" s="161" t="s">
        <v>364</v>
      </c>
      <c r="O219" s="233">
        <v>0</v>
      </c>
      <c r="P219" s="233">
        <v>0</v>
      </c>
      <c r="Q219" s="349">
        <f t="shared" si="14"/>
        <v>0</v>
      </c>
      <c r="R219" s="349"/>
      <c r="S219" s="362">
        <v>0</v>
      </c>
      <c r="T219" s="362">
        <v>0</v>
      </c>
      <c r="U219" s="362">
        <v>0</v>
      </c>
      <c r="V219" s="362">
        <v>0</v>
      </c>
    </row>
    <row r="220" spans="12:22" ht="60">
      <c r="L220" s="165" t="s">
        <v>245</v>
      </c>
      <c r="M220" s="168" t="s">
        <v>245</v>
      </c>
      <c r="N220" s="161" t="s">
        <v>365</v>
      </c>
      <c r="O220" s="233">
        <v>0</v>
      </c>
      <c r="P220" s="233">
        <v>0</v>
      </c>
      <c r="Q220" s="349">
        <f t="shared" si="14"/>
        <v>0</v>
      </c>
      <c r="R220" s="349"/>
      <c r="S220" s="362">
        <v>0</v>
      </c>
      <c r="T220" s="362">
        <v>0</v>
      </c>
      <c r="U220" s="362">
        <v>0</v>
      </c>
      <c r="V220" s="362">
        <v>0</v>
      </c>
    </row>
    <row r="221" spans="12:22" ht="48">
      <c r="L221" s="165" t="s">
        <v>245</v>
      </c>
      <c r="M221" s="168" t="s">
        <v>245</v>
      </c>
      <c r="N221" s="161" t="s">
        <v>366</v>
      </c>
      <c r="O221" s="233">
        <v>9.8831137999999985E-2</v>
      </c>
      <c r="P221" s="233">
        <v>9.8831137999999985E-2</v>
      </c>
      <c r="Q221" s="349">
        <f t="shared" si="14"/>
        <v>0</v>
      </c>
      <c r="R221" s="349"/>
      <c r="S221" s="362">
        <v>0</v>
      </c>
      <c r="T221" s="362">
        <v>0</v>
      </c>
      <c r="U221" s="362">
        <v>0</v>
      </c>
      <c r="V221" s="362">
        <v>0</v>
      </c>
    </row>
    <row r="222" spans="12:22" ht="60">
      <c r="L222" s="165" t="s">
        <v>245</v>
      </c>
      <c r="M222" s="168" t="s">
        <v>245</v>
      </c>
      <c r="N222" s="161" t="s">
        <v>367</v>
      </c>
      <c r="O222" s="233">
        <v>0.31169970000000002</v>
      </c>
      <c r="P222" s="233">
        <v>0.31169970000000002</v>
      </c>
      <c r="Q222" s="349">
        <f t="shared" si="14"/>
        <v>0</v>
      </c>
      <c r="R222" s="349"/>
      <c r="S222" s="362">
        <v>0</v>
      </c>
      <c r="T222" s="362">
        <v>0</v>
      </c>
      <c r="U222" s="362">
        <v>0</v>
      </c>
      <c r="V222" s="362">
        <v>0</v>
      </c>
    </row>
    <row r="223" spans="12:22" ht="36">
      <c r="L223" s="165" t="s">
        <v>245</v>
      </c>
      <c r="M223" s="168" t="s">
        <v>245</v>
      </c>
      <c r="N223" s="161" t="s">
        <v>368</v>
      </c>
      <c r="O223" s="233">
        <v>6.7202799999999993E-2</v>
      </c>
      <c r="P223" s="233">
        <v>6.7202799999999993E-2</v>
      </c>
      <c r="Q223" s="349">
        <f t="shared" si="14"/>
        <v>0</v>
      </c>
      <c r="R223" s="349"/>
      <c r="S223" s="362">
        <v>0</v>
      </c>
      <c r="T223" s="362">
        <v>0</v>
      </c>
      <c r="U223" s="362">
        <v>0</v>
      </c>
      <c r="V223" s="362">
        <v>0</v>
      </c>
    </row>
    <row r="224" spans="12:22" ht="36">
      <c r="L224" s="165" t="s">
        <v>369</v>
      </c>
      <c r="M224" s="168" t="s">
        <v>245</v>
      </c>
      <c r="N224" s="161" t="s">
        <v>370</v>
      </c>
      <c r="O224" s="233">
        <v>0.398729</v>
      </c>
      <c r="P224" s="233">
        <v>0.398729</v>
      </c>
      <c r="Q224" s="349">
        <f t="shared" si="14"/>
        <v>0</v>
      </c>
      <c r="R224" s="349"/>
      <c r="S224" s="362">
        <v>0</v>
      </c>
      <c r="T224" s="362">
        <v>0</v>
      </c>
      <c r="U224" s="362">
        <v>0</v>
      </c>
      <c r="V224" s="362">
        <v>0</v>
      </c>
    </row>
    <row r="225" spans="12:22" ht="24">
      <c r="L225" s="165" t="s">
        <v>245</v>
      </c>
      <c r="M225" s="168" t="s">
        <v>245</v>
      </c>
      <c r="N225" s="161" t="s">
        <v>371</v>
      </c>
      <c r="O225" s="233">
        <v>3.5723499999999998E-2</v>
      </c>
      <c r="P225" s="233">
        <v>3.5723499999999998E-2</v>
      </c>
      <c r="Q225" s="349">
        <f t="shared" si="14"/>
        <v>0</v>
      </c>
      <c r="R225" s="349"/>
      <c r="S225" s="362">
        <v>0</v>
      </c>
      <c r="T225" s="362">
        <v>0</v>
      </c>
      <c r="U225" s="362">
        <v>0</v>
      </c>
      <c r="V225" s="362">
        <v>0</v>
      </c>
    </row>
    <row r="226" spans="12:22" ht="48">
      <c r="L226" s="165" t="s">
        <v>245</v>
      </c>
      <c r="M226" s="168" t="s">
        <v>245</v>
      </c>
      <c r="N226" s="161" t="s">
        <v>372</v>
      </c>
      <c r="O226" s="233">
        <v>1.4745899999999999E-2</v>
      </c>
      <c r="P226" s="233">
        <v>1.4745899999999999E-2</v>
      </c>
      <c r="Q226" s="349">
        <f t="shared" si="14"/>
        <v>0</v>
      </c>
      <c r="R226" s="349"/>
      <c r="S226" s="362">
        <v>0</v>
      </c>
      <c r="T226" s="362">
        <v>0</v>
      </c>
      <c r="U226" s="362">
        <v>0</v>
      </c>
      <c r="V226" s="362">
        <v>0</v>
      </c>
    </row>
    <row r="227" spans="12:22" ht="36">
      <c r="L227" s="165" t="s">
        <v>245</v>
      </c>
      <c r="M227" s="168" t="s">
        <v>245</v>
      </c>
      <c r="N227" s="161" t="s">
        <v>373</v>
      </c>
      <c r="O227" s="233">
        <v>1.2774499999999999E-2</v>
      </c>
      <c r="P227" s="233">
        <v>1.2774499999999999E-2</v>
      </c>
      <c r="Q227" s="349">
        <f t="shared" si="14"/>
        <v>0</v>
      </c>
      <c r="R227" s="349"/>
      <c r="S227" s="362">
        <v>0</v>
      </c>
      <c r="T227" s="362">
        <v>0</v>
      </c>
      <c r="U227" s="362">
        <v>0</v>
      </c>
      <c r="V227" s="362">
        <v>0</v>
      </c>
    </row>
    <row r="228" spans="12:22" ht="36">
      <c r="L228" s="165" t="s">
        <v>245</v>
      </c>
      <c r="M228" s="168" t="s">
        <v>245</v>
      </c>
      <c r="N228" s="161" t="s">
        <v>374</v>
      </c>
      <c r="O228" s="233">
        <v>1.65281E-2</v>
      </c>
      <c r="P228" s="233">
        <v>1.65281E-2</v>
      </c>
      <c r="Q228" s="349">
        <f t="shared" si="14"/>
        <v>0</v>
      </c>
      <c r="R228" s="349"/>
      <c r="S228" s="362">
        <v>0</v>
      </c>
      <c r="T228" s="362">
        <v>0</v>
      </c>
      <c r="U228" s="362">
        <v>0</v>
      </c>
      <c r="V228" s="362">
        <v>0</v>
      </c>
    </row>
    <row r="229" spans="12:22" ht="36">
      <c r="L229" s="165" t="s">
        <v>245</v>
      </c>
      <c r="M229" s="168" t="s">
        <v>245</v>
      </c>
      <c r="N229" s="161" t="s">
        <v>375</v>
      </c>
      <c r="O229" s="233">
        <v>6.3699999999999998E-3</v>
      </c>
      <c r="P229" s="233">
        <v>6.3699999999999998E-3</v>
      </c>
      <c r="Q229" s="349">
        <f t="shared" si="14"/>
        <v>0</v>
      </c>
      <c r="R229" s="349"/>
      <c r="S229" s="362">
        <v>0</v>
      </c>
      <c r="T229" s="362">
        <v>0</v>
      </c>
      <c r="U229" s="362">
        <v>0</v>
      </c>
      <c r="V229" s="362">
        <v>0</v>
      </c>
    </row>
    <row r="230" spans="12:22" ht="36">
      <c r="L230" s="165" t="s">
        <v>245</v>
      </c>
      <c r="M230" s="168" t="s">
        <v>245</v>
      </c>
      <c r="N230" s="161" t="s">
        <v>376</v>
      </c>
      <c r="O230" s="233">
        <v>0.65155700000000005</v>
      </c>
      <c r="P230" s="233">
        <v>0.65155700000000005</v>
      </c>
      <c r="Q230" s="349">
        <f t="shared" si="14"/>
        <v>0</v>
      </c>
      <c r="R230" s="349"/>
      <c r="S230" s="362">
        <v>0</v>
      </c>
      <c r="T230" s="362">
        <v>0</v>
      </c>
      <c r="U230" s="362">
        <v>0</v>
      </c>
      <c r="V230" s="362">
        <v>0</v>
      </c>
    </row>
    <row r="231" spans="12:22" ht="24">
      <c r="L231" s="165" t="s">
        <v>245</v>
      </c>
      <c r="M231" s="168" t="s">
        <v>245</v>
      </c>
      <c r="N231" s="161" t="s">
        <v>377</v>
      </c>
      <c r="O231" s="233">
        <v>0.25609470000000001</v>
      </c>
      <c r="P231" s="233">
        <v>0.25609470000000001</v>
      </c>
      <c r="Q231" s="349">
        <f t="shared" ref="Q231:Q264" si="18">O231-P231</f>
        <v>0</v>
      </c>
      <c r="R231" s="349"/>
      <c r="S231" s="362">
        <v>0</v>
      </c>
      <c r="T231" s="362">
        <v>0</v>
      </c>
      <c r="U231" s="362">
        <v>0</v>
      </c>
      <c r="V231" s="362">
        <v>0</v>
      </c>
    </row>
    <row r="232" spans="12:22" ht="48">
      <c r="L232" s="165" t="s">
        <v>245</v>
      </c>
      <c r="M232" s="168" t="s">
        <v>245</v>
      </c>
      <c r="N232" s="161" t="s">
        <v>378</v>
      </c>
      <c r="O232" s="233">
        <v>8.9845800000000003E-2</v>
      </c>
      <c r="P232" s="233">
        <v>8.9845800000000003E-2</v>
      </c>
      <c r="Q232" s="349">
        <f t="shared" si="18"/>
        <v>0</v>
      </c>
      <c r="R232" s="349"/>
      <c r="S232" s="362">
        <v>0</v>
      </c>
      <c r="T232" s="362">
        <v>0</v>
      </c>
      <c r="U232" s="362">
        <v>0</v>
      </c>
      <c r="V232" s="362">
        <v>0</v>
      </c>
    </row>
    <row r="233" spans="12:22" ht="72">
      <c r="L233" s="165" t="s">
        <v>245</v>
      </c>
      <c r="M233" s="168" t="s">
        <v>245</v>
      </c>
      <c r="N233" s="161" t="s">
        <v>379</v>
      </c>
      <c r="O233" s="233">
        <v>8.9403200000000002E-2</v>
      </c>
      <c r="P233" s="233">
        <v>8.9403200000000002E-2</v>
      </c>
      <c r="Q233" s="349">
        <f t="shared" si="18"/>
        <v>0</v>
      </c>
      <c r="R233" s="349"/>
      <c r="S233" s="362">
        <v>0</v>
      </c>
      <c r="T233" s="362">
        <v>0</v>
      </c>
      <c r="U233" s="362">
        <v>0</v>
      </c>
      <c r="V233" s="362">
        <v>0</v>
      </c>
    </row>
    <row r="234" spans="12:22" ht="24">
      <c r="L234" s="165" t="s">
        <v>245</v>
      </c>
      <c r="M234" s="168" t="s">
        <v>245</v>
      </c>
      <c r="N234" s="161" t="s">
        <v>380</v>
      </c>
      <c r="O234" s="233">
        <v>6.8242300000000006E-2</v>
      </c>
      <c r="P234" s="233">
        <v>6.8242300000000006E-2</v>
      </c>
      <c r="Q234" s="349">
        <f t="shared" si="18"/>
        <v>0</v>
      </c>
      <c r="R234" s="349"/>
      <c r="S234" s="362">
        <v>0</v>
      </c>
      <c r="T234" s="362">
        <v>0</v>
      </c>
      <c r="U234" s="362">
        <v>0</v>
      </c>
      <c r="V234" s="362">
        <v>0</v>
      </c>
    </row>
    <row r="235" spans="12:22" ht="48">
      <c r="L235" s="165" t="s">
        <v>245</v>
      </c>
      <c r="M235" s="168" t="s">
        <v>245</v>
      </c>
      <c r="N235" s="161" t="s">
        <v>381</v>
      </c>
      <c r="O235" s="233">
        <v>4.2346700000000001E-2</v>
      </c>
      <c r="P235" s="233">
        <v>4.2346700000000001E-2</v>
      </c>
      <c r="Q235" s="349">
        <f t="shared" si="18"/>
        <v>0</v>
      </c>
      <c r="R235" s="349"/>
      <c r="S235" s="362">
        <v>0</v>
      </c>
      <c r="T235" s="362">
        <v>0</v>
      </c>
      <c r="U235" s="362">
        <v>0</v>
      </c>
      <c r="V235" s="362">
        <v>0</v>
      </c>
    </row>
    <row r="236" spans="12:22" ht="36">
      <c r="L236" s="165" t="s">
        <v>245</v>
      </c>
      <c r="M236" s="168" t="s">
        <v>245</v>
      </c>
      <c r="N236" s="161" t="s">
        <v>382</v>
      </c>
      <c r="O236" s="233">
        <v>3.07137E-2</v>
      </c>
      <c r="P236" s="233">
        <v>3.07137E-2</v>
      </c>
      <c r="Q236" s="349">
        <f t="shared" si="18"/>
        <v>0</v>
      </c>
      <c r="R236" s="349"/>
      <c r="S236" s="362">
        <v>0</v>
      </c>
      <c r="T236" s="362">
        <v>0</v>
      </c>
      <c r="U236" s="362">
        <v>0</v>
      </c>
      <c r="V236" s="362">
        <v>0</v>
      </c>
    </row>
    <row r="237" spans="12:22" ht="60">
      <c r="L237" s="165" t="s">
        <v>245</v>
      </c>
      <c r="M237" s="168" t="s">
        <v>245</v>
      </c>
      <c r="N237" s="161" t="s">
        <v>383</v>
      </c>
      <c r="O237" s="233">
        <v>0</v>
      </c>
      <c r="P237" s="233">
        <v>0</v>
      </c>
      <c r="Q237" s="349">
        <f t="shared" si="18"/>
        <v>0</v>
      </c>
      <c r="R237" s="349"/>
      <c r="S237" s="362">
        <v>0</v>
      </c>
      <c r="T237" s="362">
        <v>0</v>
      </c>
      <c r="U237" s="362">
        <v>0</v>
      </c>
      <c r="V237" s="362">
        <v>0</v>
      </c>
    </row>
    <row r="238" spans="12:22" ht="48">
      <c r="L238" s="165" t="s">
        <v>245</v>
      </c>
      <c r="M238" s="168" t="s">
        <v>245</v>
      </c>
      <c r="N238" s="161" t="s">
        <v>384</v>
      </c>
      <c r="O238" s="233">
        <v>2.6562000000000001E-3</v>
      </c>
      <c r="P238" s="233">
        <v>2.6562000000000001E-3</v>
      </c>
      <c r="Q238" s="349">
        <f t="shared" si="18"/>
        <v>0</v>
      </c>
      <c r="R238" s="349"/>
      <c r="S238" s="362">
        <v>0</v>
      </c>
      <c r="T238" s="362">
        <v>0</v>
      </c>
      <c r="U238" s="362">
        <v>0</v>
      </c>
      <c r="V238" s="362">
        <v>0</v>
      </c>
    </row>
    <row r="239" spans="12:22" ht="36">
      <c r="L239" s="165" t="s">
        <v>245</v>
      </c>
      <c r="M239" s="168" t="s">
        <v>245</v>
      </c>
      <c r="N239" s="161" t="s">
        <v>385</v>
      </c>
      <c r="O239" s="233">
        <v>1.5549109000000001</v>
      </c>
      <c r="P239" s="233">
        <v>1.5549109000000001</v>
      </c>
      <c r="Q239" s="349">
        <f t="shared" si="18"/>
        <v>0</v>
      </c>
      <c r="R239" s="349"/>
      <c r="S239" s="362">
        <v>0</v>
      </c>
      <c r="T239" s="362">
        <v>0</v>
      </c>
      <c r="U239" s="362">
        <v>0</v>
      </c>
      <c r="V239" s="362">
        <v>0</v>
      </c>
    </row>
    <row r="240" spans="12:22" ht="60">
      <c r="L240" s="165" t="s">
        <v>245</v>
      </c>
      <c r="M240" s="168" t="s">
        <v>245</v>
      </c>
      <c r="N240" s="161" t="s">
        <v>386</v>
      </c>
      <c r="O240" s="233">
        <v>4.3647E-3</v>
      </c>
      <c r="P240" s="233">
        <v>4.3647E-3</v>
      </c>
      <c r="Q240" s="349">
        <f t="shared" si="18"/>
        <v>0</v>
      </c>
      <c r="R240" s="349"/>
      <c r="S240" s="362">
        <v>0</v>
      </c>
      <c r="T240" s="362">
        <v>0</v>
      </c>
      <c r="U240" s="362">
        <v>0</v>
      </c>
      <c r="V240" s="362">
        <v>0</v>
      </c>
    </row>
    <row r="241" spans="12:22" ht="60">
      <c r="L241" s="165" t="s">
        <v>245</v>
      </c>
      <c r="M241" s="168" t="s">
        <v>245</v>
      </c>
      <c r="N241" s="161" t="s">
        <v>387</v>
      </c>
      <c r="O241" s="233">
        <v>0.12776399999999999</v>
      </c>
      <c r="P241" s="233">
        <v>0.12776399999999999</v>
      </c>
      <c r="Q241" s="349">
        <f t="shared" si="18"/>
        <v>0</v>
      </c>
      <c r="R241" s="349"/>
      <c r="S241" s="362">
        <v>0</v>
      </c>
      <c r="T241" s="362">
        <v>0</v>
      </c>
      <c r="U241" s="362">
        <v>0</v>
      </c>
      <c r="V241" s="362">
        <v>0</v>
      </c>
    </row>
    <row r="242" spans="12:22" ht="36">
      <c r="L242" s="165" t="s">
        <v>245</v>
      </c>
      <c r="M242" s="168" t="s">
        <v>245</v>
      </c>
      <c r="N242" s="161" t="s">
        <v>388</v>
      </c>
      <c r="O242" s="233">
        <v>5.7997699999999999E-2</v>
      </c>
      <c r="P242" s="233">
        <v>5.7997699999999999E-2</v>
      </c>
      <c r="Q242" s="349">
        <f t="shared" si="18"/>
        <v>0</v>
      </c>
      <c r="R242" s="349"/>
      <c r="S242" s="362">
        <v>0</v>
      </c>
      <c r="T242" s="362">
        <v>0</v>
      </c>
      <c r="U242" s="362">
        <v>0</v>
      </c>
      <c r="V242" s="362">
        <v>0</v>
      </c>
    </row>
    <row r="243" spans="12:22" ht="60">
      <c r="L243" s="165" t="s">
        <v>253</v>
      </c>
      <c r="M243" s="168" t="s">
        <v>389</v>
      </c>
      <c r="N243" s="161" t="s">
        <v>259</v>
      </c>
      <c r="O243" s="233">
        <v>24.887383712000002</v>
      </c>
      <c r="P243" s="233">
        <v>24.887383712000002</v>
      </c>
      <c r="Q243" s="349">
        <f t="shared" si="18"/>
        <v>0</v>
      </c>
      <c r="R243" s="349"/>
      <c r="S243" s="362">
        <v>0</v>
      </c>
      <c r="T243" s="362">
        <v>0</v>
      </c>
      <c r="U243" s="362">
        <v>0</v>
      </c>
      <c r="V243" s="362">
        <v>0</v>
      </c>
    </row>
    <row r="244" spans="12:22" ht="60">
      <c r="L244" s="165" t="s">
        <v>253</v>
      </c>
      <c r="M244" s="168" t="s">
        <v>390</v>
      </c>
      <c r="N244" s="161" t="s">
        <v>267</v>
      </c>
      <c r="O244" s="233">
        <v>40.341070289999998</v>
      </c>
      <c r="P244" s="233">
        <v>40.341070289999998</v>
      </c>
      <c r="Q244" s="349">
        <f t="shared" si="18"/>
        <v>0</v>
      </c>
      <c r="R244" s="349"/>
      <c r="S244" s="362">
        <v>0</v>
      </c>
      <c r="T244" s="362">
        <v>0</v>
      </c>
      <c r="U244" s="362">
        <v>0</v>
      </c>
      <c r="V244" s="362">
        <v>0</v>
      </c>
    </row>
    <row r="245" spans="12:22">
      <c r="L245" s="165" t="s">
        <v>253</v>
      </c>
      <c r="M245" s="168" t="s">
        <v>391</v>
      </c>
      <c r="N245" s="161" t="s">
        <v>392</v>
      </c>
      <c r="O245" s="233">
        <v>0</v>
      </c>
      <c r="P245" s="233">
        <v>0</v>
      </c>
      <c r="Q245" s="349">
        <f t="shared" si="18"/>
        <v>0</v>
      </c>
      <c r="R245" s="349"/>
      <c r="S245" s="362">
        <v>0</v>
      </c>
      <c r="T245" s="362">
        <v>0</v>
      </c>
      <c r="U245" s="362">
        <v>0</v>
      </c>
      <c r="V245" s="362">
        <v>0</v>
      </c>
    </row>
    <row r="246" spans="12:22" ht="60">
      <c r="L246" s="165" t="s">
        <v>253</v>
      </c>
      <c r="M246" s="168" t="s">
        <v>393</v>
      </c>
      <c r="N246" s="161" t="s">
        <v>267</v>
      </c>
      <c r="O246" s="233">
        <v>10.019612845999999</v>
      </c>
      <c r="P246" s="233">
        <v>10.019612845999999</v>
      </c>
      <c r="Q246" s="349">
        <f t="shared" si="18"/>
        <v>0</v>
      </c>
      <c r="R246" s="349"/>
      <c r="S246" s="362">
        <v>0</v>
      </c>
      <c r="T246" s="362">
        <v>0</v>
      </c>
      <c r="U246" s="362">
        <v>0</v>
      </c>
      <c r="V246" s="362">
        <v>0</v>
      </c>
    </row>
    <row r="247" spans="12:22" ht="36">
      <c r="L247" s="165" t="s">
        <v>253</v>
      </c>
      <c r="M247" s="168" t="s">
        <v>394</v>
      </c>
      <c r="N247" s="161" t="s">
        <v>395</v>
      </c>
      <c r="O247" s="233">
        <v>1.42</v>
      </c>
      <c r="P247" s="233">
        <v>1.42</v>
      </c>
      <c r="Q247" s="349">
        <f t="shared" si="18"/>
        <v>0</v>
      </c>
      <c r="R247" s="349"/>
      <c r="S247" s="362">
        <v>0</v>
      </c>
      <c r="T247" s="362">
        <v>0</v>
      </c>
      <c r="U247" s="362">
        <v>0</v>
      </c>
      <c r="V247" s="362">
        <v>0</v>
      </c>
    </row>
    <row r="248" spans="12:22" ht="48">
      <c r="L248" s="165" t="s">
        <v>253</v>
      </c>
      <c r="M248" s="168" t="s">
        <v>396</v>
      </c>
      <c r="N248" s="161" t="s">
        <v>397</v>
      </c>
      <c r="O248" s="233">
        <v>0</v>
      </c>
      <c r="P248" s="233">
        <v>0</v>
      </c>
      <c r="Q248" s="349">
        <f t="shared" si="18"/>
        <v>0</v>
      </c>
      <c r="R248" s="349"/>
      <c r="S248" s="362">
        <v>0</v>
      </c>
      <c r="T248" s="362">
        <v>0</v>
      </c>
      <c r="U248" s="362">
        <v>0</v>
      </c>
      <c r="V248" s="362">
        <v>0</v>
      </c>
    </row>
    <row r="249" spans="12:22" ht="36">
      <c r="L249" s="165" t="s">
        <v>271</v>
      </c>
      <c r="M249" s="168" t="s">
        <v>398</v>
      </c>
      <c r="N249" s="161" t="s">
        <v>399</v>
      </c>
      <c r="O249" s="233">
        <v>2.8041730460000003</v>
      </c>
      <c r="P249" s="233">
        <v>2.8041730460000003</v>
      </c>
      <c r="Q249" s="349">
        <f t="shared" si="18"/>
        <v>0</v>
      </c>
      <c r="R249" s="349"/>
      <c r="S249" s="362">
        <v>0</v>
      </c>
      <c r="T249" s="362">
        <v>0</v>
      </c>
      <c r="U249" s="362">
        <v>0</v>
      </c>
      <c r="V249" s="362">
        <v>0</v>
      </c>
    </row>
    <row r="250" spans="12:22" ht="24">
      <c r="L250" s="165" t="s">
        <v>271</v>
      </c>
      <c r="M250" s="168" t="s">
        <v>400</v>
      </c>
      <c r="N250" s="161" t="s">
        <v>401</v>
      </c>
      <c r="O250" s="233">
        <v>5.8063499999999997E-2</v>
      </c>
      <c r="P250" s="233">
        <v>5.8063499999999997E-2</v>
      </c>
      <c r="Q250" s="349">
        <f t="shared" si="18"/>
        <v>0</v>
      </c>
      <c r="R250" s="349"/>
      <c r="S250" s="362">
        <v>0</v>
      </c>
      <c r="T250" s="362">
        <v>0</v>
      </c>
      <c r="U250" s="362">
        <v>0</v>
      </c>
      <c r="V250" s="362">
        <v>0</v>
      </c>
    </row>
    <row r="251" spans="12:22" ht="72">
      <c r="L251" s="165" t="s">
        <v>271</v>
      </c>
      <c r="M251" s="168" t="s">
        <v>402</v>
      </c>
      <c r="N251" s="161" t="s">
        <v>403</v>
      </c>
      <c r="O251" s="233">
        <v>0.10636449199999999</v>
      </c>
      <c r="P251" s="233">
        <v>0.10636449199999999</v>
      </c>
      <c r="Q251" s="349">
        <f t="shared" si="18"/>
        <v>0</v>
      </c>
      <c r="R251" s="349"/>
      <c r="S251" s="362">
        <v>0</v>
      </c>
      <c r="T251" s="362">
        <v>0</v>
      </c>
      <c r="U251" s="362">
        <v>0</v>
      </c>
      <c r="V251" s="362">
        <v>0</v>
      </c>
    </row>
    <row r="252" spans="12:22">
      <c r="L252" s="165" t="s">
        <v>271</v>
      </c>
      <c r="M252" s="168" t="s">
        <v>404</v>
      </c>
      <c r="N252" s="161" t="s">
        <v>405</v>
      </c>
      <c r="O252" s="233">
        <v>0</v>
      </c>
      <c r="P252" s="233">
        <v>0</v>
      </c>
      <c r="Q252" s="349">
        <f t="shared" si="18"/>
        <v>0</v>
      </c>
      <c r="R252" s="349"/>
      <c r="S252" s="362">
        <v>0</v>
      </c>
      <c r="T252" s="362">
        <v>0</v>
      </c>
      <c r="U252" s="362">
        <v>0</v>
      </c>
      <c r="V252" s="362">
        <v>0</v>
      </c>
    </row>
    <row r="253" spans="12:22" ht="36">
      <c r="L253" s="165" t="s">
        <v>271</v>
      </c>
      <c r="M253" s="168" t="s">
        <v>406</v>
      </c>
      <c r="N253" s="161" t="s">
        <v>407</v>
      </c>
      <c r="O253" s="233">
        <v>1.2234500000000001E-2</v>
      </c>
      <c r="P253" s="233">
        <v>1.2234500000000001E-2</v>
      </c>
      <c r="Q253" s="349">
        <f t="shared" si="18"/>
        <v>0</v>
      </c>
      <c r="R253" s="349"/>
      <c r="S253" s="362">
        <v>0</v>
      </c>
      <c r="T253" s="362">
        <v>0</v>
      </c>
      <c r="U253" s="362">
        <v>0</v>
      </c>
      <c r="V253" s="362">
        <v>0</v>
      </c>
    </row>
    <row r="254" spans="12:22" ht="24">
      <c r="L254" s="165" t="s">
        <v>271</v>
      </c>
      <c r="M254" s="168" t="s">
        <v>408</v>
      </c>
      <c r="N254" s="161" t="s">
        <v>401</v>
      </c>
      <c r="O254" s="233">
        <v>0</v>
      </c>
      <c r="P254" s="233">
        <v>0</v>
      </c>
      <c r="Q254" s="349">
        <f t="shared" si="18"/>
        <v>0</v>
      </c>
      <c r="R254" s="349"/>
      <c r="S254" s="362">
        <v>0</v>
      </c>
      <c r="T254" s="362">
        <v>0</v>
      </c>
      <c r="U254" s="362">
        <v>0</v>
      </c>
      <c r="V254" s="362">
        <v>0</v>
      </c>
    </row>
    <row r="255" spans="12:22" ht="24">
      <c r="L255" s="165" t="s">
        <v>271</v>
      </c>
      <c r="M255" s="168" t="s">
        <v>409</v>
      </c>
      <c r="N255" s="161" t="s">
        <v>410</v>
      </c>
      <c r="O255" s="233">
        <v>1.2990276999999999</v>
      </c>
      <c r="P255" s="233">
        <v>1.2990276999999999</v>
      </c>
      <c r="Q255" s="349">
        <f t="shared" si="18"/>
        <v>0</v>
      </c>
      <c r="R255" s="349"/>
      <c r="S255" s="362">
        <v>0</v>
      </c>
      <c r="T255" s="362">
        <v>0</v>
      </c>
      <c r="U255" s="362">
        <v>0</v>
      </c>
      <c r="V255" s="362">
        <v>0</v>
      </c>
    </row>
    <row r="256" spans="12:22" ht="72">
      <c r="L256" s="165" t="s">
        <v>271</v>
      </c>
      <c r="M256" s="168" t="s">
        <v>411</v>
      </c>
      <c r="N256" s="161" t="s">
        <v>412</v>
      </c>
      <c r="O256" s="233">
        <v>6.08502E-2</v>
      </c>
      <c r="P256" s="233">
        <v>6.08502E-2</v>
      </c>
      <c r="Q256" s="349">
        <f t="shared" si="18"/>
        <v>0</v>
      </c>
      <c r="R256" s="349"/>
      <c r="S256" s="362">
        <v>0</v>
      </c>
      <c r="T256" s="362">
        <v>0</v>
      </c>
      <c r="U256" s="362">
        <v>0</v>
      </c>
      <c r="V256" s="362">
        <v>0</v>
      </c>
    </row>
    <row r="257" spans="12:22">
      <c r="L257" s="165" t="s">
        <v>271</v>
      </c>
      <c r="M257" s="168" t="s">
        <v>413</v>
      </c>
      <c r="N257" s="161">
        <v>0</v>
      </c>
      <c r="O257" s="233">
        <v>0</v>
      </c>
      <c r="P257" s="233">
        <v>0</v>
      </c>
      <c r="Q257" s="349">
        <f t="shared" si="18"/>
        <v>0</v>
      </c>
      <c r="R257" s="349"/>
      <c r="S257" s="362">
        <v>0</v>
      </c>
      <c r="T257" s="362">
        <v>0</v>
      </c>
      <c r="U257" s="362">
        <v>0</v>
      </c>
      <c r="V257" s="362">
        <v>0</v>
      </c>
    </row>
    <row r="258" spans="12:22">
      <c r="L258" s="165" t="s">
        <v>271</v>
      </c>
      <c r="M258" s="168" t="s">
        <v>414</v>
      </c>
      <c r="N258" s="161">
        <v>0</v>
      </c>
      <c r="O258" s="233">
        <v>0.1681049</v>
      </c>
      <c r="P258" s="233">
        <v>0.1681049</v>
      </c>
      <c r="Q258" s="349">
        <f t="shared" si="18"/>
        <v>0</v>
      </c>
      <c r="R258" s="349"/>
      <c r="S258" s="362">
        <v>0</v>
      </c>
      <c r="T258" s="362">
        <v>0</v>
      </c>
      <c r="U258" s="362">
        <v>0</v>
      </c>
      <c r="V258" s="362">
        <v>0</v>
      </c>
    </row>
    <row r="259" spans="12:22">
      <c r="L259" s="165" t="s">
        <v>271</v>
      </c>
      <c r="M259" s="168" t="s">
        <v>289</v>
      </c>
      <c r="N259" s="161">
        <v>0</v>
      </c>
      <c r="O259" s="233">
        <v>3.8999999999999998E-8</v>
      </c>
      <c r="P259" s="233">
        <v>0</v>
      </c>
      <c r="Q259" s="349">
        <f t="shared" si="18"/>
        <v>3.8999999999999998E-8</v>
      </c>
      <c r="R259" s="349"/>
      <c r="S259" s="362">
        <v>0</v>
      </c>
      <c r="T259" s="362">
        <v>0</v>
      </c>
      <c r="U259" s="362">
        <v>0</v>
      </c>
      <c r="V259" s="362">
        <v>3.8999999999999998E-8</v>
      </c>
    </row>
    <row r="260" spans="12:22" ht="24">
      <c r="L260" s="165" t="s">
        <v>290</v>
      </c>
      <c r="M260" s="168" t="s">
        <v>415</v>
      </c>
      <c r="N260" s="161" t="s">
        <v>415</v>
      </c>
      <c r="O260" s="233">
        <v>39.451367374</v>
      </c>
      <c r="P260" s="233">
        <v>39.451367374</v>
      </c>
      <c r="Q260" s="349">
        <f t="shared" si="18"/>
        <v>0</v>
      </c>
      <c r="R260" s="349"/>
      <c r="S260" s="362">
        <v>0</v>
      </c>
      <c r="T260" s="362">
        <v>0</v>
      </c>
      <c r="U260" s="362">
        <v>0</v>
      </c>
      <c r="V260" s="362">
        <v>0</v>
      </c>
    </row>
    <row r="261" spans="12:22">
      <c r="L261" s="165" t="s">
        <v>290</v>
      </c>
      <c r="M261" s="168" t="s">
        <v>416</v>
      </c>
      <c r="N261" s="161" t="s">
        <v>292</v>
      </c>
      <c r="O261" s="233">
        <v>0</v>
      </c>
      <c r="P261" s="233">
        <v>0</v>
      </c>
      <c r="Q261" s="349">
        <f t="shared" si="18"/>
        <v>0</v>
      </c>
      <c r="R261" s="349"/>
      <c r="S261" s="362">
        <v>0</v>
      </c>
      <c r="T261" s="362">
        <v>0</v>
      </c>
      <c r="U261" s="362">
        <v>0</v>
      </c>
      <c r="V261" s="362">
        <v>0</v>
      </c>
    </row>
    <row r="262" spans="12:22" ht="36">
      <c r="L262" s="165" t="s">
        <v>316</v>
      </c>
      <c r="M262" s="168" t="s">
        <v>316</v>
      </c>
      <c r="N262" s="161" t="s">
        <v>417</v>
      </c>
      <c r="O262" s="233">
        <v>0.30449179999999998</v>
      </c>
      <c r="P262" s="233">
        <v>0.30449179999999998</v>
      </c>
      <c r="Q262" s="349">
        <f t="shared" si="18"/>
        <v>0</v>
      </c>
      <c r="R262" s="349"/>
      <c r="S262" s="362">
        <v>0</v>
      </c>
      <c r="T262" s="362">
        <v>0</v>
      </c>
      <c r="U262" s="362">
        <v>0</v>
      </c>
      <c r="V262" s="362">
        <v>0</v>
      </c>
    </row>
    <row r="263" spans="12:22" ht="36">
      <c r="L263" s="165" t="s">
        <v>316</v>
      </c>
      <c r="M263" s="168" t="s">
        <v>316</v>
      </c>
      <c r="N263" s="161" t="s">
        <v>418</v>
      </c>
      <c r="O263" s="233">
        <v>1.6350769199999999</v>
      </c>
      <c r="P263" s="233">
        <v>1.6350769199999999</v>
      </c>
      <c r="Q263" s="349">
        <f t="shared" si="18"/>
        <v>0</v>
      </c>
      <c r="R263" s="349"/>
      <c r="S263" s="362">
        <v>0</v>
      </c>
      <c r="T263" s="362">
        <v>0</v>
      </c>
      <c r="U263" s="362">
        <v>0</v>
      </c>
      <c r="V263" s="362">
        <v>0</v>
      </c>
    </row>
    <row r="264" spans="12:22" ht="60">
      <c r="L264" s="165" t="s">
        <v>245</v>
      </c>
      <c r="M264" s="168" t="s">
        <v>245</v>
      </c>
      <c r="N264" s="161" t="s">
        <v>419</v>
      </c>
      <c r="O264" s="233">
        <v>4.5373299999999998E-2</v>
      </c>
      <c r="P264" s="233">
        <v>4.5373299999999998E-2</v>
      </c>
      <c r="Q264" s="349">
        <f t="shared" si="18"/>
        <v>0</v>
      </c>
      <c r="R264" s="349"/>
      <c r="S264" s="362">
        <v>0</v>
      </c>
      <c r="T264" s="362">
        <v>0</v>
      </c>
      <c r="U264" s="362">
        <v>0</v>
      </c>
      <c r="V264" s="362">
        <v>0</v>
      </c>
    </row>
    <row r="265" spans="12:22">
      <c r="L265" s="419" t="s">
        <v>130</v>
      </c>
      <c r="M265" s="420"/>
      <c r="N265" s="421"/>
      <c r="O265" s="361">
        <f>SUM(O103:O264)</f>
        <v>386.23303390415725</v>
      </c>
      <c r="P265" s="361">
        <f t="shared" ref="P265:Q265" si="19">SUM(P103:P264)</f>
        <v>261.36419721795426</v>
      </c>
      <c r="Q265" s="361">
        <f t="shared" si="19"/>
        <v>124.8688366862031</v>
      </c>
      <c r="R265" s="361"/>
      <c r="S265" s="361">
        <f t="shared" ref="S265:V265" si="20">SUM(S103:S264)</f>
        <v>36.455581424029276</v>
      </c>
      <c r="T265" s="361">
        <f t="shared" si="20"/>
        <v>34.303526098961974</v>
      </c>
      <c r="U265" s="361">
        <f t="shared" si="20"/>
        <v>0</v>
      </c>
      <c r="V265" s="361">
        <f t="shared" si="20"/>
        <v>54.099729163211819</v>
      </c>
    </row>
  </sheetData>
  <mergeCells count="20">
    <mergeCell ref="L265:N265"/>
    <mergeCell ref="A22:A23"/>
    <mergeCell ref="B22:B23"/>
    <mergeCell ref="C22:C23"/>
    <mergeCell ref="H22:K22"/>
    <mergeCell ref="B16:K16"/>
    <mergeCell ref="L101:L102"/>
    <mergeCell ref="M101:M102"/>
    <mergeCell ref="N101:N102"/>
    <mergeCell ref="S101:V101"/>
    <mergeCell ref="B2:K2"/>
    <mergeCell ref="B3:K3"/>
    <mergeCell ref="B10:K10"/>
    <mergeCell ref="E4:J4"/>
    <mergeCell ref="B15:K15"/>
    <mergeCell ref="B6:K6"/>
    <mergeCell ref="B11:K11"/>
    <mergeCell ref="B12:K12"/>
    <mergeCell ref="B13:K13"/>
    <mergeCell ref="B14:K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G12"/>
  <sheetViews>
    <sheetView topLeftCell="A2" workbookViewId="0">
      <selection activeCell="C7" sqref="C7"/>
    </sheetView>
  </sheetViews>
  <sheetFormatPr defaultRowHeight="14.4"/>
  <cols>
    <col min="3" max="3" width="12.33203125" customWidth="1"/>
    <col min="5" max="5" width="13.44140625" customWidth="1"/>
    <col min="6" max="6" width="13.33203125" customWidth="1"/>
    <col min="7" max="7" width="35.6640625" customWidth="1"/>
  </cols>
  <sheetData>
    <row r="2" spans="2:7">
      <c r="B2" s="395" t="s">
        <v>560</v>
      </c>
      <c r="C2" s="395"/>
      <c r="D2" s="395"/>
      <c r="E2" s="395"/>
      <c r="F2" s="395"/>
      <c r="G2" s="395"/>
    </row>
    <row r="3" spans="2:7">
      <c r="B3" s="400" t="str">
        <f>'SUMMARY-2023'!B3</f>
        <v>Details as on 31st March 2023</v>
      </c>
      <c r="C3" s="401"/>
      <c r="D3" s="401"/>
      <c r="E3" s="401"/>
      <c r="F3" s="401"/>
      <c r="G3" s="402"/>
    </row>
    <row r="4" spans="2:7" ht="48">
      <c r="B4" s="37" t="s">
        <v>0</v>
      </c>
      <c r="C4" s="37" t="s">
        <v>71</v>
      </c>
      <c r="D4" s="37" t="s">
        <v>64</v>
      </c>
      <c r="E4" s="37" t="s">
        <v>142</v>
      </c>
      <c r="F4" s="37" t="s">
        <v>143</v>
      </c>
      <c r="G4" s="37" t="s">
        <v>22</v>
      </c>
    </row>
    <row r="5" spans="2:7">
      <c r="B5" s="403" t="str">
        <f>'SUMMARY-2023'!B5</f>
        <v>Figures in INR Crores</v>
      </c>
      <c r="C5" s="404"/>
      <c r="D5" s="404"/>
      <c r="E5" s="404"/>
      <c r="F5" s="404"/>
      <c r="G5" s="405"/>
    </row>
    <row r="6" spans="2:7" ht="51" customHeight="1">
      <c r="B6" s="50">
        <v>1</v>
      </c>
      <c r="C6" s="63" t="s">
        <v>561</v>
      </c>
      <c r="D6" s="45">
        <f>'[1]Provisions TR 2023'!$L$4</f>
        <v>261.36419721795426</v>
      </c>
      <c r="E6" s="256">
        <f>'[1]Provisions TR 2023'!$M$4</f>
        <v>143.27985291488253</v>
      </c>
      <c r="F6" s="256">
        <f>'[1]Provisions TR 2023'!$M$31</f>
        <v>99.753717544970158</v>
      </c>
      <c r="G6" s="65" t="s">
        <v>562</v>
      </c>
    </row>
    <row r="7" spans="2:7" ht="30.6" customHeight="1">
      <c r="B7" s="50">
        <v>2</v>
      </c>
      <c r="C7" s="63" t="s">
        <v>563</v>
      </c>
      <c r="D7" s="45">
        <f>'[1]Provision ICD &amp; Others Loan'!$C$21+'[1]Provision RPT. Loan'!$C$19</f>
        <v>571.19414969500008</v>
      </c>
      <c r="E7" s="256">
        <f>323.78+54.5</f>
        <v>378.28</v>
      </c>
      <c r="F7" s="256">
        <v>54.5</v>
      </c>
      <c r="G7" s="65" t="s">
        <v>564</v>
      </c>
    </row>
    <row r="8" spans="2:7" ht="30.6" customHeight="1">
      <c r="B8" s="50">
        <v>3</v>
      </c>
      <c r="C8" s="63" t="s">
        <v>578</v>
      </c>
      <c r="D8" s="45">
        <v>70.680000000000007</v>
      </c>
      <c r="E8" s="256">
        <v>0</v>
      </c>
      <c r="F8" s="256">
        <v>0</v>
      </c>
      <c r="G8" s="65" t="s">
        <v>579</v>
      </c>
    </row>
    <row r="9" spans="2:7" ht="30.6" customHeight="1">
      <c r="B9" s="50">
        <v>4</v>
      </c>
      <c r="C9" s="63" t="s">
        <v>96</v>
      </c>
      <c r="D9" s="45">
        <v>16.53</v>
      </c>
      <c r="E9" s="256">
        <v>0</v>
      </c>
      <c r="F9" s="256">
        <v>0</v>
      </c>
      <c r="G9" s="65"/>
    </row>
    <row r="10" spans="2:7">
      <c r="B10" s="38"/>
      <c r="C10" s="52" t="s">
        <v>23</v>
      </c>
      <c r="D10" s="257">
        <f>SUM(D6:D9)</f>
        <v>919.76834691295426</v>
      </c>
      <c r="E10" s="257">
        <f t="shared" ref="E10:F10" si="0">SUM(E6:E9)</f>
        <v>521.55985291488253</v>
      </c>
      <c r="F10" s="257">
        <f t="shared" si="0"/>
        <v>154.25371754497016</v>
      </c>
      <c r="G10" s="42"/>
    </row>
    <row r="11" spans="2:7">
      <c r="B11" s="396" t="str">
        <f>'Loans-III'!B9:K9</f>
        <v>REMARKS &amp; NOTES:-</v>
      </c>
      <c r="C11" s="397"/>
      <c r="D11" s="397"/>
      <c r="E11" s="397"/>
      <c r="F11" s="397"/>
      <c r="G11" s="397"/>
    </row>
    <row r="12" spans="2:7" ht="154.94999999999999" customHeight="1">
      <c r="B12" s="399" t="s">
        <v>79</v>
      </c>
      <c r="C12" s="399"/>
      <c r="D12" s="399"/>
      <c r="E12" s="399"/>
      <c r="F12" s="399"/>
      <c r="G12" s="399"/>
    </row>
  </sheetData>
  <mergeCells count="5">
    <mergeCell ref="B2:G2"/>
    <mergeCell ref="B3:G3"/>
    <mergeCell ref="B5:G5"/>
    <mergeCell ref="B11:G11"/>
    <mergeCell ref="B12:G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2:M13"/>
  <sheetViews>
    <sheetView topLeftCell="A4" workbookViewId="0">
      <selection activeCell="B10" sqref="B10:K10"/>
    </sheetView>
  </sheetViews>
  <sheetFormatPr defaultRowHeight="14.4"/>
  <cols>
    <col min="1" max="1" width="4.6640625" customWidth="1"/>
    <col min="2" max="2" width="4.6640625" bestFit="1" customWidth="1"/>
    <col min="3" max="3" width="18.6640625" customWidth="1"/>
    <col min="4" max="4" width="9.88671875" hidden="1" customWidth="1"/>
    <col min="5" max="5" width="18.6640625" customWidth="1"/>
    <col min="6" max="8" width="9.88671875" hidden="1" customWidth="1"/>
    <col min="9" max="10" width="12.109375" customWidth="1"/>
    <col min="11" max="11" width="73.44140625" customWidth="1"/>
  </cols>
  <sheetData>
    <row r="2" spans="1:13">
      <c r="B2" s="422" t="s">
        <v>119</v>
      </c>
      <c r="C2" s="423"/>
      <c r="D2" s="423"/>
      <c r="E2" s="423"/>
      <c r="F2" s="423"/>
      <c r="G2" s="423"/>
      <c r="H2" s="423"/>
      <c r="I2" s="423"/>
      <c r="J2" s="423"/>
      <c r="K2" s="424"/>
    </row>
    <row r="3" spans="1:13">
      <c r="B3" s="425" t="str">
        <f>'SUMMARY-2023'!B3</f>
        <v>Details as on 31st March 2023</v>
      </c>
      <c r="C3" s="426"/>
      <c r="D3" s="426"/>
      <c r="E3" s="426"/>
      <c r="F3" s="426"/>
      <c r="G3" s="426"/>
      <c r="H3" s="426"/>
      <c r="I3" s="426"/>
      <c r="J3" s="426"/>
      <c r="K3" s="427"/>
    </row>
    <row r="4" spans="1:13" ht="48">
      <c r="B4" s="24" t="s">
        <v>0</v>
      </c>
      <c r="C4" s="24" t="s">
        <v>26</v>
      </c>
      <c r="D4" s="24" t="s">
        <v>66</v>
      </c>
      <c r="E4" s="37" t="s">
        <v>64</v>
      </c>
      <c r="F4" s="24" t="s">
        <v>29</v>
      </c>
      <c r="G4" s="24" t="s">
        <v>27</v>
      </c>
      <c r="H4" s="24" t="s">
        <v>67</v>
      </c>
      <c r="I4" s="24" t="s">
        <v>142</v>
      </c>
      <c r="J4" s="24" t="s">
        <v>143</v>
      </c>
      <c r="K4" s="24" t="s">
        <v>22</v>
      </c>
    </row>
    <row r="5" spans="1:13">
      <c r="B5" s="425" t="str">
        <f>'SUMMARY-2023'!B5</f>
        <v>Figures in INR Crores</v>
      </c>
      <c r="C5" s="426"/>
      <c r="D5" s="426"/>
      <c r="E5" s="426"/>
      <c r="F5" s="426"/>
      <c r="G5" s="426"/>
      <c r="H5" s="426"/>
      <c r="I5" s="426"/>
      <c r="J5" s="426"/>
      <c r="K5" s="427"/>
    </row>
    <row r="6" spans="1:13" ht="57">
      <c r="B6" s="41">
        <v>1</v>
      </c>
      <c r="C6" s="55" t="s">
        <v>120</v>
      </c>
      <c r="D6" s="56" t="s">
        <v>78</v>
      </c>
      <c r="E6" s="46">
        <v>0.02</v>
      </c>
      <c r="F6" s="25"/>
      <c r="G6" s="25"/>
      <c r="H6" s="25"/>
      <c r="I6" s="46">
        <f>E6</f>
        <v>0.02</v>
      </c>
      <c r="J6" s="46">
        <f>I6</f>
        <v>0.02</v>
      </c>
      <c r="K6" s="75" t="s">
        <v>699</v>
      </c>
      <c r="M6" s="47"/>
    </row>
    <row r="7" spans="1:13" ht="136.80000000000001">
      <c r="B7" s="54">
        <v>2</v>
      </c>
      <c r="C7" s="72" t="s">
        <v>121</v>
      </c>
      <c r="D7" s="73"/>
      <c r="E7" s="74">
        <v>10.029999999999999</v>
      </c>
      <c r="F7" s="23"/>
      <c r="G7" s="23"/>
      <c r="H7" s="23"/>
      <c r="I7" s="74">
        <v>0</v>
      </c>
      <c r="J7" s="74">
        <v>0</v>
      </c>
      <c r="K7" s="322" t="s">
        <v>700</v>
      </c>
      <c r="L7" s="47">
        <v>0</v>
      </c>
      <c r="M7" s="47">
        <v>0</v>
      </c>
    </row>
    <row r="8" spans="1:13">
      <c r="B8" s="38"/>
      <c r="C8" s="36" t="s">
        <v>23</v>
      </c>
      <c r="D8" s="36"/>
      <c r="E8" s="26">
        <f>SUM(E6:E7)</f>
        <v>10.049999999999999</v>
      </c>
      <c r="F8" s="26">
        <f t="shared" ref="F8:J8" si="0">SUM(F6:F7)</f>
        <v>0</v>
      </c>
      <c r="G8" s="26">
        <f t="shared" si="0"/>
        <v>0</v>
      </c>
      <c r="H8" s="26">
        <f t="shared" si="0"/>
        <v>0</v>
      </c>
      <c r="I8" s="26">
        <f t="shared" si="0"/>
        <v>0.02</v>
      </c>
      <c r="J8" s="26">
        <f t="shared" si="0"/>
        <v>0.02</v>
      </c>
      <c r="K8" s="38"/>
    </row>
    <row r="9" spans="1:13">
      <c r="B9" s="396" t="str">
        <f>[2]SUMMARY!B16</f>
        <v>REMARKS &amp; NOTES:-</v>
      </c>
      <c r="C9" s="397"/>
      <c r="D9" s="397"/>
      <c r="E9" s="397"/>
      <c r="F9" s="397"/>
      <c r="G9" s="397"/>
      <c r="H9" s="397"/>
      <c r="I9" s="397"/>
      <c r="J9" s="397"/>
      <c r="K9" s="428"/>
    </row>
    <row r="10" spans="1:13" ht="142.5" customHeight="1">
      <c r="B10" s="399" t="s">
        <v>696</v>
      </c>
      <c r="C10" s="399"/>
      <c r="D10" s="399"/>
      <c r="E10" s="399"/>
      <c r="F10" s="399"/>
      <c r="G10" s="399"/>
      <c r="H10" s="399"/>
      <c r="I10" s="399"/>
      <c r="J10" s="399"/>
      <c r="K10" s="399"/>
    </row>
    <row r="13" spans="1:13">
      <c r="A13" t="s">
        <v>140</v>
      </c>
      <c r="B13" s="103" t="s">
        <v>139</v>
      </c>
    </row>
  </sheetData>
  <mergeCells count="5">
    <mergeCell ref="B2:K2"/>
    <mergeCell ref="B3:K3"/>
    <mergeCell ref="B5:K5"/>
    <mergeCell ref="B9:K9"/>
    <mergeCell ref="B10:K10"/>
  </mergeCells>
  <hyperlinks>
    <hyperlink ref="B13" r:id="rId1" xr:uid="{00000000-0004-0000-0600-000000000000}"/>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499984740745262"/>
  </sheetPr>
  <dimension ref="A2:T42"/>
  <sheetViews>
    <sheetView topLeftCell="D1" workbookViewId="0">
      <selection activeCell="J6" sqref="J6:K6"/>
    </sheetView>
  </sheetViews>
  <sheetFormatPr defaultRowHeight="14.4"/>
  <cols>
    <col min="1" max="1" width="24" customWidth="1"/>
    <col min="2" max="2" width="6.6640625" customWidth="1"/>
    <col min="3" max="3" width="16.88671875" customWidth="1"/>
    <col min="4" max="4" width="13.33203125" customWidth="1"/>
    <col min="7" max="7" width="8.5546875" customWidth="1"/>
    <col min="8" max="8" width="9.109375" customWidth="1"/>
    <col min="12" max="12" width="26.88671875" customWidth="1"/>
  </cols>
  <sheetData>
    <row r="2" spans="1:14" ht="14.4" customHeight="1">
      <c r="C2" s="440" t="s">
        <v>577</v>
      </c>
      <c r="D2" s="441"/>
      <c r="E2" s="441"/>
      <c r="F2" s="441"/>
      <c r="G2" s="441"/>
      <c r="H2" s="441"/>
      <c r="I2" s="441"/>
      <c r="J2" s="441"/>
      <c r="K2" s="441"/>
      <c r="L2" s="441"/>
    </row>
    <row r="3" spans="1:14" ht="14.4" customHeight="1">
      <c r="C3" s="438" t="str">
        <f>'SUMMARY-2023'!B3</f>
        <v>Details as on 31st March 2023</v>
      </c>
      <c r="D3" s="439"/>
      <c r="E3" s="439"/>
      <c r="F3" s="439"/>
      <c r="G3" s="439"/>
      <c r="H3" s="439"/>
      <c r="I3" s="439"/>
      <c r="J3" s="439"/>
      <c r="K3" s="439"/>
      <c r="L3" s="439"/>
    </row>
    <row r="4" spans="1:14" ht="48">
      <c r="C4" s="24" t="s">
        <v>0</v>
      </c>
      <c r="D4" s="24" t="s">
        <v>69</v>
      </c>
      <c r="E4" s="37" t="s">
        <v>64</v>
      </c>
      <c r="F4" s="24" t="s">
        <v>526</v>
      </c>
      <c r="G4" s="24" t="s">
        <v>527</v>
      </c>
      <c r="H4" s="24" t="s">
        <v>528</v>
      </c>
      <c r="I4" s="24" t="s">
        <v>569</v>
      </c>
      <c r="J4" s="24" t="s">
        <v>142</v>
      </c>
      <c r="K4" s="24" t="s">
        <v>143</v>
      </c>
      <c r="L4" s="24" t="s">
        <v>22</v>
      </c>
    </row>
    <row r="5" spans="1:14" ht="14.4" customHeight="1">
      <c r="C5" s="436" t="str">
        <f>'SUMMARY-2023'!B5</f>
        <v>Figures in INR Crores</v>
      </c>
      <c r="D5" s="437"/>
      <c r="E5" s="437"/>
      <c r="F5" s="437"/>
      <c r="G5" s="437"/>
      <c r="H5" s="437"/>
      <c r="I5" s="437"/>
      <c r="J5" s="437"/>
      <c r="K5" s="437"/>
      <c r="L5" s="437"/>
    </row>
    <row r="6" spans="1:14" ht="93" customHeight="1">
      <c r="C6" s="54">
        <v>1</v>
      </c>
      <c r="D6" s="77" t="s">
        <v>122</v>
      </c>
      <c r="E6" s="76">
        <f>199.56+17.52</f>
        <v>217.08</v>
      </c>
      <c r="F6" s="60">
        <f>D19</f>
        <v>3.7840967000000001</v>
      </c>
      <c r="G6" s="60">
        <f>E19</f>
        <v>0.36570000000000102</v>
      </c>
      <c r="H6" s="60">
        <f>F19</f>
        <v>0</v>
      </c>
      <c r="I6" s="60">
        <f>G19</f>
        <v>212.93161778356165</v>
      </c>
      <c r="J6" s="60">
        <f>H27</f>
        <v>131.53842139229843</v>
      </c>
      <c r="K6" s="60">
        <f>H28</f>
        <v>3.0757775250000008</v>
      </c>
      <c r="L6" s="75" t="s">
        <v>689</v>
      </c>
      <c r="N6" s="47"/>
    </row>
    <row r="7" spans="1:14">
      <c r="C7" s="38"/>
      <c r="D7" s="36" t="s">
        <v>23</v>
      </c>
      <c r="E7" s="61">
        <f>SUM(E3:E6)</f>
        <v>217.08</v>
      </c>
      <c r="F7" s="61">
        <f t="shared" ref="F7:K7" si="0">SUM(F3:F6)</f>
        <v>3.7840967000000001</v>
      </c>
      <c r="G7" s="61">
        <f t="shared" si="0"/>
        <v>0.36570000000000102</v>
      </c>
      <c r="H7" s="61">
        <f t="shared" si="0"/>
        <v>0</v>
      </c>
      <c r="I7" s="61">
        <f t="shared" si="0"/>
        <v>212.93161778356165</v>
      </c>
      <c r="J7" s="61">
        <f t="shared" si="0"/>
        <v>131.53842139229843</v>
      </c>
      <c r="K7" s="61">
        <f t="shared" si="0"/>
        <v>3.0757775250000008</v>
      </c>
      <c r="L7" s="38"/>
    </row>
    <row r="8" spans="1:14" ht="14.4" customHeight="1">
      <c r="C8" s="442" t="s">
        <v>20</v>
      </c>
      <c r="D8" s="443"/>
      <c r="E8" s="443"/>
      <c r="F8" s="443"/>
      <c r="G8" s="443"/>
      <c r="H8" s="443"/>
      <c r="I8" s="443"/>
      <c r="J8" s="443"/>
      <c r="K8" s="443"/>
      <c r="L8" s="443"/>
    </row>
    <row r="9" spans="1:14" ht="162" customHeight="1">
      <c r="C9" s="444" t="s">
        <v>678</v>
      </c>
      <c r="D9" s="445"/>
      <c r="E9" s="445"/>
      <c r="F9" s="445"/>
      <c r="G9" s="445"/>
      <c r="H9" s="445"/>
      <c r="I9" s="445"/>
      <c r="J9" s="445"/>
      <c r="K9" s="445"/>
      <c r="L9" s="445"/>
    </row>
    <row r="13" spans="1:14" ht="22.95" customHeight="1">
      <c r="A13" s="435" t="s">
        <v>565</v>
      </c>
      <c r="B13" s="435"/>
      <c r="C13" s="435"/>
      <c r="D13" s="446" t="s">
        <v>566</v>
      </c>
      <c r="E13" s="447"/>
      <c r="F13" s="447"/>
      <c r="G13" s="448"/>
      <c r="H13" s="120"/>
    </row>
    <row r="14" spans="1:14" ht="28.8">
      <c r="A14" s="306" t="s">
        <v>2</v>
      </c>
      <c r="B14" s="306" t="s">
        <v>185</v>
      </c>
      <c r="C14" s="263" t="s">
        <v>568</v>
      </c>
      <c r="D14" s="263" t="s">
        <v>556</v>
      </c>
      <c r="E14" s="263" t="s">
        <v>527</v>
      </c>
      <c r="F14" s="307" t="s">
        <v>558</v>
      </c>
      <c r="G14" s="263" t="s">
        <v>569</v>
      </c>
      <c r="H14" s="307" t="s">
        <v>22</v>
      </c>
    </row>
    <row r="15" spans="1:14" ht="36.6" customHeight="1">
      <c r="A15" s="308" t="s">
        <v>570</v>
      </c>
      <c r="B15" s="309" t="s">
        <v>485</v>
      </c>
      <c r="C15" s="310">
        <v>14.121617783561639</v>
      </c>
      <c r="D15" s="120"/>
      <c r="E15" s="120"/>
      <c r="F15" s="120"/>
      <c r="G15" s="272">
        <f>C15</f>
        <v>14.121617783561639</v>
      </c>
      <c r="H15" s="208" t="s">
        <v>571</v>
      </c>
    </row>
    <row r="16" spans="1:14" ht="34.200000000000003" customHeight="1">
      <c r="A16" s="308" t="s">
        <v>573</v>
      </c>
      <c r="B16" s="311" t="s">
        <v>427</v>
      </c>
      <c r="C16" s="310">
        <f>0.465700000000001-0.1</f>
        <v>0.36570000000000102</v>
      </c>
      <c r="D16" s="312"/>
      <c r="E16" s="313">
        <f>C16</f>
        <v>0.36570000000000102</v>
      </c>
      <c r="F16" s="120"/>
      <c r="G16" s="120"/>
      <c r="H16" s="120"/>
    </row>
    <row r="17" spans="1:10" ht="31.95" customHeight="1">
      <c r="A17" s="308" t="s">
        <v>572</v>
      </c>
      <c r="B17" s="309" t="s">
        <v>485</v>
      </c>
      <c r="C17" s="310">
        <f>3.7040967+0.08</f>
        <v>3.7840967000000001</v>
      </c>
      <c r="D17" s="313">
        <f>C17</f>
        <v>3.7840967000000001</v>
      </c>
      <c r="E17" s="120"/>
      <c r="F17" s="120"/>
      <c r="G17" s="120"/>
      <c r="H17" s="120"/>
    </row>
    <row r="18" spans="1:10" ht="31.95" customHeight="1">
      <c r="A18" s="308" t="s">
        <v>574</v>
      </c>
      <c r="B18" s="311" t="s">
        <v>253</v>
      </c>
      <c r="C18" s="310">
        <v>198.81</v>
      </c>
      <c r="D18" s="120"/>
      <c r="E18" s="120"/>
      <c r="F18" s="120"/>
      <c r="G18" s="313">
        <f>C18</f>
        <v>198.81</v>
      </c>
      <c r="H18" s="312" t="s">
        <v>575</v>
      </c>
    </row>
    <row r="19" spans="1:10" ht="29.4" customHeight="1">
      <c r="A19" s="120"/>
      <c r="B19" s="239" t="s">
        <v>21</v>
      </c>
      <c r="C19" s="314">
        <f>SUM(C15:C18)</f>
        <v>217.08141448356164</v>
      </c>
      <c r="D19" s="315">
        <f>SUM(D15:D18)</f>
        <v>3.7840967000000001</v>
      </c>
      <c r="E19" s="315">
        <f>SUM(E15:E18)</f>
        <v>0.36570000000000102</v>
      </c>
      <c r="F19" s="315">
        <v>0</v>
      </c>
      <c r="G19" s="314">
        <f>SUM(G15:G18)</f>
        <v>212.93161778356165</v>
      </c>
      <c r="H19" s="120"/>
    </row>
    <row r="20" spans="1:10" ht="46.95" customHeight="1">
      <c r="G20" s="304" t="s">
        <v>529</v>
      </c>
      <c r="H20" s="305">
        <v>1</v>
      </c>
      <c r="I20" s="123">
        <f>H20+1</f>
        <v>2</v>
      </c>
      <c r="J20" s="123">
        <f t="shared" ref="J20" si="1">I20+1</f>
        <v>3</v>
      </c>
    </row>
    <row r="21" spans="1:10" ht="63.6" customHeight="1">
      <c r="B21" s="258"/>
      <c r="C21" s="258">
        <f>C19-E7</f>
        <v>1.4144835616320961E-3</v>
      </c>
      <c r="D21" s="258"/>
      <c r="E21" s="258"/>
      <c r="G21" s="255" t="s">
        <v>64</v>
      </c>
      <c r="H21" s="240">
        <f>E7</f>
        <v>217.08</v>
      </c>
      <c r="I21" s="241"/>
      <c r="J21" s="241"/>
    </row>
    <row r="22" spans="1:10" ht="45.6" customHeight="1">
      <c r="B22" s="258"/>
      <c r="C22" s="258"/>
      <c r="D22" s="258"/>
      <c r="E22" s="258"/>
      <c r="G22" s="239" t="s">
        <v>559</v>
      </c>
      <c r="H22" s="240">
        <f>D19</f>
        <v>3.7840967000000001</v>
      </c>
      <c r="I22" s="240">
        <f>E19</f>
        <v>0.36570000000000102</v>
      </c>
      <c r="J22" s="240">
        <f>G19</f>
        <v>212.93161778356165</v>
      </c>
    </row>
    <row r="23" spans="1:10" ht="32.4" customHeight="1">
      <c r="G23" s="239" t="s">
        <v>532</v>
      </c>
      <c r="H23" s="241">
        <v>1</v>
      </c>
      <c r="I23" s="241">
        <f>H23+1</f>
        <v>2</v>
      </c>
      <c r="J23" s="241">
        <f t="shared" ref="J23" si="2">I23+1</f>
        <v>3</v>
      </c>
    </row>
    <row r="24" spans="1:10" ht="30" customHeight="1">
      <c r="B24" s="258"/>
      <c r="C24" s="258"/>
      <c r="D24" s="258"/>
      <c r="E24" s="258"/>
      <c r="G24" s="239" t="s">
        <v>533</v>
      </c>
      <c r="H24" s="242">
        <f>1/(1+$H$25)^H23</f>
        <v>0.9174311926605504</v>
      </c>
      <c r="I24" s="242">
        <f t="shared" ref="I24" si="3">1/(1+$H$25)^I23</f>
        <v>0.84167999326655996</v>
      </c>
      <c r="J24" s="364">
        <v>0.6</v>
      </c>
    </row>
    <row r="25" spans="1:10" ht="32.4" customHeight="1">
      <c r="G25" s="239" t="s">
        <v>534</v>
      </c>
      <c r="H25" s="243">
        <v>0.09</v>
      </c>
      <c r="I25" s="241"/>
      <c r="J25" s="241"/>
    </row>
    <row r="26" spans="1:10" ht="48" customHeight="1">
      <c r="B26" s="258"/>
      <c r="C26" s="258"/>
      <c r="D26" s="258"/>
      <c r="E26" s="258"/>
      <c r="G26" s="239" t="s">
        <v>535</v>
      </c>
      <c r="H26" s="240">
        <f>H22*H24</f>
        <v>3.471648348623853</v>
      </c>
      <c r="I26" s="240">
        <f t="shared" ref="I26" si="4">I22*I24</f>
        <v>0.30780237353758183</v>
      </c>
      <c r="J26" s="240">
        <f>J22*J24</f>
        <v>127.75897067013699</v>
      </c>
    </row>
    <row r="27" spans="1:10" ht="86.4">
      <c r="B27" s="258"/>
      <c r="G27" s="244" t="s">
        <v>576</v>
      </c>
      <c r="H27" s="245">
        <f>SUM(H26:J26)</f>
        <v>131.53842139229843</v>
      </c>
      <c r="I27" s="238"/>
      <c r="J27" s="238"/>
    </row>
    <row r="28" spans="1:10">
      <c r="G28" s="365" t="s">
        <v>683</v>
      </c>
      <c r="H28" s="363">
        <f>(H22*0.75)+(I22*0.65)</f>
        <v>3.0757775250000008</v>
      </c>
    </row>
    <row r="35" spans="14:20" ht="15" thickBot="1"/>
    <row r="36" spans="14:20" ht="15" thickBot="1">
      <c r="N36" s="429" t="s">
        <v>565</v>
      </c>
      <c r="O36" s="430"/>
      <c r="P36" s="431"/>
      <c r="Q36" s="429" t="s">
        <v>566</v>
      </c>
      <c r="R36" s="430"/>
      <c r="S36" s="430"/>
      <c r="T36" s="432"/>
    </row>
    <row r="37" spans="14:20" ht="29.4" thickBot="1">
      <c r="N37" s="367" t="s">
        <v>2</v>
      </c>
      <c r="O37" s="368" t="s">
        <v>185</v>
      </c>
      <c r="P37" s="368" t="s">
        <v>568</v>
      </c>
      <c r="Q37" s="368" t="s">
        <v>556</v>
      </c>
      <c r="R37" s="368" t="s">
        <v>527</v>
      </c>
      <c r="S37" s="368" t="s">
        <v>558</v>
      </c>
      <c r="T37" s="368" t="s">
        <v>569</v>
      </c>
    </row>
    <row r="38" spans="14:20" ht="31.8" customHeight="1" thickBot="1">
      <c r="N38" s="369" t="s">
        <v>570</v>
      </c>
      <c r="O38" s="370" t="s">
        <v>485</v>
      </c>
      <c r="P38" s="371">
        <v>14.12</v>
      </c>
      <c r="Q38" s="372" t="s">
        <v>705</v>
      </c>
      <c r="R38" s="372" t="s">
        <v>705</v>
      </c>
      <c r="S38" s="372" t="s">
        <v>705</v>
      </c>
      <c r="T38" s="372">
        <v>14.12</v>
      </c>
    </row>
    <row r="39" spans="14:20" ht="25.8" customHeight="1" thickBot="1">
      <c r="N39" s="369" t="s">
        <v>573</v>
      </c>
      <c r="O39" s="370" t="s">
        <v>427</v>
      </c>
      <c r="P39" s="371">
        <v>0.37</v>
      </c>
      <c r="Q39" s="372" t="s">
        <v>705</v>
      </c>
      <c r="R39" s="372">
        <v>0.37</v>
      </c>
      <c r="S39" s="372" t="s">
        <v>705</v>
      </c>
      <c r="T39" s="372" t="s">
        <v>705</v>
      </c>
    </row>
    <row r="40" spans="14:20" ht="34.200000000000003" customHeight="1" thickBot="1">
      <c r="N40" s="369" t="s">
        <v>572</v>
      </c>
      <c r="O40" s="370" t="s">
        <v>485</v>
      </c>
      <c r="P40" s="371">
        <v>3.78</v>
      </c>
      <c r="Q40" s="372">
        <v>3.78</v>
      </c>
      <c r="R40" s="372" t="s">
        <v>705</v>
      </c>
      <c r="S40" s="372" t="s">
        <v>705</v>
      </c>
      <c r="T40" s="372" t="s">
        <v>705</v>
      </c>
    </row>
    <row r="41" spans="14:20" ht="27" customHeight="1" thickBot="1">
      <c r="N41" s="369" t="s">
        <v>574</v>
      </c>
      <c r="O41" s="370" t="s">
        <v>253</v>
      </c>
      <c r="P41" s="371">
        <v>198.81</v>
      </c>
      <c r="Q41" s="372" t="s">
        <v>705</v>
      </c>
      <c r="R41" s="372" t="s">
        <v>705</v>
      </c>
      <c r="S41" s="372" t="s">
        <v>705</v>
      </c>
      <c r="T41" s="372">
        <v>198.81</v>
      </c>
    </row>
    <row r="42" spans="14:20" ht="15" thickBot="1">
      <c r="N42" s="433" t="s">
        <v>21</v>
      </c>
      <c r="O42" s="434"/>
      <c r="P42" s="373">
        <v>217.08</v>
      </c>
      <c r="Q42" s="373">
        <v>3.78</v>
      </c>
      <c r="R42" s="373">
        <v>0.37</v>
      </c>
      <c r="S42" s="373">
        <v>0</v>
      </c>
      <c r="T42" s="373">
        <v>212.93</v>
      </c>
    </row>
  </sheetData>
  <mergeCells count="10">
    <mergeCell ref="C3:L3"/>
    <mergeCell ref="C2:L2"/>
    <mergeCell ref="C8:L8"/>
    <mergeCell ref="C9:L9"/>
    <mergeCell ref="D13:G13"/>
    <mergeCell ref="N36:P36"/>
    <mergeCell ref="Q36:T36"/>
    <mergeCell ref="N42:O42"/>
    <mergeCell ref="A13:C13"/>
    <mergeCell ref="C5:L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2:I9"/>
  <sheetViews>
    <sheetView topLeftCell="A8" workbookViewId="0">
      <selection activeCell="B9" sqref="B9:G9"/>
    </sheetView>
  </sheetViews>
  <sheetFormatPr defaultRowHeight="14.4"/>
  <cols>
    <col min="3" max="3" width="20.109375" customWidth="1"/>
    <col min="4" max="4" width="16.109375" customWidth="1"/>
    <col min="5" max="5" width="13.88671875" customWidth="1"/>
    <col min="6" max="6" width="14.109375" customWidth="1"/>
    <col min="7" max="7" width="78.5546875" customWidth="1"/>
  </cols>
  <sheetData>
    <row r="2" spans="2:9">
      <c r="B2" s="449" t="s">
        <v>672</v>
      </c>
      <c r="C2" s="450"/>
      <c r="D2" s="450"/>
      <c r="E2" s="450"/>
      <c r="F2" s="450"/>
      <c r="G2" s="451"/>
    </row>
    <row r="3" spans="2:9">
      <c r="B3" s="425" t="str">
        <f>'SUMMARY-2023'!B3</f>
        <v>Details as on 31st March 2023</v>
      </c>
      <c r="C3" s="452"/>
      <c r="D3" s="452"/>
      <c r="E3" s="452"/>
      <c r="F3" s="452"/>
      <c r="G3" s="453"/>
    </row>
    <row r="4" spans="2:9" ht="24">
      <c r="B4" s="24" t="s">
        <v>0</v>
      </c>
      <c r="C4" s="24" t="s">
        <v>69</v>
      </c>
      <c r="D4" s="37" t="s">
        <v>64</v>
      </c>
      <c r="E4" s="24" t="s">
        <v>142</v>
      </c>
      <c r="F4" s="24" t="s">
        <v>143</v>
      </c>
      <c r="G4" s="24" t="s">
        <v>22</v>
      </c>
    </row>
    <row r="5" spans="2:9">
      <c r="B5" s="425" t="str">
        <f>'SUMMARY-2023'!B5</f>
        <v>Figures in INR Crores</v>
      </c>
      <c r="C5" s="426"/>
      <c r="D5" s="426"/>
      <c r="E5" s="426"/>
      <c r="F5" s="426"/>
      <c r="G5" s="427"/>
    </row>
    <row r="6" spans="2:9" ht="145.5" customHeight="1">
      <c r="B6" s="54">
        <v>1</v>
      </c>
      <c r="C6" s="77" t="s">
        <v>672</v>
      </c>
      <c r="D6" s="76">
        <v>1.56</v>
      </c>
      <c r="E6" s="76">
        <f t="shared" ref="E6" si="0">$D6*H6</f>
        <v>1.2480000000000002</v>
      </c>
      <c r="F6" s="76">
        <f>$E6*I6</f>
        <v>0.62400000000000011</v>
      </c>
      <c r="G6" s="322" t="s">
        <v>701</v>
      </c>
      <c r="H6" s="47">
        <v>0.8</v>
      </c>
      <c r="I6" s="47">
        <v>0.5</v>
      </c>
    </row>
    <row r="7" spans="2:9">
      <c r="B7" s="38"/>
      <c r="C7" s="36" t="s">
        <v>23</v>
      </c>
      <c r="D7" s="61">
        <f>SUM(D6:D6)</f>
        <v>1.56</v>
      </c>
      <c r="E7" s="61">
        <f>SUM(E6:E6)</f>
        <v>1.2480000000000002</v>
      </c>
      <c r="F7" s="61">
        <f>SUM(F6:F6)</f>
        <v>0.62400000000000011</v>
      </c>
      <c r="G7" s="38"/>
    </row>
    <row r="8" spans="2:9">
      <c r="B8" s="396" t="s">
        <v>20</v>
      </c>
      <c r="C8" s="397"/>
      <c r="D8" s="397"/>
      <c r="E8" s="397"/>
      <c r="F8" s="397"/>
      <c r="G8" s="428"/>
    </row>
    <row r="9" spans="2:9" ht="132.75" customHeight="1">
      <c r="B9" s="399" t="s">
        <v>679</v>
      </c>
      <c r="C9" s="399"/>
      <c r="D9" s="399"/>
      <c r="E9" s="399"/>
      <c r="F9" s="399"/>
      <c r="G9" s="399"/>
    </row>
  </sheetData>
  <mergeCells count="5">
    <mergeCell ref="B2:G2"/>
    <mergeCell ref="B3:G3"/>
    <mergeCell ref="B5:G5"/>
    <mergeCell ref="B8:G8"/>
    <mergeCell ref="B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General</vt:lpstr>
      <vt:lpstr>SUMMARY-2023</vt:lpstr>
      <vt:lpstr>NCI-I</vt:lpstr>
      <vt:lpstr>Provisions TR 2023</vt:lpstr>
      <vt:lpstr>Trade Receivable-II</vt:lpstr>
      <vt:lpstr>Provisions 2023</vt:lpstr>
      <vt:lpstr>Loans-III</vt:lpstr>
      <vt:lpstr>Interest Accrued-IV</vt:lpstr>
      <vt:lpstr>Claim for PBG-V</vt:lpstr>
      <vt:lpstr>Other Receivables-VI</vt:lpstr>
      <vt:lpstr>Margin Money-VII</vt:lpstr>
      <vt:lpstr>Tax Assets-VIII</vt:lpstr>
      <vt:lpstr>Deposits-IX</vt:lpstr>
      <vt:lpstr>Advances to Vendor-X</vt:lpstr>
      <vt:lpstr>Balance - Satutory Authority-XI</vt:lpstr>
      <vt:lpstr>Contract Assets-WIP-XII</vt:lpstr>
      <vt:lpstr>ONCA-VI</vt:lpstr>
      <vt:lpstr>Retention Money-XIII</vt:lpstr>
      <vt:lpstr>INVENTORY-VII</vt:lpstr>
      <vt:lpstr>Cash &amp; Cash Equivalents-XIV</vt:lpstr>
      <vt:lpstr>Award Summary-2023 </vt:lpstr>
      <vt:lpstr>SUMMARY-2018</vt:lpstr>
      <vt:lpstr>Award Summary 2018 </vt:lpstr>
      <vt:lpstr>OCFA-IX</vt:lpstr>
      <vt:lpstr>CTA-X</vt:lpstr>
      <vt:lpstr>OCA-XI</vt:lpstr>
      <vt:lpstr>Debenture-2023</vt:lpstr>
      <vt:lpstr>Preferred - 2023</vt:lpstr>
      <vt:lpstr>MSEDCL Assets</vt:lpstr>
      <vt:lpstr>SECL Assets</vt:lpstr>
      <vt:lpstr>WCL Assets</vt:lpstr>
      <vt:lpstr>Sheet4</vt:lpstr>
      <vt:lpstr>'SUMMARY-2023'!Print_Area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Agarwal</dc:creator>
  <cp:lastModifiedBy>welcome</cp:lastModifiedBy>
  <cp:lastPrinted>2020-09-30T11:24:21Z</cp:lastPrinted>
  <dcterms:created xsi:type="dcterms:W3CDTF">2017-12-18T06:17:30Z</dcterms:created>
  <dcterms:modified xsi:type="dcterms:W3CDTF">2024-03-15T06:56:52Z</dcterms:modified>
</cp:coreProperties>
</file>