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welcome\Desktop\IL&amp;FS\RK Working\Final files\"/>
    </mc:Choice>
  </mc:AlternateContent>
  <xr:revisionPtr revIDLastSave="0" documentId="13_ncr:1_{4BCCF8A7-D5D0-4200-8E7B-1893E31F2879}" xr6:coauthVersionLast="47" xr6:coauthVersionMax="47" xr10:uidLastSave="{00000000-0000-0000-0000-000000000000}"/>
  <bookViews>
    <workbookView xWindow="-108" yWindow="-108" windowWidth="23256" windowHeight="12576" tabRatio="948" firstSheet="1" activeTab="1" xr2:uid="{00000000-000D-0000-FFFF-FFFF00000000}"/>
  </bookViews>
  <sheets>
    <sheet name="General" sheetId="3" state="hidden" r:id="rId1"/>
    <sheet name="SUMMARY-2023" sheetId="12" r:id="rId2"/>
    <sheet name="NCI-I" sheetId="59" r:id="rId3"/>
    <sheet name="Provisions TR 2023" sheetId="75" state="hidden" r:id="rId4"/>
    <sheet name="Trade Receivable-II" sheetId="63" r:id="rId5"/>
    <sheet name="Provisions 2023" sheetId="76" state="hidden" r:id="rId6"/>
    <sheet name="Loans-III" sheetId="56" r:id="rId7"/>
    <sheet name="Interest Accrued-IV" sheetId="77" r:id="rId8"/>
    <sheet name="Claim for PBG-V" sheetId="84" r:id="rId9"/>
    <sheet name="Other Receivables-VI" sheetId="78" r:id="rId10"/>
    <sheet name="Margin Money-VII" sheetId="64" r:id="rId11"/>
    <sheet name="Tax Assets-VIII" sheetId="65" r:id="rId12"/>
    <sheet name="Deposits-IX" sheetId="79" r:id="rId13"/>
    <sheet name="Advances to Vendor-X" sheetId="80" r:id="rId14"/>
    <sheet name="Balance - Satutory Authority-XI" sheetId="81" r:id="rId15"/>
    <sheet name="Contract Assets-WIP-XII" sheetId="82" r:id="rId16"/>
    <sheet name="ONCA-VI" sheetId="58" state="hidden" r:id="rId17"/>
    <sheet name="Retention Money-XIII" sheetId="74" r:id="rId18"/>
    <sheet name="INVENTORY-VII" sheetId="67" state="hidden" r:id="rId19"/>
    <sheet name="Cash &amp; Cash Equivalents-XIV" sheetId="69" r:id="rId20"/>
    <sheet name="Award Summary-2023 " sheetId="87" r:id="rId21"/>
    <sheet name="SUMMARY-2018" sheetId="85" r:id="rId22"/>
    <sheet name="Award Summary 2018 " sheetId="86" r:id="rId23"/>
    <sheet name="OCFA-IX" sheetId="70" state="hidden" r:id="rId24"/>
    <sheet name="CTA-X" sheetId="71" state="hidden" r:id="rId25"/>
    <sheet name="OCA-XI" sheetId="66" state="hidden" r:id="rId26"/>
    <sheet name="Debenture-2023" sheetId="72" state="hidden" r:id="rId27"/>
    <sheet name="Preferred - 2023" sheetId="73" state="hidden" r:id="rId28"/>
    <sheet name="MSEDCL Assets" sheetId="33" state="hidden" r:id="rId29"/>
    <sheet name="SECL Assets" sheetId="34" state="hidden" r:id="rId30"/>
    <sheet name="WCL Assets" sheetId="35" state="hidden" r:id="rId31"/>
    <sheet name="Sheet4" sheetId="36" state="hidden" r:id="rId32"/>
  </sheets>
  <externalReferences>
    <externalReference r:id="rId33"/>
    <externalReference r:id="rId34"/>
    <externalReference r:id="rId35"/>
    <externalReference r:id="rId36"/>
    <externalReference r:id="rId37"/>
  </externalReferences>
  <definedNames>
    <definedName name="_xlnm._FilterDatabase" localSheetId="13" hidden="1">'Advances to Vendor-X'!$A$16:$F$105</definedName>
    <definedName name="_xlnm._FilterDatabase" localSheetId="3" hidden="1">'Provisions TR 2023'!$E$2:$G$166</definedName>
    <definedName name="_xlnm.Print_Area" localSheetId="21">'SUMMARY-2018'!#REF!</definedName>
    <definedName name="_xlnm.Print_Area" localSheetId="1">'SUMMARY-2023'!$B$2:$G$24</definedName>
  </definedNames>
  <calcPr calcId="191029"/>
</workbook>
</file>

<file path=xl/calcChain.xml><?xml version="1.0" encoding="utf-8"?>
<calcChain xmlns="http://schemas.openxmlformats.org/spreadsheetml/2006/main">
  <c r="C5" i="87" l="1"/>
  <c r="C4" i="87"/>
  <c r="C6" i="87" s="1"/>
  <c r="C8" i="87" s="1"/>
  <c r="C4" i="86"/>
  <c r="C5" i="86" s="1"/>
  <c r="F21" i="85" l="1"/>
  <c r="E21" i="85"/>
  <c r="D21" i="85"/>
  <c r="F20" i="85"/>
  <c r="E20" i="85"/>
  <c r="D20" i="85"/>
  <c r="F19" i="85"/>
  <c r="E19" i="85"/>
  <c r="D19" i="85"/>
  <c r="F18" i="85"/>
  <c r="E18" i="85"/>
  <c r="D18" i="85"/>
  <c r="F17" i="85"/>
  <c r="E17" i="85"/>
  <c r="D17" i="85"/>
  <c r="F16" i="85"/>
  <c r="E16" i="85"/>
  <c r="D16" i="85"/>
  <c r="F15" i="85"/>
  <c r="E15" i="85"/>
  <c r="D15" i="85"/>
  <c r="F14" i="85"/>
  <c r="E14" i="85"/>
  <c r="D14" i="85"/>
  <c r="F13" i="85"/>
  <c r="E13" i="85"/>
  <c r="D13" i="85"/>
  <c r="F12" i="85"/>
  <c r="F22" i="85" s="1"/>
  <c r="E12" i="85"/>
  <c r="D12" i="85"/>
  <c r="F11" i="85"/>
  <c r="E11" i="85"/>
  <c r="E22" i="85" s="1"/>
  <c r="D11" i="85"/>
  <c r="D22" i="85" l="1"/>
  <c r="H12" i="79"/>
  <c r="G12" i="79"/>
  <c r="H29" i="80"/>
  <c r="I18" i="80" l="1"/>
  <c r="I19" i="80"/>
  <c r="I20" i="80"/>
  <c r="I21" i="80"/>
  <c r="I22" i="80"/>
  <c r="I23" i="80"/>
  <c r="I24" i="80"/>
  <c r="I25" i="80"/>
  <c r="I26" i="80"/>
  <c r="I27" i="80"/>
  <c r="I28" i="80"/>
  <c r="I29" i="80"/>
  <c r="I30" i="80"/>
  <c r="I31" i="80"/>
  <c r="I32" i="80"/>
  <c r="I33" i="80"/>
  <c r="I34" i="80"/>
  <c r="I35" i="80"/>
  <c r="I36" i="80"/>
  <c r="I37" i="80"/>
  <c r="I38" i="80"/>
  <c r="I39" i="80"/>
  <c r="I40" i="80"/>
  <c r="I41" i="80"/>
  <c r="I42" i="80"/>
  <c r="I43" i="80"/>
  <c r="I44" i="80"/>
  <c r="I45" i="80"/>
  <c r="I46" i="80"/>
  <c r="I47" i="80"/>
  <c r="I48" i="80"/>
  <c r="I49" i="80"/>
  <c r="I50" i="80"/>
  <c r="I51" i="80"/>
  <c r="I52" i="80"/>
  <c r="I53" i="80"/>
  <c r="I54" i="80"/>
  <c r="I55" i="80"/>
  <c r="I56" i="80"/>
  <c r="I57" i="80"/>
  <c r="I58" i="80"/>
  <c r="I59" i="80"/>
  <c r="I60" i="80"/>
  <c r="I61" i="80"/>
  <c r="I62" i="80"/>
  <c r="I63" i="80"/>
  <c r="I64" i="80"/>
  <c r="I65" i="80"/>
  <c r="I66" i="80"/>
  <c r="I67" i="80"/>
  <c r="I68" i="80"/>
  <c r="I69" i="80"/>
  <c r="I70" i="80"/>
  <c r="I71" i="80"/>
  <c r="I72" i="80"/>
  <c r="I73" i="80"/>
  <c r="I74" i="80"/>
  <c r="I75" i="80"/>
  <c r="I76" i="80"/>
  <c r="I77" i="80"/>
  <c r="I78" i="80"/>
  <c r="I79" i="80"/>
  <c r="I80" i="80"/>
  <c r="I81" i="80"/>
  <c r="I82" i="80"/>
  <c r="I83" i="80"/>
  <c r="I84" i="80"/>
  <c r="I85" i="80"/>
  <c r="I86" i="80"/>
  <c r="I87" i="80"/>
  <c r="I88" i="80"/>
  <c r="I89" i="80"/>
  <c r="I90" i="80"/>
  <c r="I91" i="80"/>
  <c r="I92" i="80"/>
  <c r="I93" i="80"/>
  <c r="I94" i="80"/>
  <c r="I95" i="80"/>
  <c r="I96" i="80"/>
  <c r="I97" i="80"/>
  <c r="I98" i="80"/>
  <c r="I99" i="80"/>
  <c r="I100" i="80"/>
  <c r="I101" i="80"/>
  <c r="I102" i="80"/>
  <c r="I103" i="80"/>
  <c r="I104" i="80"/>
  <c r="I17" i="80"/>
  <c r="I105" i="80" s="1"/>
  <c r="F6" i="80" s="1"/>
  <c r="H18" i="80"/>
  <c r="H19" i="80"/>
  <c r="H20" i="80"/>
  <c r="H21" i="80"/>
  <c r="H22" i="80"/>
  <c r="H23" i="80"/>
  <c r="H24" i="80"/>
  <c r="H25" i="80"/>
  <c r="H26" i="80"/>
  <c r="H27" i="80"/>
  <c r="H28" i="80"/>
  <c r="H30" i="80"/>
  <c r="H31" i="80"/>
  <c r="H32" i="80"/>
  <c r="H33" i="80"/>
  <c r="H34" i="80"/>
  <c r="H35" i="80"/>
  <c r="H36" i="80"/>
  <c r="H37" i="80"/>
  <c r="H38" i="80"/>
  <c r="H39" i="80"/>
  <c r="H40" i="80"/>
  <c r="H41" i="80"/>
  <c r="H42" i="80"/>
  <c r="H43" i="80"/>
  <c r="H44" i="80"/>
  <c r="H45" i="80"/>
  <c r="H46" i="80"/>
  <c r="H47" i="80"/>
  <c r="H48" i="80"/>
  <c r="H49" i="80"/>
  <c r="H50" i="80"/>
  <c r="H51" i="80"/>
  <c r="H52" i="80"/>
  <c r="H53" i="80"/>
  <c r="H54" i="80"/>
  <c r="H55" i="80"/>
  <c r="H56" i="80"/>
  <c r="H57" i="80"/>
  <c r="H58" i="80"/>
  <c r="H59" i="80"/>
  <c r="H60" i="80"/>
  <c r="H61" i="80"/>
  <c r="H62" i="80"/>
  <c r="H63" i="80"/>
  <c r="H64" i="80"/>
  <c r="H65" i="80"/>
  <c r="H66" i="80"/>
  <c r="H67" i="80"/>
  <c r="H68" i="80"/>
  <c r="H69" i="80"/>
  <c r="H70" i="80"/>
  <c r="H71" i="80"/>
  <c r="H72" i="80"/>
  <c r="H73" i="80"/>
  <c r="H74" i="80"/>
  <c r="H75" i="80"/>
  <c r="H76" i="80"/>
  <c r="H77" i="80"/>
  <c r="H78" i="80"/>
  <c r="H79" i="80"/>
  <c r="H80" i="80"/>
  <c r="H81" i="80"/>
  <c r="H82" i="80"/>
  <c r="H83" i="80"/>
  <c r="H84" i="80"/>
  <c r="H85" i="80"/>
  <c r="H86" i="80"/>
  <c r="H87" i="80"/>
  <c r="H88" i="80"/>
  <c r="H89" i="80"/>
  <c r="H90" i="80"/>
  <c r="H91" i="80"/>
  <c r="H92" i="80"/>
  <c r="H93" i="80"/>
  <c r="H94" i="80"/>
  <c r="H95" i="80"/>
  <c r="H96" i="80"/>
  <c r="H97" i="80"/>
  <c r="H98" i="80"/>
  <c r="H99" i="80"/>
  <c r="H100" i="80"/>
  <c r="H101" i="80"/>
  <c r="H102" i="80"/>
  <c r="H103" i="80"/>
  <c r="H104" i="80"/>
  <c r="H17" i="80"/>
  <c r="H105" i="80" s="1"/>
  <c r="H106" i="80" l="1"/>
  <c r="E6" i="80" s="1"/>
  <c r="U265" i="63"/>
  <c r="P265" i="63"/>
  <c r="O265" i="63"/>
  <c r="Q264" i="63"/>
  <c r="Q263" i="63"/>
  <c r="Q262" i="63"/>
  <c r="Q261" i="63"/>
  <c r="Q260" i="63"/>
  <c r="Q259" i="63"/>
  <c r="Q258" i="63"/>
  <c r="Q257" i="63"/>
  <c r="Q256" i="63"/>
  <c r="Q255" i="63"/>
  <c r="Q254" i="63"/>
  <c r="Q253" i="63"/>
  <c r="Q252" i="63"/>
  <c r="Q251" i="63"/>
  <c r="Q250" i="63"/>
  <c r="Q249" i="63"/>
  <c r="Q248" i="63"/>
  <c r="Q247" i="63"/>
  <c r="Q246" i="63"/>
  <c r="Q245" i="63"/>
  <c r="Q244" i="63"/>
  <c r="Q243" i="63"/>
  <c r="Q242" i="63"/>
  <c r="Q241" i="63"/>
  <c r="Q240" i="63"/>
  <c r="Q239" i="63"/>
  <c r="Q238" i="63"/>
  <c r="Q237" i="63"/>
  <c r="Q236" i="63"/>
  <c r="Q235" i="63"/>
  <c r="Q234" i="63"/>
  <c r="Q233" i="63"/>
  <c r="Q232" i="63"/>
  <c r="Q231" i="63"/>
  <c r="Q230" i="63"/>
  <c r="Q229" i="63"/>
  <c r="Q228" i="63"/>
  <c r="Q227" i="63"/>
  <c r="Q226" i="63"/>
  <c r="Q225" i="63"/>
  <c r="Q224" i="63"/>
  <c r="Q223" i="63"/>
  <c r="Q222" i="63"/>
  <c r="Q221" i="63"/>
  <c r="Q220" i="63"/>
  <c r="Q219" i="63"/>
  <c r="Q218" i="63"/>
  <c r="Q217" i="63"/>
  <c r="Q216" i="63"/>
  <c r="Q215" i="63"/>
  <c r="Q214" i="63"/>
  <c r="Q213" i="63"/>
  <c r="Q212" i="63"/>
  <c r="Q211" i="63"/>
  <c r="Q210" i="63"/>
  <c r="Q209" i="63"/>
  <c r="Q208" i="63"/>
  <c r="Q207" i="63"/>
  <c r="Q206" i="63"/>
  <c r="Q205" i="63"/>
  <c r="Q204" i="63"/>
  <c r="Q203" i="63"/>
  <c r="Q202" i="63"/>
  <c r="Q201" i="63"/>
  <c r="Q200" i="63"/>
  <c r="Q199" i="63"/>
  <c r="Q198" i="63"/>
  <c r="Q197" i="63"/>
  <c r="Q196" i="63"/>
  <c r="Q195" i="63"/>
  <c r="Q194" i="63"/>
  <c r="Q193" i="63"/>
  <c r="Q192" i="63"/>
  <c r="Q191" i="63"/>
  <c r="Q190" i="63"/>
  <c r="Q189" i="63"/>
  <c r="Q188" i="63"/>
  <c r="Q187" i="63"/>
  <c r="Q186" i="63"/>
  <c r="Q185" i="63"/>
  <c r="Q184" i="63"/>
  <c r="Q183" i="63"/>
  <c r="Q182" i="63"/>
  <c r="Q181" i="63"/>
  <c r="Q180" i="63"/>
  <c r="Q179" i="63"/>
  <c r="Q178" i="63"/>
  <c r="Q177" i="63"/>
  <c r="Q176" i="63"/>
  <c r="V176" i="63" s="1"/>
  <c r="Q175" i="63"/>
  <c r="V175" i="63" s="1"/>
  <c r="Q174" i="63"/>
  <c r="V174" i="63" s="1"/>
  <c r="Q173" i="63"/>
  <c r="V173" i="63" s="1"/>
  <c r="Q172" i="63"/>
  <c r="S172" i="63" s="1"/>
  <c r="Q171" i="63"/>
  <c r="S171" i="63" s="1"/>
  <c r="Q170" i="63"/>
  <c r="S170" i="63" s="1"/>
  <c r="Q169" i="63"/>
  <c r="S169" i="63" s="1"/>
  <c r="S168" i="63"/>
  <c r="Q168" i="63"/>
  <c r="Q167" i="63"/>
  <c r="S167" i="63" s="1"/>
  <c r="Q166" i="63"/>
  <c r="Q165" i="63"/>
  <c r="S165" i="63" s="1"/>
  <c r="Q164" i="63"/>
  <c r="S164" i="63" s="1"/>
  <c r="Q163" i="63"/>
  <c r="S163" i="63" s="1"/>
  <c r="Q162" i="63"/>
  <c r="Q161" i="63"/>
  <c r="S161" i="63" s="1"/>
  <c r="Q160" i="63"/>
  <c r="Q159" i="63"/>
  <c r="Q158" i="63"/>
  <c r="V158" i="63" s="1"/>
  <c r="Q157" i="63"/>
  <c r="S157" i="63" s="1"/>
  <c r="Q156" i="63"/>
  <c r="Q155" i="63"/>
  <c r="Q154" i="63"/>
  <c r="S154" i="63" s="1"/>
  <c r="Q153" i="63"/>
  <c r="S153" i="63" s="1"/>
  <c r="Q152" i="63"/>
  <c r="Q151" i="63"/>
  <c r="Q150" i="63"/>
  <c r="Q149" i="63"/>
  <c r="V149" i="63" s="1"/>
  <c r="Q148" i="63"/>
  <c r="Q147" i="63"/>
  <c r="T147" i="63" s="1"/>
  <c r="Q146" i="63"/>
  <c r="Q145" i="63"/>
  <c r="Q144" i="63"/>
  <c r="Q143" i="63"/>
  <c r="Q142" i="63"/>
  <c r="T142" i="63" s="1"/>
  <c r="Q141" i="63"/>
  <c r="T141" i="63" s="1"/>
  <c r="Q140" i="63"/>
  <c r="Q139" i="63"/>
  <c r="Q138" i="63"/>
  <c r="Q137" i="63"/>
  <c r="Q136" i="63"/>
  <c r="Q135" i="63"/>
  <c r="Q134" i="63"/>
  <c r="Q133" i="63"/>
  <c r="S133" i="63" s="1"/>
  <c r="Q132" i="63"/>
  <c r="V132" i="63" s="1"/>
  <c r="V131" i="63"/>
  <c r="Q131" i="63"/>
  <c r="Q130" i="63"/>
  <c r="Q129" i="63"/>
  <c r="T129" i="63" s="1"/>
  <c r="Q128" i="63"/>
  <c r="Q127" i="63"/>
  <c r="Q126" i="63"/>
  <c r="Q125" i="63"/>
  <c r="Q124" i="63"/>
  <c r="Q123" i="63"/>
  <c r="Q122" i="63"/>
  <c r="Q121" i="63"/>
  <c r="Q120" i="63"/>
  <c r="Q119" i="63"/>
  <c r="Q118" i="63"/>
  <c r="Q117" i="63"/>
  <c r="Q116" i="63"/>
  <c r="Q115" i="63"/>
  <c r="Q114" i="63"/>
  <c r="Q113" i="63"/>
  <c r="Q112" i="63"/>
  <c r="Q111" i="63"/>
  <c r="T111" i="63" s="1"/>
  <c r="Q110" i="63"/>
  <c r="Q109" i="63"/>
  <c r="Q108" i="63"/>
  <c r="Q107" i="63"/>
  <c r="Q106" i="63"/>
  <c r="Q105" i="63"/>
  <c r="V105" i="63" s="1"/>
  <c r="Q104" i="63"/>
  <c r="V104" i="63" s="1"/>
  <c r="Q103" i="63"/>
  <c r="U100" i="63"/>
  <c r="P100" i="63"/>
  <c r="O100" i="63"/>
  <c r="S104" i="74"/>
  <c r="T104" i="74"/>
  <c r="U104" i="74"/>
  <c r="V104" i="74"/>
  <c r="R104" i="74"/>
  <c r="V25" i="74"/>
  <c r="U25" i="74"/>
  <c r="T25" i="74"/>
  <c r="S25" i="74"/>
  <c r="R25" i="74"/>
  <c r="B6" i="74"/>
  <c r="B5" i="82"/>
  <c r="B3" i="74"/>
  <c r="Q265" i="63" l="1"/>
  <c r="Q100" i="63"/>
  <c r="T100" i="63"/>
  <c r="T265" i="63"/>
  <c r="V265" i="63"/>
  <c r="S100" i="63"/>
  <c r="S265" i="63"/>
  <c r="V100" i="63"/>
  <c r="E6" i="84" l="1"/>
  <c r="F6" i="84" s="1"/>
  <c r="F7" i="84" s="1"/>
  <c r="F14" i="12" s="1"/>
  <c r="D7" i="84"/>
  <c r="D14" i="12" s="1"/>
  <c r="B5" i="84"/>
  <c r="B3" i="84"/>
  <c r="E7" i="84" l="1"/>
  <c r="E14" i="12" s="1"/>
  <c r="H7" i="78" l="1"/>
  <c r="F15" i="12" s="1"/>
  <c r="L16" i="78"/>
  <c r="N15" i="78"/>
  <c r="N16" i="78" s="1"/>
  <c r="M15" i="78"/>
  <c r="M16" i="78" s="1"/>
  <c r="N14" i="78"/>
  <c r="M12" i="78"/>
  <c r="N12" i="78" s="1"/>
  <c r="H6" i="77"/>
  <c r="H7" i="77" s="1"/>
  <c r="N18" i="78" l="1"/>
  <c r="Q19" i="74" l="1"/>
  <c r="R18" i="74"/>
  <c r="S18" i="74" s="1"/>
  <c r="S19" i="74" s="1"/>
  <c r="R15" i="74"/>
  <c r="S15" i="74" s="1"/>
  <c r="T15" i="74" s="1"/>
  <c r="G178" i="74"/>
  <c r="G177" i="74"/>
  <c r="G176" i="74"/>
  <c r="G175" i="74"/>
  <c r="G174" i="74"/>
  <c r="G173" i="74"/>
  <c r="G172" i="74"/>
  <c r="G171" i="74"/>
  <c r="G170" i="74"/>
  <c r="G169" i="74"/>
  <c r="G168" i="74"/>
  <c r="G167" i="74"/>
  <c r="G166" i="74"/>
  <c r="G165" i="74"/>
  <c r="G164" i="74"/>
  <c r="G163" i="74"/>
  <c r="G162" i="74"/>
  <c r="G161" i="74"/>
  <c r="G160" i="74"/>
  <c r="G159" i="74"/>
  <c r="G158" i="74"/>
  <c r="G157" i="74"/>
  <c r="G156" i="74"/>
  <c r="G155" i="74"/>
  <c r="G154" i="74"/>
  <c r="G153" i="74"/>
  <c r="G152" i="74"/>
  <c r="G151" i="74"/>
  <c r="G150" i="74"/>
  <c r="G149" i="74"/>
  <c r="G148" i="74"/>
  <c r="G147" i="74"/>
  <c r="G146" i="74"/>
  <c r="G145" i="74"/>
  <c r="G144" i="74"/>
  <c r="G143" i="74"/>
  <c r="G142" i="74"/>
  <c r="G141" i="74"/>
  <c r="G140" i="74"/>
  <c r="G139" i="74"/>
  <c r="G138" i="74"/>
  <c r="G137" i="74"/>
  <c r="G136" i="74"/>
  <c r="G135" i="74"/>
  <c r="G134" i="74"/>
  <c r="G133" i="74"/>
  <c r="G132" i="74"/>
  <c r="G131" i="74"/>
  <c r="G130" i="74"/>
  <c r="G129" i="74"/>
  <c r="G128" i="74"/>
  <c r="G127" i="74"/>
  <c r="G126" i="74"/>
  <c r="G125" i="74"/>
  <c r="G124" i="74"/>
  <c r="G123" i="74"/>
  <c r="G122" i="74"/>
  <c r="G121" i="74"/>
  <c r="G120" i="74"/>
  <c r="G119" i="74"/>
  <c r="G118" i="74"/>
  <c r="G117" i="74"/>
  <c r="G116" i="74"/>
  <c r="G115" i="74"/>
  <c r="G114" i="74"/>
  <c r="G113" i="74"/>
  <c r="G112" i="74"/>
  <c r="G111" i="74"/>
  <c r="G110" i="74"/>
  <c r="G109" i="74"/>
  <c r="G108" i="74"/>
  <c r="G107" i="74"/>
  <c r="G106" i="74"/>
  <c r="G105" i="74"/>
  <c r="G104" i="74"/>
  <c r="G103" i="74"/>
  <c r="G102" i="74"/>
  <c r="G101" i="74"/>
  <c r="G100" i="74"/>
  <c r="G99" i="74"/>
  <c r="G98" i="74"/>
  <c r="G97" i="74"/>
  <c r="G96" i="74"/>
  <c r="G95" i="74"/>
  <c r="G94" i="74"/>
  <c r="G93" i="74"/>
  <c r="G92" i="74"/>
  <c r="L92" i="74" s="1"/>
  <c r="G91" i="74"/>
  <c r="L91" i="74" s="1"/>
  <c r="G90" i="74"/>
  <c r="L90" i="74" s="1"/>
  <c r="G89" i="74"/>
  <c r="L89" i="74" s="1"/>
  <c r="G88" i="74"/>
  <c r="L88" i="74" s="1"/>
  <c r="G87" i="74"/>
  <c r="L87" i="74" s="1"/>
  <c r="G86" i="74"/>
  <c r="I86" i="74" s="1"/>
  <c r="G85" i="74"/>
  <c r="I85" i="74" s="1"/>
  <c r="G84" i="74"/>
  <c r="I84" i="74" s="1"/>
  <c r="H83" i="74"/>
  <c r="H14" i="74" s="1"/>
  <c r="G83" i="74"/>
  <c r="I83" i="74" s="1"/>
  <c r="G82" i="74"/>
  <c r="I82" i="74" s="1"/>
  <c r="G81" i="74"/>
  <c r="I81" i="74" s="1"/>
  <c r="G80" i="74"/>
  <c r="I80" i="74" s="1"/>
  <c r="G79" i="74"/>
  <c r="I79" i="74" s="1"/>
  <c r="G78" i="74"/>
  <c r="G77" i="74"/>
  <c r="I77" i="74" s="1"/>
  <c r="G76" i="74"/>
  <c r="I76" i="74" s="1"/>
  <c r="G75" i="74"/>
  <c r="I75" i="74" s="1"/>
  <c r="G74" i="74"/>
  <c r="G73" i="74"/>
  <c r="G72" i="74"/>
  <c r="G71" i="74"/>
  <c r="I71" i="74" s="1"/>
  <c r="G70" i="74"/>
  <c r="G69" i="74"/>
  <c r="I69" i="74" s="1"/>
  <c r="G68" i="74"/>
  <c r="I68" i="74" s="1"/>
  <c r="G67" i="74"/>
  <c r="I67" i="74" s="1"/>
  <c r="G66" i="74"/>
  <c r="I66" i="74" s="1"/>
  <c r="G65" i="74"/>
  <c r="G64" i="74"/>
  <c r="G63" i="74"/>
  <c r="L63" i="74" s="1"/>
  <c r="G62" i="74"/>
  <c r="G61" i="74"/>
  <c r="L61" i="74" s="1"/>
  <c r="G60" i="74"/>
  <c r="L60" i="74" s="1"/>
  <c r="G59" i="74"/>
  <c r="G58" i="74"/>
  <c r="L58" i="74" s="1"/>
  <c r="G57" i="74"/>
  <c r="I57" i="74" s="1"/>
  <c r="G56" i="74"/>
  <c r="K56" i="74" s="1"/>
  <c r="K14" i="74" s="1"/>
  <c r="S17" i="74" s="1"/>
  <c r="G55" i="74"/>
  <c r="G54" i="74"/>
  <c r="G53" i="74"/>
  <c r="G52" i="74"/>
  <c r="G51" i="74"/>
  <c r="G50" i="74"/>
  <c r="G49" i="74"/>
  <c r="G48" i="74"/>
  <c r="G47" i="74"/>
  <c r="G46" i="74"/>
  <c r="G45" i="74"/>
  <c r="L45" i="74" s="1"/>
  <c r="G44" i="74"/>
  <c r="G43" i="74"/>
  <c r="L43" i="74" s="1"/>
  <c r="G42" i="74"/>
  <c r="L42" i="74" s="1"/>
  <c r="G41" i="74"/>
  <c r="L41" i="74" s="1"/>
  <c r="G40" i="74"/>
  <c r="L40" i="74" s="1"/>
  <c r="G39" i="74"/>
  <c r="L39" i="74" s="1"/>
  <c r="G38" i="74"/>
  <c r="L38" i="74" s="1"/>
  <c r="G37" i="74"/>
  <c r="L37" i="74" s="1"/>
  <c r="G36" i="74"/>
  <c r="L36" i="74" s="1"/>
  <c r="G35" i="74"/>
  <c r="L35" i="74" s="1"/>
  <c r="G34" i="74"/>
  <c r="L34" i="74" s="1"/>
  <c r="G33" i="74"/>
  <c r="L33" i="74" s="1"/>
  <c r="G32" i="74"/>
  <c r="L32" i="74" s="1"/>
  <c r="G31" i="74"/>
  <c r="L31" i="74" s="1"/>
  <c r="G30" i="74"/>
  <c r="L30" i="74" s="1"/>
  <c r="G29" i="74"/>
  <c r="L29" i="74" s="1"/>
  <c r="G28" i="74"/>
  <c r="L28" i="74" s="1"/>
  <c r="G27" i="74"/>
  <c r="L27" i="74" s="1"/>
  <c r="G26" i="74"/>
  <c r="L26" i="74" s="1"/>
  <c r="G25" i="74"/>
  <c r="J25" i="74" s="1"/>
  <c r="G24" i="74"/>
  <c r="J24" i="74" s="1"/>
  <c r="G23" i="74"/>
  <c r="I23" i="74" s="1"/>
  <c r="G22" i="74"/>
  <c r="J22" i="74" s="1"/>
  <c r="G21" i="74"/>
  <c r="J21" i="74" s="1"/>
  <c r="G20" i="74"/>
  <c r="G19" i="74"/>
  <c r="L19" i="74" s="1"/>
  <c r="G18" i="74"/>
  <c r="G17" i="74"/>
  <c r="F14" i="74"/>
  <c r="E14" i="74"/>
  <c r="G7" i="74" l="1"/>
  <c r="G8" i="74" s="1"/>
  <c r="G14" i="74"/>
  <c r="L14" i="74"/>
  <c r="R19" i="74"/>
  <c r="T18" i="74"/>
  <c r="S21" i="74"/>
  <c r="I14" i="74"/>
  <c r="J14" i="74"/>
  <c r="R17" i="74" l="1"/>
  <c r="R21" i="74" s="1"/>
  <c r="F7" i="74"/>
  <c r="T17" i="74"/>
  <c r="H7" i="74"/>
  <c r="H8" i="74" s="1"/>
  <c r="Q17" i="74"/>
  <c r="Q23" i="74" s="1"/>
  <c r="E7" i="74"/>
  <c r="T21" i="74"/>
  <c r="Q21" i="74" l="1"/>
  <c r="Q22" i="74" s="1"/>
  <c r="I7" i="74" s="1"/>
  <c r="I8" i="74" s="1"/>
  <c r="E22" i="12" s="1"/>
  <c r="J7" i="74"/>
  <c r="J8" i="74" s="1"/>
  <c r="F22" i="12" s="1"/>
  <c r="O19" i="82"/>
  <c r="N19" i="82"/>
  <c r="O18" i="82"/>
  <c r="P18" i="82" s="1"/>
  <c r="P19" i="82" s="1"/>
  <c r="O15" i="82"/>
  <c r="P15" i="82" s="1"/>
  <c r="Q15" i="82" s="1"/>
  <c r="E43" i="82"/>
  <c r="I42" i="82"/>
  <c r="I41" i="82"/>
  <c r="I40" i="82"/>
  <c r="I39" i="82"/>
  <c r="I38" i="82"/>
  <c r="I37" i="82"/>
  <c r="I36" i="82"/>
  <c r="I35" i="82"/>
  <c r="I34" i="82"/>
  <c r="D33" i="82"/>
  <c r="I33" i="82" s="1"/>
  <c r="F32" i="82"/>
  <c r="F31" i="82"/>
  <c r="F30" i="82"/>
  <c r="E29" i="82"/>
  <c r="E28" i="82"/>
  <c r="I27" i="82"/>
  <c r="I26" i="82"/>
  <c r="E25" i="82"/>
  <c r="I24" i="82"/>
  <c r="I23" i="82"/>
  <c r="I22" i="82"/>
  <c r="I21" i="82"/>
  <c r="I20" i="82"/>
  <c r="I19" i="82"/>
  <c r="H15" i="82"/>
  <c r="G15" i="82"/>
  <c r="G6" i="82" s="1"/>
  <c r="G7" i="82" s="1"/>
  <c r="D6" i="82"/>
  <c r="D7" i="82"/>
  <c r="B3" i="82"/>
  <c r="I15" i="82" l="1"/>
  <c r="H6" i="82" s="1"/>
  <c r="H7" i="82" s="1"/>
  <c r="E15" i="82"/>
  <c r="E6" i="82" s="1"/>
  <c r="F15" i="82"/>
  <c r="O17" i="82" s="1"/>
  <c r="O21" i="82" s="1"/>
  <c r="F6" i="82"/>
  <c r="N17" i="82"/>
  <c r="D15" i="82"/>
  <c r="P17" i="82"/>
  <c r="P21" i="82" s="1"/>
  <c r="Q17" i="82"/>
  <c r="N16" i="82"/>
  <c r="D21" i="12"/>
  <c r="Q18" i="82"/>
  <c r="N23" i="82" l="1"/>
  <c r="J6" i="82" s="1"/>
  <c r="N21" i="82"/>
  <c r="Q21" i="82"/>
  <c r="N22" i="82" l="1"/>
  <c r="I6" i="82" s="1"/>
  <c r="J7" i="82" l="1"/>
  <c r="F21" i="12" s="1"/>
  <c r="I7" i="82"/>
  <c r="E21" i="12" s="1"/>
  <c r="E7" i="82"/>
  <c r="F7" i="82"/>
  <c r="C17" i="81" l="1"/>
  <c r="E6" i="81" s="1"/>
  <c r="C18" i="81"/>
  <c r="D6" i="81"/>
  <c r="D7" i="81" s="1"/>
  <c r="D20" i="12" s="1"/>
  <c r="E7" i="81"/>
  <c r="E20" i="12" s="1"/>
  <c r="B5" i="81"/>
  <c r="B3" i="81"/>
  <c r="C104" i="80"/>
  <c r="C105" i="80" s="1"/>
  <c r="F7" i="80"/>
  <c r="F19" i="12" s="1"/>
  <c r="D6" i="80"/>
  <c r="D7" i="80" s="1"/>
  <c r="D19" i="12" s="1"/>
  <c r="B5" i="80"/>
  <c r="B3" i="80"/>
  <c r="F7" i="81" l="1"/>
  <c r="F20" i="12" s="1"/>
  <c r="E7" i="80"/>
  <c r="E19" i="12" s="1"/>
  <c r="L21" i="79" l="1"/>
  <c r="M20" i="79"/>
  <c r="M21" i="79" s="1"/>
  <c r="M17" i="79"/>
  <c r="N17" i="79" s="1"/>
  <c r="E58" i="79"/>
  <c r="F57" i="79"/>
  <c r="F56" i="79"/>
  <c r="F55" i="79"/>
  <c r="G54" i="79"/>
  <c r="E53" i="79"/>
  <c r="E52" i="79"/>
  <c r="F51" i="79"/>
  <c r="F50" i="79"/>
  <c r="F49" i="79"/>
  <c r="E48" i="79"/>
  <c r="F47" i="79"/>
  <c r="G46" i="79"/>
  <c r="E45" i="79"/>
  <c r="F44" i="79"/>
  <c r="G43" i="79"/>
  <c r="F42" i="79"/>
  <c r="F41" i="79"/>
  <c r="F40" i="79"/>
  <c r="F39" i="79"/>
  <c r="E38" i="79"/>
  <c r="E37" i="79"/>
  <c r="F36" i="79"/>
  <c r="F35" i="79"/>
  <c r="F34" i="79"/>
  <c r="E33" i="79"/>
  <c r="E32" i="79"/>
  <c r="E31" i="79"/>
  <c r="F30" i="79"/>
  <c r="F29" i="79"/>
  <c r="F28" i="79"/>
  <c r="E27" i="79"/>
  <c r="E26" i="79"/>
  <c r="F25" i="79"/>
  <c r="E24" i="79"/>
  <c r="E22" i="79"/>
  <c r="F21" i="79"/>
  <c r="F16" i="79" s="1"/>
  <c r="F6" i="79" s="1"/>
  <c r="F20" i="79"/>
  <c r="E19" i="79"/>
  <c r="E18" i="79"/>
  <c r="G16" i="79"/>
  <c r="G6" i="79" s="1"/>
  <c r="G7" i="79" s="1"/>
  <c r="D16" i="79"/>
  <c r="N19" i="79" l="1"/>
  <c r="E16" i="79"/>
  <c r="M19" i="79"/>
  <c r="M23" i="79" s="1"/>
  <c r="N20" i="79"/>
  <c r="D6" i="79"/>
  <c r="D7" i="79"/>
  <c r="B5" i="79"/>
  <c r="B3" i="79"/>
  <c r="D24" i="65"/>
  <c r="D27" i="65" s="1"/>
  <c r="D29" i="65" s="1"/>
  <c r="E22" i="65"/>
  <c r="E21" i="65"/>
  <c r="E20" i="65"/>
  <c r="E19" i="65"/>
  <c r="E18" i="65"/>
  <c r="E17" i="65"/>
  <c r="E16" i="65"/>
  <c r="E15" i="65"/>
  <c r="D6" i="65"/>
  <c r="E27" i="65" l="1"/>
  <c r="E6" i="65" s="1"/>
  <c r="E6" i="79"/>
  <c r="L19" i="79"/>
  <c r="L18" i="79"/>
  <c r="D18" i="12"/>
  <c r="N21" i="79"/>
  <c r="N23" i="79" s="1"/>
  <c r="F7" i="79"/>
  <c r="E7" i="79"/>
  <c r="H18" i="78"/>
  <c r="F18" i="78"/>
  <c r="D18" i="78"/>
  <c r="G17" i="78"/>
  <c r="G16" i="78"/>
  <c r="D16" i="78"/>
  <c r="G15" i="78"/>
  <c r="E14" i="78"/>
  <c r="G14" i="78" s="1"/>
  <c r="D6" i="78"/>
  <c r="L25" i="79" l="1"/>
  <c r="I6" i="79" s="1"/>
  <c r="L14" i="78"/>
  <c r="L18" i="78" s="1"/>
  <c r="E6" i="78"/>
  <c r="E7" i="78" s="1"/>
  <c r="E13" i="78"/>
  <c r="E18" i="78" s="1"/>
  <c r="L13" i="78" s="1"/>
  <c r="D7" i="78"/>
  <c r="D15" i="12" s="1"/>
  <c r="G13" i="78" l="1"/>
  <c r="G18" i="78" s="1"/>
  <c r="H24" i="77"/>
  <c r="C16" i="77"/>
  <c r="E16" i="77" s="1"/>
  <c r="E19" i="77" s="1"/>
  <c r="G6" i="77" s="1"/>
  <c r="C17" i="77"/>
  <c r="D17" i="77" s="1"/>
  <c r="D19" i="77" s="1"/>
  <c r="E6" i="77"/>
  <c r="I23" i="77"/>
  <c r="J23" i="77" s="1"/>
  <c r="I20" i="77"/>
  <c r="J20" i="77" s="1"/>
  <c r="G18" i="77"/>
  <c r="G15" i="77"/>
  <c r="G19" i="77" s="1"/>
  <c r="I6" i="77" s="1"/>
  <c r="I7" i="77" s="1"/>
  <c r="J22" i="77" l="1"/>
  <c r="J26" i="77" s="1"/>
  <c r="F6" i="77"/>
  <c r="H22" i="77"/>
  <c r="H28" i="77" s="1"/>
  <c r="I24" i="77"/>
  <c r="I26" i="77" s="1"/>
  <c r="I22" i="77"/>
  <c r="M14" i="78"/>
  <c r="M18" i="78" s="1"/>
  <c r="L19" i="78" s="1"/>
  <c r="G6" i="78" s="1"/>
  <c r="G7" i="78" s="1"/>
  <c r="E15" i="12" s="1"/>
  <c r="F6" i="78"/>
  <c r="F7" i="78" s="1"/>
  <c r="C19" i="77"/>
  <c r="H26" i="77" l="1"/>
  <c r="K6" i="77"/>
  <c r="H27" i="77"/>
  <c r="J6" i="77" s="1"/>
  <c r="G7" i="77"/>
  <c r="F7" i="77"/>
  <c r="E7" i="77"/>
  <c r="C5" i="77"/>
  <c r="C3" i="77"/>
  <c r="H21" i="77" l="1"/>
  <c r="D13" i="12"/>
  <c r="J7" i="77"/>
  <c r="E13" i="12" s="1"/>
  <c r="K7" i="77"/>
  <c r="F13" i="12" s="1"/>
  <c r="C21" i="77"/>
  <c r="E7" i="76"/>
  <c r="D7" i="76" l="1"/>
  <c r="I6" i="56" l="1"/>
  <c r="J6" i="56" s="1"/>
  <c r="F6" i="76"/>
  <c r="F10" i="76" s="1"/>
  <c r="E6" i="76"/>
  <c r="D6" i="76"/>
  <c r="D10" i="76" s="1"/>
  <c r="B5" i="76"/>
  <c r="B3" i="76"/>
  <c r="E10" i="76" l="1"/>
  <c r="E2" i="75" l="1"/>
  <c r="F2" i="75"/>
  <c r="M4" i="75"/>
  <c r="G5" i="75"/>
  <c r="H5" i="75"/>
  <c r="G6" i="75"/>
  <c r="G7" i="75"/>
  <c r="G8" i="75"/>
  <c r="G9" i="75"/>
  <c r="G10" i="75"/>
  <c r="G11" i="75"/>
  <c r="G12" i="75"/>
  <c r="G13" i="75"/>
  <c r="G14" i="75"/>
  <c r="G15" i="75"/>
  <c r="G16" i="75"/>
  <c r="G17" i="75"/>
  <c r="G18" i="75"/>
  <c r="G19" i="75"/>
  <c r="G20" i="75"/>
  <c r="G21" i="75"/>
  <c r="G22" i="75"/>
  <c r="G23" i="75"/>
  <c r="G24" i="75"/>
  <c r="G25" i="75"/>
  <c r="G26" i="75"/>
  <c r="G27" i="75"/>
  <c r="G28" i="75"/>
  <c r="G29" i="75"/>
  <c r="G30" i="75"/>
  <c r="G31" i="75"/>
  <c r="H31" i="75"/>
  <c r="G32" i="75"/>
  <c r="G33" i="75"/>
  <c r="G34" i="75"/>
  <c r="G35" i="75"/>
  <c r="G36" i="75"/>
  <c r="H36" i="75"/>
  <c r="G37" i="75"/>
  <c r="H37" i="75"/>
  <c r="G38" i="75"/>
  <c r="G39" i="75"/>
  <c r="G40" i="75"/>
  <c r="G41" i="75"/>
  <c r="G42" i="75"/>
  <c r="G43" i="75"/>
  <c r="H43" i="75"/>
  <c r="G44" i="75"/>
  <c r="G45" i="75"/>
  <c r="H45" i="75"/>
  <c r="G46" i="75"/>
  <c r="G47" i="75"/>
  <c r="H47" i="75"/>
  <c r="G48" i="75"/>
  <c r="G49" i="75"/>
  <c r="H49" i="75"/>
  <c r="G50" i="75"/>
  <c r="G51" i="75"/>
  <c r="G52" i="75"/>
  <c r="G53" i="75"/>
  <c r="G54" i="75"/>
  <c r="H54" i="75"/>
  <c r="G55" i="75"/>
  <c r="G56" i="75"/>
  <c r="G57" i="75"/>
  <c r="G58" i="75"/>
  <c r="G59" i="75"/>
  <c r="G60" i="75"/>
  <c r="G61" i="75"/>
  <c r="G62" i="75"/>
  <c r="G63" i="75"/>
  <c r="H63" i="75"/>
  <c r="G64" i="75"/>
  <c r="G65" i="75"/>
  <c r="G66" i="75"/>
  <c r="G67" i="75"/>
  <c r="G68" i="75"/>
  <c r="H68" i="75"/>
  <c r="G69" i="75"/>
  <c r="G70" i="75"/>
  <c r="G71" i="75"/>
  <c r="G72" i="75"/>
  <c r="G73" i="75"/>
  <c r="G74" i="75"/>
  <c r="G75" i="75"/>
  <c r="G76" i="75"/>
  <c r="H76" i="75"/>
  <c r="G77" i="75"/>
  <c r="G78" i="75"/>
  <c r="G79" i="75"/>
  <c r="G80" i="75"/>
  <c r="G81" i="75"/>
  <c r="G82" i="75"/>
  <c r="G83" i="75"/>
  <c r="G84" i="75"/>
  <c r="G85" i="75"/>
  <c r="H85" i="75"/>
  <c r="G86" i="75"/>
  <c r="H86" i="75"/>
  <c r="G87" i="75"/>
  <c r="G88" i="75"/>
  <c r="G89" i="75"/>
  <c r="G90" i="75"/>
  <c r="G91" i="75"/>
  <c r="G92" i="75"/>
  <c r="G93" i="75"/>
  <c r="G94" i="75"/>
  <c r="G95" i="75"/>
  <c r="G96" i="75"/>
  <c r="G97" i="75"/>
  <c r="G98" i="75"/>
  <c r="G99" i="75"/>
  <c r="G100" i="75"/>
  <c r="G101" i="75"/>
  <c r="G102" i="75"/>
  <c r="G103" i="75"/>
  <c r="G104" i="75"/>
  <c r="G105" i="75"/>
  <c r="G106" i="75"/>
  <c r="G107" i="75"/>
  <c r="G108" i="75"/>
  <c r="G109" i="75"/>
  <c r="G110" i="75"/>
  <c r="G111" i="75"/>
  <c r="G112" i="75"/>
  <c r="G113" i="75"/>
  <c r="G114" i="75"/>
  <c r="G115" i="75"/>
  <c r="G116" i="75"/>
  <c r="G117" i="75"/>
  <c r="G118" i="75"/>
  <c r="G119" i="75"/>
  <c r="G120" i="75"/>
  <c r="G121" i="75"/>
  <c r="G122" i="75"/>
  <c r="G123" i="75"/>
  <c r="G124" i="75"/>
  <c r="G125" i="75"/>
  <c r="G126" i="75"/>
  <c r="G127" i="75"/>
  <c r="G128" i="75"/>
  <c r="G129" i="75"/>
  <c r="G130" i="75"/>
  <c r="G131" i="75"/>
  <c r="G132" i="75"/>
  <c r="G133" i="75"/>
  <c r="G134" i="75"/>
  <c r="G135" i="75"/>
  <c r="G136" i="75"/>
  <c r="G137" i="75"/>
  <c r="G138" i="75"/>
  <c r="G139" i="75"/>
  <c r="G140" i="75"/>
  <c r="G141" i="75"/>
  <c r="G142" i="75"/>
  <c r="G143" i="75"/>
  <c r="G144" i="75"/>
  <c r="G145" i="75"/>
  <c r="H145" i="75"/>
  <c r="G146" i="75"/>
  <c r="H146" i="75"/>
  <c r="G147" i="75"/>
  <c r="G148" i="75"/>
  <c r="H148" i="75"/>
  <c r="G149" i="75"/>
  <c r="G150" i="75"/>
  <c r="G151" i="75"/>
  <c r="H151" i="75"/>
  <c r="G152" i="75"/>
  <c r="G153" i="75"/>
  <c r="G154" i="75"/>
  <c r="G155" i="75"/>
  <c r="G156" i="75"/>
  <c r="G157" i="75"/>
  <c r="G158" i="75"/>
  <c r="G159" i="75"/>
  <c r="G160" i="75"/>
  <c r="G161" i="75"/>
  <c r="G162" i="75"/>
  <c r="G163" i="75"/>
  <c r="G164" i="75"/>
  <c r="G165" i="75"/>
  <c r="G166" i="75"/>
  <c r="G2" i="75" l="1"/>
  <c r="H2" i="75"/>
  <c r="I2" i="75" s="1"/>
  <c r="M31" i="75"/>
  <c r="P25" i="63"/>
  <c r="Q24" i="63"/>
  <c r="Q25" i="63" s="1"/>
  <c r="Q21" i="63"/>
  <c r="R21" i="63" s="1"/>
  <c r="S21" i="63" s="1"/>
  <c r="R24" i="63" l="1"/>
  <c r="R25" i="63" s="1"/>
  <c r="S24" i="63" l="1"/>
  <c r="E186" i="63"/>
  <c r="J186" i="63"/>
  <c r="D186" i="63"/>
  <c r="D21" i="63"/>
  <c r="F185" i="63"/>
  <c r="F184" i="63"/>
  <c r="F183" i="63"/>
  <c r="F182" i="63"/>
  <c r="F181" i="63"/>
  <c r="F180" i="63"/>
  <c r="F179" i="63"/>
  <c r="F178" i="63"/>
  <c r="F177" i="63"/>
  <c r="F176" i="63"/>
  <c r="F175" i="63"/>
  <c r="F174" i="63"/>
  <c r="F173" i="63"/>
  <c r="F172" i="63"/>
  <c r="F171" i="63"/>
  <c r="F170" i="63"/>
  <c r="F169" i="63"/>
  <c r="F168" i="63"/>
  <c r="F167" i="63"/>
  <c r="F166" i="63"/>
  <c r="F165" i="63"/>
  <c r="F164" i="63"/>
  <c r="F163" i="63"/>
  <c r="F162" i="63"/>
  <c r="F161" i="63"/>
  <c r="F160" i="63"/>
  <c r="F159" i="63"/>
  <c r="F158" i="63"/>
  <c r="F157" i="63"/>
  <c r="F156" i="63"/>
  <c r="F155" i="63"/>
  <c r="F154" i="63"/>
  <c r="F153" i="63"/>
  <c r="F152" i="63"/>
  <c r="F151" i="63"/>
  <c r="F150" i="63"/>
  <c r="F149" i="63"/>
  <c r="F148" i="63"/>
  <c r="F147" i="63"/>
  <c r="F146" i="63"/>
  <c r="F145" i="63"/>
  <c r="F144" i="63"/>
  <c r="F143" i="63"/>
  <c r="F142" i="63"/>
  <c r="F141" i="63"/>
  <c r="F140" i="63"/>
  <c r="F139" i="63"/>
  <c r="F138" i="63"/>
  <c r="F137" i="63"/>
  <c r="F136" i="63"/>
  <c r="F135" i="63"/>
  <c r="F134" i="63"/>
  <c r="F133" i="63"/>
  <c r="F132" i="63"/>
  <c r="F131" i="63"/>
  <c r="F130" i="63"/>
  <c r="F129" i="63"/>
  <c r="F128" i="63"/>
  <c r="F127" i="63"/>
  <c r="F126" i="63"/>
  <c r="F125" i="63"/>
  <c r="F124" i="63"/>
  <c r="F123" i="63"/>
  <c r="F122" i="63"/>
  <c r="F121" i="63"/>
  <c r="F120" i="63"/>
  <c r="F119" i="63"/>
  <c r="F118" i="63"/>
  <c r="F117" i="63"/>
  <c r="F116" i="63"/>
  <c r="F115" i="63"/>
  <c r="F114" i="63"/>
  <c r="F113" i="63"/>
  <c r="F112" i="63"/>
  <c r="F111" i="63"/>
  <c r="F110" i="63"/>
  <c r="F109" i="63"/>
  <c r="F108" i="63"/>
  <c r="F107" i="63"/>
  <c r="F106" i="63"/>
  <c r="F105" i="63"/>
  <c r="F104" i="63"/>
  <c r="F103" i="63"/>
  <c r="F102" i="63"/>
  <c r="F101" i="63"/>
  <c r="F100" i="63"/>
  <c r="F99" i="63"/>
  <c r="F98" i="63"/>
  <c r="F97" i="63"/>
  <c r="K97" i="63" s="1"/>
  <c r="F96" i="63"/>
  <c r="K96" i="63" s="1"/>
  <c r="F95" i="63"/>
  <c r="K95" i="63" s="1"/>
  <c r="F94" i="63"/>
  <c r="K94" i="63" s="1"/>
  <c r="F93" i="63"/>
  <c r="H93" i="63" s="1"/>
  <c r="F92" i="63"/>
  <c r="H92" i="63" s="1"/>
  <c r="F91" i="63"/>
  <c r="H91" i="63" s="1"/>
  <c r="F90" i="63"/>
  <c r="H90" i="63" s="1"/>
  <c r="F89" i="63"/>
  <c r="H89" i="63" s="1"/>
  <c r="F88" i="63"/>
  <c r="H88" i="63" s="1"/>
  <c r="F87" i="63"/>
  <c r="F86" i="63"/>
  <c r="H86" i="63" s="1"/>
  <c r="F85" i="63"/>
  <c r="H85" i="63" s="1"/>
  <c r="F84" i="63"/>
  <c r="H84" i="63" s="1"/>
  <c r="F83" i="63"/>
  <c r="F82" i="63"/>
  <c r="H82" i="63" s="1"/>
  <c r="F81" i="63"/>
  <c r="F80" i="63"/>
  <c r="F79" i="63"/>
  <c r="K79" i="63" s="1"/>
  <c r="F78" i="63"/>
  <c r="H78" i="63" s="1"/>
  <c r="F77" i="63"/>
  <c r="F76" i="63"/>
  <c r="F75" i="63"/>
  <c r="H75" i="63" s="1"/>
  <c r="F74" i="63"/>
  <c r="H74" i="63" s="1"/>
  <c r="F73" i="63"/>
  <c r="F72" i="63"/>
  <c r="F71" i="63"/>
  <c r="F70" i="63"/>
  <c r="K70" i="63" s="1"/>
  <c r="F69" i="63"/>
  <c r="F68" i="63"/>
  <c r="I68" i="63" s="1"/>
  <c r="F67" i="63"/>
  <c r="F66" i="63"/>
  <c r="F65" i="63"/>
  <c r="F64" i="63"/>
  <c r="F63" i="63"/>
  <c r="I63" i="63" s="1"/>
  <c r="F62" i="63"/>
  <c r="I62" i="63" s="1"/>
  <c r="F61" i="63"/>
  <c r="F60" i="63"/>
  <c r="F59" i="63"/>
  <c r="F58" i="63"/>
  <c r="F57" i="63"/>
  <c r="F56" i="63"/>
  <c r="F55" i="63"/>
  <c r="F54" i="63"/>
  <c r="H54" i="63" s="1"/>
  <c r="F53" i="63"/>
  <c r="K53" i="63" s="1"/>
  <c r="F52" i="63"/>
  <c r="K52" i="63" s="1"/>
  <c r="F51" i="63"/>
  <c r="F50" i="63"/>
  <c r="I50" i="63" s="1"/>
  <c r="F49" i="63"/>
  <c r="F48" i="63"/>
  <c r="F47" i="63"/>
  <c r="F46" i="63"/>
  <c r="F45" i="63"/>
  <c r="F44" i="63"/>
  <c r="F43" i="63"/>
  <c r="F42" i="63"/>
  <c r="F41" i="63"/>
  <c r="F40" i="63"/>
  <c r="F39" i="63"/>
  <c r="F38" i="63"/>
  <c r="F37" i="63"/>
  <c r="F36" i="63"/>
  <c r="F35" i="63"/>
  <c r="F34" i="63"/>
  <c r="F33" i="63"/>
  <c r="F32" i="63"/>
  <c r="I32" i="63" s="1"/>
  <c r="F31" i="63"/>
  <c r="F30" i="63"/>
  <c r="F29" i="63"/>
  <c r="F28" i="63"/>
  <c r="F27" i="63"/>
  <c r="F26" i="63"/>
  <c r="K26" i="63" s="1"/>
  <c r="F25" i="63"/>
  <c r="K25" i="63" s="1"/>
  <c r="F24" i="63"/>
  <c r="J21" i="63"/>
  <c r="G7" i="63" s="1"/>
  <c r="G8" i="63" s="1"/>
  <c r="E21" i="63"/>
  <c r="K186" i="63" l="1"/>
  <c r="S23" i="63" s="1"/>
  <c r="S27" i="63" s="1"/>
  <c r="H186" i="63"/>
  <c r="R23" i="63"/>
  <c r="R27" i="63" s="1"/>
  <c r="I186" i="63"/>
  <c r="F186" i="63"/>
  <c r="P22" i="63" s="1"/>
  <c r="F21" i="63"/>
  <c r="I21" i="63"/>
  <c r="H21" i="63"/>
  <c r="K21" i="63"/>
  <c r="H7" i="63" l="1"/>
  <c r="P23" i="63"/>
  <c r="E7" i="63"/>
  <c r="Q23" i="63"/>
  <c r="Q27" i="63" s="1"/>
  <c r="F7" i="63"/>
  <c r="P8" i="59"/>
  <c r="E8" i="69" s="1"/>
  <c r="F8" i="69" s="1"/>
  <c r="P12" i="59"/>
  <c r="H106" i="58"/>
  <c r="H107" i="58"/>
  <c r="H15" i="66"/>
  <c r="H16" i="66"/>
  <c r="E150" i="58"/>
  <c r="E60" i="66"/>
  <c r="P31" i="63" l="1"/>
  <c r="P27" i="63"/>
  <c r="P28" i="63" s="1"/>
  <c r="J7" i="63"/>
  <c r="I7" i="63" l="1"/>
  <c r="D7" i="74"/>
  <c r="Q16" i="74" s="1"/>
  <c r="B9" i="74"/>
  <c r="F8" i="74"/>
  <c r="D8" i="74" l="1"/>
  <c r="D22" i="12" s="1"/>
  <c r="E8" i="74"/>
  <c r="V40" i="73" l="1"/>
  <c r="V41" i="73" s="1"/>
  <c r="V24" i="73" s="1"/>
  <c r="O38" i="73"/>
  <c r="O39" i="73" s="1"/>
  <c r="O24" i="73" s="1"/>
  <c r="W36" i="73"/>
  <c r="D34" i="73"/>
  <c r="K33" i="73"/>
  <c r="K34" i="73" s="1"/>
  <c r="E24" i="73" s="1"/>
  <c r="P32" i="73"/>
  <c r="F28" i="73"/>
  <c r="U25" i="73"/>
  <c r="U26" i="73" s="1"/>
  <c r="N25" i="73"/>
  <c r="P25" i="73" s="1"/>
  <c r="D25" i="73"/>
  <c r="F25" i="73" s="1"/>
  <c r="W24" i="73"/>
  <c r="P24" i="73"/>
  <c r="F24" i="73"/>
  <c r="T11" i="73"/>
  <c r="L11" i="73"/>
  <c r="B11" i="73"/>
  <c r="C3" i="73"/>
  <c r="X36" i="73" s="1"/>
  <c r="D26" i="72"/>
  <c r="C3" i="72" s="1"/>
  <c r="G19" i="72" s="1"/>
  <c r="K25" i="72"/>
  <c r="K26" i="72" s="1"/>
  <c r="E6" i="72" s="1"/>
  <c r="F19" i="72"/>
  <c r="L13" i="72"/>
  <c r="D7" i="72"/>
  <c r="D8" i="72" s="1"/>
  <c r="F6" i="72"/>
  <c r="F6" i="70"/>
  <c r="E6" i="70"/>
  <c r="D10" i="69"/>
  <c r="D23" i="12" s="1"/>
  <c r="E7" i="69"/>
  <c r="F7" i="69" s="1"/>
  <c r="F10" i="69" s="1"/>
  <c r="F23" i="12" s="1"/>
  <c r="E25" i="73" l="1"/>
  <c r="G24" i="73"/>
  <c r="O25" i="73"/>
  <c r="Q24" i="73"/>
  <c r="U27" i="73"/>
  <c r="W26" i="73"/>
  <c r="X24" i="73"/>
  <c r="V25" i="73"/>
  <c r="N26" i="73"/>
  <c r="G28" i="73"/>
  <c r="Q32" i="73"/>
  <c r="D26" i="73"/>
  <c r="W25" i="73"/>
  <c r="G6" i="72"/>
  <c r="E7" i="72"/>
  <c r="D9" i="72"/>
  <c r="F8" i="72"/>
  <c r="F7" i="72"/>
  <c r="P26" i="73" l="1"/>
  <c r="N27" i="73"/>
  <c r="F26" i="73"/>
  <c r="D27" i="73"/>
  <c r="F27" i="73" s="1"/>
  <c r="X25" i="73"/>
  <c r="V26" i="73"/>
  <c r="U28" i="73"/>
  <c r="W27" i="73"/>
  <c r="G25" i="73"/>
  <c r="E26" i="73"/>
  <c r="Q25" i="73"/>
  <c r="O26" i="73"/>
  <c r="D10" i="72"/>
  <c r="F9" i="72"/>
  <c r="G7" i="72"/>
  <c r="E8" i="72"/>
  <c r="Q26" i="73" l="1"/>
  <c r="O27" i="73"/>
  <c r="U29" i="73"/>
  <c r="W28" i="73"/>
  <c r="X26" i="73"/>
  <c r="V27" i="73"/>
  <c r="N28" i="73"/>
  <c r="P27" i="73"/>
  <c r="G26" i="73"/>
  <c r="E27" i="73"/>
  <c r="D11" i="72"/>
  <c r="F10" i="72"/>
  <c r="G8" i="72"/>
  <c r="E9" i="72"/>
  <c r="I7" i="59"/>
  <c r="H7" i="59"/>
  <c r="O28" i="73" l="1"/>
  <c r="Q27" i="73"/>
  <c r="N29" i="73"/>
  <c r="P28" i="73"/>
  <c r="W29" i="73"/>
  <c r="U30" i="73"/>
  <c r="G27" i="73"/>
  <c r="G29" i="73" s="1"/>
  <c r="E29" i="73"/>
  <c r="V28" i="73"/>
  <c r="X27" i="73"/>
  <c r="D12" i="72"/>
  <c r="F11" i="72"/>
  <c r="G9" i="72"/>
  <c r="E10" i="72"/>
  <c r="I6" i="59"/>
  <c r="H6" i="59"/>
  <c r="D36" i="73" l="1"/>
  <c r="V29" i="73"/>
  <c r="X28" i="73"/>
  <c r="O29" i="73"/>
  <c r="Q28" i="73"/>
  <c r="P29" i="73"/>
  <c r="N30" i="73"/>
  <c r="W30" i="73"/>
  <c r="U31" i="73"/>
  <c r="D13" i="72"/>
  <c r="F12" i="72"/>
  <c r="G10" i="72"/>
  <c r="E11" i="72"/>
  <c r="E9" i="58"/>
  <c r="F9" i="58" s="1"/>
  <c r="E9" i="66"/>
  <c r="U32" i="73" l="1"/>
  <c r="W31" i="73"/>
  <c r="X29" i="73"/>
  <c r="V30" i="73"/>
  <c r="N31" i="73"/>
  <c r="P31" i="73" s="1"/>
  <c r="P30" i="73"/>
  <c r="Q29" i="73"/>
  <c r="O30" i="73"/>
  <c r="D37" i="73"/>
  <c r="D38" i="73" s="1"/>
  <c r="F38" i="73" s="1"/>
  <c r="G11" i="72"/>
  <c r="E12" i="72"/>
  <c r="F13" i="72"/>
  <c r="D14" i="72"/>
  <c r="F9" i="66"/>
  <c r="Q30" i="73" l="1"/>
  <c r="O31" i="73"/>
  <c r="Q31" i="73" s="1"/>
  <c r="O33" i="73"/>
  <c r="X30" i="73"/>
  <c r="V31" i="73"/>
  <c r="W32" i="73"/>
  <c r="U33" i="73"/>
  <c r="G12" i="72"/>
  <c r="E13" i="72"/>
  <c r="F14" i="72"/>
  <c r="D15" i="72"/>
  <c r="Q33" i="73" l="1"/>
  <c r="U34" i="73"/>
  <c r="W33" i="73"/>
  <c r="V32" i="73"/>
  <c r="X31" i="73"/>
  <c r="F15" i="72"/>
  <c r="D16" i="72"/>
  <c r="G13" i="72"/>
  <c r="E14" i="72"/>
  <c r="E8" i="58"/>
  <c r="F8" i="58" s="1"/>
  <c r="E8" i="66"/>
  <c r="F8" i="66" s="1"/>
  <c r="E6" i="58"/>
  <c r="F6" i="58" s="1"/>
  <c r="E6" i="66"/>
  <c r="E10" i="66" l="1"/>
  <c r="F6" i="66"/>
  <c r="F10" i="66" s="1"/>
  <c r="V33" i="73"/>
  <c r="X32" i="73"/>
  <c r="U35" i="73"/>
  <c r="W35" i="73" s="1"/>
  <c r="W34" i="73"/>
  <c r="F16" i="72"/>
  <c r="D17" i="72"/>
  <c r="E15" i="72"/>
  <c r="G14" i="72"/>
  <c r="E7" i="70"/>
  <c r="F7" i="70" s="1"/>
  <c r="F6" i="64"/>
  <c r="E6" i="64"/>
  <c r="X33" i="73" l="1"/>
  <c r="V34" i="73"/>
  <c r="G15" i="72"/>
  <c r="E16" i="72"/>
  <c r="F17" i="72"/>
  <c r="D18" i="72"/>
  <c r="F18" i="72" s="1"/>
  <c r="E8" i="63"/>
  <c r="F8" i="63"/>
  <c r="H8" i="63"/>
  <c r="F6" i="71"/>
  <c r="E6" i="71"/>
  <c r="V35" i="73" l="1"/>
  <c r="X34" i="73"/>
  <c r="E17" i="72"/>
  <c r="G16" i="72"/>
  <c r="X35" i="73" l="1"/>
  <c r="X37" i="73" s="1"/>
  <c r="I40" i="73" s="1"/>
  <c r="V37" i="73"/>
  <c r="G17" i="72"/>
  <c r="E18" i="72"/>
  <c r="E10" i="58"/>
  <c r="F10" i="58"/>
  <c r="D10" i="58"/>
  <c r="D10" i="66"/>
  <c r="B5" i="66"/>
  <c r="E8" i="70"/>
  <c r="F8" i="70"/>
  <c r="B8" i="71"/>
  <c r="F7" i="71"/>
  <c r="E7" i="71"/>
  <c r="D7" i="71"/>
  <c r="B5" i="71"/>
  <c r="B3" i="71"/>
  <c r="D8" i="70"/>
  <c r="B5" i="70"/>
  <c r="B3" i="70"/>
  <c r="E10" i="69"/>
  <c r="E23" i="12" s="1"/>
  <c r="B3" i="69"/>
  <c r="B5" i="69"/>
  <c r="B3" i="67"/>
  <c r="B5" i="67"/>
  <c r="B5" i="58"/>
  <c r="B5" i="65"/>
  <c r="B5" i="64"/>
  <c r="B5" i="56"/>
  <c r="B6" i="63"/>
  <c r="E7" i="67"/>
  <c r="F7" i="67"/>
  <c r="D7" i="67"/>
  <c r="G18" i="72" l="1"/>
  <c r="G20" i="72" s="1"/>
  <c r="E20" i="72"/>
  <c r="D7" i="64"/>
  <c r="D16" i="12" s="1"/>
  <c r="F8" i="56"/>
  <c r="G8" i="56"/>
  <c r="H8" i="56"/>
  <c r="I8" i="56"/>
  <c r="J8" i="56"/>
  <c r="E8" i="56"/>
  <c r="D12" i="12" s="1"/>
  <c r="J8" i="63"/>
  <c r="F11" i="12" s="1"/>
  <c r="I8" i="63"/>
  <c r="E11" i="12" s="1"/>
  <c r="D8" i="63"/>
  <c r="D11" i="12" s="1"/>
  <c r="E12" i="12" l="1"/>
  <c r="F12" i="12"/>
  <c r="D28" i="72"/>
  <c r="D29" i="72" s="1"/>
  <c r="D30" i="72" s="1"/>
  <c r="F29" i="72" s="1"/>
  <c r="O4" i="63"/>
  <c r="O5" i="63"/>
  <c r="B11" i="66"/>
  <c r="B3" i="66"/>
  <c r="I10" i="59" l="1"/>
  <c r="F10" i="12" s="1"/>
  <c r="H10" i="59"/>
  <c r="E10" i="12" s="1"/>
  <c r="B8" i="65"/>
  <c r="E7" i="65"/>
  <c r="E17" i="12" s="1"/>
  <c r="D7" i="65"/>
  <c r="D17" i="12" s="1"/>
  <c r="B3" i="65"/>
  <c r="B3" i="64"/>
  <c r="F7" i="65" l="1"/>
  <c r="F17" i="12" s="1"/>
  <c r="E7" i="64" l="1"/>
  <c r="E16" i="12" s="1"/>
  <c r="F7" i="64"/>
  <c r="F16" i="12" s="1"/>
  <c r="B5" i="59" l="1"/>
  <c r="B3" i="59"/>
  <c r="D10" i="59" l="1"/>
  <c r="D10" i="12" s="1"/>
  <c r="D24" i="12" s="1"/>
  <c r="F9" i="59" l="1"/>
  <c r="F8" i="59"/>
  <c r="F7" i="59"/>
  <c r="F6" i="59"/>
  <c r="B3" i="56" l="1"/>
  <c r="B3" i="58"/>
  <c r="B11" i="58"/>
  <c r="B9" i="56" l="1"/>
  <c r="B11" i="59" l="1"/>
  <c r="B11" i="76"/>
  <c r="D3" i="34" l="1"/>
  <c r="E26" i="36" l="1"/>
  <c r="D2" i="34" l="1"/>
  <c r="C4" i="33"/>
  <c r="C3" i="33"/>
  <c r="C5" i="35" l="1"/>
  <c r="C11" i="35" s="1"/>
  <c r="D5" i="34"/>
  <c r="C2" i="33" l="1"/>
  <c r="C6" i="33" s="1"/>
  <c r="D14" i="3" l="1"/>
  <c r="C14" i="3" l="1"/>
  <c r="C12" i="3" l="1"/>
  <c r="D11" i="3"/>
  <c r="C10" i="3"/>
  <c r="C8" i="3" l="1"/>
  <c r="C11" i="3"/>
  <c r="C9" i="3"/>
  <c r="C7" i="3"/>
  <c r="C16" i="3" s="1"/>
  <c r="D10" i="3"/>
  <c r="D7" i="3"/>
  <c r="D16" i="3" l="1"/>
  <c r="C17" i="3" s="1"/>
  <c r="C20" i="3" s="1"/>
  <c r="L23" i="79"/>
  <c r="L24" i="79" s="1"/>
  <c r="H6" i="79" s="1"/>
  <c r="I7" i="79" l="1"/>
  <c r="F18" i="12" s="1"/>
  <c r="H7" i="79"/>
  <c r="E18" i="12" s="1"/>
  <c r="E24" i="12" l="1"/>
  <c r="F24" i="12"/>
</calcChain>
</file>

<file path=xl/sharedStrings.xml><?xml version="1.0" encoding="utf-8"?>
<sst xmlns="http://schemas.openxmlformats.org/spreadsheetml/2006/main" count="4544" uniqueCount="722">
  <si>
    <t>S.No.</t>
  </si>
  <si>
    <t>Items</t>
  </si>
  <si>
    <t>Particulars</t>
  </si>
  <si>
    <t>RECOVERABLE</t>
  </si>
  <si>
    <t>Investments</t>
  </si>
  <si>
    <t>Summary  of Current Assets:-</t>
  </si>
  <si>
    <t>Trade Receivables</t>
  </si>
  <si>
    <t>Advances</t>
  </si>
  <si>
    <t>Short Term Loans &amp; advances</t>
  </si>
  <si>
    <t>Long Term Loans &amp; Advances</t>
  </si>
  <si>
    <t>Inventories</t>
  </si>
  <si>
    <t>Cash &amp; Bank Balance</t>
  </si>
  <si>
    <t>Security Deposit</t>
  </si>
  <si>
    <t>NON-RECOVERABLE</t>
  </si>
  <si>
    <t>Total ( Recoverable+Non-Recoverable)</t>
  </si>
  <si>
    <t>[ Reconciled with audited Balance Sheet ]</t>
  </si>
  <si>
    <t>VALUATION OF CURRENT ASSETS AS ON 7TH NOV' 2017 :-</t>
  </si>
  <si>
    <t>DETAILS</t>
  </si>
  <si>
    <t>SL</t>
  </si>
  <si>
    <t>Potential valuation of current assets in % of total current assets</t>
  </si>
  <si>
    <t>REMARKS &amp; NOTES:-</t>
  </si>
  <si>
    <t>Total</t>
  </si>
  <si>
    <t>Remarks</t>
  </si>
  <si>
    <t>TOTAL:</t>
  </si>
  <si>
    <t>S. No.</t>
  </si>
  <si>
    <t>Annexure</t>
  </si>
  <si>
    <t>Party Name</t>
  </si>
  <si>
    <t>Expected Date of realization/ settlement</t>
  </si>
  <si>
    <t>Fair Valuation Assessment</t>
  </si>
  <si>
    <t>Advance Date</t>
  </si>
  <si>
    <t>I</t>
  </si>
  <si>
    <t>IV</t>
  </si>
  <si>
    <t>OTHER CURRENT ASSETS</t>
  </si>
  <si>
    <t>OCFA</t>
  </si>
  <si>
    <t>LT L&amp;A (Sec. Deposit Other)</t>
  </si>
  <si>
    <t>OCA</t>
  </si>
  <si>
    <t>FSA coal from SECL</t>
  </si>
  <si>
    <t>Current Invoice</t>
  </si>
  <si>
    <t>Per Tonne</t>
  </si>
  <si>
    <t>Rates</t>
  </si>
  <si>
    <t>Rs. per tonne</t>
  </si>
  <si>
    <t>ROM</t>
  </si>
  <si>
    <t>Royalty</t>
  </si>
  <si>
    <t>Stowing excise duty per tonne</t>
  </si>
  <si>
    <t>Sizing charges</t>
  </si>
  <si>
    <t>NMET</t>
  </si>
  <si>
    <t xml:space="preserve">DMF contribution </t>
  </si>
  <si>
    <t>CG Dev. Tax per tonne (Paryavaran Upkar)</t>
  </si>
  <si>
    <t>CG Env. Tax per tonne (Vikas Upkar)</t>
  </si>
  <si>
    <t>Excise Duty</t>
  </si>
  <si>
    <t>Energy Cess</t>
  </si>
  <si>
    <t>Terminal tax</t>
  </si>
  <si>
    <t>GST</t>
  </si>
  <si>
    <t>Surface transportation charge &amp; Evacuation Charge</t>
  </si>
  <si>
    <t>Railway Freight</t>
  </si>
  <si>
    <t>DCTS</t>
  </si>
  <si>
    <t>OCTS</t>
  </si>
  <si>
    <t>Development Surcharge on Coal Transportation</t>
  </si>
  <si>
    <t>Busy season Surcharge on Coal Transportaion (for 9 months)</t>
  </si>
  <si>
    <t>Total Freight</t>
  </si>
  <si>
    <t>Washery Charges</t>
  </si>
  <si>
    <t>Landed cost</t>
  </si>
  <si>
    <t>Coal</t>
  </si>
  <si>
    <t>Asset Amount</t>
  </si>
  <si>
    <t>Amount as per Balance Sheet</t>
  </si>
  <si>
    <t>SUMMARY OF VALUATION ASSESSMENT OF CURRENT ASSETS</t>
  </si>
  <si>
    <t>Nature/ Purpose of Advance</t>
  </si>
  <si>
    <t>Status of Advance</t>
  </si>
  <si>
    <t>OTHER NON-CURRENT ASSETS</t>
  </si>
  <si>
    <t>Item Details</t>
  </si>
  <si>
    <t>NON CURRENT INVESTMENT</t>
  </si>
  <si>
    <t>Nature of Investment</t>
  </si>
  <si>
    <t>Number of shares</t>
  </si>
  <si>
    <t>II</t>
  </si>
  <si>
    <t>III</t>
  </si>
  <si>
    <t>Chance of Recoverability</t>
  </si>
  <si>
    <t>Data Not Provided</t>
  </si>
  <si>
    <t>Cost per Share</t>
  </si>
  <si>
    <t>Capital Advance</t>
  </si>
  <si>
    <t>1. Assessment is done based on the details which the lender could provided to us on our queries.
2. The complete list of counter-parties are taken from the data provided by the lender. Status &amp; Outstanding amount are provided by the lender.
3. Basis of the assessment is mentioned against each line item based on the information provided to us by the lender.
4. No audit of any kind is performed by us from the books of account or ledger statements and all the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Current Assets.</t>
  </si>
  <si>
    <t>1. Assessment is done based on the details which the lender provided to us on our queries.
2.  No list of counter-parties  is provided by the lender. Status &amp; Outstanding amount are provided by the lenders.
3. Basis of the assessment is mentioned against each line item based on the information provided to us by the lender.
4. No audit of any kind is performed by us from the books of account or ledger statements and all the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Securities or Current Assets.</t>
  </si>
  <si>
    <t xml:space="preserve">We have not received any details regarding current status of Advance Tax. Also, as per the information received from the lender, the Company is a non- operational company and hence it is hard to generate any revenue in the near future and therefore no tax liability will occur against which such advance tax should be realised.
Hence, in this scenario, we have considered the Fair Value and Realization value, both to be NIL. </t>
  </si>
  <si>
    <t xml:space="preserve">We have not received any document/data/information and bank statement regarding the verification of bank balances as on valuation date i.e., 26th April 2023. Thus, in this scenario, we have considered the fair market value and realizable value equals to the latest audited trial balance after considering the facts that this is a non-operational unit and the nature of the asset.
Hence the fair market value and realizable value are INR 254.24 Lakhs subject to the condition "No transactions in the said bank account/accounts" post 31st March 2022.
All the data provided by the company are considered in good faith. If any inconsistency is found between the books and the actual amount, the given figures will be null and void.
</t>
  </si>
  <si>
    <t>We have not received any information/ documents from the Company/ lender regarding the nature of advance, terms and conditions, period of pendency, reason of pendency, status of the recovery procedures etc. We have considered, that the amount paid as advance to vendors, is paid in the normal course of business and will be duly recoverable, but the company is a non- operational company and hence it is hard to generate any revenue in the near future. 
So, we have considered the fair Market value and Realizable value to be 50% and 30% respectively.</t>
  </si>
  <si>
    <t>V</t>
  </si>
  <si>
    <t>VI</t>
  </si>
  <si>
    <t>Non-Current Investment</t>
  </si>
  <si>
    <t>Current Tax Assets</t>
  </si>
  <si>
    <t>VII</t>
  </si>
  <si>
    <t>VIII</t>
  </si>
  <si>
    <t>IX</t>
  </si>
  <si>
    <t>X</t>
  </si>
  <si>
    <t>Figures in INR Crores</t>
  </si>
  <si>
    <t>Details as on 31st March 2023</t>
  </si>
  <si>
    <t>Maytas NCC JV</t>
  </si>
  <si>
    <t>NCC – Maytas – ZVS (JV)</t>
  </si>
  <si>
    <t>In debentures (fully paid-up) 25,370,630 (March 31, 2021: 25,370,630) 0.001% Non-convertible debentures of Rs. 10 each in Bangalore Elevated Tollway Private Limited</t>
  </si>
  <si>
    <t xml:space="preserve">Fair Market Value </t>
  </si>
  <si>
    <t>Trade Receivable</t>
  </si>
  <si>
    <t>NON-CURRENT TAX ASSETS</t>
  </si>
  <si>
    <t>INVENTORY</t>
  </si>
  <si>
    <t>S. No</t>
  </si>
  <si>
    <r>
      <t>1.</t>
    </r>
    <r>
      <rPr>
        <b/>
        <i/>
        <sz val="7"/>
        <color rgb="FF000000"/>
        <rFont val="Times New Roman"/>
        <family val="1"/>
      </rPr>
      <t xml:space="preserve">      </t>
    </r>
    <r>
      <rPr>
        <i/>
        <sz val="11"/>
        <color rgb="FF000000"/>
        <rFont val="Calibri"/>
        <family val="2"/>
      </rPr>
      <t>Assessment is done based on the discussions done with the Liquidator/ RP/ Corporate Debtor and the details which they could provide to us on our queries.</t>
    </r>
  </si>
  <si>
    <r>
      <t>2.</t>
    </r>
    <r>
      <rPr>
        <b/>
        <i/>
        <sz val="7"/>
        <color rgb="FF000000"/>
        <rFont val="Times New Roman"/>
        <family val="1"/>
      </rPr>
      <t xml:space="preserve">      </t>
    </r>
    <r>
      <rPr>
        <i/>
        <sz val="11"/>
        <color rgb="FF000000"/>
        <rFont val="Calibri"/>
        <family val="2"/>
      </rPr>
      <t>This is just a general assessment on the basis of general Industry practice, based on the details which the Liquidator/ RP/ Corporate Debtor provided to us as per our queries &amp; discussions with the Liquidator/ RP/ Corporate Debtor.</t>
    </r>
  </si>
  <si>
    <r>
      <t>3.</t>
    </r>
    <r>
      <rPr>
        <b/>
        <i/>
        <sz val="7"/>
        <color rgb="FF000000"/>
        <rFont val="Times New Roman"/>
        <family val="1"/>
      </rPr>
      <t xml:space="preserve">      </t>
    </r>
    <r>
      <rPr>
        <i/>
        <sz val="11"/>
        <color rgb="FF000000"/>
        <rFont val="Calibri"/>
        <family val="2"/>
      </rPr>
      <t>No audit of any kind is performed by us for the books of account or ledger statements and all this data/ information/ input/ details provided to us by the Liquidator/ RP/ Corporate Debtor are taken as is it on good faith that these are factually correct information.</t>
    </r>
  </si>
  <si>
    <r>
      <t>4.</t>
    </r>
    <r>
      <rPr>
        <b/>
        <i/>
        <sz val="7"/>
        <color rgb="FF000000"/>
        <rFont val="Times New Roman"/>
        <family val="1"/>
      </rPr>
      <t xml:space="preserve">      </t>
    </r>
    <r>
      <rPr>
        <i/>
        <sz val="11"/>
        <color rgb="FF000000"/>
        <rFont val="Calibri"/>
        <family val="2"/>
      </rPr>
      <t>There is no fixed criteria, formula or norm for the Valuation of Securities or Financial Assets. It is purely based on the individual assessment and may differ from valuer to valuer based on the practicality he/she analyses in recoveries of outstanding dues. Ultimate recovery depends on efforts, extensive follow-ups, and close scrutiny of individual case made by the Liquidator / RP / Corporate Debtor. So, our values should not be regarded as any judgment in regard to the recoverability of Securities or Financial Assets.</t>
    </r>
  </si>
  <si>
    <r>
      <t>Cash &amp; Cash Equivalent</t>
    </r>
    <r>
      <rPr>
        <i/>
        <sz val="11"/>
        <color rgb="FF000000"/>
        <rFont val="Calibri"/>
        <family val="2"/>
      </rPr>
      <t>  </t>
    </r>
  </si>
  <si>
    <t>1 </t>
  </si>
  <si>
    <t xml:space="preserve">Margin money deposits means that while issuing the guarantee bank asks the client to deposit some money by way of fixed deposit as a counter security. </t>
  </si>
  <si>
    <t>Hence we have consider fair market value, Going Concern Value and piecemeal value to be at 100% of the book value.</t>
  </si>
  <si>
    <r>
      <t>1.</t>
    </r>
    <r>
      <rPr>
        <sz val="7"/>
        <color rgb="FF000000"/>
        <rFont val="Times New Roman"/>
        <family val="1"/>
      </rPr>
      <t xml:space="preserve">      </t>
    </r>
    <r>
      <rPr>
        <sz val="11"/>
        <color rgb="FF000000"/>
        <rFont val="Calibri"/>
        <family val="2"/>
      </rPr>
      <t>An arbitration award was given against the company by a London Court of international arbitration for breach of contract in favor of a foreign supplier, M/s Key Trade. The Hon’ble High Court of Telangana directed to earmark an amount of Rs 20 Crores. Accordingly, the banks IDBI and SBI (Rs 14 crores and Rs 6 crores respectively) have to pay Rs 20 Crores amounts in favor of Key trade. Hence fair market value would be 0.17 Crs.</t>
    </r>
  </si>
  <si>
    <r>
      <t>2.</t>
    </r>
    <r>
      <rPr>
        <sz val="7"/>
        <color rgb="FF000000"/>
        <rFont val="Times New Roman"/>
        <family val="1"/>
      </rPr>
      <t xml:space="preserve">      </t>
    </r>
    <r>
      <rPr>
        <sz val="11"/>
        <color rgb="FF000000"/>
        <rFont val="Calibri"/>
        <family val="2"/>
      </rPr>
      <t>And for 0.17 Crs, we have not received any document/ supporting regarding the said bank balance. This bank balance will be the same in both the cases i.e. liquidation on going concern basis and liquidation on piecemeal basis. Therefore we have consider Going Concern Value and piecemeal value to be at 100% of the adjusted value.</t>
    </r>
  </si>
  <si>
    <r>
      <t>1.</t>
    </r>
    <r>
      <rPr>
        <b/>
        <i/>
        <sz val="7"/>
        <color rgb="FF000000"/>
        <rFont val="Times New Roman"/>
        <family val="1"/>
      </rPr>
      <t xml:space="preserve">      </t>
    </r>
    <r>
      <rPr>
        <i/>
        <sz val="11"/>
        <color rgb="FF000000"/>
        <rFont val="Calibri"/>
        <family val="2"/>
      </rPr>
      <t>Assessment is done based on the discussions done with the company/ Banker and the details which they could provide to us on our queries.</t>
    </r>
  </si>
  <si>
    <r>
      <t>2.</t>
    </r>
    <r>
      <rPr>
        <b/>
        <i/>
        <sz val="7"/>
        <color rgb="FF000000"/>
        <rFont val="Times New Roman"/>
        <family val="1"/>
      </rPr>
      <t xml:space="preserve">      </t>
    </r>
    <r>
      <rPr>
        <i/>
        <sz val="11"/>
        <color rgb="FF000000"/>
        <rFont val="Calibri"/>
        <family val="2"/>
      </rPr>
      <t>This is just a general assessment on the basis of general Industry practice, based on the details which the company/ Banker provided to us as per our queries &amp; discussions with the company officials/ Banker.</t>
    </r>
  </si>
  <si>
    <r>
      <t>3.</t>
    </r>
    <r>
      <rPr>
        <b/>
        <i/>
        <sz val="7"/>
        <color rgb="FF000000"/>
        <rFont val="Times New Roman"/>
        <family val="1"/>
      </rPr>
      <t xml:space="preserve">      </t>
    </r>
    <r>
      <rPr>
        <i/>
        <sz val="11"/>
        <color rgb="FF000000"/>
        <rFont val="Calibri"/>
        <family val="2"/>
      </rPr>
      <t xml:space="preserve"> No audit of any kind is performed by us for the books of account or ledger statements and all this data/ information/ input/ details provided to us by the company/ Banker are taken as is it on good faith that these are factually correct information.</t>
    </r>
  </si>
  <si>
    <r>
      <t>4.</t>
    </r>
    <r>
      <rPr>
        <b/>
        <i/>
        <sz val="7"/>
        <color rgb="FF000000"/>
        <rFont val="Times New Roman"/>
        <family val="1"/>
      </rPr>
      <t xml:space="preserve">      </t>
    </r>
    <r>
      <rPr>
        <i/>
        <sz val="11"/>
        <color rgb="FF000000"/>
        <rFont val="Calibri"/>
        <family val="2"/>
      </rPr>
      <t>There is no fixed criteria, formula or norm for the Valuation of Current assets It is purely based on the individual assessment and may differ from value to value based on the practicality he/she analyze in recoveries of outstanding dues. Ultimate recovery depends on efforts, extensive follow-ups and close scrutiny of individual case made by the company/ Banker. So our values should not be regarded as any judgment in regard to the recoverability of Current assets.</t>
    </r>
  </si>
  <si>
    <t>CASH AND CASH EQUIVALENTS</t>
  </si>
  <si>
    <t>Liquidation Value Assessment</t>
  </si>
  <si>
    <t>Loans</t>
  </si>
  <si>
    <t>LOANS</t>
  </si>
  <si>
    <t>Loans to Related Parties</t>
  </si>
  <si>
    <t>Loans to other companies</t>
  </si>
  <si>
    <t>Interest Accrued on Deposits and Others</t>
  </si>
  <si>
    <t>Other Receivables</t>
  </si>
  <si>
    <t>Project Materials</t>
  </si>
  <si>
    <t xml:space="preserve">Liquidation value </t>
  </si>
  <si>
    <t>Cash on Hand</t>
  </si>
  <si>
    <r>
      <rPr>
        <b/>
        <sz val="11"/>
        <color rgb="FF000000"/>
        <rFont val="Calibri"/>
        <family val="2"/>
      </rPr>
      <t>Balances with Banks:</t>
    </r>
    <r>
      <rPr>
        <sz val="11"/>
        <color rgb="FF000000"/>
        <rFont val="Calibri"/>
        <family val="2"/>
      </rPr>
      <t xml:space="preserve">
On Current Accounts</t>
    </r>
  </si>
  <si>
    <r>
      <rPr>
        <b/>
        <sz val="11"/>
        <color rgb="FF000000"/>
        <rFont val="Calibri"/>
        <family val="2"/>
      </rPr>
      <t>Other Bank Balances:</t>
    </r>
    <r>
      <rPr>
        <sz val="11"/>
        <color rgb="FF000000"/>
        <rFont val="Calibri"/>
        <family val="2"/>
      </rPr>
      <t xml:space="preserve">
Deposits account due to mature of more than 12 months of reporting date</t>
    </r>
  </si>
  <si>
    <t>OTHER CURRENT FINANCIAL ASSETS</t>
  </si>
  <si>
    <t>TOTAL</t>
  </si>
  <si>
    <t>Deposits (Others) - Unsecured, Considered Good</t>
  </si>
  <si>
    <t>Advances to Vendor (Other than Capital Advances) &amp; Prepaid Expense</t>
  </si>
  <si>
    <r>
      <rPr>
        <b/>
        <sz val="10"/>
        <rFont val="Arial"/>
        <family val="2"/>
      </rPr>
      <t>Contract Assets</t>
    </r>
    <r>
      <rPr>
        <sz val="10"/>
        <rFont val="Arial"/>
        <family val="2"/>
      </rPr>
      <t xml:space="preserve"> - Retention Money</t>
    </r>
  </si>
  <si>
    <r>
      <rPr>
        <b/>
        <sz val="10"/>
        <rFont val="Arial"/>
        <family val="2"/>
      </rPr>
      <t>Contract Assets</t>
    </r>
    <r>
      <rPr>
        <sz val="10"/>
        <rFont val="Arial"/>
        <family val="2"/>
      </rPr>
      <t xml:space="preserve"> - Project Work-in-Progress</t>
    </r>
  </si>
  <si>
    <t>Balances with statutory/government authorities</t>
  </si>
  <si>
    <t>Project Materials is valued in our land and building valuation report and is already considered in the valuation of the same. 
Hence, we have considered Fair Value and Liquidation Value in this case to be NIL.</t>
  </si>
  <si>
    <t>NIL</t>
  </si>
  <si>
    <t>.</t>
  </si>
  <si>
    <t>https://www.gayatrihighways.com/project-CEL.html</t>
  </si>
  <si>
    <t>Cyberabad Expressways Ltd</t>
  </si>
  <si>
    <t xml:space="preserve"> In preference shares (fully paid-up) 2,441,850 (March 31, 2021: 2,441,850)dividend @ of 9% cumulative optionally convertible redeemable preference shares of Rs. 100 each in Bangalore Elevated Tollway Private Limited*</t>
  </si>
  <si>
    <t>Fair Market Value</t>
  </si>
  <si>
    <t>Liquidation Value</t>
  </si>
  <si>
    <t>As per information shared by company these receivables belongs to Tax Deducted at Source (TDS). Since these receivables are with tax authority hence it is 100% recovrable, as company is a going concern. Also, these TDS receivables holds economic benefit to the company. Hence we have considered Fair Market Value as 100% of book value. 
In case of liquidation, this amount will either be adjusted againsted tax liability or 100% recoverable by the authority. Hence liquidation value will be 100% of the fair market value.</t>
  </si>
  <si>
    <t>Margin Money Deposits*
(Lodged with Authorities)</t>
  </si>
  <si>
    <t xml:space="preserve">We have considered the Fair Market Value as per the documents/latest bank statements provided by the RP/Client. </t>
  </si>
  <si>
    <t>As per the cash certificates provided by the company, the amount given under the head cash on hand is matched. Hence we have consider fair market value and liquidation value to be at 100% of the book value.</t>
  </si>
  <si>
    <t>1. Assessment is done based on the discussions done with the lender and the details which they could provide to us on our queries.
2. All the notes on the current status of amount recovery are given by the lender. Notes and data provided by the lender has been relied upon in good faith on the basis of which independent potential value assessment of the current Assets has been carried out.
3. For the basis of arriving at the Value of each Currents Assets, please refer to the specific annexure.
4. This is just a general assessment on the basis of general Industry practice based on the details which the lender provided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lender that what is the minimum amount can be recovered out of the receivables, loans &amp; advances, etc.
6. No audit of any kind is performed by us from the books of account or ledger statements and all this data/ information/ input/ details provided to us by the lender and are taken as is it on good faith that these are factually correct information.
7. There are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close scrutiny of individual case made by the Company. So our values should not be regarded as any judgment in regard to the recoverability of Current Assets.
8. As all these companies are non-operational and lack of information regarding the investments made, loans and advances, pendency, terms and conditions, legality between party and counter party and current status of the investees / related parties / venders and other various factors / scenarios have been considered during the assesment of fair market value and relizable value at our level best. Also the valuation is limited to the scope of work only.</t>
  </si>
  <si>
    <t>We have considered the Fair Market Value and Liquidation Value as per the documents/data/information/bank statements provided by the Client/Company. After the analysis of documents/data/information/bank statements, deposits bank balance comes out 182.28 Crs. Hence we have consider Fair Market Value and Liquidation Value to be at 182.28 Crs.</t>
  </si>
  <si>
    <t>Accrued interest refers to the amount of interest that has been earned or incurred on a loan or other financial obligation but has not yet been paid. As on 31st March, 2023, current interest accrued on deposits and others includes interest accrued on advance to CEL i.e. 13.35 Crs, Interest on margin money and fixed deposits i.e. 0.34 Crs, Interest accrued on advances to subcontractors and deposits i. e. 0.47 Crs  and Interest receivable on Fixed  Deposits i.e. 3.37 Crs. As per audited financials these assets are considered good. 
Here the chanses of recoveribility of interest accrued on advance to CEL will depand on the current status of CEL. As per the Concession agreement of Cyberabad Expressway Limited (CEL) (Information given in financials  FY 2023, of CEL) the tenure of operations for the company have been ended on 19th December, 2022, the process of handover is still going on. CEL is expected that all the work will be done and the project handing over process will be completed before 30th June, 2023. Here we dont have any information about the status of this handover and has CEL paid off all its liabilities like interest accrued etc. Therefore we have considered NIL value for CEL interest accrued.
Realizability on Interest on fixed deposits are very high because of the nature of these assets, hence we are considering 100% fair market value as well as liquidation value. 
For interest accrued on advances to subcontractors and deposits, we have not receive any documents from company / client regarding this asset. So here in general Circumstances Company must had landed these deposits and advance to government and trust worthy organizations. However recoverability of these interest will depends upon factors like terms and condition of the contract, ageing of the deposits, legality of the same. Therefore we are considering its fair market value as 80% of the book value.  
During Liquidation, other deposits will not have any benefit and recovery of it will be insurmountable task and will be subject to the contract condition, legality issues and dues of the authority. Hence in this case we are considering liquidation value as 50% of fair market value.</t>
  </si>
  <si>
    <t>Valuation Date</t>
  </si>
  <si>
    <t>Periodic Rate</t>
  </si>
  <si>
    <t>Date</t>
  </si>
  <si>
    <t>Cash Flow</t>
  </si>
  <si>
    <t>Period</t>
  </si>
  <si>
    <t>PV</t>
  </si>
  <si>
    <t>Repayment Date</t>
  </si>
  <si>
    <t>(On 15-10-2018)</t>
  </si>
  <si>
    <t>Govt 10-year Yield</t>
  </si>
  <si>
    <t>Debenture Face Value</t>
  </si>
  <si>
    <t>Add:</t>
  </si>
  <si>
    <t>Spread</t>
  </si>
  <si>
    <t>Coupon Rate</t>
  </si>
  <si>
    <t>Required Rate</t>
  </si>
  <si>
    <t>PV of Bond</t>
  </si>
  <si>
    <t>Less:</t>
  </si>
  <si>
    <t>Lack of Marketability Discount</t>
  </si>
  <si>
    <t>Expected Value</t>
  </si>
  <si>
    <t>Nifty Return 10 Years</t>
  </si>
  <si>
    <t>Value as on 15th October 2018</t>
  </si>
  <si>
    <t>We have not received any document/supporting regarding the status of the Income Tax. However the amount belongs to last financial year current tax assets i.e. 2022-23. In general circumstances the amount of income tax which is asset for the company, belongs to government so it is fully recoverable, as the company is running its operations hence it will be able to recover it in future. Therefore, we have consider fair market value and liquidation value to be at 100% of the book value.</t>
  </si>
  <si>
    <t>As per list of projects, provided by the company for the deposits, these deposits include deposits with Govt authorities and corporates, towards various facilities like electricity deposit, rent deposit and other payables. It is also informed by company, that these deposits will be adjusted with the corresponding rent, electricity and other payables. As per financials of the company, these non-current deposits are considered good in the book of accounts, it means company will get economic benifit of these deposits. Therefore, as it is said above they will be adjusted against corresponding liabilities. Hence, we have considered fair market value as well as liquidation value to be NIL.</t>
  </si>
  <si>
    <t>As per list of projects, provided by the company for the deposits, these deposits include deposits with Govt authorities and corporates, towards various facilities like electricity deposit, rent deposit and other payables. It is also informed by company, that these deposits will be adjusted with the corresponding rent, electricity and other payables. As per financials of the company, these current deposits are considered good in the book of accounts, it means company will get economic benifit of these deposits. Therefore, as it is said above they will be adjusted against corresponding liabilities. Hence, we have considered fair market value as well as liquidation value to be NIL.</t>
  </si>
  <si>
    <t xml:space="preserve">As per financials of the company, Rs 13.32 Crores of advances and prepaid expenses are given to vendors. Project status of these advances can be Active/ terminated/ stalled/ foreclosed. We have not received any document regarding the reason of pendency, status of recovery etc.  Considering the age of advances and in the absence of documentary evidence or appropriate actions by the company / legal recourse to recover the above advances, it has been decided that we will consider only those projects which are going on or completed after 2018. Here we had also considered Insolvency Bankruptcy code (IBC), 2016, section 53. The said section deals with the mechanism for the distribution of assets under the liquidation of the company. Therefore the fair market value and for liquidation value for this current assets will comes out 7.14 Crs. </t>
  </si>
  <si>
    <t>In the absence of accessible contract documentation and ongoing project status updates, we have determined that for non-current projects - WIP, 70% of the book value will be the fair market value. This choice is the result of a thorough analysis that considers the nature of project completion and contract billing. As the project comes to a close, the contractor's work will be meticulously examined, taking into account all necessary corrections to precisely estimate the final billing amount. Additionally, the post-contract period may introduce shifts in the perception of the overall situation, potentially influencing the valuation. Because of these several factors, we have decided to apply a 30% discount to the book value. With this strategy, the genuine market value is reflected while taking into consideration any complexities that may develop over the course of the project's lifecycle.
For liquidation value of contract assets - Work-in-progress, we are considering 50% of the fair market value, because at the time of liquidation there can be dispute between parties and legality can be arises and breach of contract regarding any terms and conditions can be possible. Therefore, after considering all the facts, we are giving 50% discount to the fair market value.</t>
  </si>
  <si>
    <t>In the absence of accessible contract documentation and ongoing project status updates, we have determined that for current projects - WIP, 80% of the book value will be the fair market value. This choice is the result of a thorough analysis that considers the nature of project completion and contract billing. As the project comes to a close, the contractor's work will be meticulously examined, taking into account all necessary corrections to precisely estimate the final billing amount. Additionally, the post-contract period may introduce shifts in the perception of the overall situation, potentially influencing the valuation. Because of these several factors, we have decided to apply a 20% discount to the book value. With this strategy, the genuine market value is reflected while taking into consideration any complexities that may develop over the course of the project's lifecycle.
For liquidation value of contract assets - Work-in-progress, we are considering 60% of the fair market value, because at the time of liquidation there can be dispute between parties and legality can be arises and breach of contract regarding any terms and conditions can be possible. Therefore, after considering all the facts, we are giving 40% discount to the fair market value.</t>
  </si>
  <si>
    <t xml:space="preserve">Upon reviewing the financial statement of the company as of March 31, 2023, which has been furnished to us for the purpose of valuation, we have observed that there are balances reflected in both the Current assets category, which pertain to dealings with Government/Statutory Authorities. Unfortunately, we have not received any subsequent updates or status reports from the company regarding these balances.
Conversely, within the company's liabilities, there are outstanding statutory dues that are also associated with the aforementioned authorities. Given the absence of any forthcoming information from the company, we are making the assumption that the balances present in the Current assets category will eventually offset the statutory dues that are payable over the course of the year. Hence, it has been decided to treat the fair value and liquidation value of the receivables as NIL. </t>
  </si>
  <si>
    <t>OTHER NON-CURRENT ASSETS - RETENTION MONEY</t>
  </si>
  <si>
    <t>Fair Value Assessment</t>
  </si>
  <si>
    <t>Realization Value Assessment</t>
  </si>
  <si>
    <t xml:space="preserve"> -</t>
  </si>
  <si>
    <t>Retention Money</t>
  </si>
  <si>
    <t>XI</t>
  </si>
  <si>
    <t>Schedule of Trade Receivable - Mar-23</t>
  </si>
  <si>
    <t>Sector</t>
  </si>
  <si>
    <t>Project</t>
  </si>
  <si>
    <t>Name of Customer</t>
  </si>
  <si>
    <t>Oil &amp; Gas</t>
  </si>
  <si>
    <t>PHPL</t>
  </si>
  <si>
    <t>Gail India Ltd</t>
  </si>
  <si>
    <t>KKMBPL-IVA</t>
  </si>
  <si>
    <t>Ports</t>
  </si>
  <si>
    <t>Dighi Port Ltd</t>
  </si>
  <si>
    <t xml:space="preserve">Irrigation </t>
  </si>
  <si>
    <t>Annupur</t>
  </si>
  <si>
    <t>MOSERBEAR</t>
  </si>
  <si>
    <t>GVMC</t>
  </si>
  <si>
    <t>Polavaram</t>
  </si>
  <si>
    <t>MAYTAS - NCC JV</t>
  </si>
  <si>
    <t>Bhupathipalem</t>
  </si>
  <si>
    <t>I &amp; CAD AP</t>
  </si>
  <si>
    <t>Tadipudi</t>
  </si>
  <si>
    <t>Lingala</t>
  </si>
  <si>
    <t>Pranahita package - 7</t>
  </si>
  <si>
    <t>MAYTAS - MEIL-ABB-AAG JV</t>
  </si>
  <si>
    <t>Pranahita Package 8</t>
  </si>
  <si>
    <t>MEIL-SEW-MAYTAS-BHEIL Consortium</t>
  </si>
  <si>
    <t>Pranahita Package 5</t>
  </si>
  <si>
    <t>MEIL-MAYTAS-ABB-AAG JV</t>
  </si>
  <si>
    <t>HMWSS-Water works</t>
  </si>
  <si>
    <t>L&amp;T - KBL - MAYTAS JV</t>
  </si>
  <si>
    <t xml:space="preserve">HNSS Madanapally </t>
  </si>
  <si>
    <t>MEIL-MAYTAS - KBL JV</t>
  </si>
  <si>
    <t>Pogonda Project</t>
  </si>
  <si>
    <t>Udayasamudram</t>
  </si>
  <si>
    <t>MAYTAS - MEIL - KBL JV</t>
  </si>
  <si>
    <t>Anampally</t>
  </si>
  <si>
    <t>GNSS Package LI - 03</t>
  </si>
  <si>
    <t>MAYTAS - KBL JV</t>
  </si>
  <si>
    <t>Dummugudem Pkg 5</t>
  </si>
  <si>
    <t>MEIL - MAYTAS - AAG JV</t>
  </si>
  <si>
    <t xml:space="preserve">Korisapadu Project </t>
  </si>
  <si>
    <t>MAYTAS - KCCPL- FLOWMORE JV</t>
  </si>
  <si>
    <t>Dummugudem Pkg 4</t>
  </si>
  <si>
    <t>NEF Railways T-12</t>
  </si>
  <si>
    <t>MAYTAS - SUSHEE JV</t>
  </si>
  <si>
    <t>Muchumarri</t>
  </si>
  <si>
    <t>MEIL - MAYTAS - WIPL  JV</t>
  </si>
  <si>
    <t>Dummugudem Pkg 1</t>
  </si>
  <si>
    <t>NEF Railway - 8&amp;9</t>
  </si>
  <si>
    <t>NF Railways</t>
  </si>
  <si>
    <t>Railways</t>
  </si>
  <si>
    <t>DFCCI</t>
  </si>
  <si>
    <t>ILFS- GPT JV</t>
  </si>
  <si>
    <t>BMP-Sholapur</t>
  </si>
  <si>
    <t>ILFA-Kalindee JV</t>
  </si>
  <si>
    <t>BMRCL - II</t>
  </si>
  <si>
    <t>Bagalore Metro Rail Limited</t>
  </si>
  <si>
    <t>KMR</t>
  </si>
  <si>
    <t>Rail Vikas Nigam Limited</t>
  </si>
  <si>
    <t>NMR</t>
  </si>
  <si>
    <t>Nagpur Metro Rail Limited</t>
  </si>
  <si>
    <t>MEGA</t>
  </si>
  <si>
    <t>Metro Link Express for Gandhinagar and Ahmedabad (MEGA) Company Limited</t>
  </si>
  <si>
    <t>PMHO</t>
  </si>
  <si>
    <t>Terra Infra Development (P) Ltd-ORR</t>
  </si>
  <si>
    <t>Terra Infra Development (P) Ltd-PTTL</t>
  </si>
  <si>
    <t>Ratna Infrastructures projects Pvt ltd</t>
  </si>
  <si>
    <t xml:space="preserve">IL&amp;FS Transportation Networks Limited </t>
  </si>
  <si>
    <t>SPUR INFRASTRUCTURES PVTD</t>
  </si>
  <si>
    <t>SGSR Infra Pvt Ltd</t>
  </si>
  <si>
    <t>Sterna India Oil &amp; Gas Pvt. Ltd.</t>
  </si>
  <si>
    <t>Roads</t>
  </si>
  <si>
    <t>DLF</t>
  </si>
  <si>
    <t>DLF Limited</t>
  </si>
  <si>
    <t>Nagaland</t>
  </si>
  <si>
    <t>Maytas -Gayatri Jv,  PWD (NH) Nagaland</t>
  </si>
  <si>
    <t>Assam-25</t>
  </si>
  <si>
    <t>National Highway Authority of India Limited</t>
  </si>
  <si>
    <t>ORR -HYD</t>
  </si>
  <si>
    <t>Cyberabad Expressway Limited</t>
  </si>
  <si>
    <t>Assam-17</t>
  </si>
  <si>
    <t>Patna-Gaya</t>
  </si>
  <si>
    <t>Birpur</t>
  </si>
  <si>
    <t>MoRTH</t>
  </si>
  <si>
    <t>PSRP</t>
  </si>
  <si>
    <t>ILFS Transportation and Networks Limited</t>
  </si>
  <si>
    <t>Bidar</t>
  </si>
  <si>
    <t>Trichy</t>
  </si>
  <si>
    <t>Indu Projects Limited</t>
  </si>
  <si>
    <t>Buildings</t>
  </si>
  <si>
    <t>Hillcounty-3039</t>
  </si>
  <si>
    <t>Maytas Properties Limited</t>
  </si>
  <si>
    <t>Marbella</t>
  </si>
  <si>
    <t>EMMAR</t>
  </si>
  <si>
    <t>Gurgaon Hills</t>
  </si>
  <si>
    <t>IREO</t>
  </si>
  <si>
    <t>Palm Garden</t>
  </si>
  <si>
    <t xml:space="preserve">EMMAR MGF </t>
  </si>
  <si>
    <t>Aanand Vilas</t>
  </si>
  <si>
    <t>Puri Inter national p ltd.</t>
  </si>
  <si>
    <t>Gift</t>
  </si>
  <si>
    <t>ANC Contracting India Pvt Ltd</t>
  </si>
  <si>
    <t>Palm Terrace</t>
  </si>
  <si>
    <t>Orchid Heights</t>
  </si>
  <si>
    <t>Neelkamal Realtors Towers  Pvt Ltd.</t>
  </si>
  <si>
    <t>La-Tropicana</t>
  </si>
  <si>
    <t>PARSVNATH LANDMARK DEVELOPERS PVT LTD</t>
  </si>
  <si>
    <t>Cranin</t>
  </si>
  <si>
    <t>Power</t>
  </si>
  <si>
    <t>Ambedkarnagar -PW061</t>
  </si>
  <si>
    <t>MVVNL</t>
  </si>
  <si>
    <t>WBSEDCL- PW57-59</t>
  </si>
  <si>
    <t>WBSEDCL</t>
  </si>
  <si>
    <t>Bulandshahr - PW062</t>
  </si>
  <si>
    <t>PVVNL</t>
  </si>
  <si>
    <t>WBSEDCL NORTH - PW063
(North 24 Paraganas)</t>
  </si>
  <si>
    <t>Moradabad- PW64</t>
  </si>
  <si>
    <t>Amroha- PW065</t>
  </si>
  <si>
    <t>Bhuj - PW067</t>
  </si>
  <si>
    <t>PGCIL - (Bhuj Bhanaskanta Transmission Line - TW02)</t>
  </si>
  <si>
    <t>Bhuj_2 - PW068</t>
  </si>
  <si>
    <t>PGCIL - (Bhuj Bhanaskanta Transmission Line - TW05)</t>
  </si>
  <si>
    <t>Gonda - PW069</t>
  </si>
  <si>
    <t>IPDS South 24 Paraganas- PW070</t>
  </si>
  <si>
    <t>West Bengal State Electricity Distribution Co. Ltd.</t>
  </si>
  <si>
    <t>DDUGJY-South paragnas - PW071</t>
  </si>
  <si>
    <t>Paschim Midnapur- PW072</t>
  </si>
  <si>
    <t>sahibganj - PW073</t>
  </si>
  <si>
    <t>JHARKAND BIJLI VITARAN NIGAM LIMITED</t>
  </si>
  <si>
    <t xml:space="preserve">Jamshedpur -PW074  </t>
  </si>
  <si>
    <t>East Singhbhum Project - PW075</t>
  </si>
  <si>
    <t>West Singhbhum Project - PW076</t>
  </si>
  <si>
    <t>PW077 Dumka-Sahibganj IPDS</t>
  </si>
  <si>
    <t xml:space="preserve">PW078 Dhanbad </t>
  </si>
  <si>
    <t>Head Office</t>
  </si>
  <si>
    <t>Vistra ITCL (India) Limited</t>
  </si>
  <si>
    <t>Others</t>
  </si>
  <si>
    <t>CORRTECH INTERNATIONAL PVT LTD</t>
  </si>
  <si>
    <t>GSPL</t>
  </si>
  <si>
    <t>Gujrat State Petro Net</t>
  </si>
  <si>
    <t>ISPRL</t>
  </si>
  <si>
    <t>Indian Strategic Petroleum Reserves Limited</t>
  </si>
  <si>
    <t>GUJRAT</t>
  </si>
  <si>
    <t>KOCHI-I</t>
  </si>
  <si>
    <t>KKMBPL-IVB</t>
  </si>
  <si>
    <t>DDPL</t>
  </si>
  <si>
    <t>Gandikota</t>
  </si>
  <si>
    <t>HO Irrigation Sector</t>
  </si>
  <si>
    <t>IL&amp;FS ECC Ltd</t>
  </si>
  <si>
    <t>Indira Dummugudem</t>
  </si>
  <si>
    <t>Megha Engineering &amp; Infrastructures Ltd</t>
  </si>
  <si>
    <t>HNSS Phase - I</t>
  </si>
  <si>
    <t xml:space="preserve">-  do - </t>
  </si>
  <si>
    <t>Rajiv Dummugudem</t>
  </si>
  <si>
    <t>Sirisilla</t>
  </si>
  <si>
    <t>HNSS Phase - II</t>
  </si>
  <si>
    <t>PMIS  LI - 02 (Pipe Line)</t>
  </si>
  <si>
    <t>Gandikota Pack  -2</t>
  </si>
  <si>
    <t>HNSS Pump House - 3</t>
  </si>
  <si>
    <t>HNSS Pump House - 2</t>
  </si>
  <si>
    <t>HNSS Pump House - 5</t>
  </si>
  <si>
    <t>HNSS Pump House - 1</t>
  </si>
  <si>
    <t>PMIS  LI - 02</t>
  </si>
  <si>
    <t>HNSS Pump House - 4</t>
  </si>
  <si>
    <t>PMIS  LI - 01</t>
  </si>
  <si>
    <t>PMIS  LI - 05</t>
  </si>
  <si>
    <t>PMIS  LI - 05 (Hard rock)</t>
  </si>
  <si>
    <t>HNSS Pump House - 8</t>
  </si>
  <si>
    <t>HNSS Pump House - 7</t>
  </si>
  <si>
    <t>HNSS Pump House - 6</t>
  </si>
  <si>
    <t>Indira Dummugudem - II</t>
  </si>
  <si>
    <t>Anupanur &amp; Koppanur</t>
  </si>
  <si>
    <t>Kakatiya Thermal</t>
  </si>
  <si>
    <t>Driving Pit Tunnel</t>
  </si>
  <si>
    <t>Pumping sump</t>
  </si>
  <si>
    <t xml:space="preserve">Hydernagar Pump House </t>
  </si>
  <si>
    <t>Zaheerabad water supply</t>
  </si>
  <si>
    <t>NSRDWS Phase - I</t>
  </si>
  <si>
    <t>NSRDWS Phase - II</t>
  </si>
  <si>
    <t>RMRG-II-Viaduct</t>
  </si>
  <si>
    <t>ILFS Transportation Networks Ltd</t>
  </si>
  <si>
    <t>CMR</t>
  </si>
  <si>
    <t>ITNL - KMB JV</t>
  </si>
  <si>
    <t>ELSAMEX MAINTENANCE SERVICES LTD</t>
  </si>
  <si>
    <t>Sarala Projects Works Pvt Ltd</t>
  </si>
  <si>
    <t>SHIVAM INFRA-TECH PRIVATE LIMITED</t>
  </si>
  <si>
    <t>Vasishta Constructions Pvt ltd</t>
  </si>
  <si>
    <t>PES</t>
  </si>
  <si>
    <t>SDM Projects (P) Ltd</t>
  </si>
  <si>
    <t>Sivakumar Bavineni</t>
  </si>
  <si>
    <t>Goyals Timber Technicks Ltd</t>
  </si>
  <si>
    <t>JMC Projects (india) Ltd</t>
  </si>
  <si>
    <t>PMR Infra India (P) Ltd</t>
  </si>
  <si>
    <t>DHARANI ENTERPRISES</t>
  </si>
  <si>
    <t>SDM Projects (P) Ltd.</t>
  </si>
  <si>
    <t>Rockmore Aggregates</t>
  </si>
  <si>
    <t>PRAPURNA TRADING PVT. LTD</t>
  </si>
  <si>
    <t xml:space="preserve">HIRANANDANI PALACE GARDENS PVT LTD .   </t>
  </si>
  <si>
    <t>Gayatri Projects</t>
  </si>
  <si>
    <t>Advance stimul Engineering pvt Ltd</t>
  </si>
  <si>
    <t>KK Infrastructure</t>
  </si>
  <si>
    <t>EXEMPLAR INFRACON PVT.LTD.</t>
  </si>
  <si>
    <t xml:space="preserve">Gayatri Satya Infraworks (I) Pvt. Ltd </t>
  </si>
  <si>
    <t>Offshore infrastructures Ltd</t>
  </si>
  <si>
    <t>Megha Engineering and infrastructures Ltd</t>
  </si>
  <si>
    <t>VISHNUSURYA INFRA PROJECTS PVT LTD</t>
  </si>
  <si>
    <t>SOMA ENTERPRISES LTD</t>
  </si>
  <si>
    <t>Assam-19</t>
  </si>
  <si>
    <t>Kiratpur</t>
  </si>
  <si>
    <t>Patna-Gaya.</t>
  </si>
  <si>
    <t>IIDC</t>
  </si>
  <si>
    <t>Amamravathi</t>
  </si>
  <si>
    <t>BDA</t>
  </si>
  <si>
    <t>Bangalore Development Authority</t>
  </si>
  <si>
    <t>CG-1</t>
  </si>
  <si>
    <t>Nagarjuna Construction company limited</t>
  </si>
  <si>
    <t>Lodha</t>
  </si>
  <si>
    <t>Lodha -Pallava Buildings</t>
  </si>
  <si>
    <t>NAVAC - Hospital</t>
  </si>
  <si>
    <t xml:space="preserve">Naval Academy </t>
  </si>
  <si>
    <t>Aquapolis</t>
  </si>
  <si>
    <t>ANSAL URBAN CONDOMINIUMS PRIVATE LIMITED</t>
  </si>
  <si>
    <t>Cairn-Jodhpur</t>
  </si>
  <si>
    <t>Cairn</t>
  </si>
  <si>
    <t>Ludhyana</t>
  </si>
  <si>
    <t>Emerald lands India Pvt ltd.</t>
  </si>
  <si>
    <t>NAVAC - FR</t>
  </si>
  <si>
    <t>BSCHO</t>
  </si>
  <si>
    <t>CMT Jammu</t>
  </si>
  <si>
    <t>IT Park</t>
  </si>
  <si>
    <t>PARSVNATH LANDMARK DEVELOPERS  LTD</t>
  </si>
  <si>
    <t>DG MAP Lucknow</t>
  </si>
  <si>
    <t>Kanpur</t>
  </si>
  <si>
    <t>Closed Projects</t>
  </si>
  <si>
    <t>Shahjahanpur- PW066</t>
  </si>
  <si>
    <t>Bindavan Infrastructure</t>
  </si>
  <si>
    <t>J.Kumar Infrastructure  Ltd</t>
  </si>
  <si>
    <t>INTERBUILD INFRASTRUCTURE (Pvt) LTD</t>
  </si>
  <si>
    <t>Schedule of Deposits as on March-2023</t>
  </si>
  <si>
    <t xml:space="preserve">Project </t>
  </si>
  <si>
    <t>Current</t>
  </si>
  <si>
    <t>Non Current</t>
  </si>
  <si>
    <t xml:space="preserve">AMBEDKARNAGAR </t>
  </si>
  <si>
    <t>AMROHA</t>
  </si>
  <si>
    <t>Annad Vilas-3054</t>
  </si>
  <si>
    <t>Irrigation</t>
  </si>
  <si>
    <t>Anuppur</t>
  </si>
  <si>
    <t xml:space="preserve">BHUJ TW02 </t>
  </si>
  <si>
    <t>BMP</t>
  </si>
  <si>
    <t>BMR</t>
  </si>
  <si>
    <t>BRGF-SOUTH</t>
  </si>
  <si>
    <t>CMT-JV1</t>
  </si>
  <si>
    <t>Corporate</t>
  </si>
  <si>
    <t>DDUGJUY</t>
  </si>
  <si>
    <t>DHUMKA</t>
  </si>
  <si>
    <t xml:space="preserve">GONDA </t>
  </si>
  <si>
    <t>Gurgaon</t>
  </si>
  <si>
    <t>Gurgaon Hills-3055</t>
  </si>
  <si>
    <t>IEINPMCWS</t>
  </si>
  <si>
    <t>IPDS 24 PARAGANAS</t>
  </si>
  <si>
    <t>JAMSHEDPUR</t>
  </si>
  <si>
    <t>KKBMP - IVA</t>
  </si>
  <si>
    <t>KKBMPL IVA</t>
  </si>
  <si>
    <t>KKBMPL IVB</t>
  </si>
  <si>
    <t>KKBMPL SEC-1</t>
  </si>
  <si>
    <t xml:space="preserve">Mangalore Pipeline Project </t>
  </si>
  <si>
    <t>NEF Railway 8 &amp; 9</t>
  </si>
  <si>
    <t xml:space="preserve">PASCHIM MIDNAPORE </t>
  </si>
  <si>
    <t>PWCHO</t>
  </si>
  <si>
    <t xml:space="preserve">SAHIBGANJ </t>
  </si>
  <si>
    <t>SHAHJAHANPUR</t>
  </si>
  <si>
    <t>SMP</t>
  </si>
  <si>
    <t>Villas Marbella -3052</t>
  </si>
  <si>
    <t>WB-N (IEINPW063)</t>
  </si>
  <si>
    <t>Net Amount</t>
  </si>
  <si>
    <t>Project Status
Active/ terminated/ stalled/ foreclosed</t>
  </si>
  <si>
    <t>When was this amount billed/ period since when the amount is standing in books</t>
  </si>
  <si>
    <t>Completed</t>
  </si>
  <si>
    <t>Amravathi</t>
  </si>
  <si>
    <t>Foreclosed</t>
  </si>
  <si>
    <t>Building</t>
  </si>
  <si>
    <t xml:space="preserve"> Kochi Kootanad Bangalore Mangalore Pipeline Project </t>
  </si>
  <si>
    <t>Annampally</t>
  </si>
  <si>
    <t>Assam 19</t>
  </si>
  <si>
    <t>Assam 25</t>
  </si>
  <si>
    <t>BAPL</t>
  </si>
  <si>
    <t>Terminated</t>
  </si>
  <si>
    <t>BHUJ TW05</t>
  </si>
  <si>
    <t>Ongoing</t>
  </si>
  <si>
    <t>BULANDSHAR</t>
  </si>
  <si>
    <t>Department</t>
  </si>
  <si>
    <t>DFC</t>
  </si>
  <si>
    <t>DHANBAD</t>
  </si>
  <si>
    <t xml:space="preserve">Dobhi Durgapur Pipeline Project </t>
  </si>
  <si>
    <t>Dummugudem - 1</t>
  </si>
  <si>
    <t>Stalled Project</t>
  </si>
  <si>
    <t>E Mall-3028</t>
  </si>
  <si>
    <t>EAST SINGHBHUM</t>
  </si>
  <si>
    <t>EMMAR - 3045</t>
  </si>
  <si>
    <t>Gift-3040</t>
  </si>
  <si>
    <t xml:space="preserve">H.O Oil and Gas Sector </t>
  </si>
  <si>
    <t xml:space="preserve">HDP-Halol - Dahod Pipeline </t>
  </si>
  <si>
    <t>Hil County-3039</t>
  </si>
  <si>
    <t>HO</t>
  </si>
  <si>
    <t>HO Irrigation</t>
  </si>
  <si>
    <t>IEINPMCHO</t>
  </si>
  <si>
    <t>IEINPMCWH</t>
  </si>
  <si>
    <t>IIT Chennai-3022</t>
  </si>
  <si>
    <t>IIT G Type-3037</t>
  </si>
  <si>
    <t>KC Canal LCB-02</t>
  </si>
  <si>
    <t>KLI</t>
  </si>
  <si>
    <t>KNC</t>
  </si>
  <si>
    <t>La-Tropicana-3043</t>
  </si>
  <si>
    <t>Lodha-3056</t>
  </si>
  <si>
    <t>Mahindra-3048</t>
  </si>
  <si>
    <t>MORADABAD</t>
  </si>
  <si>
    <t>NAVAC Hospital-3020</t>
  </si>
  <si>
    <t>ONG SECTOR</t>
  </si>
  <si>
    <t>Palm-3047</t>
  </si>
  <si>
    <t>Patna</t>
  </si>
  <si>
    <t>PLRP</t>
  </si>
  <si>
    <t>Pranahita Package - 7</t>
  </si>
  <si>
    <t>Sector-3000</t>
  </si>
  <si>
    <t>Sitapally Vagu</t>
  </si>
  <si>
    <t>WEST SINGHBHUM</t>
  </si>
  <si>
    <t>Ageing of future recobverability</t>
  </si>
  <si>
    <t>Will be adjusted with Pre October 2018 liability</t>
  </si>
  <si>
    <t>FY 2025</t>
  </si>
  <si>
    <t>FY 2024</t>
  </si>
  <si>
    <t>List of Projects for Advances to Vendor as on March-2023</t>
  </si>
  <si>
    <t>Schedule of Advances to vendors/contractors</t>
  </si>
  <si>
    <t>Ongoing Projects</t>
  </si>
  <si>
    <t>NCD</t>
  </si>
  <si>
    <t>Premium on NCD</t>
  </si>
  <si>
    <t>Interest on NCD</t>
  </si>
  <si>
    <t>Payment towards NCD</t>
  </si>
  <si>
    <t>Preference shares</t>
  </si>
  <si>
    <t>Premium on preference shares</t>
  </si>
  <si>
    <t>Payment towards preference shares</t>
  </si>
  <si>
    <t>As per the Bank statement provided by the company, the amount given under the head balance with Banks: on current accounts is matched. Hence we have consider fair market value and liquidation value to be at 100% of the book value. Also there is a recent development in the investment of the company i.e. a sale of investments in BETPL to KKR of Non-convertible debentures and preference shares. Hence payments towards NCD's is 38.62 Crs and Payment towards preference shares is 24.39 Crs, in total 63.02 Crs comes in the account of the company. Hence we have considered it in balance with banks, even it is not updated in the balance sheet of IL&amp;FS.</t>
  </si>
  <si>
    <t>Trade receivable realization</t>
  </si>
  <si>
    <t>Gross TR</t>
  </si>
  <si>
    <t>Total Provisions</t>
  </si>
  <si>
    <t>Net TR</t>
  </si>
  <si>
    <t>FY24</t>
  </si>
  <si>
    <t>FY25</t>
  </si>
  <si>
    <t>FY26</t>
  </si>
  <si>
    <t>Year</t>
  </si>
  <si>
    <t>Net Recovery</t>
  </si>
  <si>
    <t>Yearly Recovery</t>
  </si>
  <si>
    <t>Discount period</t>
  </si>
  <si>
    <t>Discount Factor</t>
  </si>
  <si>
    <t>Discount Rate</t>
  </si>
  <si>
    <t>Present Value</t>
  </si>
  <si>
    <t>Net Present Value (NPV)</t>
  </si>
  <si>
    <t>Net Present Value (NPV) of Trade receivable</t>
  </si>
  <si>
    <t>A+/Stable</t>
  </si>
  <si>
    <t>CARE D; ISSUER NOT COOPERATING</t>
  </si>
  <si>
    <t>AAA/Stable</t>
  </si>
  <si>
    <t>EVOLVING - Long Term Issuer Default Rating, BBB-</t>
  </si>
  <si>
    <t>A Union Government Company is a Public Sector Undertaking - In Loss - 9931 as on  31st March 2022
https://www.isprlindia.com/downloads/annual-reports/ISPRL-ANNUAL-REPORT-FY-2021-22.pdf</t>
  </si>
  <si>
    <t>State Govt company - Estimated Revenue - 6305
https://jbvnl.co.in/upload/TXD2M4.Budget%20(P)%202023-24.pdf</t>
  </si>
  <si>
    <t>PVVNL (Pashchimanchal Vidyut Vitran Nigam Limited)</t>
  </si>
  <si>
    <t>State Govt company - In Profit - 985 as on 31st March 2023
https://pvvnl.org/wp-content/uploads/2023/08/B.S_30.06.2023.pdf</t>
  </si>
  <si>
    <t>MVVNL (Madhyanchal Vidyut Vitran Nigam Ltd.)</t>
  </si>
  <si>
    <t>State Govt company - In loss - 4877 - 31st March 2023
http://www.mvvnl.in/site/writereaddata/siteContent/202308141609114437MVVNL%20BALANCE%20SHEET%202023-24%20Q1.pdf</t>
  </si>
  <si>
    <t>Company Status: Strike Off</t>
  </si>
  <si>
    <t>MoRTH (The Ministry of Road Transport and Highways)</t>
  </si>
  <si>
    <t>Government Ministry</t>
  </si>
  <si>
    <t>AA-; reaffirmed and outlook 
revised to ‘Positive’ from ‘Stable’</t>
  </si>
  <si>
    <t>CARE B-; Stable / CARE A4; 
ISSUER NOT COOPERATING*</t>
  </si>
  <si>
    <t>Total provision</t>
  </si>
  <si>
    <t>After Discount</t>
  </si>
  <si>
    <t>Outstanding After FY26</t>
  </si>
  <si>
    <t>FY 24</t>
  </si>
  <si>
    <t>FY 25</t>
  </si>
  <si>
    <t>FY 26</t>
  </si>
  <si>
    <t>Yearly Realization</t>
  </si>
  <si>
    <t>PROVISIONS - 2023</t>
  </si>
  <si>
    <t>Provisions For Trade Receivables</t>
  </si>
  <si>
    <t xml:space="preserve">As per financials of the company, company has made provisions for doubtful financial assets to the extent that there is no realistic prospect of recovery. The company failed to provide adequate justification for implementing these provisions. As the company considered that the project company does not have assets or sources of income that could generate sufficient cash flow to repay the amount subject to the provisions. Hence, by conducting secondary research on the top 20 project companies involved, we have gathered information from existing sources such as credit ratings, financials, Annual reports, published articles, and online databases. Based on this information, we get an idea of credit worthiness of the project company and given the discount accordingly. 
We have calculated the total amount for top 20 project companies, after discount. And also calculated the percentage of the after-discount amount against the provisions made for the same.
To calculate the fair market value, we have considered the product of the total provisions made for doubtful financial assets and the said percentage. 
In case of liquidation value, we have considered only those project companies who’s credit ratings are AAA/AA/A or stable and Government or State Government companies. </t>
  </si>
  <si>
    <t>Provision for Loans</t>
  </si>
  <si>
    <t>As per financial of the company, provision for doubtful loans include two types of provisions. First provision i.e., 192.91 Crs, is made for Related Parties.  We have conducted secondary research on the top 80% related parties involved and gathered information from existing sources such as credit ratings, financials, Annual reports, published articles, and online databases. One of the related parties is Hill County properties Private Limited. HCPL is a subsidiary of IL&amp;FS and considered provision for it is 131.56 crs., which is approximately 68% of total provision for related parties. HCPL is under resolution under the aegis of National Company Law Tribunal -Mumbai Bench (NCLT). Hence, we cannot consider recoverability of this provision. In the same way we get an idea of credit worthiness of all the related parties. Most of the related parties are not in good financial situation / not earning operating revenue. Hence, we cannot consider any recoverability from the first provision. Hence, we will consider fair market value and liquidation value to be NIL.
The other provision i.e., 378.28 Crs. is made for Inter Corporate Deposits (ICD) to various companies and for other companies. For amount 323.78 Crs. ICD had given to Satyam Computers Services Limited (SCSL). SCSL had merged into Tech Mahindra Limited (TML) Pursuant to a scheme of the companies act, 1956. TML in its audited financials as on 31st March 2023, continue to disclose as “Suspense Account (Net) Rs. 1230.40” as disclosed by SCSL earlier. Management if IL&amp;FS is of the opinion that the claim made by the company on SCSL is included in the aforesaid amount disclosed by TML in its audited financials. 
IL&amp;FS is confident of recovering the said ICDs together with the compensation due thereon from SCSL/TML, as the company had documentary evidence of these ICDs. Company had filed a case against the TML for recovery of ICD amounts and the matter is yet to listed for response from other sides. Hence for fair market value we have consider the whole amount of ICD and for liquidation value, we cannot consider this amount. 
Rest amount is approx. 54 crs, which belongs to Cyberabad Expressways Limited, Pondicherry Tindivanam Tollway Limited and Terra Projects Ltd. For CEL and PTTL, we will consider the whole amount as above in the report, we have calculated the net arbitration award amount for these two. And Terra Projects Ltd is in good financial position, hence we have considered its provisional amount. Therefore, the fair market value and liquidation value will be 54.50 Crs.</t>
  </si>
  <si>
    <t>Schedule of Interest Accrued</t>
  </si>
  <si>
    <t>Realization Plan against Mar-23 Balances</t>
  </si>
  <si>
    <t>As on Sep-2018</t>
  </si>
  <si>
    <t>As on Mar-23</t>
  </si>
  <si>
    <t>Beyond FY 26</t>
  </si>
  <si>
    <t>Interest accrued on advance to CEL</t>
  </si>
  <si>
    <t xml:space="preserve"> The recoverability may get delayed due to cash flows issues in CEL</t>
  </si>
  <si>
    <t>Interest on margin money and fixed deposits</t>
  </si>
  <si>
    <t>Interest accrued on advances to subcontractors and deposits</t>
  </si>
  <si>
    <t>Interest accrued on Nagaland claim</t>
  </si>
  <si>
    <t>It is a B2B Project and IECCL Margin is only 20%. State of Nagaland Govt.and MoRTH has challenged against award under Sec.34 before Delhi High Court. Hearings under progress.</t>
  </si>
  <si>
    <t>Net Present Value (NPV) of Interest Accrued</t>
  </si>
  <si>
    <t>INTEREST ACCRUED</t>
  </si>
  <si>
    <t>Provision for Interest Accrued</t>
  </si>
  <si>
    <t xml:space="preserve">We have not received any document/ supporting regarding the bifurcation of the said provision. </t>
  </si>
  <si>
    <t>OTHER RECEIVABLES</t>
  </si>
  <si>
    <t>Schedule of  Other Receivable</t>
  </si>
  <si>
    <t>Other receivables</t>
  </si>
  <si>
    <t>JV TDS receivables</t>
  </si>
  <si>
    <t>Other than JV TDS receivable</t>
  </si>
  <si>
    <t>Neuland</t>
  </si>
  <si>
    <t>Gross Total</t>
  </si>
  <si>
    <t>MARGIN MONEY DEPOSITS</t>
  </si>
  <si>
    <t>TAX ASSETS</t>
  </si>
  <si>
    <t>IECCL 31/03/2023</t>
  </si>
  <si>
    <t>Adv. Tax/TDS receivable</t>
  </si>
  <si>
    <t>Actuals</t>
  </si>
  <si>
    <t>Expected</t>
  </si>
  <si>
    <t>TDS Receivable for AY  2023-24(as per 26AS)</t>
  </si>
  <si>
    <t>ITR not yet filed</t>
  </si>
  <si>
    <t>TDS for current  year AY 2021-22</t>
  </si>
  <si>
    <t>TDS Receivable for AY  2020-21</t>
  </si>
  <si>
    <t>TDS Receivable for AY  2019-20</t>
  </si>
  <si>
    <t>TDS Receivable for AY  2018-19</t>
  </si>
  <si>
    <t>TDS Receivable for AY  2017-18</t>
  </si>
  <si>
    <t>TDS Receivable for AY  2016-17</t>
  </si>
  <si>
    <t>Asst.completed refund not paid</t>
  </si>
  <si>
    <t>TDS Receivable for AY  2015-16</t>
  </si>
  <si>
    <t>Refund partly paid bal to be received</t>
  </si>
  <si>
    <t>Refund receivable pending  Before :</t>
  </si>
  <si>
    <t>Commissioner of Income Tax (CIT)/Income Tax Appellate Tribunal (ITAT)-Appeals from 2008-09 to 2014-15</t>
  </si>
  <si>
    <t>Refund receivable on CIT A order Rs. 18.07  Expected refund on ITAT order Rs. 14.29</t>
  </si>
  <si>
    <t>ITAT-Appeals  for AY 2009-10 to 2011-12  reopening u/s  147/263</t>
  </si>
  <si>
    <t>Refund receivable on CIT A order Rs. 1.95  Expected refund on ITAT order Rs. 4.95</t>
  </si>
  <si>
    <t>as per books</t>
  </si>
  <si>
    <t>Diff</t>
  </si>
  <si>
    <t>Balance to be received</t>
  </si>
  <si>
    <t>Tax Assets</t>
  </si>
  <si>
    <t>Recoverability</t>
  </si>
  <si>
    <t>Realization Plan</t>
  </si>
  <si>
    <t>The Deposits represents rent, electricity and other deposits.These deposits will be adjusted with the corresponding rent, electricity and other payables</t>
  </si>
  <si>
    <t>Net Present Value (NPV) of Deposits</t>
  </si>
  <si>
    <t>As per financials of the company, Rs 18.51 Crores of advances and prepaid expenses are given to vendors. Project status of these advances can be Active/ terminated/ stalled/ foreclosed. We have not received any document regarding the reason of pendency, status of recovery etc.  Considering the age of advances and in the absence of documentary evidence or appropriate actions by the company / legal recourse to recover the above advances, it has been decided that we will consider only those projects which are going on or completed after 2018. Therefore the fair market value of this current assets will comes out 4.46 Crs.
For liquidation value we have considered Insolvency Bankruptcy code (IBC), 2016, section 53. Section 53 of the IBC, 2016 outlines the distribution of assets during the liquidation process. In the case of vendor advances, the application of Section 53 depends on the nature and classification of the vendor advance.
If the vendor advance is classified as a financial debt, it would be considered as an unsecured claim and would be ranked below other debts that have higher priority, such as secured creditors and workmen dues. In such cases, the vendor advance may have a lower chance of recovery during the liquidation process.
However, if the vendor advance is categorized as an operational debt, it would have a higher priority compared to unsecured financial debts. Operational debts are given priority in terms of distribution of assets during the liquidation process, and vendors with operational debts may have a better chance of recovering their dues. 
Here the advances to vendor (Other than Capital Advances) &amp; Prepaid Expense are operational debt. Therefore, we have considered the liquidation value as 100% of the fair market value.
It's important to note that the application of Section 53 and the treatment of vendor advances can vary depending on the specific circumstances, the claims made by other creditors, and the decisions of the insolvency resolution professional or the liquidator appointed for the liquidation process.</t>
  </si>
  <si>
    <t xml:space="preserve">As per financials of the company and data / information provided by company, balances with statutory / government authorities belongs to sales tax deducted at source, service tax deducted at source and GST input credit. The service provider can claim this whole amount in the income tax return. Hence this amount is fully recoverable. Therefore, we have considered fair market value and liquidation value to be at 100% of book value. 
Conversely, within the company's liabilities, there are outstanding statutory dues that are also associated with the aforementioned authorities under the head other liabilities. Hence at the time settlement, assets amount will be set off against liabilities. </t>
  </si>
  <si>
    <t>Description</t>
  </si>
  <si>
    <t>Rs. In Cr</t>
  </si>
  <si>
    <t>Realization status</t>
  </si>
  <si>
    <t>Sales Tax deducted at source</t>
  </si>
  <si>
    <t>Will be realized or adjusted once the assessment is completed</t>
  </si>
  <si>
    <t>Service Tax deducted at source</t>
  </si>
  <si>
    <t>GST input credit</t>
  </si>
  <si>
    <t>Realization plan</t>
  </si>
  <si>
    <t>Project work in progress break up - Mar-23</t>
  </si>
  <si>
    <t>Projects</t>
  </si>
  <si>
    <t>Amount in Cr</t>
  </si>
  <si>
    <t>Adjusted with payable to client/B2B liability</t>
  </si>
  <si>
    <t>RD043/ Birpur</t>
  </si>
  <si>
    <t>EMMAR MGF</t>
  </si>
  <si>
    <t xml:space="preserve">Villas Marbella </t>
  </si>
  <si>
    <t>Hillcounty (3039)</t>
  </si>
  <si>
    <t>Kolkata Metro Rail</t>
  </si>
  <si>
    <t>BMP Sholapur</t>
  </si>
  <si>
    <t>BMRCL-2 ( Phase-IIa)</t>
  </si>
  <si>
    <t>OG010-KKMBL-2</t>
  </si>
  <si>
    <t>OG008-Bihar</t>
  </si>
  <si>
    <t>WBSEDCL IEINPW0 57-59</t>
  </si>
  <si>
    <t>Bulandshahar- IEINPW062</t>
  </si>
  <si>
    <t>Lingala - MIL</t>
  </si>
  <si>
    <t>Pranahita Pack - 5</t>
  </si>
  <si>
    <t>Orchid heights</t>
  </si>
  <si>
    <t>Muchumarry</t>
  </si>
  <si>
    <t>Port</t>
  </si>
  <si>
    <t>DIGI Port</t>
  </si>
  <si>
    <t>Korisapadu</t>
  </si>
  <si>
    <t>west singhbhum</t>
  </si>
  <si>
    <t>RE WORKS IN-sahibganj</t>
  </si>
  <si>
    <t>Dumka - (PW077)</t>
  </si>
  <si>
    <t>Dhanbad - (PW078)</t>
  </si>
  <si>
    <t>Surat Metro Rail</t>
  </si>
  <si>
    <t>Outstanding amount beyond FY 26</t>
  </si>
  <si>
    <t>Subsequent collection</t>
  </si>
  <si>
    <t>Retention Money realization</t>
  </si>
  <si>
    <t>Gross RM</t>
  </si>
  <si>
    <t>Net RM</t>
  </si>
  <si>
    <t>Adjusted with payble of client/B2B Contractors</t>
  </si>
  <si>
    <t>Net Present Value (NPV) of Retention Money</t>
  </si>
  <si>
    <t>Outstanding Amount after FY26</t>
  </si>
  <si>
    <t>As per data / information shared by company, tax assets of IECCL belongs to TDS receivables. Company has provided year wise details like actual amount and expected receivable amount, for last 15 years of TDS receivables. TDS receivable is the amount of income tax, which is deducted by the receiver of the service from the total payable amount and deposited to the IT department on behalf of the provider of the service. The provider of the service can claim this amount in the income tax return. As per the details provided by the company, TDS receivables balance amount comes out 60.44 Crs. Therefore, we have considered fair market value to be at 60.44 Crs. 
For liquidation value on piecemeal basis, these TDS receivables does not hold any benefit to the company. Therefore, we have considered liquidation value to be NIL.</t>
  </si>
  <si>
    <t>Interest Accrued</t>
  </si>
  <si>
    <t>Margin Money</t>
  </si>
  <si>
    <t xml:space="preserve">Deposits </t>
  </si>
  <si>
    <t>Advances to Vandor</t>
  </si>
  <si>
    <t>Balance Statory Authority</t>
  </si>
  <si>
    <t>Contract Assets-WIP</t>
  </si>
  <si>
    <t>Land</t>
  </si>
  <si>
    <t>Plant &amp; Machinery</t>
  </si>
  <si>
    <t>Right-of-use-assets</t>
  </si>
  <si>
    <t>Claim for Performance Bank Guarantee</t>
  </si>
  <si>
    <t>Claims for Performance Bank Guarantee</t>
  </si>
  <si>
    <t>XII</t>
  </si>
  <si>
    <t>XIII</t>
  </si>
  <si>
    <t>XIV</t>
  </si>
  <si>
    <t>Cash &amp; Cash Equivalents</t>
  </si>
  <si>
    <t>1.	Assessment is done based on the discussions done with the banker/ company and the details which they could provide to us on our queries.
2.	All the notes on the current status of amount recovery are given by company/ banker. Notes and data provided by company/ banker has been relied upon in good faith on the basis of which independent potential value assessment of the Current assets has been carried out.
3.	For the basis of arriving at the Value of each Current assets, please refer to the specific annexure.
4.	This is just a general assessment on the basis of general Industry practice based on the details which the company/ banker could provide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company officials/ banker that what is the minimum amount can be recovered out of the receivables, loans &amp; advances, etc.
6.	No audit of any kind is performed by us from the books of account or ledger statements and all this data/ information/ input/ details provided to us by the company/ banker are taken as is it on good faith that these are factually correct information.</t>
  </si>
  <si>
    <t>1. Assessment is done based on the discussions done with the banker/ company and the details which they could provide to us on our queries.
2. All the notes on the current status of amount recovery are given by company/ banker. Notes and data provided by company/ banker has been relied upon in good faith on the basis of which independent potential value assessment of the Current assets has been carried out.
3. For the basis of arriving at the Value of each Current assets, please refer to the specific annexure.
4. This is just a general assessment on the basis of general Industry practice based on the details which the company/ banker could provide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company officials/ banker that what is the minimum amount can be recovered out of the receivables, loans &amp; advances, etc.
6. No audit of any kind is performed by us from the books of account or ledger statements and all this data/ information/ input/ details provided to us by the company/ banker are taken as is it on good faith that these are factually correct information.</t>
  </si>
  <si>
    <t>Deposits (Others)</t>
  </si>
  <si>
    <t>Advances to Vendor</t>
  </si>
  <si>
    <t>Schedule of Contract Assets - Project Work-in-Progress</t>
  </si>
  <si>
    <t>Liquidation</t>
  </si>
  <si>
    <t xml:space="preserve">As informed by the Bank, IL&amp;FS has sold preferential shares in BETPL to KKR for Rs. 24.39 Crs. Hence, this amount has been included under balance with banks within Cash &amp; Cash equivalent head and taken off from the investment. This information has been totally relied upon as per email dated: 04.09.2023 of the Bank since this sale amount has not been reflected under provisional balance sheet of 2022-23 provided to us.
</t>
  </si>
  <si>
    <t>As informed by the Bank, IL&amp;FS has sold preferential shares in BETPL to KKR for Rs. 38.62 Crs. Hence, this amount has been included under balance with banks within Cash &amp; Cash equivalent head and taken off from the investment. This information has been totally relied upon as per email dated: 04.09.2023 of the Bank since this sale amount has not been reflected under provisional balance sheet of 2022-23 provided to us.</t>
  </si>
  <si>
    <t>i.	For the recoverability of the trade receivables, company has prepared a comprehensive “Realization Plan” on year-on-year basis upto period of FY26. Based on this “Realization Plan” we have calculated the Project wise Present value of Trade Receivables. This has become the prime and sole basis of our assessment of Trade Receivables.
ii.	We have been given ageing also for Trade Receivables along with the Realization Plan but we have relied upon Realization Plan to calculate the value of Trade Receivables since this shows actionable plan for realization of the amount as it is presumed that the company have a better understanding about the creditworthiness of the debtor and their ability or inability to recover the amount from them.
iii.	As per trade receivable realization plan, Rs 36.46 Crs. will be realized in FY24, Rs 34.30 Crs. will be realized in FY25, nothing will be realized in FY26 and beyond that 54.10 Crs will be outstanding Amount. The Realization Plan as provided by the company Management is shown in Table xxxx of the report for reference.
iv.	To calculate the present value of the future realizable amount, for first 3 years, we have considered 9% (Nifty 50 Returns (CAGR) in the Last 15 Years) discount rate. For the outstanding amount after FY26, as management is not sure that when this amount will be recovered. Hence, we have given a separate discount on this amount which is 50% of outstanding amount after FY26.  Thus, the fair market value will be 89.37 Crs.
v.	For liquidation, we have only considered the amount of trade receivable for which the company has the realization plan (except outstanding amount after FY26, as company don’t have recoverability plan for this). Here, the effect of ageing, duration of the contract, litigation, dispute between parties are material, thus we have considered annually expected realization as 75% and 65% of the expected realized value in FY24 and FY25 respectively, therefore, the liquidation value would be 49.64 Crs.</t>
  </si>
  <si>
    <t>i.	As per information shared by company, these other receivables i.e., 1.40 Crs. belongs to Tax Deducted at Source (TDS) receivables. TDS receivable is the amount of income tax, which is deducted by the receiver of the service from the total payable amount and deposited to the IT department on behalf of the provider of the service. The provider of the service can claim this amount in the income tax return. 
ii.	As per the realization plan provided by the management of the company, this TDS receivable will be fully recoverable in FY25. The Realization Plan as provided by the company Management is shown in Table xxxx of the report for reference.
iii.	To calculate the present value of the realizable amount, we have considered year on year 9% (Nifty 50 Returns (CAGR) in the Last 15 Years) discount rate. Therefore, the fair market value will be 1.18 Crs.
iv.	For liquidation value on piecemeal basis, these TDS receivables does not hold any benefit to the company. Therefore, we have considered liquidation value to be NIL.</t>
  </si>
  <si>
    <t>As per audited financial statements these money market deposits are lodged with authorities and these deposits were deposited with banks towards the security against BGs issued, which has also been communicated and confirmed by Bank / Client. Hence we have considered fair market value and liquidation value as 100%.</t>
  </si>
  <si>
    <t>i.	Accrued interest refers to the amount of interest that has been earned or incurred on a loan or other financial obligation but has not yet been paid. As on 31st March, 2023, total of interest accrued is 217.08 Crs. As per discussion and data / information shared by the client / company with us, we have calculated the Present value based on realization plan provided by the management of the company. 
ii.	As per realization plan, Rs. 3.78 Crs. will be realized from interest accrued in FY24, Rs. 0.37 Crs. will be realized from interest accrued in FY25 and beyond FY25, Rs. 212.93 Crs. will be realized. The Realization Plan as provided by the company Management is shown in Table xxxx of the report for reference.
iii.	To calculate the present value of the future realizable amount, for first 5 years, we have considered year on year 9% (Nifty 50 Returns (CAGR) in the Last 15 Years) discount rate. For the outstanding amount after FY26, as management is not sure that when this amount will be recovered. Hence, we have given a separate discount on this amount which is 60% of outstanding amount after FY26.  Thus, the fair market value will be 131.54 Crs.
iv.	For liquidation, we have only considered the amount of accrued interest for which the company has the realization plan (except outstanding amount after FY26, as company don’t have recoverability plan for this). Here, the effect of ageing, duration of the contract, litigation, dispute between parties are material, thus we have considered annually expected realization as 75% and 65% of the expected realized value in FY24 and FY25 respectively, therefore, the liquidation value would be 3.08 Crs.</t>
  </si>
  <si>
    <t>As per financials of the company and data / information provided by company, balances with statutory / government authorities belongs to sales tax deducted at source i.e., 22.36 Crs., service tax deducted at source i.e., 15.61 Crs., and GST input credit i.e., 87.17 Crs. As per the realization plan provided by the management for sales tax deducted at source and service tax deducted at source, it will be realized or adjusted once the assessment is completed. Thus, Sales TDS and Service TDS are not considered for valuation and we cannot comment on what will be the final amount recoverable under this head..  
We have only considered GST input credit for the purpose of calculating the FMV of this asset class. GST Input credit means at the time of paying tax on output, company can reduce the tax which it had already paid on inputs. Hence this amount is fully recoverable. Therefore, we have calculated the fair market value accordingly and it comes out 87.17 Crs. For liquidation value on piecemeal basis, these balances with authorities does not hold any economic benefit to the company. Therefore, we have considered liquidation value to be NIL.</t>
  </si>
  <si>
    <t>i.	As per discussion and data / information shared by the client / company with us, we have calculated the Present value based on project wise details of contract assets - WIP realization plan provided by the management of the company. As per the realization plan, Rs 54.81 Crs. will be realized in FY24, Rs 100.70 Crs. will be realized in FY25, no realization will be there in FY 26 and beyond that 331.31 Crs will be outstanding Amount. The Realization Plan as provided by the company Management is shown in Table xxxx of the report for reference.
ii.	To calculate the present value of the future realizable amount, for first 3 years, we have considered 9% (Nifty 50 Returns (CAGR) in the Last 15 Years) discount rate. For the outstanding amount after FY26, as management is not sure that when this amount will be recovered. Hence, we have given a separate discount on this amount which is 75% of outstanding amount after FY26.  Thus, the fair market value will be 383.53 Crs.
iii.	For liquidation, we have only considered the amount of trade receivable for which the company has the realization plan (except outstanding amount after FY26, as company don’t have recoverability plan for this). Here, the effect of ageing, duration of the contract, litigation, dispute between parties are material, thus we have considered annually expected realization as 75% and 65% of the expected realized value in FY24 and FY25 respectively, therefore, the liquidation value would be 106.57 Crs.</t>
  </si>
  <si>
    <t>i.	As per financials of the company, retention money is the amount, which is retain by the customer till the completion of the defect liability period (DLP). As per information shared by the company, a realization plan had been prepared by the company for retention money, which is based on DLP period. 
ii.	As per the realization plan, Rs 63.33 Crs. will be realized in FY24, Rs 9.77 Crs. will be realized in FY25, 10.00 Crs. will be there in FY 26 and beyond FY26 that 222.24 Crs will be outstanding Amount. The Realization Plan as provided by the company Management is shown in Table xxxx of the report for reference.
iii.	To calculate the present value of the future realizable amount, for first 3 years, we have considered 9% (Nifty 50 Returns (CAGR) in the Last 15 Years) discount rate. For the outstanding amount after FY26, as management is not sure that when this amount will be recovered. Hence, we have given a separate discount on this amount which is 75% of outstanding amount after FY26.  Thus, the fair market value will be 240.73 Crs.
iv.	For liquidation, we have only considered the amount of trade receivable for which the company has the realization plan (except outstanding amount after FY26, as company don’t have recoverability plan for this). Here, the effect of ageing, duration of the contract, litigation, dispute between parties are material, thus we have considered annually expected realization as 75%, 65% and 50% of the expected realized value in FY24, FY25 and FY26 respectively, therefore, the liquidation value would be 58.85 Crs.</t>
  </si>
  <si>
    <t>As per financials of the company, Rs 31.83 Crores of advances and prepaid expenses are given to vendors. Project wise status of these advances can be Active/ terminated/ stalled/ foreclosed. We have not received any document regarding the reason of pendency, status of recovery etc.  Considering the age of advances and in the absence of documentary evidence or appropriate actions by the company / legal recourse to recover the above advances, we have only considered the projects which are either completed or ongoing to calcualte the fairvalue of the head, which comes out to be INR 39.89 crs. 
In case of liquidation, we have considered the value of completed projects to be 100% of the book value, as the projects had already completed. And for ongoing projects, projects are completed either in FY24 or in FY25 hence being conservative atleast 50% of the ongoing projects will be competed. Hence, we have considered 50% of the book value in case of ongoing. Thus, the liquidation value is INR 34.08 Crs.</t>
  </si>
  <si>
    <t>1. Assessment is done based on the details which the lender could provided to us on our queries.
2. We have considered the outstanding Balance as per data provided by the company for 31st March 2023.
3. Basis of the assessment is mentioned against each line item based on the information provided to us by the lender.
4. No audit of any kind is performed by us from the books of account or ledger statements and all the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Current Assets.</t>
  </si>
  <si>
    <t>1.	Assessment is done based on the discussions done with the Banker/ Company and the details which they could provide to us on our queries.
2.	The outstanding are taken from the data provided by the company standing as on 31st March 2023.
3. Based on the reason for pendency and comments on recoverability, we have arrived at the valuation based on the assumption that in present situation what is the maximum recoverability can come subject to proper follow-up with the counter parties.
4. The recoverability assessed in the potential valuation is subject to rigorous follow-up with individual debtor.
5.	This is just a general assessment on the basis of general Industry practice, based on the details which the company/ Banker could provide to us as per our queries &amp; discussions with the Company officials/ Banker.
6.	No audit of any kind is performed by us from the books of account or ledger statements and all this data/ information/ input/ details provided to us by the company/ Banker are taken as is it on good faith that these are factually correct information.
7.	There is no fixed criteria, formula or norm for the Valuation of Current assets. It is purely based on the individual assessment and may differ from valuer to valuer based on the practicality he analyzes in recoveries of outstanding dues. Ultimate recovery depends on efforts, extensive follow-ups and close scrutiny of individual case made by the company. So, our values should not be regarded as any judgment in regard to the recoverability of Current assets.</t>
  </si>
  <si>
    <t>1.	Assessment is done based on the discussions done with the banker/ company and the details which they could provide to us on our queries.
2.	All the notes on the current status of amount recovery are given by company/ banker. Notes and data provided by company/ banker has been relied upon in good faith on the basis of which independent potential value assessment of the Current assets has been carried out.
3.	For the basis of arriving at the Value of each Current assets, please refer to the specific annexure.
4.	This is just a general assessment on the basis of general Industry practice based on the details which the company/ banker could provide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company officials/ banker that what is the minimum amount can be recovered out of the receivables, loans &amp; advances, etc.
6.	No audit of any kind is performed by us from the books of account or ledger statements and all this data/ information/ input/ details provided to us by the company/ banker are taken as is it on good faith that these are factually correct information.
7. There is no fixed criteria, formula or norm for the Valuation of Current assets It is purely based on the individual assessment and may differ from valuer to valuer based on the practicality he analyse in recoveries of outstanding dues. Ultimate recovery depends on efforts, extensive follow-ups and close scrutiny of individual case made by the company/ RP. So our values should not be regarded as any judgment in regard to the recoverability of Current assets</t>
  </si>
  <si>
    <t xml:space="preserve">As per  unaudited financials of Maytas NCC JV shared by the banker/company, as on 31st March, 2023, Net worth of the company is INR 14.19 Crores. Also, as per accounting policy of the Maytas NCC JV, IL&amp;FS Engineering and construction Company Limited have 50 % shares in profit margin of the entity. We have considered the net worth as key factor to estimate the value of  this non-current investment of IL&amp;FS share in this company.
Hence the fair market value and liquidation value of the Maytas NCC JV will be INR 7.10 Crore considering the fact that this investment will be 50% of the net worth.
</t>
  </si>
  <si>
    <t>As per unaudited financials of NCC – Maytas – ZVS (JV) shared by the banker/company as on 31st March, 2023, Net worth of the company is INR 0.34 Crores. Also, as per accounting policy of the NCC – Maytas – ZVS (JV), IL&amp;FS Engineering and construction Company Limited have 39.69 % share in profit margin of the entity. We have to consider the net worth as key factor to estimate the value of this non-current investment of IL&amp;FS share in this company. 
Hence the fair market value and liquidation value of this investment will be 39.69% of the net worth of the NCC – Maytas – ZVS (JV) as INR 0.13 Crore in this scenario.</t>
  </si>
  <si>
    <t>As per information provided by client/company, this loan is paid to Maytas NCC JV for running its expenses in the form of working capital and it will be adjusted in percentage of share in profit of the entity, it implies that it is realizable. 
Therefore We have considered the fair market value and liquidation value equal to 0.02 Crs as on valuation date.</t>
  </si>
  <si>
    <t>As per the information provided by the client/company, the loan amount appearing in the financials of IECCL of Rs.10.03 Crs, represents the loan given to Cyberabad Expressways Ltd (cel). 
Here the chances of recoveribility of interest accrued on advance to CEL will depand on the current status of CEL. As per the Concession agreement of Cyberabad Expressway Limited (CEL) (Information given in financials  FY 2023, of CEL) the tenure of operations for the company have been ended on 19th December, 2022, the process of handover is still going on. As per the annual report of CEL for FY2022-23, the company is expecting that all the work will be done and the project handing over process will be completed before 30th June, 2023. However, we cannot comment on the recoverabilty due to lack of information about the current status of the project and its ability to pay off its outstanding liabilities. In the absence of this relevant information, we cannot assign any value to it.  Therefore it seems to be reasonable to considered the fair market value and liquidation value as Nil in this scenario.</t>
  </si>
  <si>
    <t>As per information provided by company, this claim for bank guarantee represents the amount receivable towards encashment of Performance Bank Guarantee (PBG) of one of power project ( APTRANSCO). APTRANSCO is the electric power transmission company of Andhra Pradesh state in India. Currently, it is running its operations, hence these claims can be considered good. As per financials of IECCL these claims are considered good.
Although, we have not received any document/data/information and bank guarantee statement regarding the verification of these claims as on valuation date i.e., 10th July 2023. Thus, in this scenario, we have considered the fair market value as 80% of the book value and Liquidation value as 50% of the fair market value after considering the facts that this is a operational unit and the nature of the asset.</t>
  </si>
  <si>
    <t>1. Assessment is done based on the details which the lender provided to us on our queries.
2. Basis of the assessment is mentioned against each line item based on the information provided to us by the lender.
3. No audit of any kind is performed by us from the books of account or ledger statements and all the data/ information/ input/ details provided to us by the lender are taken as is it on good faith that these are factually correct information.
4.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Securities or Current Assets.</t>
  </si>
  <si>
    <t>1. Assessment is done based on the details which the lender provided to us on our queries.
2.  Status &amp; Outstanding amount are provided by the lenders.
3. Basis of the assessment is mentioned against each line item based on the information provided to us by the lender.
4. No audit of any kind is performed by us from the books of account or ledger statements and all the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Securities or Current Assets.</t>
  </si>
  <si>
    <t>1.	Assessment is done based on the details which the lender provided to us on our queries.
2.Status &amp; Outstanding amount are provided by the lenders.
3.	Basis of the assessment is mentioned against each line item based on the information provided to us by the lender.
4.	No audit of any kind is performed by us from the books of account or ledger statements and all the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Securities or Current Assets.</t>
  </si>
  <si>
    <t>-</t>
  </si>
  <si>
    <t>As per data / information shared by company, these security deposits are unsecured but considered as good in nature. However, as per bifurcation available with us, these security deposits belongs to different different corporates which are related to sectors like power, irrigation, roads, railways, Oil and Gas etc. We have not received any details/ supporting regarding the terms and conditions under which deposits were made, period of pendency, any outstanding dues against the same or not etc. 
We have assumed that the deposits are in the normal course of business and are duly recoverable in nature. However, these security deposits are subject to the terms &amp; conditions, durability, legality, any dispute b/w the parties, any breach of contract, interest rate applicability and other such factors. 
Due to lack of data/information of such factors we have considered the fair market value of these security deposit equal to 85% of the book value. For Liquidation Value (Going Concern) a discount of 15% has been given to the fair market value.</t>
  </si>
  <si>
    <t>Details as on 30th September 2018</t>
  </si>
  <si>
    <t>Capital work-in-progress</t>
  </si>
  <si>
    <t>Intangible Assets</t>
  </si>
  <si>
    <t>Loans and Other Assets</t>
  </si>
  <si>
    <t>Claim for PBG</t>
  </si>
  <si>
    <t>Margin Money Deposits</t>
  </si>
  <si>
    <t>Non-Current Inventories</t>
  </si>
  <si>
    <t>Cash and Cash Equivalents</t>
  </si>
  <si>
    <t xml:space="preserve">1. Assessment is done based on the discussions done with the lender and the details which they could provide to us on our queries.
2. All the notes on the current status of amount recovery are given by the lender. Notes and data provided by the lender has been relied upon in good faith on the basis of which independent potential value assessment of the current Assets has been carried out.
3. For the basis of arriving at the Value of each Currents Assets, please refer to the specific annexure.
4. This is just a general assessment on the basis of general Industry practice based on the details which the lender provided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lender that what is the minimum amount can be recovered out of the receivables, loans &amp; advances, etc.
6. No audit of any kind is performed by us from the books of account or ledger statements and all this data/ information/ input/ details provided to us by the lender and are taken as is it on good faith that these are factually correct information.
7. There are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close scrutiny of individual case made by the Company. So our values should not be regarded as any judgment in regard to the recoverability of Current Assets.
8. As all these companies are non-operational and lack of information regarding the investments made, loans and advances, pendency, terms and conditions, legality between party and counter party and current status of the investees / related parties / venders and other various factors / scenarios have been considered during the assesment of fair market value and relizable value at our level best. Also the valuation is limited to the scope of work only. </t>
  </si>
  <si>
    <t>Details as on 15th October 2018</t>
  </si>
  <si>
    <t>Net Award Amount</t>
  </si>
  <si>
    <t>Figures in INR Crore</t>
  </si>
  <si>
    <t>IECCL</t>
  </si>
  <si>
    <t>SPVs*</t>
  </si>
  <si>
    <t>Already mentioned in the Financials of IL&amp;FS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</si>
</sst>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44" formatCode="_ &quot;₹&quot;\ * #,##0.00_ ;_ &quot;₹&quot;\ * \-#,##0.00_ ;_ &quot;₹&quot;\ * &quot;-&quot;??_ ;_ @_ "/>
    <numFmt numFmtId="43" formatCode="_ * #,##0.00_ ;_ * \-#,##0.00_ ;_ * &quot;-&quot;??_ ;_ @_ "/>
    <numFmt numFmtId="164" formatCode="_(&quot;$&quot;* #,##0_);_(&quot;$&quot;* \(#,##0\);_(&quot;$&quot;* &quot;-&quot;_);_(@_)"/>
    <numFmt numFmtId="165" formatCode="_(&quot;$&quot;* #,##0.00_);_(&quot;$&quot;* \(#,##0.00\);_(&quot;$&quot;* &quot;-&quot;??_);_(@_)"/>
    <numFmt numFmtId="166" formatCode="_(* #,##0.00_);_(* \(#,##0.00\);_(* &quot;-&quot;??_);_(@_)"/>
    <numFmt numFmtId="167" formatCode="_ &quot;Rs.&quot;\ * #,##0.00_ ;_ &quot;Rs.&quot;\ * \-#,##0.00_ ;_ &quot;Rs.&quot;\ * &quot;-&quot;??_ ;_ @_ "/>
    <numFmt numFmtId="168" formatCode="_(* #,##0_);_(* \(#,##0\);_(* &quot;-&quot;??_);_(@_)"/>
    <numFmt numFmtId="169" formatCode="_-* #,##0_-;\-* #,##0_-;_-* &quot;-&quot;_-;_-@_-"/>
    <numFmt numFmtId="170" formatCode="_-* #,##0.00_-;\-* #,##0.00_-;_-* &quot;-&quot;??_-;_-@_-"/>
    <numFmt numFmtId="171" formatCode="_(* #,##0.00_);_(* \(#,##0.00\);_(* \-??_);_(@_)"/>
    <numFmt numFmtId="172" formatCode="0.00_)"/>
    <numFmt numFmtId="173" formatCode="0.000"/>
    <numFmt numFmtId="174" formatCode="&quot;$&quot;#,##0.0_);\(&quot;$&quot;#,##0.0\)"/>
    <numFmt numFmtId="175" formatCode="General_)"/>
    <numFmt numFmtId="176" formatCode="0.0%;\(0.0%\)"/>
    <numFmt numFmtId="177" formatCode="&quot;$&quot;#,##0.0"/>
    <numFmt numFmtId="178" formatCode="0.00000000"/>
    <numFmt numFmtId="179" formatCode="_-* #,##0\ _D_M_-;\-* #,##0\ _D_M_-;_-* &quot;-&quot;\ _D_M_-;_-@_-"/>
    <numFmt numFmtId="180" formatCode="_-* #,##0.00\ _D_M_-;\-* #,##0.00\ _D_M_-;_-* &quot;-&quot;??\ _D_M_-;_-@_-"/>
    <numFmt numFmtId="181" formatCode="#,##0\ &quot;F&quot;;[Red]\-#,##0\ &quot;F&quot;"/>
    <numFmt numFmtId="182" formatCode="mm/dd/yy"/>
    <numFmt numFmtId="183" formatCode="#,##0&quot;£&quot;_);\(#,##0&quot;£&quot;\)"/>
    <numFmt numFmtId="184" formatCode="#,##0&quot;£&quot;_);[Red]\(#,##0&quot;£&quot;\)"/>
    <numFmt numFmtId="185" formatCode="_-&quot;$&quot;* #,##0_-;\-&quot;$&quot;* #,##0_-;_-&quot;$&quot;* &quot;-&quot;_-;_-@_-"/>
    <numFmt numFmtId="186" formatCode="_-&quot;$&quot;* #,##0.00_-;\-&quot;$&quot;* #,##0.00_-;_-&quot;$&quot;* &quot;-&quot;??_-;_-@_-"/>
    <numFmt numFmtId="187" formatCode="0.000%"/>
    <numFmt numFmtId="188" formatCode="_ * #,##0_ ;_ * \-#,##0_ ;_ * &quot;-&quot;??_ ;_ @_ "/>
    <numFmt numFmtId="189" formatCode="[$-409]mmm\-yy;@"/>
    <numFmt numFmtId="190" formatCode="_ * #,##0.0000_ ;_ * \-#,##0.0000_ ;_ * &quot;-&quot;??_ ;_ @_ "/>
  </numFmts>
  <fonts count="78">
    <font>
      <sz val="11"/>
      <color theme="1"/>
      <name val="Calibri"/>
      <family val="2"/>
      <scheme val="minor"/>
    </font>
    <font>
      <b/>
      <sz val="11"/>
      <color theme="1"/>
      <name val="Calibri"/>
      <family val="2"/>
      <scheme val="minor"/>
    </font>
    <font>
      <b/>
      <sz val="12"/>
      <color theme="0"/>
      <name val="Calibri"/>
      <family val="2"/>
      <scheme val="minor"/>
    </font>
    <font>
      <sz val="11"/>
      <color theme="1"/>
      <name val="Calibri"/>
      <family val="2"/>
      <scheme val="minor"/>
    </font>
    <font>
      <b/>
      <sz val="14"/>
      <color theme="1"/>
      <name val="Calibri"/>
      <family val="2"/>
      <scheme val="minor"/>
    </font>
    <font>
      <sz val="10"/>
      <name val="Arial"/>
      <family val="2"/>
    </font>
    <font>
      <i/>
      <sz val="9"/>
      <color theme="1"/>
      <name val="Arial"/>
      <family val="2"/>
    </font>
    <font>
      <b/>
      <sz val="9"/>
      <color theme="0"/>
      <name val="Arial"/>
      <family val="2"/>
    </font>
    <font>
      <sz val="9"/>
      <color theme="1"/>
      <name val="Arial"/>
      <family val="2"/>
    </font>
    <font>
      <b/>
      <sz val="9"/>
      <color theme="1"/>
      <name val="Arial"/>
      <family val="2"/>
    </font>
    <font>
      <b/>
      <i/>
      <sz val="9"/>
      <color theme="0"/>
      <name val="Arial"/>
      <family val="2"/>
    </font>
    <font>
      <b/>
      <i/>
      <sz val="9"/>
      <color theme="1"/>
      <name val="Arial"/>
      <family val="2"/>
    </font>
    <font>
      <sz val="9"/>
      <name val="Arial"/>
      <family val="2"/>
    </font>
    <font>
      <sz val="10"/>
      <name val="Arial"/>
      <family val="2"/>
      <charset val="134"/>
    </font>
    <font>
      <sz val="12"/>
      <name val="Times New Roman"/>
      <family val="1"/>
    </font>
    <font>
      <sz val="10"/>
      <color indexed="8"/>
      <name val="Arial"/>
      <family val="2"/>
    </font>
    <font>
      <sz val="10"/>
      <color indexed="8"/>
      <name val="Arial"/>
      <family val="2"/>
    </font>
    <font>
      <b/>
      <sz val="10"/>
      <color indexed="8"/>
      <name val="ARIAL"/>
      <family val="2"/>
    </font>
    <font>
      <b/>
      <sz val="11"/>
      <name val="Arial"/>
      <family val="2"/>
    </font>
    <font>
      <b/>
      <sz val="10"/>
      <name val="Arial"/>
      <family val="2"/>
    </font>
    <font>
      <sz val="11"/>
      <color indexed="8"/>
      <name val="Calibri"/>
      <family val="2"/>
    </font>
    <font>
      <b/>
      <sz val="12"/>
      <name val="Arial"/>
      <family val="2"/>
    </font>
    <font>
      <b/>
      <sz val="10"/>
      <name val="Helv"/>
    </font>
    <font>
      <sz val="8"/>
      <name val="Arial"/>
      <family val="2"/>
    </font>
    <font>
      <b/>
      <sz val="12"/>
      <name val="Helv"/>
    </font>
    <font>
      <b/>
      <sz val="11"/>
      <name val="Helv"/>
    </font>
    <font>
      <b/>
      <i/>
      <sz val="16"/>
      <name val="Helv"/>
    </font>
    <font>
      <sz val="12"/>
      <name val="Tms Rmn"/>
    </font>
    <font>
      <sz val="9"/>
      <name val="Times New Roman"/>
      <family val="1"/>
    </font>
    <font>
      <sz val="10"/>
      <name val="MS Serif"/>
      <family val="1"/>
    </font>
    <font>
      <sz val="10"/>
      <name val="MS Sans Serif"/>
      <family val="2"/>
    </font>
    <font>
      <sz val="10"/>
      <color indexed="16"/>
      <name val="MS Serif"/>
      <family val="1"/>
    </font>
    <font>
      <sz val="7"/>
      <name val="Small Fonts"/>
      <family val="2"/>
    </font>
    <font>
      <b/>
      <i/>
      <sz val="10"/>
      <color indexed="8"/>
      <name val="Arial"/>
      <family val="2"/>
    </font>
    <font>
      <b/>
      <sz val="10"/>
      <color indexed="56"/>
      <name val="Arial"/>
      <family val="2"/>
    </font>
    <font>
      <b/>
      <sz val="16"/>
      <color indexed="8"/>
      <name val="Arial"/>
      <family val="2"/>
    </font>
    <font>
      <sz val="8"/>
      <name val="Helv"/>
    </font>
    <font>
      <b/>
      <sz val="8"/>
      <color indexed="8"/>
      <name val="Helv"/>
    </font>
    <font>
      <b/>
      <sz val="11"/>
      <name val="Times New Roman"/>
      <family val="1"/>
    </font>
    <font>
      <b/>
      <i/>
      <sz val="16"/>
      <name val="Arial"/>
      <family val="2"/>
    </font>
    <font>
      <u/>
      <sz val="10"/>
      <color indexed="12"/>
      <name val="Arial"/>
      <family val="2"/>
    </font>
    <font>
      <sz val="10"/>
      <name val="Arial"/>
      <family val="2"/>
      <charset val="1"/>
    </font>
    <font>
      <i/>
      <sz val="10"/>
      <color theme="1"/>
      <name val="Arial"/>
      <family val="2"/>
    </font>
    <font>
      <sz val="10"/>
      <color theme="1"/>
      <name val="Arial"/>
      <family val="2"/>
    </font>
    <font>
      <b/>
      <sz val="10"/>
      <color theme="1"/>
      <name val="Arial"/>
      <family val="2"/>
    </font>
    <font>
      <b/>
      <sz val="10"/>
      <color theme="0"/>
      <name val="Arial"/>
      <family val="2"/>
    </font>
    <font>
      <b/>
      <i/>
      <sz val="10"/>
      <color theme="0"/>
      <name val="Arial"/>
      <family val="2"/>
    </font>
    <font>
      <i/>
      <sz val="10"/>
      <name val="Arial"/>
      <family val="2"/>
    </font>
    <font>
      <b/>
      <sz val="11"/>
      <color rgb="FFFFFFFF"/>
      <name val="Calibri"/>
      <family val="2"/>
    </font>
    <font>
      <i/>
      <sz val="11"/>
      <color rgb="FF000000"/>
      <name val="Calibri"/>
      <family val="2"/>
    </font>
    <font>
      <b/>
      <sz val="11"/>
      <color rgb="FF000000"/>
      <name val="Calibri"/>
      <family val="2"/>
    </font>
    <font>
      <sz val="11"/>
      <color rgb="FF000000"/>
      <name val="Calibri"/>
      <family val="2"/>
    </font>
    <font>
      <b/>
      <i/>
      <sz val="11"/>
      <color rgb="FF000000"/>
      <name val="Calibri"/>
      <family val="2"/>
    </font>
    <font>
      <b/>
      <i/>
      <sz val="7"/>
      <color rgb="FF000000"/>
      <name val="Times New Roman"/>
      <family val="1"/>
    </font>
    <font>
      <sz val="7"/>
      <color rgb="FF000000"/>
      <name val="Times New Roman"/>
      <family val="1"/>
    </font>
    <font>
      <sz val="10"/>
      <color theme="1"/>
      <name val="Book Antiqua"/>
      <family val="2"/>
    </font>
    <font>
      <sz val="11"/>
      <color rgb="FF000000"/>
      <name val="Calibri"/>
      <family val="2"/>
      <scheme val="minor"/>
    </font>
    <font>
      <b/>
      <i/>
      <sz val="11"/>
      <color theme="0"/>
      <name val="Calibri"/>
      <family val="2"/>
    </font>
    <font>
      <u/>
      <sz val="11"/>
      <color theme="10"/>
      <name val="Calibri"/>
      <family val="2"/>
      <scheme val="minor"/>
    </font>
    <font>
      <b/>
      <sz val="11"/>
      <color theme="0"/>
      <name val="Calibri"/>
      <family val="2"/>
      <scheme val="minor"/>
    </font>
    <font>
      <sz val="11"/>
      <color theme="0"/>
      <name val="Calibri"/>
      <family val="2"/>
      <scheme val="minor"/>
    </font>
    <font>
      <b/>
      <sz val="9"/>
      <name val="Times New Roman"/>
      <family val="1"/>
    </font>
    <font>
      <b/>
      <sz val="9"/>
      <color theme="0"/>
      <name val="Times New Roman"/>
      <family val="1"/>
    </font>
    <font>
      <sz val="11"/>
      <color theme="1"/>
      <name val="Garamond"/>
      <family val="1"/>
    </font>
    <font>
      <b/>
      <sz val="11"/>
      <color theme="0"/>
      <name val="Garamond"/>
      <family val="1"/>
    </font>
    <font>
      <b/>
      <sz val="11"/>
      <name val="Garamond"/>
      <family val="1"/>
    </font>
    <font>
      <sz val="11"/>
      <name val="Garamond"/>
      <family val="1"/>
    </font>
    <font>
      <b/>
      <i/>
      <sz val="11"/>
      <color theme="0"/>
      <name val="Garamond"/>
      <family val="1"/>
    </font>
    <font>
      <b/>
      <sz val="11"/>
      <color rgb="FF000000"/>
      <name val="Calibri"/>
      <family val="2"/>
      <scheme val="minor"/>
    </font>
    <font>
      <b/>
      <sz val="11"/>
      <color theme="1"/>
      <name val="Garamond"/>
      <family val="1"/>
    </font>
    <font>
      <sz val="11"/>
      <name val="Calibri"/>
      <family val="2"/>
      <scheme val="minor"/>
    </font>
    <font>
      <i/>
      <sz val="11"/>
      <name val="Calibri"/>
      <family val="2"/>
      <scheme val="minor"/>
    </font>
    <font>
      <b/>
      <sz val="11"/>
      <name val="Calibri"/>
      <family val="2"/>
      <scheme val="minor"/>
    </font>
    <font>
      <b/>
      <sz val="9"/>
      <color theme="1"/>
      <name val="Book Antiqua"/>
      <family val="1"/>
    </font>
    <font>
      <sz val="9"/>
      <name val="Book Antiqua"/>
      <family val="1"/>
    </font>
    <font>
      <b/>
      <sz val="9"/>
      <name val="Book Antiqua"/>
      <family val="1"/>
    </font>
    <font>
      <sz val="11"/>
      <color theme="1"/>
      <name val="Calibri"/>
      <family val="2"/>
    </font>
    <font>
      <i/>
      <sz val="11"/>
      <color theme="1"/>
      <name val="Calibri"/>
      <family val="2"/>
      <scheme val="minor"/>
    </font>
  </fonts>
  <fills count="29">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theme="0"/>
        <bgColor indexed="64"/>
      </patternFill>
    </fill>
    <fill>
      <patternFill patternType="solid">
        <fgColor rgb="FFFFFFCC"/>
      </patternFill>
    </fill>
    <fill>
      <patternFill patternType="solid">
        <fgColor indexed="9"/>
        <bgColor indexed="64"/>
      </patternFill>
    </fill>
    <fill>
      <patternFill patternType="solid">
        <fgColor indexed="43"/>
        <bgColor indexed="64"/>
      </patternFill>
    </fill>
    <fill>
      <patternFill patternType="solid">
        <fgColor indexed="27"/>
      </patternFill>
    </fill>
    <fill>
      <patternFill patternType="solid">
        <fgColor indexed="9"/>
      </patternFill>
    </fill>
    <fill>
      <patternFill patternType="solid">
        <fgColor indexed="42"/>
      </patternFill>
    </fill>
    <fill>
      <patternFill patternType="solid">
        <fgColor indexed="22"/>
        <bgColor indexed="64"/>
      </patternFill>
    </fill>
    <fill>
      <patternFill patternType="solid">
        <fgColor indexed="9"/>
        <bgColor indexed="26"/>
      </patternFill>
    </fill>
    <fill>
      <patternFill patternType="solid">
        <fgColor indexed="26"/>
        <bgColor indexed="64"/>
      </patternFill>
    </fill>
    <fill>
      <patternFill patternType="solid">
        <fgColor indexed="24"/>
      </patternFill>
    </fill>
    <fill>
      <patternFill patternType="solid">
        <fgColor indexed="40"/>
        <bgColor indexed="64"/>
      </patternFill>
    </fill>
    <fill>
      <patternFill patternType="solid">
        <fgColor indexed="41"/>
      </patternFill>
    </fill>
    <fill>
      <patternFill patternType="solid">
        <fgColor indexed="40"/>
      </patternFill>
    </fill>
    <fill>
      <patternFill patternType="solid">
        <fgColor rgb="FF002060"/>
        <bgColor indexed="64"/>
      </patternFill>
    </fill>
    <fill>
      <patternFill patternType="solid">
        <fgColor rgb="FFB8CCE4"/>
        <bgColor indexed="64"/>
      </patternFill>
    </fill>
    <fill>
      <patternFill patternType="solid">
        <fgColor rgb="FFFFFFFF"/>
        <bgColor indexed="64"/>
      </patternFill>
    </fill>
    <fill>
      <patternFill patternType="solid">
        <fgColor theme="4" tint="0.59999389629810485"/>
        <bgColor indexed="64"/>
      </patternFill>
    </fill>
    <fill>
      <patternFill patternType="solid">
        <fgColor rgb="FF002060"/>
        <bgColor rgb="FF000000"/>
      </patternFill>
    </fill>
    <fill>
      <patternFill patternType="solid">
        <fgColor theme="0" tint="-0.14999847407452621"/>
        <bgColor rgb="FF000000"/>
      </patternFill>
    </fill>
    <fill>
      <patternFill patternType="solid">
        <fgColor theme="0" tint="-4.9989318521683403E-2"/>
        <bgColor indexed="64"/>
      </patternFill>
    </fill>
    <fill>
      <patternFill patternType="solid">
        <fgColor rgb="FFFFC000"/>
        <bgColor indexed="64"/>
      </patternFill>
    </fill>
    <fill>
      <patternFill patternType="solid">
        <fgColor theme="0" tint="-0.14999847407452621"/>
        <bgColor indexed="64"/>
      </patternFill>
    </fill>
    <fill>
      <patternFill patternType="solid">
        <fgColor rgb="FFBDD6EE"/>
        <bgColor indexed="64"/>
      </patternFill>
    </fill>
    <fill>
      <patternFill patternType="solid">
        <fgColor theme="3" tint="0.39997558519241921"/>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double">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double">
        <color indexed="64"/>
      </top>
      <bottom style="double">
        <color indexed="64"/>
      </bottom>
      <diagonal/>
    </border>
    <border>
      <left/>
      <right/>
      <top style="medium">
        <color indexed="64"/>
      </top>
      <bottom style="medium">
        <color indexed="64"/>
      </bottom>
      <diagonal/>
    </border>
    <border>
      <left/>
      <right/>
      <top/>
      <bottom style="medium">
        <color indexed="8"/>
      </bottom>
      <diagonal/>
    </border>
    <border>
      <left style="thin">
        <color indexed="48"/>
      </left>
      <right style="thin">
        <color indexed="48"/>
      </right>
      <top style="thin">
        <color indexed="48"/>
      </top>
      <bottom style="thin">
        <color indexed="48"/>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style="medium">
        <color indexed="64"/>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s>
  <cellStyleXfs count="5105">
    <xf numFmtId="0" fontId="0" fillId="0" borderId="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5" fillId="0" borderId="0"/>
    <xf numFmtId="43" fontId="5" fillId="0" borderId="0" applyFont="0" applyFill="0" applyBorder="0" applyAlignment="0" applyProtection="0"/>
    <xf numFmtId="166"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0" fontId="5" fillId="0" borderId="0" applyNumberFormat="0" applyFill="0" applyBorder="0" applyAlignment="0" applyProtection="0"/>
    <xf numFmtId="43" fontId="3" fillId="0" borderId="0" applyFont="0" applyFill="0" applyBorder="0" applyAlignment="0" applyProtection="0"/>
    <xf numFmtId="0" fontId="13" fillId="0" borderId="0">
      <alignment vertical="center"/>
    </xf>
    <xf numFmtId="43" fontId="14" fillId="0" borderId="0" applyFont="0" applyFill="0" applyBorder="0" applyAlignment="0" applyProtection="0">
      <alignment vertical="center"/>
    </xf>
    <xf numFmtId="43" fontId="3" fillId="0" borderId="0" applyFont="0" applyFill="0" applyBorder="0" applyAlignment="0" applyProtection="0"/>
    <xf numFmtId="0" fontId="5" fillId="0" borderId="0" applyNumberFormat="0" applyFill="0" applyBorder="0" applyAlignment="0" applyProtection="0"/>
    <xf numFmtId="9" fontId="5" fillId="0" borderId="0" applyFont="0" applyFill="0" applyBorder="0" applyAlignment="0" applyProtection="0"/>
    <xf numFmtId="0" fontId="15" fillId="0" borderId="0">
      <alignment vertical="top"/>
    </xf>
    <xf numFmtId="0" fontId="16" fillId="0" borderId="0">
      <alignment vertical="top"/>
    </xf>
    <xf numFmtId="0" fontId="15" fillId="0" borderId="0">
      <alignment vertical="top"/>
    </xf>
    <xf numFmtId="0" fontId="15" fillId="0" borderId="0">
      <alignment vertical="top"/>
    </xf>
    <xf numFmtId="0" fontId="15" fillId="0" borderId="0">
      <alignment vertical="top"/>
    </xf>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4" fontId="5" fillId="0" borderId="0" applyFont="0" applyFill="0" applyBorder="0" applyAlignment="0" applyProtection="0"/>
    <xf numFmtId="0" fontId="14" fillId="0" borderId="0" applyFill="0" applyBorder="0"/>
    <xf numFmtId="0" fontId="27" fillId="0" borderId="0" applyNumberFormat="0" applyFill="0" applyBorder="0" applyAlignment="0" applyProtection="0"/>
    <xf numFmtId="174" fontId="5" fillId="0" borderId="0" applyFill="0" applyBorder="0" applyAlignment="0"/>
    <xf numFmtId="175" fontId="28" fillId="0" borderId="0" applyFill="0" applyBorder="0" applyAlignment="0"/>
    <xf numFmtId="173" fontId="28" fillId="0" borderId="0" applyFill="0" applyBorder="0" applyAlignment="0"/>
    <xf numFmtId="176" fontId="5" fillId="0" borderId="0" applyFill="0" applyBorder="0" applyAlignment="0"/>
    <xf numFmtId="177" fontId="5" fillId="0" borderId="0" applyFill="0" applyBorder="0" applyAlignment="0"/>
    <xf numFmtId="174" fontId="5" fillId="0" borderId="0" applyFill="0" applyBorder="0" applyAlignment="0"/>
    <xf numFmtId="178" fontId="5" fillId="0" borderId="0" applyFill="0" applyBorder="0" applyAlignment="0"/>
    <xf numFmtId="175" fontId="28" fillId="0" borderId="0" applyFill="0" applyBorder="0" applyAlignment="0"/>
    <xf numFmtId="0" fontId="22" fillId="0" borderId="0"/>
    <xf numFmtId="0" fontId="19" fillId="0" borderId="0"/>
    <xf numFmtId="43" fontId="15" fillId="0" borderId="0" applyFont="0" applyFill="0" applyBorder="0" applyAlignment="0" applyProtection="0">
      <alignment vertical="top"/>
    </xf>
    <xf numFmtId="174" fontId="5" fillId="0" borderId="0" applyFont="0" applyFill="0" applyBorder="0" applyAlignment="0" applyProtection="0"/>
    <xf numFmtId="43" fontId="15" fillId="0" borderId="0" applyFont="0" applyFill="0" applyBorder="0" applyAlignment="0" applyProtection="0">
      <alignment vertical="top"/>
    </xf>
    <xf numFmtId="171" fontId="5" fillId="0" borderId="0" applyFill="0" applyBorder="0" applyAlignment="0" applyProtection="0"/>
    <xf numFmtId="43" fontId="15" fillId="0" borderId="0" applyFont="0" applyFill="0" applyBorder="0" applyAlignment="0" applyProtection="0">
      <alignment vertical="top"/>
    </xf>
    <xf numFmtId="171" fontId="5"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Fill="0" applyBorder="0" applyAlignment="0" applyProtection="0"/>
    <xf numFmtId="0"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171" fontId="5" fillId="0" borderId="0" applyFill="0" applyBorder="0" applyAlignment="0" applyProtection="0"/>
    <xf numFmtId="171" fontId="5" fillId="0" borderId="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29" fillId="0" borderId="0" applyNumberFormat="0" applyAlignment="0">
      <alignment horizontal="left"/>
    </xf>
    <xf numFmtId="165" fontId="15" fillId="0" borderId="0" applyFont="0" applyFill="0" applyBorder="0" applyAlignment="0" applyProtection="0">
      <alignment vertical="top"/>
    </xf>
    <xf numFmtId="175" fontId="28"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4" fontId="15" fillId="0" borderId="0" applyFill="0" applyBorder="0" applyAlignment="0"/>
    <xf numFmtId="38" fontId="30" fillId="0" borderId="15">
      <alignment vertical="center"/>
    </xf>
    <xf numFmtId="179" fontId="5" fillId="0" borderId="0" applyFont="0" applyFill="0" applyBorder="0" applyAlignment="0" applyProtection="0"/>
    <xf numFmtId="180" fontId="5" fillId="0" borderId="0" applyFont="0" applyFill="0" applyBorder="0" applyAlignment="0" applyProtection="0"/>
    <xf numFmtId="174" fontId="5" fillId="0" borderId="0" applyFill="0" applyBorder="0" applyAlignment="0"/>
    <xf numFmtId="175" fontId="28" fillId="0" borderId="0" applyFill="0" applyBorder="0" applyAlignment="0"/>
    <xf numFmtId="174" fontId="5" fillId="0" borderId="0" applyFill="0" applyBorder="0" applyAlignment="0"/>
    <xf numFmtId="178" fontId="5" fillId="0" borderId="0" applyFill="0" applyBorder="0" applyAlignment="0"/>
    <xf numFmtId="175" fontId="28" fillId="0" borderId="0" applyFill="0" applyBorder="0" applyAlignment="0"/>
    <xf numFmtId="0" fontId="31" fillId="0" borderId="0" applyNumberFormat="0" applyAlignment="0">
      <alignment horizontal="left"/>
    </xf>
    <xf numFmtId="0" fontId="5" fillId="0" borderId="0" applyFont="0" applyFill="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11"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0" fontId="23" fillId="12"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0" fontId="24" fillId="0" borderId="0">
      <alignment horizontal="left"/>
    </xf>
    <xf numFmtId="0" fontId="21" fillId="0" borderId="0">
      <alignment horizontal="left"/>
    </xf>
    <xf numFmtId="0" fontId="21" fillId="0" borderId="16" applyNumberFormat="0" applyAlignment="0" applyProtection="0">
      <alignment horizontal="left" vertical="center"/>
    </xf>
    <xf numFmtId="0" fontId="21" fillId="0" borderId="12">
      <alignment horizontal="left" vertical="center"/>
    </xf>
    <xf numFmtId="0" fontId="40" fillId="0" borderId="0" applyNumberFormat="0" applyFill="0" applyBorder="0" applyAlignment="0" applyProtection="0">
      <alignment vertical="top"/>
      <protection locked="0"/>
    </xf>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13"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0" fontId="23" fillId="12" borderId="0"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74" fontId="5" fillId="0" borderId="0" applyFill="0" applyBorder="0" applyAlignment="0"/>
    <xf numFmtId="175" fontId="28" fillId="0" borderId="0" applyFill="0" applyBorder="0" applyAlignment="0"/>
    <xf numFmtId="174" fontId="5" fillId="0" borderId="0" applyFill="0" applyBorder="0" applyAlignment="0"/>
    <xf numFmtId="178" fontId="5" fillId="0" borderId="0" applyFill="0" applyBorder="0" applyAlignment="0"/>
    <xf numFmtId="175" fontId="28" fillId="0" borderId="0" applyFill="0" applyBorder="0" applyAlignment="0"/>
    <xf numFmtId="0" fontId="25" fillId="0" borderId="5"/>
    <xf numFmtId="0" fontId="18" fillId="0" borderId="17"/>
    <xf numFmtId="37" fontId="32" fillId="0" borderId="0"/>
    <xf numFmtId="172" fontId="26" fillId="0" borderId="0"/>
    <xf numFmtId="172" fontId="39"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3" fillId="0" borderId="0"/>
    <xf numFmtId="0" fontId="15" fillId="0" borderId="0">
      <alignment vertical="top"/>
    </xf>
    <xf numFmtId="0" fontId="5" fillId="0" borderId="0"/>
    <xf numFmtId="0" fontId="3" fillId="0" borderId="0"/>
    <xf numFmtId="0" fontId="3" fillId="0" borderId="0"/>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0" borderId="0">
      <alignment vertical="top"/>
    </xf>
    <xf numFmtId="0" fontId="15" fillId="0" borderId="0">
      <alignment vertical="top"/>
    </xf>
    <xf numFmtId="0" fontId="15" fillId="0" borderId="0">
      <alignment vertical="top"/>
    </xf>
    <xf numFmtId="0" fontId="5"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5" fillId="0" borderId="0"/>
    <xf numFmtId="0" fontId="15" fillId="0" borderId="0">
      <alignment vertical="top"/>
    </xf>
    <xf numFmtId="0" fontId="15"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3" fillId="0" borderId="0"/>
    <xf numFmtId="0" fontId="3" fillId="0" borderId="0"/>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5" fillId="0" borderId="0"/>
    <xf numFmtId="0" fontId="5" fillId="0" borderId="0"/>
    <xf numFmtId="0" fontId="3" fillId="0" borderId="0"/>
    <xf numFmtId="0" fontId="5" fillId="0" borderId="0"/>
    <xf numFmtId="0" fontId="5" fillId="0" borderId="0"/>
    <xf numFmtId="0" fontId="3" fillId="0" borderId="0"/>
    <xf numFmtId="0" fontId="5" fillId="0" borderId="0"/>
    <xf numFmtId="0" fontId="12" fillId="0" borderId="0"/>
    <xf numFmtId="0" fontId="12" fillId="0" borderId="0"/>
    <xf numFmtId="0" fontId="12" fillId="0" borderId="0"/>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5" fillId="5" borderId="14" applyNumberFormat="0" applyFont="0" applyAlignment="0" applyProtection="0"/>
    <xf numFmtId="40" fontId="15" fillId="9" borderId="0">
      <alignment horizontal="right"/>
    </xf>
    <xf numFmtId="0" fontId="33" fillId="8" borderId="0">
      <alignment horizontal="center"/>
    </xf>
    <xf numFmtId="0" fontId="17" fillId="10" borderId="0"/>
    <xf numFmtId="0" fontId="34" fillId="9" borderId="0" applyBorder="0">
      <alignment horizontal="centerContinuous"/>
    </xf>
    <xf numFmtId="0" fontId="35" fillId="14" borderId="0" applyBorder="0">
      <alignment horizontal="centerContinuous"/>
    </xf>
    <xf numFmtId="177" fontId="5" fillId="0" borderId="0" applyFont="0" applyFill="0" applyBorder="0" applyAlignment="0" applyProtection="0"/>
    <xf numFmtId="181" fontId="5" fillId="0" borderId="0" applyFont="0" applyFill="0" applyBorder="0" applyAlignment="0" applyProtection="0"/>
    <xf numFmtId="10" fontId="5" fillId="0" borderId="0" applyFont="0" applyFill="0" applyBorder="0" applyAlignment="0" applyProtection="0"/>
    <xf numFmtId="10" fontId="5" fillId="0" borderId="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alignment vertical="top"/>
    </xf>
    <xf numFmtId="174" fontId="5" fillId="0" borderId="0" applyFill="0" applyBorder="0" applyAlignment="0"/>
    <xf numFmtId="175" fontId="28" fillId="0" borderId="0" applyFill="0" applyBorder="0" applyAlignment="0"/>
    <xf numFmtId="174" fontId="5" fillId="0" borderId="0" applyFill="0" applyBorder="0" applyAlignment="0"/>
    <xf numFmtId="178" fontId="5" fillId="0" borderId="0" applyFill="0" applyBorder="0" applyAlignment="0"/>
    <xf numFmtId="175" fontId="28" fillId="0" borderId="0" applyFill="0" applyBorder="0" applyAlignment="0"/>
    <xf numFmtId="182" fontId="36" fillId="0" borderId="0" applyNumberFormat="0" applyFill="0" applyBorder="0" applyAlignment="0" applyProtection="0">
      <alignment horizontal="left"/>
    </xf>
    <xf numFmtId="4" fontId="17" fillId="7" borderId="18" applyNumberFormat="0" applyProtection="0">
      <alignment horizontal="left" vertical="center"/>
    </xf>
    <xf numFmtId="4" fontId="17" fillId="15" borderId="0" applyNumberFormat="0" applyProtection="0">
      <alignment horizontal="left" vertical="center"/>
    </xf>
    <xf numFmtId="4" fontId="15" fillId="16" borderId="18" applyNumberFormat="0" applyProtection="0">
      <alignment horizontal="right" vertical="center"/>
    </xf>
    <xf numFmtId="4" fontId="15" fillId="17" borderId="18" applyNumberFormat="0" applyProtection="0">
      <alignment horizontal="left" vertical="center"/>
    </xf>
    <xf numFmtId="0" fontId="15" fillId="15" borderId="18" applyNumberFormat="0" applyProtection="0">
      <alignment horizontal="left" vertical="top"/>
    </xf>
    <xf numFmtId="0" fontId="5" fillId="0" borderId="0"/>
    <xf numFmtId="0" fontId="5" fillId="0" borderId="0"/>
    <xf numFmtId="0" fontId="25" fillId="0" borderId="0"/>
    <xf numFmtId="0" fontId="18" fillId="0" borderId="0"/>
    <xf numFmtId="40" fontId="37" fillId="0" borderId="0" applyBorder="0">
      <alignment horizontal="right"/>
    </xf>
    <xf numFmtId="49" fontId="15" fillId="0" borderId="0" applyFill="0" applyBorder="0" applyAlignment="0"/>
    <xf numFmtId="183" fontId="5" fillId="0" borderId="0" applyFill="0" applyBorder="0" applyAlignment="0"/>
    <xf numFmtId="184" fontId="5" fillId="0" borderId="0" applyFill="0" applyBorder="0" applyAlignment="0"/>
    <xf numFmtId="40" fontId="38" fillId="0" borderId="0"/>
    <xf numFmtId="169" fontId="5" fillId="0" borderId="0" applyFont="0" applyFill="0" applyBorder="0" applyAlignment="0" applyProtection="0"/>
    <xf numFmtId="170" fontId="5" fillId="0" borderId="0" applyFont="0" applyFill="0" applyBorder="0" applyAlignment="0" applyProtection="0"/>
    <xf numFmtId="185" fontId="5" fillId="0" borderId="0" applyFont="0" applyFill="0" applyBorder="0" applyAlignment="0" applyProtection="0"/>
    <xf numFmtId="186" fontId="5" fillId="0" borderId="0" applyFont="0" applyFill="0" applyBorder="0" applyAlignment="0" applyProtection="0"/>
    <xf numFmtId="0" fontId="15" fillId="15" borderId="19" applyNumberFormat="0" applyProtection="0">
      <alignment horizontal="left" vertical="top"/>
    </xf>
    <xf numFmtId="4" fontId="15" fillId="17" borderId="19" applyNumberFormat="0" applyProtection="0">
      <alignment horizontal="left" vertical="center"/>
    </xf>
    <xf numFmtId="4" fontId="15" fillId="16" borderId="19" applyNumberFormat="0" applyProtection="0">
      <alignment horizontal="right" vertical="center"/>
    </xf>
    <xf numFmtId="4" fontId="17" fillId="7" borderId="19"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15" fillId="0" borderId="0">
      <alignment vertical="top"/>
    </xf>
    <xf numFmtId="0" fontId="15" fillId="0" borderId="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15" fillId="0" borderId="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0" fontId="21" fillId="0" borderId="20">
      <alignment horizontal="left" vertical="center"/>
    </xf>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13"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15" fillId="0" borderId="0">
      <alignment vertical="top"/>
    </xf>
    <xf numFmtId="0" fontId="15" fillId="0" borderId="0">
      <alignment vertical="top"/>
    </xf>
    <xf numFmtId="0" fontId="15" fillId="0" borderId="0">
      <alignment vertical="top"/>
    </xf>
    <xf numFmtId="43" fontId="15" fillId="0" borderId="0" applyFont="0" applyFill="0" applyBorder="0" applyAlignment="0" applyProtection="0">
      <alignment vertical="top"/>
    </xf>
    <xf numFmtId="0" fontId="15" fillId="0" borderId="0">
      <alignment vertical="top"/>
    </xf>
    <xf numFmtId="0" fontId="15" fillId="0" borderId="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43" fontId="15" fillId="0" borderId="0" applyFont="0" applyFill="0" applyBorder="0" applyAlignment="0" applyProtection="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43" fontId="3" fillId="0" borderId="0" applyFont="0" applyFill="0" applyBorder="0" applyAlignment="0" applyProtection="0"/>
    <xf numFmtId="43" fontId="3" fillId="0" borderId="0" applyFont="0" applyFill="0" applyBorder="0" applyAlignment="0" applyProtection="0"/>
    <xf numFmtId="0" fontId="15" fillId="0" borderId="0">
      <alignment vertical="top"/>
    </xf>
    <xf numFmtId="43" fontId="3" fillId="0" borderId="0" applyFont="0" applyFill="0" applyBorder="0" applyAlignment="0" applyProtection="0"/>
    <xf numFmtId="0" fontId="15" fillId="0" borderId="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15" fillId="0" borderId="0">
      <alignment vertical="top"/>
    </xf>
    <xf numFmtId="0" fontId="15" fillId="0" borderId="0">
      <alignment vertical="top"/>
    </xf>
    <xf numFmtId="0" fontId="15" fillId="0" borderId="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22" applyNumberFormat="0" applyProtection="0">
      <alignment horizontal="left" vertical="center"/>
    </xf>
    <xf numFmtId="4" fontId="15" fillId="16" borderId="22" applyNumberFormat="0" applyProtection="0">
      <alignment horizontal="right" vertical="center"/>
    </xf>
    <xf numFmtId="4" fontId="15" fillId="17" borderId="22" applyNumberFormat="0" applyProtection="0">
      <alignment horizontal="left" vertical="center"/>
    </xf>
    <xf numFmtId="0" fontId="15" fillId="15" borderId="22" applyNumberFormat="0" applyProtection="0">
      <alignment horizontal="left" vertical="top"/>
    </xf>
    <xf numFmtId="43" fontId="3" fillId="0" borderId="0" applyFont="0" applyFill="0" applyBorder="0" applyAlignment="0" applyProtection="0"/>
    <xf numFmtId="0" fontId="15" fillId="15" borderId="22" applyNumberFormat="0" applyProtection="0">
      <alignment horizontal="left" vertical="top"/>
    </xf>
    <xf numFmtId="4" fontId="15" fillId="17" borderId="22" applyNumberFormat="0" applyProtection="0">
      <alignment horizontal="left" vertical="center"/>
    </xf>
    <xf numFmtId="4" fontId="15" fillId="16" borderId="22" applyNumberFormat="0" applyProtection="0">
      <alignment horizontal="right" vertical="center"/>
    </xf>
    <xf numFmtId="4" fontId="17" fillId="7" borderId="22"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41"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21" fillId="0" borderId="23">
      <alignment horizontal="left" vertical="center"/>
    </xf>
    <xf numFmtId="4" fontId="17" fillId="7" borderId="25" applyNumberFormat="0" applyProtection="0">
      <alignment horizontal="left" vertical="center"/>
    </xf>
    <xf numFmtId="4" fontId="15" fillId="16" borderId="25" applyNumberFormat="0" applyProtection="0">
      <alignment horizontal="right" vertical="center"/>
    </xf>
    <xf numFmtId="4" fontId="15" fillId="17" borderId="25" applyNumberFormat="0" applyProtection="0">
      <alignment horizontal="left" vertical="center"/>
    </xf>
    <xf numFmtId="0" fontId="15" fillId="15" borderId="25" applyNumberFormat="0" applyProtection="0">
      <alignment horizontal="left" vertical="top"/>
    </xf>
    <xf numFmtId="0" fontId="15" fillId="15" borderId="25" applyNumberFormat="0" applyProtection="0">
      <alignment horizontal="left" vertical="top"/>
    </xf>
    <xf numFmtId="4" fontId="15" fillId="17" borderId="25" applyNumberFormat="0" applyProtection="0">
      <alignment horizontal="left" vertical="center"/>
    </xf>
    <xf numFmtId="4" fontId="15" fillId="16" borderId="25" applyNumberFormat="0" applyProtection="0">
      <alignment horizontal="right" vertical="center"/>
    </xf>
    <xf numFmtId="4" fontId="17" fillId="7" borderId="25"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23">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13"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4" fontId="17" fillId="7" borderId="26" applyNumberFormat="0" applyProtection="0">
      <alignment horizontal="left" vertical="center"/>
    </xf>
    <xf numFmtId="4" fontId="15" fillId="16" borderId="26" applyNumberFormat="0" applyProtection="0">
      <alignment horizontal="right" vertical="center"/>
    </xf>
    <xf numFmtId="4" fontId="15" fillId="17" borderId="26" applyNumberFormat="0" applyProtection="0">
      <alignment horizontal="left" vertical="center"/>
    </xf>
    <xf numFmtId="0" fontId="15" fillId="15" borderId="26" applyNumberFormat="0" applyProtection="0">
      <alignment horizontal="left" vertical="top"/>
    </xf>
    <xf numFmtId="0" fontId="15" fillId="15" borderId="26" applyNumberFormat="0" applyProtection="0">
      <alignment horizontal="left" vertical="top"/>
    </xf>
    <xf numFmtId="4" fontId="15" fillId="17" borderId="26" applyNumberFormat="0" applyProtection="0">
      <alignment horizontal="left" vertical="center"/>
    </xf>
    <xf numFmtId="4" fontId="15" fillId="16" borderId="26" applyNumberFormat="0" applyProtection="0">
      <alignment horizontal="right" vertical="center"/>
    </xf>
    <xf numFmtId="4" fontId="17" fillId="7" borderId="26"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27">
      <alignment horizontal="left" vertical="center"/>
    </xf>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13"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26" applyNumberFormat="0" applyProtection="0">
      <alignment horizontal="left" vertical="center"/>
    </xf>
    <xf numFmtId="4" fontId="15" fillId="16" borderId="26" applyNumberFormat="0" applyProtection="0">
      <alignment horizontal="right" vertical="center"/>
    </xf>
    <xf numFmtId="4" fontId="15" fillId="17" borderId="26" applyNumberFormat="0" applyProtection="0">
      <alignment horizontal="left" vertical="center"/>
    </xf>
    <xf numFmtId="0" fontId="15" fillId="15" borderId="26" applyNumberFormat="0" applyProtection="0">
      <alignment horizontal="left" vertical="top"/>
    </xf>
    <xf numFmtId="43" fontId="3" fillId="0" borderId="0" applyFont="0" applyFill="0" applyBorder="0" applyAlignment="0" applyProtection="0"/>
    <xf numFmtId="0" fontId="15" fillId="15" borderId="26" applyNumberFormat="0" applyProtection="0">
      <alignment horizontal="left" vertical="top"/>
    </xf>
    <xf numFmtId="4" fontId="15" fillId="17" borderId="26" applyNumberFormat="0" applyProtection="0">
      <alignment horizontal="left" vertical="center"/>
    </xf>
    <xf numFmtId="4" fontId="15" fillId="16" borderId="26" applyNumberFormat="0" applyProtection="0">
      <alignment horizontal="right" vertical="center"/>
    </xf>
    <xf numFmtId="4" fontId="17" fillId="7" borderId="26"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21" fillId="0" borderId="27">
      <alignment horizontal="left" vertical="center"/>
    </xf>
    <xf numFmtId="4" fontId="17" fillId="7" borderId="26" applyNumberFormat="0" applyProtection="0">
      <alignment horizontal="left" vertical="center"/>
    </xf>
    <xf numFmtId="4" fontId="15" fillId="16" borderId="26" applyNumberFormat="0" applyProtection="0">
      <alignment horizontal="right" vertical="center"/>
    </xf>
    <xf numFmtId="4" fontId="15" fillId="17" borderId="26" applyNumberFormat="0" applyProtection="0">
      <alignment horizontal="left" vertical="center"/>
    </xf>
    <xf numFmtId="0" fontId="15" fillId="15" borderId="26" applyNumberFormat="0" applyProtection="0">
      <alignment horizontal="left" vertical="top"/>
    </xf>
    <xf numFmtId="0" fontId="15" fillId="15" borderId="26" applyNumberFormat="0" applyProtection="0">
      <alignment horizontal="left" vertical="top"/>
    </xf>
    <xf numFmtId="4" fontId="15" fillId="17" borderId="26" applyNumberFormat="0" applyProtection="0">
      <alignment horizontal="left" vertical="center"/>
    </xf>
    <xf numFmtId="4" fontId="15" fillId="16" borderId="26" applyNumberFormat="0" applyProtection="0">
      <alignment horizontal="right" vertical="center"/>
    </xf>
    <xf numFmtId="4" fontId="17" fillId="7" borderId="26"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27">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13"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19" applyNumberFormat="0" applyProtection="0">
      <alignment horizontal="left" vertical="center"/>
    </xf>
    <xf numFmtId="4" fontId="15" fillId="16" borderId="19" applyNumberFormat="0" applyProtection="0">
      <alignment horizontal="right" vertical="center"/>
    </xf>
    <xf numFmtId="4" fontId="15" fillId="17" borderId="19" applyNumberFormat="0" applyProtection="0">
      <alignment horizontal="left" vertical="center"/>
    </xf>
    <xf numFmtId="0" fontId="15" fillId="15" borderId="19" applyNumberFormat="0" applyProtection="0">
      <alignment horizontal="left" vertical="top"/>
    </xf>
    <xf numFmtId="43" fontId="3" fillId="0" borderId="0" applyFont="0" applyFill="0" applyBorder="0" applyAlignment="0" applyProtection="0"/>
    <xf numFmtId="0" fontId="15" fillId="15" borderId="19" applyNumberFormat="0" applyProtection="0">
      <alignment horizontal="left" vertical="top"/>
    </xf>
    <xf numFmtId="4" fontId="15" fillId="17" borderId="19" applyNumberFormat="0" applyProtection="0">
      <alignment horizontal="left" vertical="center"/>
    </xf>
    <xf numFmtId="4" fontId="15" fillId="16" borderId="19" applyNumberFormat="0" applyProtection="0">
      <alignment horizontal="right" vertical="center"/>
    </xf>
    <xf numFmtId="4" fontId="17" fillId="7" borderId="19"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19" applyNumberFormat="0" applyProtection="0">
      <alignment horizontal="left" vertical="center"/>
    </xf>
    <xf numFmtId="4" fontId="15" fillId="16" borderId="19" applyNumberFormat="0" applyProtection="0">
      <alignment horizontal="right" vertical="center"/>
    </xf>
    <xf numFmtId="4" fontId="15" fillId="17" borderId="19" applyNumberFormat="0" applyProtection="0">
      <alignment horizontal="left" vertical="center"/>
    </xf>
    <xf numFmtId="0" fontId="15" fillId="15" borderId="19" applyNumberFormat="0" applyProtection="0">
      <alignment horizontal="left" vertical="top"/>
    </xf>
    <xf numFmtId="0" fontId="15" fillId="15" borderId="19" applyNumberFormat="0" applyProtection="0">
      <alignment horizontal="left" vertical="top"/>
    </xf>
    <xf numFmtId="4" fontId="15" fillId="17" borderId="19" applyNumberFormat="0" applyProtection="0">
      <alignment horizontal="left" vertical="center"/>
    </xf>
    <xf numFmtId="4" fontId="15" fillId="16" borderId="19" applyNumberFormat="0" applyProtection="0">
      <alignment horizontal="right" vertical="center"/>
    </xf>
    <xf numFmtId="4" fontId="17" fillId="7" borderId="19"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166" fontId="5"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 fontId="17" fillId="7" borderId="30" applyNumberFormat="0" applyProtection="0">
      <alignment horizontal="left" vertical="center"/>
    </xf>
    <xf numFmtId="4" fontId="15" fillId="16" borderId="30" applyNumberFormat="0" applyProtection="0">
      <alignment horizontal="right" vertical="center"/>
    </xf>
    <xf numFmtId="4" fontId="15" fillId="17" borderId="30" applyNumberFormat="0" applyProtection="0">
      <alignment horizontal="left" vertical="center"/>
    </xf>
    <xf numFmtId="0" fontId="15" fillId="15" borderId="30" applyNumberFormat="0" applyProtection="0">
      <alignment horizontal="left" vertical="top"/>
    </xf>
    <xf numFmtId="0" fontId="15" fillId="15" borderId="30" applyNumberFormat="0" applyProtection="0">
      <alignment horizontal="left" vertical="top"/>
    </xf>
    <xf numFmtId="4" fontId="15" fillId="17" borderId="30" applyNumberFormat="0" applyProtection="0">
      <alignment horizontal="left" vertical="center"/>
    </xf>
    <xf numFmtId="4" fontId="15" fillId="16" borderId="30" applyNumberFormat="0" applyProtection="0">
      <alignment horizontal="right" vertical="center"/>
    </xf>
    <xf numFmtId="4" fontId="17" fillId="7" borderId="30"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31">
      <alignment horizontal="left" vertical="center"/>
    </xf>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13"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30" applyNumberFormat="0" applyProtection="0">
      <alignment horizontal="left" vertical="center"/>
    </xf>
    <xf numFmtId="4" fontId="15" fillId="16" borderId="30" applyNumberFormat="0" applyProtection="0">
      <alignment horizontal="right" vertical="center"/>
    </xf>
    <xf numFmtId="4" fontId="15" fillId="17" borderId="30" applyNumberFormat="0" applyProtection="0">
      <alignment horizontal="left" vertical="center"/>
    </xf>
    <xf numFmtId="0" fontId="15" fillId="15" borderId="30" applyNumberFormat="0" applyProtection="0">
      <alignment horizontal="left" vertical="top"/>
    </xf>
    <xf numFmtId="43" fontId="3" fillId="0" borderId="0" applyFont="0" applyFill="0" applyBorder="0" applyAlignment="0" applyProtection="0"/>
    <xf numFmtId="0" fontId="15" fillId="15" borderId="30" applyNumberFormat="0" applyProtection="0">
      <alignment horizontal="left" vertical="top"/>
    </xf>
    <xf numFmtId="4" fontId="15" fillId="17" borderId="30" applyNumberFormat="0" applyProtection="0">
      <alignment horizontal="left" vertical="center"/>
    </xf>
    <xf numFmtId="4" fontId="15" fillId="16" borderId="30" applyNumberFormat="0" applyProtection="0">
      <alignment horizontal="right" vertical="center"/>
    </xf>
    <xf numFmtId="4" fontId="17" fillId="7" borderId="30"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21" fillId="0" borderId="31">
      <alignment horizontal="left" vertical="center"/>
    </xf>
    <xf numFmtId="4" fontId="17" fillId="7" borderId="30" applyNumberFormat="0" applyProtection="0">
      <alignment horizontal="left" vertical="center"/>
    </xf>
    <xf numFmtId="4" fontId="15" fillId="16" borderId="30" applyNumberFormat="0" applyProtection="0">
      <alignment horizontal="right" vertical="center"/>
    </xf>
    <xf numFmtId="4" fontId="15" fillId="17" borderId="30" applyNumberFormat="0" applyProtection="0">
      <alignment horizontal="left" vertical="center"/>
    </xf>
    <xf numFmtId="0" fontId="15" fillId="15" borderId="30" applyNumberFormat="0" applyProtection="0">
      <alignment horizontal="left" vertical="top"/>
    </xf>
    <xf numFmtId="0" fontId="15" fillId="15" borderId="30" applyNumberFormat="0" applyProtection="0">
      <alignment horizontal="left" vertical="top"/>
    </xf>
    <xf numFmtId="4" fontId="15" fillId="17" borderId="30" applyNumberFormat="0" applyProtection="0">
      <alignment horizontal="left" vertical="center"/>
    </xf>
    <xf numFmtId="4" fontId="15" fillId="16" borderId="30" applyNumberFormat="0" applyProtection="0">
      <alignment horizontal="right" vertical="center"/>
    </xf>
    <xf numFmtId="4" fontId="17" fillId="7" borderId="30"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31">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13"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4" fontId="17" fillId="7" borderId="30" applyNumberFormat="0" applyProtection="0">
      <alignment horizontal="left" vertical="center"/>
    </xf>
    <xf numFmtId="4" fontId="15" fillId="16" borderId="30" applyNumberFormat="0" applyProtection="0">
      <alignment horizontal="right" vertical="center"/>
    </xf>
    <xf numFmtId="4" fontId="15" fillId="17" borderId="30" applyNumberFormat="0" applyProtection="0">
      <alignment horizontal="left" vertical="center"/>
    </xf>
    <xf numFmtId="0" fontId="15" fillId="15" borderId="30" applyNumberFormat="0" applyProtection="0">
      <alignment horizontal="left" vertical="top"/>
    </xf>
    <xf numFmtId="0" fontId="15" fillId="15" borderId="30" applyNumberFormat="0" applyProtection="0">
      <alignment horizontal="left" vertical="top"/>
    </xf>
    <xf numFmtId="4" fontId="15" fillId="17" borderId="30" applyNumberFormat="0" applyProtection="0">
      <alignment horizontal="left" vertical="center"/>
    </xf>
    <xf numFmtId="4" fontId="15" fillId="16" borderId="30" applyNumberFormat="0" applyProtection="0">
      <alignment horizontal="right" vertical="center"/>
    </xf>
    <xf numFmtId="4" fontId="17" fillId="7" borderId="30"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31">
      <alignment horizontal="left" vertical="center"/>
    </xf>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13"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30" applyNumberFormat="0" applyProtection="0">
      <alignment horizontal="left" vertical="center"/>
    </xf>
    <xf numFmtId="4" fontId="15" fillId="16" borderId="30" applyNumberFormat="0" applyProtection="0">
      <alignment horizontal="right" vertical="center"/>
    </xf>
    <xf numFmtId="4" fontId="15" fillId="17" borderId="30" applyNumberFormat="0" applyProtection="0">
      <alignment horizontal="left" vertical="center"/>
    </xf>
    <xf numFmtId="0" fontId="15" fillId="15" borderId="30" applyNumberFormat="0" applyProtection="0">
      <alignment horizontal="left" vertical="top"/>
    </xf>
    <xf numFmtId="43" fontId="3" fillId="0" borderId="0" applyFont="0" applyFill="0" applyBorder="0" applyAlignment="0" applyProtection="0"/>
    <xf numFmtId="0" fontId="15" fillId="15" borderId="30" applyNumberFormat="0" applyProtection="0">
      <alignment horizontal="left" vertical="top"/>
    </xf>
    <xf numFmtId="4" fontId="15" fillId="17" borderId="30" applyNumberFormat="0" applyProtection="0">
      <alignment horizontal="left" vertical="center"/>
    </xf>
    <xf numFmtId="4" fontId="15" fillId="16" borderId="30" applyNumberFormat="0" applyProtection="0">
      <alignment horizontal="right" vertical="center"/>
    </xf>
    <xf numFmtId="4" fontId="17" fillId="7" borderId="30"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21" fillId="0" borderId="31">
      <alignment horizontal="left" vertical="center"/>
    </xf>
    <xf numFmtId="4" fontId="17" fillId="7" borderId="30" applyNumberFormat="0" applyProtection="0">
      <alignment horizontal="left" vertical="center"/>
    </xf>
    <xf numFmtId="4" fontId="15" fillId="16" borderId="30" applyNumberFormat="0" applyProtection="0">
      <alignment horizontal="right" vertical="center"/>
    </xf>
    <xf numFmtId="4" fontId="15" fillId="17" borderId="30" applyNumberFormat="0" applyProtection="0">
      <alignment horizontal="left" vertical="center"/>
    </xf>
    <xf numFmtId="0" fontId="15" fillId="15" borderId="30" applyNumberFormat="0" applyProtection="0">
      <alignment horizontal="left" vertical="top"/>
    </xf>
    <xf numFmtId="0" fontId="15" fillId="15" borderId="30" applyNumberFormat="0" applyProtection="0">
      <alignment horizontal="left" vertical="top"/>
    </xf>
    <xf numFmtId="4" fontId="15" fillId="17" borderId="30" applyNumberFormat="0" applyProtection="0">
      <alignment horizontal="left" vertical="center"/>
    </xf>
    <xf numFmtId="4" fontId="15" fillId="16" borderId="30" applyNumberFormat="0" applyProtection="0">
      <alignment horizontal="right" vertical="center"/>
    </xf>
    <xf numFmtId="4" fontId="17" fillId="7" borderId="30"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31">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13"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30" applyNumberFormat="0" applyProtection="0">
      <alignment horizontal="left" vertical="center"/>
    </xf>
    <xf numFmtId="4" fontId="15" fillId="16" borderId="30" applyNumberFormat="0" applyProtection="0">
      <alignment horizontal="right" vertical="center"/>
    </xf>
    <xf numFmtId="4" fontId="15" fillId="17" borderId="30" applyNumberFormat="0" applyProtection="0">
      <alignment horizontal="left" vertical="center"/>
    </xf>
    <xf numFmtId="0" fontId="15" fillId="15" borderId="30" applyNumberFormat="0" applyProtection="0">
      <alignment horizontal="left" vertical="top"/>
    </xf>
    <xf numFmtId="43" fontId="3" fillId="0" borderId="0" applyFont="0" applyFill="0" applyBorder="0" applyAlignment="0" applyProtection="0"/>
    <xf numFmtId="0" fontId="15" fillId="15" borderId="30" applyNumberFormat="0" applyProtection="0">
      <alignment horizontal="left" vertical="top"/>
    </xf>
    <xf numFmtId="4" fontId="15" fillId="17" borderId="30" applyNumberFormat="0" applyProtection="0">
      <alignment horizontal="left" vertical="center"/>
    </xf>
    <xf numFmtId="4" fontId="15" fillId="16" borderId="30" applyNumberFormat="0" applyProtection="0">
      <alignment horizontal="right" vertical="center"/>
    </xf>
    <xf numFmtId="4" fontId="17" fillId="7" borderId="30"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30" applyNumberFormat="0" applyProtection="0">
      <alignment horizontal="left" vertical="center"/>
    </xf>
    <xf numFmtId="4" fontId="15" fillId="16" borderId="30" applyNumberFormat="0" applyProtection="0">
      <alignment horizontal="right" vertical="center"/>
    </xf>
    <xf numFmtId="4" fontId="15" fillId="17" borderId="30" applyNumberFormat="0" applyProtection="0">
      <alignment horizontal="left" vertical="center"/>
    </xf>
    <xf numFmtId="0" fontId="15" fillId="15" borderId="30" applyNumberFormat="0" applyProtection="0">
      <alignment horizontal="left" vertical="top"/>
    </xf>
    <xf numFmtId="0" fontId="15" fillId="15" borderId="30" applyNumberFormat="0" applyProtection="0">
      <alignment horizontal="left" vertical="top"/>
    </xf>
    <xf numFmtId="4" fontId="15" fillId="17" borderId="30" applyNumberFormat="0" applyProtection="0">
      <alignment horizontal="left" vertical="center"/>
    </xf>
    <xf numFmtId="4" fontId="15" fillId="16" borderId="30" applyNumberFormat="0" applyProtection="0">
      <alignment horizontal="right" vertical="center"/>
    </xf>
    <xf numFmtId="4" fontId="17" fillId="7" borderId="30"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0" fontId="15" fillId="0" borderId="0">
      <alignment vertical="top"/>
    </xf>
    <xf numFmtId="43" fontId="3" fillId="0" borderId="0" applyFont="0" applyFill="0" applyBorder="0" applyAlignment="0" applyProtection="0"/>
    <xf numFmtId="43" fontId="55" fillId="0" borderId="0" applyFont="0" applyFill="0" applyBorder="0" applyAlignment="0" applyProtection="0"/>
    <xf numFmtId="0" fontId="55" fillId="0" borderId="0"/>
    <xf numFmtId="0" fontId="56" fillId="0" borderId="0"/>
    <xf numFmtId="43" fontId="56" fillId="0" borderId="0" applyFont="0" applyFill="0" applyBorder="0" applyAlignment="0" applyProtection="0"/>
    <xf numFmtId="0" fontId="56" fillId="0" borderId="0"/>
    <xf numFmtId="0" fontId="58" fillId="0" borderId="0" applyNumberFormat="0" applyFill="0" applyBorder="0" applyAlignment="0" applyProtection="0"/>
    <xf numFmtId="166" fontId="56" fillId="0" borderId="0" applyFont="0" applyFill="0" applyBorder="0" applyAlignment="0" applyProtection="0"/>
    <xf numFmtId="166" fontId="55"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cellStyleXfs>
  <cellXfs count="520">
    <xf numFmtId="0" fontId="0" fillId="0" borderId="0" xfId="0"/>
    <xf numFmtId="0" fontId="2" fillId="0" borderId="0" xfId="0" applyFont="1" applyAlignment="1">
      <alignment horizontal="center"/>
    </xf>
    <xf numFmtId="0" fontId="1" fillId="0" borderId="0" xfId="0" applyFont="1" applyAlignment="1">
      <alignment vertical="top"/>
    </xf>
    <xf numFmtId="0" fontId="1" fillId="0" borderId="0" xfId="0" applyFont="1"/>
    <xf numFmtId="1" fontId="0" fillId="0" borderId="0" xfId="0" applyNumberFormat="1"/>
    <xf numFmtId="1" fontId="1" fillId="0" borderId="2" xfId="0" applyNumberFormat="1" applyFont="1" applyBorder="1"/>
    <xf numFmtId="0" fontId="1" fillId="0" borderId="6" xfId="0" applyFont="1" applyBorder="1" applyAlignment="1">
      <alignment horizontal="center"/>
    </xf>
    <xf numFmtId="0" fontId="1" fillId="0" borderId="7" xfId="0" applyFont="1" applyBorder="1"/>
    <xf numFmtId="0" fontId="1" fillId="0" borderId="8" xfId="0" applyFont="1" applyBorder="1"/>
    <xf numFmtId="0" fontId="1" fillId="0" borderId="3" xfId="0" applyFont="1" applyBorder="1" applyAlignment="1">
      <alignment horizontal="center"/>
    </xf>
    <xf numFmtId="0" fontId="0" fillId="0" borderId="9" xfId="0" applyBorder="1"/>
    <xf numFmtId="1" fontId="0" fillId="0" borderId="9" xfId="0" applyNumberFormat="1" applyBorder="1"/>
    <xf numFmtId="0" fontId="0" fillId="0" borderId="3" xfId="0" applyBorder="1"/>
    <xf numFmtId="0" fontId="1" fillId="0" borderId="11" xfId="0" applyFont="1" applyBorder="1"/>
    <xf numFmtId="0" fontId="0" fillId="0" borderId="4" xfId="0" applyBorder="1"/>
    <xf numFmtId="0" fontId="0" fillId="0" borderId="5" xfId="0" applyBorder="1"/>
    <xf numFmtId="0" fontId="0" fillId="0" borderId="10" xfId="0" applyBorder="1"/>
    <xf numFmtId="0" fontId="4" fillId="0" borderId="0" xfId="0" applyFont="1"/>
    <xf numFmtId="0" fontId="4" fillId="0" borderId="0" xfId="0" applyFont="1" applyAlignment="1">
      <alignment vertical="center" wrapText="1"/>
    </xf>
    <xf numFmtId="1" fontId="4" fillId="0" borderId="0" xfId="0" applyNumberFormat="1" applyFont="1" applyAlignment="1">
      <alignment horizontal="center" vertical="center" wrapText="1"/>
    </xf>
    <xf numFmtId="168" fontId="8" fillId="0" borderId="1" xfId="1" applyNumberFormat="1" applyFont="1" applyBorder="1" applyAlignment="1">
      <alignment horizontal="center" vertical="center"/>
    </xf>
    <xf numFmtId="168" fontId="0" fillId="0" borderId="0" xfId="0" applyNumberFormat="1"/>
    <xf numFmtId="0" fontId="8" fillId="0" borderId="0" xfId="0" applyFont="1"/>
    <xf numFmtId="0" fontId="8" fillId="0" borderId="29" xfId="0" applyFont="1" applyBorder="1" applyAlignment="1">
      <alignment horizontal="center" vertical="center" wrapText="1"/>
    </xf>
    <xf numFmtId="0" fontId="9" fillId="2" borderId="33" xfId="0" applyFont="1" applyFill="1" applyBorder="1" applyAlignment="1">
      <alignment horizontal="center" vertical="center" wrapText="1"/>
    </xf>
    <xf numFmtId="0" fontId="8" fillId="0" borderId="33" xfId="0" applyFont="1" applyBorder="1" applyAlignment="1">
      <alignment horizontal="center" vertical="center" wrapText="1"/>
    </xf>
    <xf numFmtId="4" fontId="9" fillId="2" borderId="33" xfId="1" applyNumberFormat="1" applyFont="1" applyFill="1" applyBorder="1"/>
    <xf numFmtId="0" fontId="43" fillId="0" borderId="33" xfId="0" applyFont="1" applyBorder="1"/>
    <xf numFmtId="0" fontId="43" fillId="0" borderId="0" xfId="0" applyFont="1"/>
    <xf numFmtId="167" fontId="43" fillId="0" borderId="0" xfId="0" applyNumberFormat="1" applyFont="1"/>
    <xf numFmtId="0" fontId="44" fillId="2" borderId="1" xfId="0" applyFont="1" applyFill="1" applyBorder="1" applyAlignment="1">
      <alignment horizontal="center" vertical="center"/>
    </xf>
    <xf numFmtId="167" fontId="44" fillId="2" borderId="1" xfId="0" applyNumberFormat="1" applyFont="1" applyFill="1" applyBorder="1" applyAlignment="1">
      <alignment horizontal="center" vertical="center" wrapText="1"/>
    </xf>
    <xf numFmtId="0" fontId="43" fillId="0" borderId="0" xfId="3" applyNumberFormat="1" applyFont="1"/>
    <xf numFmtId="0" fontId="5" fillId="0" borderId="0" xfId="0" applyFont="1" applyAlignment="1">
      <alignment vertical="top" wrapText="1"/>
    </xf>
    <xf numFmtId="0" fontId="5" fillId="0" borderId="0" xfId="0" applyFont="1" applyAlignment="1">
      <alignment vertical="top"/>
    </xf>
    <xf numFmtId="0" fontId="43" fillId="0" borderId="0" xfId="0" applyFont="1" applyAlignment="1">
      <alignment vertical="top" wrapText="1"/>
    </xf>
    <xf numFmtId="0" fontId="11" fillId="2" borderId="34" xfId="0" applyFont="1" applyFill="1" applyBorder="1" applyAlignment="1">
      <alignment horizontal="right" wrapText="1"/>
    </xf>
    <xf numFmtId="167" fontId="9" fillId="2" borderId="33" xfId="0" applyNumberFormat="1" applyFont="1" applyFill="1" applyBorder="1" applyAlignment="1">
      <alignment horizontal="center" vertical="center" wrapText="1"/>
    </xf>
    <xf numFmtId="0" fontId="9" fillId="2" borderId="33" xfId="0" applyFont="1" applyFill="1" applyBorder="1" applyAlignment="1">
      <alignment wrapText="1"/>
    </xf>
    <xf numFmtId="0" fontId="43" fillId="0" borderId="33" xfId="0" applyFont="1" applyBorder="1" applyAlignment="1">
      <alignment horizontal="center"/>
    </xf>
    <xf numFmtId="0" fontId="43" fillId="0" borderId="33" xfId="0" applyFont="1" applyBorder="1" applyAlignment="1">
      <alignment horizontal="center" vertical="top"/>
    </xf>
    <xf numFmtId="0" fontId="8" fillId="0" borderId="36" xfId="0" applyFont="1" applyBorder="1" applyAlignment="1">
      <alignment horizontal="center" vertical="center" wrapText="1"/>
    </xf>
    <xf numFmtId="4" fontId="9" fillId="2" borderId="33" xfId="1" applyNumberFormat="1" applyFont="1" applyFill="1" applyBorder="1" applyAlignment="1">
      <alignment horizontal="right"/>
    </xf>
    <xf numFmtId="0" fontId="9" fillId="2" borderId="34" xfId="0" applyFont="1" applyFill="1" applyBorder="1" applyAlignment="1">
      <alignment horizontal="right" wrapText="1"/>
    </xf>
    <xf numFmtId="168" fontId="8" fillId="0" borderId="33" xfId="1" applyNumberFormat="1" applyFont="1" applyBorder="1" applyAlignment="1">
      <alignment horizontal="center" vertical="center" wrapText="1"/>
    </xf>
    <xf numFmtId="166" fontId="8" fillId="0" borderId="33" xfId="1" applyNumberFormat="1" applyFont="1" applyBorder="1" applyAlignment="1">
      <alignment horizontal="center" vertical="center" wrapText="1"/>
    </xf>
    <xf numFmtId="2" fontId="8" fillId="0" borderId="33" xfId="0" applyNumberFormat="1" applyFont="1" applyBorder="1" applyAlignment="1">
      <alignment horizontal="right" vertical="center" wrapText="1"/>
    </xf>
    <xf numFmtId="9" fontId="0" fillId="0" borderId="0" xfId="0" applyNumberFormat="1"/>
    <xf numFmtId="168" fontId="8" fillId="0" borderId="34" xfId="1" applyNumberFormat="1" applyFont="1" applyBorder="1" applyAlignment="1">
      <alignment horizontal="center" vertical="center" wrapText="1"/>
    </xf>
    <xf numFmtId="44" fontId="8" fillId="0" borderId="33" xfId="1" applyNumberFormat="1" applyFont="1" applyBorder="1" applyAlignment="1">
      <alignment horizontal="center" vertical="center" wrapText="1"/>
    </xf>
    <xf numFmtId="168" fontId="8" fillId="0" borderId="33" xfId="1" applyNumberFormat="1" applyFont="1" applyBorder="1" applyAlignment="1">
      <alignment vertical="center" wrapText="1"/>
    </xf>
    <xf numFmtId="168" fontId="8" fillId="0" borderId="34" xfId="1" applyNumberFormat="1" applyFont="1" applyBorder="1" applyAlignment="1">
      <alignment vertical="center" wrapText="1"/>
    </xf>
    <xf numFmtId="0" fontId="11" fillId="2" borderId="40" xfId="0" applyFont="1" applyFill="1" applyBorder="1" applyAlignment="1">
      <alignment horizontal="right" wrapText="1"/>
    </xf>
    <xf numFmtId="2" fontId="9" fillId="2" borderId="33" xfId="0" applyNumberFormat="1" applyFont="1" applyFill="1" applyBorder="1" applyAlignment="1">
      <alignment horizontal="right" wrapText="1"/>
    </xf>
    <xf numFmtId="0" fontId="8" fillId="0" borderId="37" xfId="0" applyFont="1" applyBorder="1" applyAlignment="1">
      <alignment horizontal="center" vertical="center" wrapText="1"/>
    </xf>
    <xf numFmtId="0" fontId="8" fillId="0" borderId="34" xfId="0" applyFont="1" applyBorder="1" applyAlignment="1">
      <alignment horizontal="left" vertical="center" wrapText="1"/>
    </xf>
    <xf numFmtId="0" fontId="8" fillId="0" borderId="34" xfId="0" applyFont="1" applyBorder="1" applyAlignment="1">
      <alignment horizontal="center" vertical="center" wrapText="1"/>
    </xf>
    <xf numFmtId="0" fontId="9" fillId="2" borderId="33" xfId="0" applyFont="1" applyFill="1" applyBorder="1" applyAlignment="1">
      <alignment horizontal="right" wrapText="1"/>
    </xf>
    <xf numFmtId="2" fontId="8" fillId="0" borderId="39" xfId="0" applyNumberFormat="1" applyFont="1" applyBorder="1" applyAlignment="1">
      <alignment horizontal="right" vertical="center" wrapText="1"/>
    </xf>
    <xf numFmtId="0" fontId="5" fillId="0" borderId="35" xfId="30" applyFont="1" applyBorder="1" applyAlignment="1">
      <alignment horizontal="center" vertical="center" wrapText="1"/>
    </xf>
    <xf numFmtId="2" fontId="5" fillId="0" borderId="35" xfId="30" applyNumberFormat="1" applyFont="1" applyBorder="1" applyAlignment="1">
      <alignment horizontal="center" vertical="center" wrapText="1"/>
    </xf>
    <xf numFmtId="4" fontId="9" fillId="2" borderId="33" xfId="1" applyNumberFormat="1" applyFont="1" applyFill="1" applyBorder="1" applyAlignment="1">
      <alignment horizontal="center"/>
    </xf>
    <xf numFmtId="4" fontId="43" fillId="0" borderId="33" xfId="1" applyNumberFormat="1" applyFont="1" applyBorder="1" applyAlignment="1">
      <alignment horizontal="center" vertical="center"/>
    </xf>
    <xf numFmtId="0" fontId="8" fillId="0" borderId="33" xfId="0" applyFont="1" applyBorder="1" applyAlignment="1">
      <alignment horizontal="left" vertical="center" wrapText="1"/>
    </xf>
    <xf numFmtId="168" fontId="8" fillId="0" borderId="33" xfId="1" applyNumberFormat="1" applyFont="1" applyBorder="1" applyAlignment="1">
      <alignment horizontal="left" vertical="center" wrapText="1"/>
    </xf>
    <xf numFmtId="0" fontId="12" fillId="0" borderId="33" xfId="0" applyFont="1" applyBorder="1" applyAlignment="1">
      <alignment vertical="center" wrapText="1"/>
    </xf>
    <xf numFmtId="0" fontId="51" fillId="0" borderId="33" xfId="0" applyFont="1" applyBorder="1" applyAlignment="1">
      <alignment vertical="center"/>
    </xf>
    <xf numFmtId="0" fontId="50" fillId="19" borderId="33" xfId="0" applyFont="1" applyFill="1" applyBorder="1" applyAlignment="1">
      <alignment horizontal="center" vertical="center"/>
    </xf>
    <xf numFmtId="0" fontId="50" fillId="19" borderId="33" xfId="0" applyFont="1" applyFill="1" applyBorder="1" applyAlignment="1">
      <alignment vertical="center" wrapText="1"/>
    </xf>
    <xf numFmtId="4" fontId="43" fillId="0" borderId="33" xfId="1" applyNumberFormat="1" applyFont="1" applyFill="1" applyBorder="1" applyAlignment="1">
      <alignment horizontal="center" vertical="center"/>
    </xf>
    <xf numFmtId="2" fontId="51" fillId="0" borderId="33" xfId="0" applyNumberFormat="1" applyFont="1" applyBorder="1" applyAlignment="1">
      <alignment horizontal="center" vertical="center"/>
    </xf>
    <xf numFmtId="2" fontId="50" fillId="19" borderId="33" xfId="0" applyNumberFormat="1" applyFont="1" applyFill="1" applyBorder="1" applyAlignment="1">
      <alignment horizontal="center" vertical="center"/>
    </xf>
    <xf numFmtId="0" fontId="8" fillId="0" borderId="46" xfId="0" applyFont="1" applyBorder="1" applyAlignment="1">
      <alignment horizontal="left" vertical="center" wrapText="1"/>
    </xf>
    <xf numFmtId="0" fontId="8" fillId="0" borderId="46" xfId="0" applyFont="1" applyBorder="1" applyAlignment="1">
      <alignment horizontal="center" vertical="center" wrapText="1"/>
    </xf>
    <xf numFmtId="2" fontId="8" fillId="0" borderId="29" xfId="0" applyNumberFormat="1" applyFont="1" applyBorder="1" applyAlignment="1">
      <alignment horizontal="right" vertical="center" wrapText="1"/>
    </xf>
    <xf numFmtId="0" fontId="8" fillId="0" borderId="37" xfId="0" applyFont="1" applyBorder="1" applyAlignment="1">
      <alignment vertical="center" wrapText="1"/>
    </xf>
    <xf numFmtId="2" fontId="5" fillId="0" borderId="47" xfId="30" applyNumberFormat="1" applyFont="1" applyBorder="1" applyAlignment="1">
      <alignment horizontal="center" vertical="center" wrapText="1"/>
    </xf>
    <xf numFmtId="0" fontId="5" fillId="0" borderId="29" xfId="30" applyFont="1" applyBorder="1" applyAlignment="1">
      <alignment horizontal="center" vertical="center" wrapText="1"/>
    </xf>
    <xf numFmtId="0" fontId="0" fillId="0" borderId="0" xfId="0" applyAlignment="1">
      <alignment vertical="center"/>
    </xf>
    <xf numFmtId="0" fontId="11" fillId="2" borderId="34" xfId="0" applyFont="1" applyFill="1" applyBorder="1" applyAlignment="1">
      <alignment horizontal="center" vertical="center" wrapText="1"/>
    </xf>
    <xf numFmtId="0" fontId="5" fillId="0" borderId="47" xfId="30" applyFont="1" applyBorder="1" applyAlignment="1">
      <alignment horizontal="center" vertical="center" wrapText="1"/>
    </xf>
    <xf numFmtId="0" fontId="49" fillId="0" borderId="33" xfId="0" applyFont="1" applyBorder="1" applyAlignment="1">
      <alignment horizontal="right" vertical="center"/>
    </xf>
    <xf numFmtId="0" fontId="50" fillId="19" borderId="33" xfId="0" applyFont="1" applyFill="1" applyBorder="1" applyAlignment="1">
      <alignment vertical="center"/>
    </xf>
    <xf numFmtId="0" fontId="51" fillId="0" borderId="33" xfId="0" applyFont="1" applyBorder="1" applyAlignment="1">
      <alignment horizontal="center" vertical="center" wrapText="1"/>
    </xf>
    <xf numFmtId="0" fontId="51" fillId="20" borderId="33" xfId="0" applyFont="1" applyFill="1" applyBorder="1" applyAlignment="1">
      <alignment horizontal="justify" vertical="center" wrapText="1"/>
    </xf>
    <xf numFmtId="0" fontId="51" fillId="0" borderId="33" xfId="0" applyFont="1" applyBorder="1" applyAlignment="1">
      <alignment vertical="center" wrapText="1"/>
    </xf>
    <xf numFmtId="0" fontId="50" fillId="19" borderId="33" xfId="0" applyFont="1" applyFill="1" applyBorder="1" applyAlignment="1">
      <alignment horizontal="center" vertical="center" wrapText="1"/>
    </xf>
    <xf numFmtId="2" fontId="50" fillId="19" borderId="33" xfId="0" applyNumberFormat="1" applyFont="1" applyFill="1" applyBorder="1" applyAlignment="1">
      <alignment horizontal="center" vertical="center" wrapText="1"/>
    </xf>
    <xf numFmtId="0" fontId="0" fillId="19" borderId="33" xfId="0" applyFill="1" applyBorder="1" applyAlignment="1">
      <alignment vertical="center"/>
    </xf>
    <xf numFmtId="0" fontId="0" fillId="0" borderId="45" xfId="0" applyBorder="1"/>
    <xf numFmtId="0" fontId="0" fillId="0" borderId="48" xfId="0" applyBorder="1"/>
    <xf numFmtId="0" fontId="50" fillId="19" borderId="33" xfId="0" applyFont="1" applyFill="1" applyBorder="1" applyAlignment="1">
      <alignment horizontal="left" vertical="center"/>
    </xf>
    <xf numFmtId="0" fontId="51" fillId="0" borderId="33" xfId="0" applyFont="1" applyBorder="1" applyAlignment="1">
      <alignment horizontal="left" vertical="center" wrapText="1"/>
    </xf>
    <xf numFmtId="0" fontId="51" fillId="19" borderId="33" xfId="0" applyFont="1" applyFill="1" applyBorder="1" applyAlignment="1">
      <alignment horizontal="center" vertical="center"/>
    </xf>
    <xf numFmtId="0" fontId="51" fillId="19" borderId="33" xfId="0" applyFont="1" applyFill="1" applyBorder="1" applyAlignment="1">
      <alignment horizontal="center" vertical="center" wrapText="1"/>
    </xf>
    <xf numFmtId="0" fontId="50" fillId="0" borderId="33" xfId="0" applyFont="1" applyBorder="1" applyAlignment="1">
      <alignment horizontal="center" vertical="center" wrapText="1"/>
    </xf>
    <xf numFmtId="0" fontId="51" fillId="0" borderId="33" xfId="0" applyFont="1" applyBorder="1" applyAlignment="1">
      <alignment horizontal="center" vertical="center"/>
    </xf>
    <xf numFmtId="0" fontId="0" fillId="0" borderId="33" xfId="0" applyBorder="1" applyAlignment="1">
      <alignment horizontal="left" vertical="center" wrapText="1"/>
    </xf>
    <xf numFmtId="0" fontId="0" fillId="0" borderId="33" xfId="0" applyBorder="1" applyAlignment="1">
      <alignment vertical="center" wrapText="1"/>
    </xf>
    <xf numFmtId="0" fontId="51" fillId="19" borderId="33" xfId="0" applyFont="1" applyFill="1" applyBorder="1" applyAlignment="1">
      <alignment vertical="center"/>
    </xf>
    <xf numFmtId="0" fontId="51" fillId="19" borderId="33" xfId="0" applyFont="1" applyFill="1" applyBorder="1" applyAlignment="1">
      <alignment vertical="center" wrapText="1"/>
    </xf>
    <xf numFmtId="2" fontId="51" fillId="0" borderId="33" xfId="1" applyNumberFormat="1" applyFont="1" applyBorder="1" applyAlignment="1">
      <alignment horizontal="center" vertical="center"/>
    </xf>
    <xf numFmtId="2" fontId="51" fillId="20" borderId="33" xfId="0" applyNumberFormat="1" applyFont="1" applyFill="1" applyBorder="1" applyAlignment="1">
      <alignment horizontal="center" vertical="center" wrapText="1"/>
    </xf>
    <xf numFmtId="0" fontId="58" fillId="0" borderId="0" xfId="5100"/>
    <xf numFmtId="0" fontId="8" fillId="0" borderId="0" xfId="0" applyFont="1" applyAlignment="1">
      <alignment wrapText="1"/>
    </xf>
    <xf numFmtId="9" fontId="8" fillId="0" borderId="0" xfId="0" applyNumberFormat="1" applyFont="1"/>
    <xf numFmtId="2" fontId="8" fillId="0" borderId="0" xfId="0" applyNumberFormat="1" applyFont="1"/>
    <xf numFmtId="1" fontId="8" fillId="0" borderId="0" xfId="3" applyNumberFormat="1" applyFont="1"/>
    <xf numFmtId="3" fontId="8" fillId="0" borderId="0" xfId="0" applyNumberFormat="1" applyFont="1"/>
    <xf numFmtId="187" fontId="8" fillId="0" borderId="0" xfId="0" applyNumberFormat="1" applyFont="1"/>
    <xf numFmtId="0" fontId="8" fillId="4" borderId="33" xfId="0" applyFont="1" applyFill="1" applyBorder="1" applyAlignment="1">
      <alignment vertical="center" wrapText="1"/>
    </xf>
    <xf numFmtId="0" fontId="8" fillId="4" borderId="57" xfId="0" applyFont="1" applyFill="1" applyBorder="1" applyAlignment="1">
      <alignment vertical="center" wrapText="1"/>
    </xf>
    <xf numFmtId="0" fontId="8" fillId="0" borderId="33" xfId="0" applyFont="1" applyBorder="1" applyAlignment="1">
      <alignment vertical="center" wrapText="1"/>
    </xf>
    <xf numFmtId="9" fontId="8" fillId="0" borderId="0" xfId="3" applyFont="1"/>
    <xf numFmtId="0" fontId="56" fillId="0" borderId="0" xfId="0" applyFont="1"/>
    <xf numFmtId="0" fontId="0" fillId="0" borderId="0" xfId="0" applyAlignment="1">
      <alignment wrapText="1"/>
    </xf>
    <xf numFmtId="9" fontId="0" fillId="0" borderId="0" xfId="0" applyNumberFormat="1" applyAlignment="1">
      <alignment wrapText="1"/>
    </xf>
    <xf numFmtId="0" fontId="51" fillId="20" borderId="33" xfId="0" applyFont="1" applyFill="1" applyBorder="1" applyAlignment="1">
      <alignment horizontal="center" vertical="center"/>
    </xf>
    <xf numFmtId="0" fontId="51" fillId="0" borderId="33" xfId="0" applyFont="1" applyBorder="1" applyAlignment="1">
      <alignment horizontal="justify" vertical="center" wrapText="1"/>
    </xf>
    <xf numFmtId="0" fontId="0" fillId="0" borderId="33" xfId="0" applyBorder="1" applyAlignment="1">
      <alignment wrapText="1"/>
    </xf>
    <xf numFmtId="0" fontId="0" fillId="0" borderId="33" xfId="0" applyBorder="1"/>
    <xf numFmtId="14" fontId="0" fillId="0" borderId="33" xfId="0" applyNumberFormat="1" applyBorder="1"/>
    <xf numFmtId="187" fontId="0" fillId="0" borderId="33" xfId="3" applyNumberFormat="1" applyFont="1" applyBorder="1"/>
    <xf numFmtId="0" fontId="59" fillId="18" borderId="33" xfId="0" applyFont="1" applyFill="1" applyBorder="1" applyAlignment="1">
      <alignment horizontal="center" vertical="center"/>
    </xf>
    <xf numFmtId="14" fontId="0" fillId="0" borderId="33" xfId="0" applyNumberFormat="1" applyBorder="1" applyAlignment="1">
      <alignment horizontal="center" vertical="center"/>
    </xf>
    <xf numFmtId="43" fontId="0" fillId="0" borderId="33" xfId="1" applyFont="1" applyBorder="1" applyAlignment="1">
      <alignment horizontal="center" vertical="center"/>
    </xf>
    <xf numFmtId="0" fontId="0" fillId="0" borderId="33" xfId="0" applyBorder="1" applyAlignment="1">
      <alignment horizontal="center" vertical="center"/>
    </xf>
    <xf numFmtId="43" fontId="0" fillId="0" borderId="33" xfId="0" applyNumberFormat="1" applyBorder="1" applyAlignment="1">
      <alignment horizontal="center" vertical="center"/>
    </xf>
    <xf numFmtId="14" fontId="0" fillId="0" borderId="0" xfId="0" applyNumberFormat="1"/>
    <xf numFmtId="0" fontId="0" fillId="21" borderId="33" xfId="0" applyFill="1" applyBorder="1" applyAlignment="1">
      <alignment horizontal="center" vertical="center"/>
    </xf>
    <xf numFmtId="43" fontId="0" fillId="21" borderId="33" xfId="1" applyFont="1" applyFill="1" applyBorder="1" applyAlignment="1">
      <alignment horizontal="center" vertical="center"/>
    </xf>
    <xf numFmtId="43" fontId="60" fillId="18" borderId="33" xfId="0" applyNumberFormat="1" applyFont="1" applyFill="1" applyBorder="1" applyAlignment="1">
      <alignment horizontal="center" vertical="center"/>
    </xf>
    <xf numFmtId="187" fontId="0" fillId="0" borderId="33" xfId="0" applyNumberFormat="1" applyBorder="1" applyAlignment="1">
      <alignment vertical="center"/>
    </xf>
    <xf numFmtId="0" fontId="0" fillId="0" borderId="0" xfId="0" applyAlignment="1">
      <alignment horizontal="right"/>
    </xf>
    <xf numFmtId="0" fontId="0" fillId="0" borderId="33" xfId="0" applyBorder="1" applyAlignment="1">
      <alignment vertical="center"/>
    </xf>
    <xf numFmtId="187" fontId="0" fillId="0" borderId="0" xfId="0" applyNumberFormat="1"/>
    <xf numFmtId="0" fontId="1" fillId="21" borderId="33" xfId="0" applyFont="1" applyFill="1" applyBorder="1" applyAlignment="1">
      <alignment vertical="center"/>
    </xf>
    <xf numFmtId="187" fontId="1" fillId="21" borderId="33" xfId="0" applyNumberFormat="1" applyFont="1" applyFill="1" applyBorder="1" applyAlignment="1">
      <alignment vertical="center"/>
    </xf>
    <xf numFmtId="43" fontId="0" fillId="0" borderId="33" xfId="0" applyNumberFormat="1" applyBorder="1" applyAlignment="1">
      <alignment vertical="center"/>
    </xf>
    <xf numFmtId="9" fontId="0" fillId="0" borderId="33" xfId="0" applyNumberFormat="1" applyBorder="1" applyAlignment="1">
      <alignment horizontal="center" vertical="center"/>
    </xf>
    <xf numFmtId="0" fontId="1" fillId="21" borderId="33" xfId="0" applyFont="1" applyFill="1" applyBorder="1"/>
    <xf numFmtId="43" fontId="1" fillId="21" borderId="33" xfId="0" applyNumberFormat="1" applyFont="1" applyFill="1" applyBorder="1"/>
    <xf numFmtId="188" fontId="0" fillId="0" borderId="0" xfId="0" applyNumberFormat="1"/>
    <xf numFmtId="188" fontId="59" fillId="18" borderId="33" xfId="0" applyNumberFormat="1" applyFont="1" applyFill="1" applyBorder="1" applyAlignment="1">
      <alignment horizontal="center" vertical="center"/>
    </xf>
    <xf numFmtId="188" fontId="0" fillId="0" borderId="33" xfId="1" applyNumberFormat="1" applyFont="1" applyBorder="1" applyAlignment="1">
      <alignment horizontal="center" vertical="center"/>
    </xf>
    <xf numFmtId="188" fontId="0" fillId="0" borderId="33" xfId="0" applyNumberFormat="1" applyBorder="1" applyAlignment="1">
      <alignment horizontal="center" vertical="center"/>
    </xf>
    <xf numFmtId="3" fontId="0" fillId="0" borderId="33" xfId="0" applyNumberFormat="1" applyBorder="1"/>
    <xf numFmtId="187" fontId="0" fillId="0" borderId="33" xfId="0" applyNumberFormat="1" applyBorder="1"/>
    <xf numFmtId="188" fontId="0" fillId="21" borderId="33" xfId="1" applyNumberFormat="1" applyFont="1" applyFill="1" applyBorder="1" applyAlignment="1">
      <alignment horizontal="center" vertical="center"/>
    </xf>
    <xf numFmtId="188" fontId="60" fillId="18" borderId="33" xfId="0" applyNumberFormat="1" applyFont="1" applyFill="1" applyBorder="1" applyAlignment="1">
      <alignment horizontal="center" vertical="center"/>
    </xf>
    <xf numFmtId="43" fontId="0" fillId="0" borderId="0" xfId="0" applyNumberFormat="1"/>
    <xf numFmtId="9" fontId="8" fillId="0" borderId="0" xfId="3" applyFont="1" applyAlignment="1">
      <alignment wrapText="1"/>
    </xf>
    <xf numFmtId="0" fontId="8" fillId="0" borderId="56" xfId="0" applyFont="1" applyBorder="1" applyAlignment="1">
      <alignment horizontal="center" vertical="center" wrapText="1"/>
    </xf>
    <xf numFmtId="0" fontId="11" fillId="2" borderId="46" xfId="0" applyFont="1" applyFill="1" applyBorder="1" applyAlignment="1">
      <alignment horizontal="right" wrapText="1"/>
    </xf>
    <xf numFmtId="0" fontId="6" fillId="0" borderId="46" xfId="0" applyFont="1" applyBorder="1" applyAlignment="1">
      <alignment horizontal="right" vertical="center" wrapText="1"/>
    </xf>
    <xf numFmtId="0" fontId="6" fillId="0" borderId="31" xfId="0" applyFont="1" applyBorder="1" applyAlignment="1">
      <alignment horizontal="right" vertical="center" wrapText="1"/>
    </xf>
    <xf numFmtId="0" fontId="28" fillId="0" borderId="59" xfId="0" applyFont="1" applyBorder="1" applyAlignment="1">
      <alignment horizontal="left" vertical="top" wrapText="1"/>
    </xf>
    <xf numFmtId="0" fontId="28" fillId="0" borderId="59" xfId="5096" applyFont="1" applyBorder="1" applyAlignment="1">
      <alignment horizontal="center" vertical="top"/>
    </xf>
    <xf numFmtId="0" fontId="28" fillId="0" borderId="59" xfId="0" applyFont="1" applyBorder="1" applyAlignment="1">
      <alignment horizontal="left" vertical="top"/>
    </xf>
    <xf numFmtId="0" fontId="28" fillId="0" borderId="60" xfId="0" applyFont="1" applyBorder="1" applyAlignment="1">
      <alignment horizontal="left" vertical="top" wrapText="1"/>
    </xf>
    <xf numFmtId="0" fontId="28" fillId="0" borderId="33" xfId="0" applyFont="1" applyBorder="1" applyAlignment="1">
      <alignment horizontal="center" vertical="top" wrapText="1"/>
    </xf>
    <xf numFmtId="0" fontId="28" fillId="0" borderId="33" xfId="0" applyFont="1" applyBorder="1" applyAlignment="1">
      <alignment horizontal="left" vertical="top" wrapText="1"/>
    </xf>
    <xf numFmtId="0" fontId="28" fillId="0" borderId="33" xfId="7" applyNumberFormat="1" applyFont="1" applyFill="1" applyBorder="1" applyAlignment="1">
      <alignment horizontal="center" vertical="top"/>
    </xf>
    <xf numFmtId="0" fontId="28" fillId="0" borderId="33" xfId="596" applyFont="1" applyBorder="1" applyAlignment="1">
      <alignment horizontal="left" vertical="top"/>
    </xf>
    <xf numFmtId="0" fontId="28" fillId="0" borderId="33" xfId="7" applyNumberFormat="1" applyFont="1" applyFill="1" applyBorder="1" applyAlignment="1">
      <alignment horizontal="left" vertical="top"/>
    </xf>
    <xf numFmtId="0" fontId="28" fillId="0" borderId="33" xfId="5096" applyFont="1" applyBorder="1" applyAlignment="1">
      <alignment horizontal="center" vertical="top"/>
    </xf>
    <xf numFmtId="0" fontId="28" fillId="0" borderId="33" xfId="5096" applyFont="1" applyBorder="1" applyAlignment="1">
      <alignment horizontal="left" vertical="top"/>
    </xf>
    <xf numFmtId="0" fontId="28" fillId="0" borderId="33" xfId="5096" applyFont="1" applyBorder="1" applyAlignment="1">
      <alignment horizontal="left" vertical="top" wrapText="1"/>
    </xf>
    <xf numFmtId="0" fontId="28" fillId="0" borderId="33" xfId="0" applyFont="1" applyBorder="1" applyAlignment="1">
      <alignment horizontal="left" vertical="top"/>
    </xf>
    <xf numFmtId="0" fontId="28" fillId="0" borderId="33" xfId="5096" applyFont="1" applyBorder="1" applyAlignment="1">
      <alignment horizontal="center" vertical="center"/>
    </xf>
    <xf numFmtId="0" fontId="28" fillId="0" borderId="33" xfId="5096" applyFont="1" applyBorder="1" applyAlignment="1">
      <alignment horizontal="left" vertical="center"/>
    </xf>
    <xf numFmtId="0" fontId="28" fillId="0" borderId="33" xfId="5099" applyFont="1" applyBorder="1" applyAlignment="1">
      <alignment horizontal="center" vertical="top"/>
    </xf>
    <xf numFmtId="0" fontId="28" fillId="0" borderId="33" xfId="5099" applyFont="1" applyBorder="1" applyAlignment="1">
      <alignment horizontal="left" vertical="top"/>
    </xf>
    <xf numFmtId="0" fontId="28" fillId="0" borderId="33" xfId="7" applyNumberFormat="1" applyFont="1" applyFill="1" applyBorder="1" applyAlignment="1">
      <alignment horizontal="left" vertical="top" wrapText="1"/>
    </xf>
    <xf numFmtId="0" fontId="28" fillId="0" borderId="33" xfId="0" applyFont="1" applyBorder="1" applyAlignment="1">
      <alignment horizontal="left" vertical="center"/>
    </xf>
    <xf numFmtId="0" fontId="28" fillId="0" borderId="33" xfId="7" applyNumberFormat="1" applyFont="1" applyFill="1" applyBorder="1" applyAlignment="1">
      <alignment vertical="top"/>
    </xf>
    <xf numFmtId="2" fontId="62" fillId="22" borderId="33" xfId="0" applyNumberFormat="1" applyFont="1" applyFill="1" applyBorder="1" applyAlignment="1">
      <alignment horizontal="center" vertical="center" wrapText="1"/>
    </xf>
    <xf numFmtId="0" fontId="63" fillId="0" borderId="0" xfId="0" applyFont="1"/>
    <xf numFmtId="166" fontId="28" fillId="0" borderId="33" xfId="22" applyNumberFormat="1" applyFont="1" applyFill="1" applyBorder="1" applyAlignment="1">
      <alignment horizontal="center" vertical="top" wrapText="1"/>
    </xf>
    <xf numFmtId="0" fontId="63" fillId="0" borderId="33" xfId="0" applyFont="1" applyBorder="1"/>
    <xf numFmtId="0" fontId="64" fillId="18" borderId="33" xfId="0" applyFont="1" applyFill="1" applyBorder="1" applyAlignment="1">
      <alignment horizontal="center"/>
    </xf>
    <xf numFmtId="166" fontId="59" fillId="18" borderId="33" xfId="0" applyNumberFormat="1" applyFont="1" applyFill="1" applyBorder="1"/>
    <xf numFmtId="0" fontId="64" fillId="18" borderId="49" xfId="0" applyFont="1" applyFill="1" applyBorder="1"/>
    <xf numFmtId="0" fontId="66" fillId="0" borderId="59" xfId="0" applyFont="1" applyBorder="1"/>
    <xf numFmtId="0" fontId="66" fillId="0" borderId="59" xfId="0" applyFont="1" applyBorder="1" applyAlignment="1">
      <alignment horizontal="center"/>
    </xf>
    <xf numFmtId="189" fontId="66" fillId="0" borderId="59" xfId="0" applyNumberFormat="1" applyFont="1" applyBorder="1" applyAlignment="1">
      <alignment horizontal="center"/>
    </xf>
    <xf numFmtId="17" fontId="66" fillId="0" borderId="59" xfId="0" applyNumberFormat="1" applyFont="1" applyBorder="1" applyAlignment="1">
      <alignment horizontal="center"/>
    </xf>
    <xf numFmtId="0" fontId="67" fillId="18" borderId="59" xfId="0" applyFont="1" applyFill="1" applyBorder="1" applyAlignment="1">
      <alignment horizontal="center" vertical="center" wrapText="1"/>
    </xf>
    <xf numFmtId="0" fontId="67" fillId="18" borderId="33" xfId="0" applyFont="1" applyFill="1" applyBorder="1" applyAlignment="1">
      <alignment horizontal="center" wrapText="1"/>
    </xf>
    <xf numFmtId="0" fontId="66" fillId="0" borderId="33" xfId="0" applyFont="1" applyBorder="1"/>
    <xf numFmtId="43" fontId="66" fillId="0" borderId="33" xfId="1" applyFont="1" applyBorder="1"/>
    <xf numFmtId="0" fontId="66" fillId="0" borderId="33" xfId="0" applyFont="1" applyBorder="1" applyAlignment="1">
      <alignment horizontal="center"/>
    </xf>
    <xf numFmtId="189" fontId="66" fillId="0" borderId="33" xfId="0" applyNumberFormat="1" applyFont="1" applyBorder="1" applyAlignment="1">
      <alignment horizontal="center"/>
    </xf>
    <xf numFmtId="17" fontId="66" fillId="0" borderId="33" xfId="0" applyNumberFormat="1" applyFont="1" applyBorder="1" applyAlignment="1">
      <alignment horizontal="center"/>
    </xf>
    <xf numFmtId="0" fontId="64" fillId="18" borderId="33" xfId="0" applyFont="1" applyFill="1" applyBorder="1"/>
    <xf numFmtId="0" fontId="65" fillId="0" borderId="59" xfId="0" applyFont="1" applyBorder="1" applyAlignment="1">
      <alignment horizontal="left" vertical="top"/>
    </xf>
    <xf numFmtId="43" fontId="66" fillId="0" borderId="0" xfId="1" applyFont="1"/>
    <xf numFmtId="0" fontId="63" fillId="0" borderId="0" xfId="0" applyFont="1" applyAlignment="1">
      <alignment horizontal="left"/>
    </xf>
    <xf numFmtId="43" fontId="63" fillId="0" borderId="0" xfId="1" applyFont="1"/>
    <xf numFmtId="168" fontId="64" fillId="18" borderId="0" xfId="1" applyNumberFormat="1" applyFont="1" applyFill="1" applyBorder="1" applyAlignment="1">
      <alignment horizontal="center" vertical="center"/>
    </xf>
    <xf numFmtId="43" fontId="64" fillId="18" borderId="0" xfId="1" applyFont="1" applyFill="1" applyBorder="1" applyAlignment="1">
      <alignment horizontal="center" vertical="center" wrapText="1"/>
    </xf>
    <xf numFmtId="0" fontId="67" fillId="18" borderId="59" xfId="0" applyFont="1" applyFill="1" applyBorder="1" applyAlignment="1">
      <alignment horizontal="center" vertical="center"/>
    </xf>
    <xf numFmtId="166" fontId="63" fillId="0" borderId="0" xfId="0" applyNumberFormat="1" applyFont="1"/>
    <xf numFmtId="0" fontId="65" fillId="0" borderId="33" xfId="0" applyFont="1" applyBorder="1" applyAlignment="1">
      <alignment horizontal="left" vertical="top"/>
    </xf>
    <xf numFmtId="168" fontId="64" fillId="18" borderId="33" xfId="1" applyNumberFormat="1" applyFont="1" applyFill="1" applyBorder="1" applyAlignment="1">
      <alignment horizontal="center" vertical="center"/>
    </xf>
    <xf numFmtId="43" fontId="64" fillId="18" borderId="33" xfId="1" applyFont="1" applyFill="1" applyBorder="1" applyAlignment="1">
      <alignment horizontal="center" vertical="center" wrapText="1"/>
    </xf>
    <xf numFmtId="0" fontId="67" fillId="18" borderId="33" xfId="0" applyFont="1" applyFill="1" applyBorder="1" applyAlignment="1">
      <alignment horizontal="center" vertical="center" wrapText="1"/>
    </xf>
    <xf numFmtId="0" fontId="67" fillId="18" borderId="33" xfId="0" applyFont="1" applyFill="1" applyBorder="1" applyAlignment="1">
      <alignment horizontal="center" vertical="center"/>
    </xf>
    <xf numFmtId="0" fontId="63" fillId="0" borderId="33" xfId="0" applyFont="1" applyBorder="1" applyAlignment="1">
      <alignment horizontal="left"/>
    </xf>
    <xf numFmtId="43" fontId="63" fillId="0" borderId="33" xfId="0" applyNumberFormat="1" applyFont="1" applyBorder="1"/>
    <xf numFmtId="43" fontId="63" fillId="0" borderId="33" xfId="1" applyFont="1" applyBorder="1"/>
    <xf numFmtId="166" fontId="63" fillId="0" borderId="33" xfId="0" applyNumberFormat="1" applyFont="1" applyBorder="1"/>
    <xf numFmtId="0" fontId="56" fillId="0" borderId="33" xfId="0" applyFont="1" applyBorder="1"/>
    <xf numFmtId="3" fontId="56" fillId="0" borderId="33" xfId="0" applyNumberFormat="1" applyFont="1" applyBorder="1"/>
    <xf numFmtId="0" fontId="8" fillId="0" borderId="33" xfId="0" applyFont="1" applyBorder="1"/>
    <xf numFmtId="0" fontId="1" fillId="2" borderId="40" xfId="0" applyFont="1" applyFill="1" applyBorder="1" applyAlignment="1">
      <alignment horizontal="right" wrapText="1"/>
    </xf>
    <xf numFmtId="1" fontId="1" fillId="2" borderId="33" xfId="0" applyNumberFormat="1" applyFont="1" applyFill="1" applyBorder="1" applyAlignment="1">
      <alignment horizontal="right" wrapText="1"/>
    </xf>
    <xf numFmtId="0" fontId="61" fillId="0" borderId="0" xfId="0" applyFont="1" applyAlignment="1">
      <alignment vertical="top"/>
    </xf>
    <xf numFmtId="0" fontId="61" fillId="0" borderId="0" xfId="0" applyFont="1" applyAlignment="1">
      <alignment vertical="top" wrapText="1"/>
    </xf>
    <xf numFmtId="43" fontId="28" fillId="0" borderId="0" xfId="1" applyFont="1" applyFill="1" applyBorder="1" applyAlignment="1">
      <alignment vertical="top" wrapText="1"/>
    </xf>
    <xf numFmtId="2" fontId="61" fillId="23" borderId="59" xfId="0" applyNumberFormat="1" applyFont="1" applyFill="1" applyBorder="1" applyAlignment="1">
      <alignment horizontal="center" vertical="center" wrapText="1"/>
    </xf>
    <xf numFmtId="0" fontId="28" fillId="0" borderId="59" xfId="0" applyFont="1" applyBorder="1" applyAlignment="1">
      <alignment horizontal="center" vertical="top" wrapText="1"/>
    </xf>
    <xf numFmtId="0" fontId="28" fillId="0" borderId="59" xfId="596" applyFont="1" applyBorder="1" applyAlignment="1">
      <alignment horizontal="left" vertical="top"/>
    </xf>
    <xf numFmtId="0" fontId="28" fillId="0" borderId="59" xfId="5096" applyFont="1" applyBorder="1" applyAlignment="1">
      <alignment horizontal="left" vertical="top"/>
    </xf>
    <xf numFmtId="0" fontId="28" fillId="0" borderId="59" xfId="5096" applyFont="1" applyBorder="1" applyAlignment="1">
      <alignment horizontal="left" vertical="top" wrapText="1"/>
    </xf>
    <xf numFmtId="0" fontId="28" fillId="0" borderId="59" xfId="5096" applyFont="1" applyBorder="1" applyAlignment="1">
      <alignment horizontal="center" vertical="center"/>
    </xf>
    <xf numFmtId="0" fontId="28" fillId="0" borderId="59" xfId="5096" applyFont="1" applyBorder="1" applyAlignment="1">
      <alignment horizontal="left" vertical="center"/>
    </xf>
    <xf numFmtId="0" fontId="28" fillId="0" borderId="59" xfId="5099" applyFont="1" applyBorder="1" applyAlignment="1">
      <alignment horizontal="center" vertical="top"/>
    </xf>
    <xf numFmtId="0" fontId="28" fillId="0" borderId="59" xfId="5099" applyFont="1" applyBorder="1" applyAlignment="1">
      <alignment horizontal="left" vertical="top"/>
    </xf>
    <xf numFmtId="0" fontId="28" fillId="0" borderId="59" xfId="0" applyFont="1" applyBorder="1" applyAlignment="1">
      <alignment horizontal="left" vertical="center"/>
    </xf>
    <xf numFmtId="0" fontId="61" fillId="0" borderId="33" xfId="0" applyFont="1" applyBorder="1" applyAlignment="1">
      <alignment vertical="top"/>
    </xf>
    <xf numFmtId="0" fontId="61" fillId="0" borderId="33" xfId="0" applyFont="1" applyBorder="1" applyAlignment="1">
      <alignment vertical="top" wrapText="1"/>
    </xf>
    <xf numFmtId="43" fontId="28" fillId="0" borderId="33" xfId="1" applyFont="1" applyFill="1" applyBorder="1" applyAlignment="1">
      <alignment vertical="top" wrapText="1"/>
    </xf>
    <xf numFmtId="168" fontId="28" fillId="0" borderId="33" xfId="22" applyNumberFormat="1" applyFont="1" applyFill="1" applyBorder="1" applyAlignment="1">
      <alignment horizontal="right" vertical="top" wrapText="1"/>
    </xf>
    <xf numFmtId="43" fontId="28" fillId="0" borderId="33" xfId="1" applyFont="1" applyFill="1" applyBorder="1" applyAlignment="1">
      <alignment vertical="top"/>
    </xf>
    <xf numFmtId="166" fontId="0" fillId="0" borderId="0" xfId="0" applyNumberFormat="1"/>
    <xf numFmtId="166" fontId="1" fillId="0" borderId="0" xfId="0" applyNumberFormat="1" applyFont="1"/>
    <xf numFmtId="0" fontId="61" fillId="0" borderId="57" xfId="0" applyFont="1" applyBorder="1" applyAlignment="1">
      <alignment horizontal="left" wrapText="1"/>
    </xf>
    <xf numFmtId="0" fontId="59" fillId="18" borderId="33" xfId="0" applyFont="1" applyFill="1" applyBorder="1" applyAlignment="1">
      <alignment vertical="center"/>
    </xf>
    <xf numFmtId="0" fontId="1" fillId="0" borderId="33" xfId="0" applyFont="1" applyBorder="1"/>
    <xf numFmtId="2" fontId="0" fillId="0" borderId="33" xfId="0" applyNumberFormat="1" applyBorder="1" applyAlignment="1">
      <alignment horizontal="center"/>
    </xf>
    <xf numFmtId="0" fontId="0" fillId="0" borderId="33" xfId="0" applyBorder="1" applyAlignment="1">
      <alignment horizontal="center"/>
    </xf>
    <xf numFmtId="173" fontId="0" fillId="0" borderId="33" xfId="0" applyNumberFormat="1" applyBorder="1" applyAlignment="1">
      <alignment horizontal="center"/>
    </xf>
    <xf numFmtId="10" fontId="0" fillId="0" borderId="33" xfId="0" applyNumberFormat="1" applyBorder="1" applyAlignment="1">
      <alignment horizontal="center"/>
    </xf>
    <xf numFmtId="0" fontId="59" fillId="18" borderId="33" xfId="0" applyFont="1" applyFill="1" applyBorder="1" applyAlignment="1">
      <alignment vertical="center" wrapText="1"/>
    </xf>
    <xf numFmtId="2" fontId="59" fillId="18" borderId="33" xfId="0" applyNumberFormat="1" applyFont="1" applyFill="1" applyBorder="1" applyAlignment="1">
      <alignment horizontal="center" vertical="center"/>
    </xf>
    <xf numFmtId="168" fontId="28" fillId="0" borderId="59" xfId="5101" applyNumberFormat="1" applyFont="1" applyFill="1" applyBorder="1" applyAlignment="1">
      <alignment horizontal="right" vertical="top" wrapText="1"/>
    </xf>
    <xf numFmtId="0" fontId="66" fillId="0" borderId="0" xfId="0" applyFont="1" applyAlignment="1">
      <alignment vertical="top"/>
    </xf>
    <xf numFmtId="0" fontId="28" fillId="0" borderId="59" xfId="5102" applyNumberFormat="1" applyFont="1" applyFill="1" applyBorder="1" applyAlignment="1">
      <alignment vertical="top"/>
    </xf>
    <xf numFmtId="0" fontId="28" fillId="0" borderId="59" xfId="5102" applyNumberFormat="1" applyFont="1" applyFill="1" applyBorder="1" applyAlignment="1">
      <alignment horizontal="center" vertical="top"/>
    </xf>
    <xf numFmtId="0" fontId="28" fillId="0" borderId="59" xfId="5102" applyNumberFormat="1" applyFont="1" applyFill="1" applyBorder="1" applyAlignment="1">
      <alignment horizontal="left" vertical="top" wrapText="1"/>
    </xf>
    <xf numFmtId="0" fontId="28" fillId="0" borderId="59" xfId="5102" applyNumberFormat="1" applyFont="1" applyFill="1" applyBorder="1" applyAlignment="1">
      <alignment horizontal="left" vertical="top"/>
    </xf>
    <xf numFmtId="2" fontId="61" fillId="23" borderId="0" xfId="0" applyNumberFormat="1" applyFont="1" applyFill="1" applyAlignment="1">
      <alignment horizontal="center" vertical="center" wrapText="1"/>
    </xf>
    <xf numFmtId="2" fontId="61" fillId="23" borderId="61" xfId="0" applyNumberFormat="1" applyFont="1" applyFill="1" applyBorder="1" applyAlignment="1">
      <alignment horizontal="center" vertical="center" wrapText="1"/>
    </xf>
    <xf numFmtId="10" fontId="0" fillId="0" borderId="0" xfId="5103" applyNumberFormat="1" applyFont="1"/>
    <xf numFmtId="0" fontId="1" fillId="0" borderId="33" xfId="0" applyFont="1" applyBorder="1" applyAlignment="1">
      <alignment wrapText="1"/>
    </xf>
    <xf numFmtId="2" fontId="8" fillId="0" borderId="39" xfId="0" applyNumberFormat="1" applyFont="1" applyBorder="1" applyAlignment="1">
      <alignment horizontal="center" vertical="center" wrapText="1"/>
    </xf>
    <xf numFmtId="2" fontId="9" fillId="2" borderId="33" xfId="0" applyNumberFormat="1" applyFont="1" applyFill="1" applyBorder="1" applyAlignment="1">
      <alignment horizontal="center" vertical="center" wrapText="1"/>
    </xf>
    <xf numFmtId="2" fontId="0" fillId="0" borderId="0" xfId="0" applyNumberFormat="1"/>
    <xf numFmtId="0" fontId="8" fillId="25" borderId="37" xfId="0" applyFont="1" applyFill="1" applyBorder="1" applyAlignment="1">
      <alignment horizontal="center" vertical="center" wrapText="1"/>
    </xf>
    <xf numFmtId="2" fontId="5" fillId="25" borderId="35" xfId="30" applyNumberFormat="1" applyFont="1" applyFill="1" applyBorder="1" applyAlignment="1">
      <alignment horizontal="center" vertical="center" wrapText="1"/>
    </xf>
    <xf numFmtId="0" fontId="8" fillId="25" borderId="37" xfId="0" applyFont="1" applyFill="1" applyBorder="1" applyAlignment="1">
      <alignment vertical="center" wrapText="1"/>
    </xf>
    <xf numFmtId="0" fontId="63" fillId="0" borderId="59" xfId="0" applyFont="1" applyBorder="1"/>
    <xf numFmtId="17" fontId="65" fillId="24" borderId="33" xfId="1" quotePrefix="1" applyNumberFormat="1" applyFont="1" applyFill="1" applyBorder="1" applyAlignment="1">
      <alignment horizontal="center" vertical="center" wrapText="1"/>
    </xf>
    <xf numFmtId="0" fontId="0" fillId="0" borderId="33" xfId="0" quotePrefix="1" applyBorder="1" applyAlignment="1">
      <alignment horizontal="left"/>
    </xf>
    <xf numFmtId="0" fontId="70" fillId="0" borderId="33" xfId="0" applyFont="1" applyBorder="1" applyAlignment="1">
      <alignment horizontal="left" vertical="top" wrapText="1" indent="1"/>
    </xf>
    <xf numFmtId="166" fontId="0" fillId="0" borderId="33" xfId="0" applyNumberFormat="1" applyBorder="1"/>
    <xf numFmtId="43" fontId="0" fillId="0" borderId="33" xfId="1" applyFont="1" applyBorder="1"/>
    <xf numFmtId="0" fontId="70" fillId="0" borderId="33" xfId="0" quotePrefix="1" applyFont="1" applyBorder="1" applyAlignment="1">
      <alignment horizontal="left" vertical="top" wrapText="1" indent="1"/>
    </xf>
    <xf numFmtId="0" fontId="71" fillId="0" borderId="33" xfId="0" applyFont="1" applyBorder="1" applyAlignment="1">
      <alignment horizontal="left" vertical="top" wrapText="1" indent="1"/>
    </xf>
    <xf numFmtId="0" fontId="0" fillId="0" borderId="33" xfId="0" applyBorder="1" applyAlignment="1">
      <alignment vertical="top" wrapText="1"/>
    </xf>
    <xf numFmtId="43" fontId="68" fillId="0" borderId="33" xfId="1" applyFont="1" applyBorder="1"/>
    <xf numFmtId="43" fontId="0" fillId="0" borderId="33" xfId="0" applyNumberFormat="1" applyBorder="1"/>
    <xf numFmtId="0" fontId="59" fillId="18" borderId="33" xfId="0" applyFont="1" applyFill="1" applyBorder="1"/>
    <xf numFmtId="0" fontId="59" fillId="18" borderId="33" xfId="0" applyFont="1" applyFill="1" applyBorder="1" applyAlignment="1">
      <alignment horizontal="center"/>
    </xf>
    <xf numFmtId="43" fontId="0" fillId="0" borderId="33" xfId="1" applyFont="1" applyBorder="1" applyAlignment="1">
      <alignment wrapText="1"/>
    </xf>
    <xf numFmtId="0" fontId="0" fillId="0" borderId="33" xfId="0" quotePrefix="1" applyBorder="1" applyAlignment="1">
      <alignment horizontal="left" wrapText="1"/>
    </xf>
    <xf numFmtId="0" fontId="72" fillId="0" borderId="33" xfId="0" applyFont="1" applyBorder="1" applyAlignment="1">
      <alignment horizontal="left" vertical="center" wrapText="1" indent="1"/>
    </xf>
    <xf numFmtId="0" fontId="69" fillId="0" borderId="33" xfId="0" applyFont="1" applyBorder="1"/>
    <xf numFmtId="168" fontId="69" fillId="26" borderId="33" xfId="1" applyNumberFormat="1" applyFont="1" applyFill="1" applyBorder="1" applyAlignment="1">
      <alignment horizontal="center" vertical="center"/>
    </xf>
    <xf numFmtId="43" fontId="69" fillId="26" borderId="33" xfId="1" applyFont="1" applyFill="1" applyBorder="1" applyAlignment="1">
      <alignment horizontal="center" vertical="center" wrapText="1"/>
    </xf>
    <xf numFmtId="43" fontId="66" fillId="0" borderId="59" xfId="1" applyFont="1" applyBorder="1" applyAlignment="1">
      <alignment horizontal="center" vertical="center"/>
    </xf>
    <xf numFmtId="0" fontId="64" fillId="18" borderId="61" xfId="0" applyFont="1" applyFill="1" applyBorder="1"/>
    <xf numFmtId="43" fontId="59" fillId="18" borderId="0" xfId="0" applyNumberFormat="1" applyFont="1" applyFill="1"/>
    <xf numFmtId="0" fontId="8" fillId="25" borderId="36" xfId="0" applyFont="1" applyFill="1" applyBorder="1" applyAlignment="1">
      <alignment horizontal="center" vertical="center" wrapText="1"/>
    </xf>
    <xf numFmtId="0" fontId="5" fillId="25" borderId="35" xfId="30" applyFont="1" applyFill="1" applyBorder="1" applyAlignment="1">
      <alignment horizontal="center" vertical="center" wrapText="1"/>
    </xf>
    <xf numFmtId="0" fontId="8" fillId="25" borderId="33" xfId="0" applyFont="1" applyFill="1" applyBorder="1" applyAlignment="1">
      <alignment vertical="center" wrapText="1"/>
    </xf>
    <xf numFmtId="0" fontId="69" fillId="0" borderId="33" xfId="0" applyFont="1" applyBorder="1" applyAlignment="1">
      <alignment horizontal="center"/>
    </xf>
    <xf numFmtId="43" fontId="63" fillId="0" borderId="33" xfId="1" applyFont="1" applyBorder="1" applyAlignment="1">
      <alignment horizontal="right"/>
    </xf>
    <xf numFmtId="43" fontId="69" fillId="0" borderId="33" xfId="1" applyFont="1" applyBorder="1" applyAlignment="1">
      <alignment horizontal="right"/>
    </xf>
    <xf numFmtId="0" fontId="5" fillId="25" borderId="47" xfId="30" applyFont="1" applyFill="1" applyBorder="1" applyAlignment="1">
      <alignment horizontal="center" vertical="center" wrapText="1"/>
    </xf>
    <xf numFmtId="0" fontId="73" fillId="0" borderId="33" xfId="0" applyFont="1" applyBorder="1" applyAlignment="1">
      <alignment wrapText="1"/>
    </xf>
    <xf numFmtId="43" fontId="74" fillId="0" borderId="33" xfId="1" applyFont="1" applyBorder="1"/>
    <xf numFmtId="168" fontId="75" fillId="26" borderId="33" xfId="1" applyNumberFormat="1" applyFont="1" applyFill="1" applyBorder="1" applyAlignment="1">
      <alignment horizontal="center" vertical="center" wrapText="1"/>
    </xf>
    <xf numFmtId="189" fontId="75" fillId="26" borderId="33" xfId="1" applyNumberFormat="1" applyFont="1" applyFill="1" applyBorder="1" applyAlignment="1">
      <alignment horizontal="center" vertical="center" wrapText="1"/>
    </xf>
    <xf numFmtId="0" fontId="0" fillId="18" borderId="33" xfId="0" applyFill="1" applyBorder="1" applyAlignment="1">
      <alignment vertical="center"/>
    </xf>
    <xf numFmtId="43" fontId="74" fillId="25" borderId="33" xfId="1" applyFont="1" applyFill="1" applyBorder="1"/>
    <xf numFmtId="189" fontId="75" fillId="25" borderId="33" xfId="1" applyNumberFormat="1" applyFont="1" applyFill="1" applyBorder="1" applyAlignment="1">
      <alignment horizontal="center" vertical="center" wrapText="1"/>
    </xf>
    <xf numFmtId="43" fontId="63" fillId="25" borderId="33" xfId="1" applyFont="1" applyFill="1" applyBorder="1"/>
    <xf numFmtId="188" fontId="28" fillId="0" borderId="59" xfId="1" applyNumberFormat="1" applyFont="1" applyFill="1" applyBorder="1" applyAlignment="1">
      <alignment horizontal="right" vertical="top" wrapText="1"/>
    </xf>
    <xf numFmtId="3" fontId="28" fillId="0" borderId="59" xfId="0" applyNumberFormat="1" applyFont="1" applyBorder="1" applyAlignment="1">
      <alignment vertical="top"/>
    </xf>
    <xf numFmtId="168" fontId="28" fillId="0" borderId="59" xfId="5101" applyNumberFormat="1" applyFont="1" applyFill="1" applyBorder="1" applyAlignment="1">
      <alignment horizontal="center" vertical="top" wrapText="1"/>
    </xf>
    <xf numFmtId="43" fontId="8" fillId="0" borderId="33" xfId="0" applyNumberFormat="1" applyFont="1" applyBorder="1" applyAlignment="1">
      <alignment vertical="center" wrapText="1"/>
    </xf>
    <xf numFmtId="2" fontId="43" fillId="0" borderId="0" xfId="0" applyNumberFormat="1" applyFont="1"/>
    <xf numFmtId="0" fontId="59" fillId="18" borderId="38" xfId="0" applyFont="1" applyFill="1" applyBorder="1" applyAlignment="1">
      <alignment vertical="center"/>
    </xf>
    <xf numFmtId="0" fontId="59" fillId="18" borderId="38" xfId="0" applyFont="1" applyFill="1" applyBorder="1" applyAlignment="1">
      <alignment horizontal="center" vertical="center"/>
    </xf>
    <xf numFmtId="0" fontId="65" fillId="24" borderId="33" xfId="440" applyFont="1" applyFill="1" applyBorder="1" applyAlignment="1">
      <alignment horizontal="center" vertical="center" wrapText="1"/>
    </xf>
    <xf numFmtId="17" fontId="65" fillId="24" borderId="33" xfId="1" applyNumberFormat="1" applyFont="1" applyFill="1" applyBorder="1" applyAlignment="1">
      <alignment horizontal="center" vertical="center" wrapText="1"/>
    </xf>
    <xf numFmtId="0" fontId="66" fillId="0" borderId="33" xfId="440" applyFont="1" applyBorder="1" applyAlignment="1">
      <alignment vertical="top" wrapText="1"/>
    </xf>
    <xf numFmtId="0" fontId="66" fillId="0" borderId="33" xfId="440" applyFont="1" applyBorder="1" applyAlignment="1">
      <alignment horizontal="center" vertical="top" wrapText="1"/>
    </xf>
    <xf numFmtId="43" fontId="66" fillId="0" borderId="33" xfId="1" applyFont="1" applyFill="1" applyBorder="1" applyAlignment="1">
      <alignment vertical="top"/>
    </xf>
    <xf numFmtId="0" fontId="66" fillId="0" borderId="33" xfId="440" applyFont="1" applyBorder="1" applyAlignment="1">
      <alignment horizontal="center" vertical="top"/>
    </xf>
    <xf numFmtId="0" fontId="66" fillId="0" borderId="33" xfId="440" applyFont="1" applyBorder="1" applyAlignment="1">
      <alignment vertical="top"/>
    </xf>
    <xf numFmtId="166" fontId="66" fillId="0" borderId="33" xfId="440" applyNumberFormat="1" applyFont="1" applyBorder="1" applyAlignment="1">
      <alignment vertical="top"/>
    </xf>
    <xf numFmtId="43" fontId="1" fillId="0" borderId="33" xfId="0" applyNumberFormat="1" applyFont="1" applyBorder="1"/>
    <xf numFmtId="2" fontId="1" fillId="0" borderId="33" xfId="0" applyNumberFormat="1" applyFont="1" applyBorder="1"/>
    <xf numFmtId="0" fontId="62" fillId="22" borderId="47" xfId="0" applyFont="1" applyFill="1" applyBorder="1" applyAlignment="1">
      <alignment horizontal="center" vertical="center" wrapText="1"/>
    </xf>
    <xf numFmtId="0" fontId="52" fillId="0" borderId="0" xfId="0" applyFont="1" applyAlignment="1">
      <alignment horizontal="left" vertical="center" wrapText="1"/>
    </xf>
    <xf numFmtId="4" fontId="43" fillId="0" borderId="0" xfId="0" applyNumberFormat="1" applyFont="1"/>
    <xf numFmtId="2" fontId="9" fillId="2" borderId="33" xfId="0" applyNumberFormat="1" applyFont="1" applyFill="1" applyBorder="1" applyAlignment="1">
      <alignment wrapText="1"/>
    </xf>
    <xf numFmtId="0" fontId="44" fillId="0" borderId="0" xfId="0" applyFont="1"/>
    <xf numFmtId="2" fontId="44" fillId="0" borderId="0" xfId="0" applyNumberFormat="1" applyFont="1"/>
    <xf numFmtId="0" fontId="8" fillId="0" borderId="56" xfId="0" applyFont="1" applyBorder="1" applyAlignment="1">
      <alignment vertical="center" wrapText="1"/>
    </xf>
    <xf numFmtId="0" fontId="43" fillId="0" borderId="56" xfId="0" applyFont="1" applyBorder="1"/>
    <xf numFmtId="2" fontId="43" fillId="0" borderId="33" xfId="0" applyNumberFormat="1" applyFont="1" applyBorder="1" applyAlignment="1">
      <alignment horizontal="center"/>
    </xf>
    <xf numFmtId="4" fontId="43" fillId="0" borderId="33" xfId="0" applyNumberFormat="1" applyFont="1" applyBorder="1" applyAlignment="1">
      <alignment horizontal="center"/>
    </xf>
    <xf numFmtId="2" fontId="44" fillId="2" borderId="1" xfId="0" applyNumberFormat="1" applyFont="1" applyFill="1" applyBorder="1" applyAlignment="1">
      <alignment horizontal="center" vertical="center"/>
    </xf>
    <xf numFmtId="0" fontId="62" fillId="22" borderId="46" xfId="0" applyFont="1" applyFill="1" applyBorder="1" applyAlignment="1">
      <alignment vertical="center" wrapText="1"/>
    </xf>
    <xf numFmtId="0" fontId="62" fillId="22" borderId="31" xfId="0" applyFont="1" applyFill="1" applyBorder="1" applyAlignment="1">
      <alignment vertical="center" wrapText="1"/>
    </xf>
    <xf numFmtId="0" fontId="62" fillId="22" borderId="47" xfId="0" applyFont="1" applyFill="1" applyBorder="1" applyAlignment="1">
      <alignment vertical="center" wrapText="1"/>
    </xf>
    <xf numFmtId="190" fontId="63" fillId="0" borderId="33" xfId="0" applyNumberFormat="1" applyFont="1" applyBorder="1" applyAlignment="1">
      <alignment horizontal="center" vertical="center"/>
    </xf>
    <xf numFmtId="190" fontId="63" fillId="0" borderId="33" xfId="1" applyNumberFormat="1" applyFont="1" applyBorder="1" applyAlignment="1">
      <alignment horizontal="center" vertical="center"/>
    </xf>
    <xf numFmtId="190" fontId="65" fillId="0" borderId="33" xfId="1" applyNumberFormat="1" applyFont="1" applyBorder="1"/>
    <xf numFmtId="2" fontId="51" fillId="20" borderId="33" xfId="0" applyNumberFormat="1" applyFont="1" applyFill="1" applyBorder="1" applyAlignment="1">
      <alignment horizontal="center" vertical="center"/>
    </xf>
    <xf numFmtId="0" fontId="5" fillId="0" borderId="33" xfId="30" applyFont="1" applyBorder="1" applyAlignment="1">
      <alignment horizontal="center" vertical="center" wrapText="1"/>
    </xf>
    <xf numFmtId="2" fontId="5" fillId="0" borderId="33" xfId="30" applyNumberFormat="1" applyFont="1" applyBorder="1" applyAlignment="1">
      <alignment horizontal="center" vertical="center" wrapText="1"/>
    </xf>
    <xf numFmtId="0" fontId="11" fillId="2" borderId="33" xfId="0" applyFont="1" applyFill="1" applyBorder="1" applyAlignment="1">
      <alignment horizontal="right" wrapText="1"/>
    </xf>
    <xf numFmtId="0" fontId="61" fillId="23" borderId="59" xfId="0" applyFont="1" applyFill="1" applyBorder="1" applyAlignment="1">
      <alignment vertical="center" wrapText="1"/>
    </xf>
    <xf numFmtId="43" fontId="61" fillId="23" borderId="59" xfId="0" applyNumberFormat="1" applyFont="1" applyFill="1" applyBorder="1" applyAlignment="1">
      <alignment horizontal="center" vertical="center" wrapText="1"/>
    </xf>
    <xf numFmtId="43" fontId="28" fillId="0" borderId="59" xfId="5101" applyNumberFormat="1" applyFont="1" applyFill="1" applyBorder="1" applyAlignment="1">
      <alignment horizontal="right" vertical="top" wrapText="1"/>
    </xf>
    <xf numFmtId="43" fontId="28" fillId="0" borderId="59" xfId="5101" applyNumberFormat="1" applyFont="1" applyFill="1" applyBorder="1" applyAlignment="1">
      <alignment horizontal="center" vertical="top" wrapText="1"/>
    </xf>
    <xf numFmtId="0" fontId="28" fillId="0" borderId="60" xfId="5102" applyNumberFormat="1" applyFont="1" applyFill="1" applyBorder="1" applyAlignment="1">
      <alignment horizontal="center" vertical="top"/>
    </xf>
    <xf numFmtId="0" fontId="28" fillId="0" borderId="60" xfId="5102" applyNumberFormat="1" applyFont="1" applyFill="1" applyBorder="1" applyAlignment="1">
      <alignment vertical="top"/>
    </xf>
    <xf numFmtId="2" fontId="0" fillId="0" borderId="33" xfId="0" applyNumberFormat="1" applyBorder="1"/>
    <xf numFmtId="0" fontId="28" fillId="0" borderId="33" xfId="5102" applyNumberFormat="1" applyFont="1" applyFill="1" applyBorder="1" applyAlignment="1">
      <alignment horizontal="center" vertical="top"/>
    </xf>
    <xf numFmtId="0" fontId="28" fillId="0" borderId="33" xfId="5102" applyNumberFormat="1" applyFont="1" applyFill="1" applyBorder="1" applyAlignment="1">
      <alignment horizontal="left" vertical="top"/>
    </xf>
    <xf numFmtId="0" fontId="28" fillId="0" borderId="33" xfId="5102" applyNumberFormat="1" applyFont="1" applyFill="1" applyBorder="1" applyAlignment="1">
      <alignment horizontal="left" vertical="top" wrapText="1"/>
    </xf>
    <xf numFmtId="43" fontId="62" fillId="22" borderId="33" xfId="0" applyNumberFormat="1" applyFont="1" applyFill="1" applyBorder="1" applyAlignment="1">
      <alignment horizontal="center" vertical="center" wrapText="1"/>
    </xf>
    <xf numFmtId="2" fontId="1" fillId="21" borderId="33" xfId="0" applyNumberFormat="1" applyFont="1" applyFill="1" applyBorder="1"/>
    <xf numFmtId="166" fontId="28" fillId="0" borderId="33" xfId="22" applyNumberFormat="1" applyFont="1" applyFill="1" applyBorder="1" applyAlignment="1">
      <alignment horizontal="right" vertical="top" wrapText="1"/>
    </xf>
    <xf numFmtId="0" fontId="48" fillId="18" borderId="0" xfId="0" applyFont="1" applyFill="1" applyAlignment="1">
      <alignment horizontal="center" vertical="center" wrapText="1"/>
    </xf>
    <xf numFmtId="0" fontId="49" fillId="0" borderId="0" xfId="0" applyFont="1" applyAlignment="1">
      <alignment horizontal="right" vertical="center"/>
    </xf>
    <xf numFmtId="0" fontId="50" fillId="19" borderId="0" xfId="0" applyFont="1" applyFill="1" applyAlignment="1">
      <alignment horizontal="center" vertical="center" wrapText="1"/>
    </xf>
    <xf numFmtId="0" fontId="49" fillId="0" borderId="0" xfId="0" applyFont="1" applyAlignment="1">
      <alignment horizontal="right" vertical="center" wrapText="1"/>
    </xf>
    <xf numFmtId="0" fontId="0" fillId="0" borderId="0" xfId="0" applyAlignment="1">
      <alignment vertical="center" wrapText="1"/>
    </xf>
    <xf numFmtId="0" fontId="51" fillId="19" borderId="0" xfId="0" applyFont="1" applyFill="1" applyAlignment="1">
      <alignment vertical="center" wrapText="1"/>
    </xf>
    <xf numFmtId="0" fontId="57" fillId="18" borderId="0" xfId="0" applyFont="1" applyFill="1" applyAlignment="1">
      <alignment horizontal="left" vertical="center"/>
    </xf>
    <xf numFmtId="0" fontId="49" fillId="0" borderId="0" xfId="0" applyFont="1" applyAlignment="1">
      <alignment horizontal="left" vertical="center" wrapText="1"/>
    </xf>
    <xf numFmtId="0" fontId="62" fillId="22" borderId="0" xfId="0" applyFont="1" applyFill="1" applyAlignment="1">
      <alignment horizontal="center" vertical="center" wrapText="1"/>
    </xf>
    <xf numFmtId="2" fontId="62" fillId="22" borderId="0" xfId="0" applyNumberFormat="1" applyFont="1" applyFill="1" applyAlignment="1">
      <alignment horizontal="center" vertical="center" wrapText="1"/>
    </xf>
    <xf numFmtId="168" fontId="28" fillId="0" borderId="0" xfId="22" applyNumberFormat="1" applyFont="1" applyFill="1" applyBorder="1" applyAlignment="1">
      <alignment horizontal="right" vertical="top" wrapText="1"/>
    </xf>
    <xf numFmtId="166" fontId="1" fillId="0" borderId="33" xfId="0" applyNumberFormat="1" applyFont="1" applyBorder="1"/>
    <xf numFmtId="166" fontId="28" fillId="0" borderId="33" xfId="1" applyNumberFormat="1" applyFont="1" applyFill="1" applyBorder="1" applyAlignment="1">
      <alignment vertical="top"/>
    </xf>
    <xf numFmtId="43" fontId="0" fillId="0" borderId="0" xfId="1" applyFont="1"/>
    <xf numFmtId="9" fontId="0" fillId="0" borderId="33" xfId="3" applyFont="1" applyBorder="1" applyAlignment="1">
      <alignment horizontal="center"/>
    </xf>
    <xf numFmtId="0" fontId="1" fillId="0" borderId="57" xfId="0" applyFont="1" applyBorder="1"/>
    <xf numFmtId="0" fontId="67" fillId="18" borderId="0" xfId="0" applyFont="1" applyFill="1" applyAlignment="1">
      <alignment horizontal="center" vertical="center" wrapText="1"/>
    </xf>
    <xf numFmtId="0" fontId="50" fillId="27" borderId="69" xfId="0" applyFont="1" applyFill="1" applyBorder="1" applyAlignment="1">
      <alignment horizontal="center" vertical="center" wrapText="1"/>
    </xf>
    <xf numFmtId="0" fontId="50" fillId="27" borderId="10" xfId="0" applyFont="1" applyFill="1" applyBorder="1" applyAlignment="1">
      <alignment horizontal="center" vertical="center" wrapText="1"/>
    </xf>
    <xf numFmtId="0" fontId="76" fillId="0" borderId="69" xfId="0" applyFont="1" applyBorder="1" applyAlignment="1">
      <alignment vertical="center" wrapText="1"/>
    </xf>
    <xf numFmtId="0" fontId="76" fillId="0" borderId="10" xfId="0" applyFont="1" applyBorder="1" applyAlignment="1">
      <alignment horizontal="center" vertical="center" wrapText="1"/>
    </xf>
    <xf numFmtId="0" fontId="76" fillId="0" borderId="10" xfId="0" applyFont="1" applyBorder="1" applyAlignment="1">
      <alignment horizontal="center" vertical="center"/>
    </xf>
    <xf numFmtId="0" fontId="51" fillId="0" borderId="10" xfId="0" applyFont="1" applyBorder="1" applyAlignment="1">
      <alignment horizontal="center" vertical="center"/>
    </xf>
    <xf numFmtId="0" fontId="50" fillId="27" borderId="10" xfId="0" applyFont="1" applyFill="1" applyBorder="1" applyAlignment="1">
      <alignment horizontal="center" vertical="center"/>
    </xf>
    <xf numFmtId="43" fontId="72" fillId="24" borderId="33" xfId="1" quotePrefix="1" applyFont="1" applyFill="1" applyBorder="1" applyAlignment="1">
      <alignment horizontal="center" vertical="center" wrapText="1"/>
    </xf>
    <xf numFmtId="17" fontId="72" fillId="24" borderId="33" xfId="1" quotePrefix="1" applyNumberFormat="1" applyFont="1" applyFill="1" applyBorder="1" applyAlignment="1">
      <alignment horizontal="center" vertical="center" wrapText="1"/>
    </xf>
    <xf numFmtId="0" fontId="1" fillId="24" borderId="33" xfId="0" applyFont="1" applyFill="1" applyBorder="1" applyAlignment="1">
      <alignment horizontal="center" vertical="center" wrapText="1"/>
    </xf>
    <xf numFmtId="0" fontId="0" fillId="0" borderId="33" xfId="0" applyBorder="1" applyAlignment="1">
      <alignment vertical="top"/>
    </xf>
    <xf numFmtId="43" fontId="0" fillId="0" borderId="33" xfId="1" applyFont="1" applyBorder="1" applyAlignment="1">
      <alignment vertical="top"/>
    </xf>
    <xf numFmtId="0" fontId="1" fillId="24" borderId="33" xfId="0" applyFont="1" applyFill="1" applyBorder="1" applyAlignment="1">
      <alignment vertical="top"/>
    </xf>
    <xf numFmtId="43" fontId="1" fillId="24" borderId="33" xfId="1" applyFont="1" applyFill="1" applyBorder="1" applyAlignment="1">
      <alignment vertical="top"/>
    </xf>
    <xf numFmtId="0" fontId="0" fillId="0" borderId="0" xfId="0" applyAlignment="1">
      <alignment horizontal="left" vertical="top" wrapText="1"/>
    </xf>
    <xf numFmtId="0" fontId="44" fillId="2" borderId="33" xfId="0" applyFont="1" applyFill="1" applyBorder="1" applyAlignment="1">
      <alignment horizontal="center" vertical="center"/>
    </xf>
    <xf numFmtId="167" fontId="44" fillId="2" borderId="33" xfId="0" applyNumberFormat="1" applyFont="1" applyFill="1" applyBorder="1" applyAlignment="1">
      <alignment horizontal="center" vertical="center" wrapText="1"/>
    </xf>
    <xf numFmtId="4" fontId="44" fillId="2" borderId="33" xfId="1" applyNumberFormat="1" applyFont="1" applyFill="1" applyBorder="1" applyAlignment="1">
      <alignment horizontal="center" vertical="center"/>
    </xf>
    <xf numFmtId="0" fontId="19" fillId="2" borderId="33" xfId="0" applyFont="1" applyFill="1" applyBorder="1"/>
    <xf numFmtId="0" fontId="59" fillId="18" borderId="33" xfId="0" applyFont="1" applyFill="1" applyBorder="1" applyAlignment="1">
      <alignment horizontal="center" vertical="center" wrapText="1"/>
    </xf>
    <xf numFmtId="0" fontId="0" fillId="0" borderId="0" xfId="0" applyAlignment="1">
      <alignment horizontal="center" vertical="center"/>
    </xf>
    <xf numFmtId="166" fontId="0" fillId="0" borderId="33" xfId="5104" applyFont="1" applyBorder="1"/>
    <xf numFmtId="0" fontId="1" fillId="28" borderId="33" xfId="0" applyFont="1" applyFill="1" applyBorder="1" applyAlignment="1">
      <alignment horizontal="left"/>
    </xf>
    <xf numFmtId="166" fontId="1" fillId="28" borderId="33" xfId="5104" applyFont="1" applyFill="1" applyBorder="1" applyAlignment="1">
      <alignment horizontal="center"/>
    </xf>
    <xf numFmtId="166" fontId="0" fillId="0" borderId="0" xfId="5104" applyFont="1"/>
    <xf numFmtId="0" fontId="2" fillId="0" borderId="0" xfId="0" applyFont="1" applyAlignment="1">
      <alignment horizontal="center"/>
    </xf>
    <xf numFmtId="0" fontId="45" fillId="18" borderId="1" xfId="0" applyFont="1" applyFill="1" applyBorder="1" applyAlignment="1">
      <alignment horizontal="center"/>
    </xf>
    <xf numFmtId="0" fontId="45" fillId="18" borderId="33" xfId="0" applyFont="1" applyFill="1" applyBorder="1" applyAlignment="1">
      <alignment horizontal="center"/>
    </xf>
    <xf numFmtId="0" fontId="47" fillId="0" borderId="33" xfId="0" applyFont="1" applyBorder="1" applyAlignment="1">
      <alignment horizontal="left" vertical="top" wrapText="1"/>
    </xf>
    <xf numFmtId="0" fontId="46" fillId="18" borderId="46" xfId="0" applyFont="1" applyFill="1" applyBorder="1" applyAlignment="1">
      <alignment horizontal="left"/>
    </xf>
    <xf numFmtId="0" fontId="46" fillId="18" borderId="31" xfId="0" applyFont="1" applyFill="1" applyBorder="1" applyAlignment="1">
      <alignment horizontal="left"/>
    </xf>
    <xf numFmtId="0" fontId="46" fillId="18" borderId="47" xfId="0" applyFont="1" applyFill="1" applyBorder="1" applyAlignment="1">
      <alignment horizontal="left"/>
    </xf>
    <xf numFmtId="0" fontId="44" fillId="2" borderId="46" xfId="0" applyFont="1" applyFill="1" applyBorder="1" applyAlignment="1">
      <alignment horizontal="center" vertical="center"/>
    </xf>
    <xf numFmtId="0" fontId="44" fillId="2" borderId="47" xfId="0" applyFont="1" applyFill="1" applyBorder="1" applyAlignment="1">
      <alignment horizontal="center" vertical="center"/>
    </xf>
    <xf numFmtId="0" fontId="47" fillId="4" borderId="1" xfId="0" applyFont="1" applyFill="1" applyBorder="1" applyAlignment="1">
      <alignment horizontal="right"/>
    </xf>
    <xf numFmtId="0" fontId="47" fillId="4" borderId="33" xfId="0" applyFont="1" applyFill="1" applyBorder="1" applyAlignment="1">
      <alignment horizontal="right"/>
    </xf>
    <xf numFmtId="0" fontId="42" fillId="0" borderId="21" xfId="0" applyFont="1" applyBorder="1" applyAlignment="1">
      <alignment horizontal="right"/>
    </xf>
    <xf numFmtId="0" fontId="42" fillId="0" borderId="33" xfId="0" applyFont="1" applyBorder="1" applyAlignment="1">
      <alignment horizontal="right"/>
    </xf>
    <xf numFmtId="0" fontId="7" fillId="18" borderId="33" xfId="0" applyFont="1" applyFill="1" applyBorder="1" applyAlignment="1">
      <alignment horizontal="center" vertical="center" wrapText="1"/>
    </xf>
    <xf numFmtId="0" fontId="10" fillId="18" borderId="34" xfId="0" applyFont="1" applyFill="1" applyBorder="1" applyAlignment="1">
      <alignment horizontal="left" wrapText="1"/>
    </xf>
    <xf numFmtId="0" fontId="10" fillId="18" borderId="12" xfId="0" applyFont="1" applyFill="1" applyBorder="1" applyAlignment="1">
      <alignment horizontal="left" wrapText="1"/>
    </xf>
    <xf numFmtId="0" fontId="10" fillId="18" borderId="31" xfId="0" applyFont="1" applyFill="1" applyBorder="1" applyAlignment="1">
      <alignment horizontal="left" wrapText="1"/>
    </xf>
    <xf numFmtId="0" fontId="6" fillId="0" borderId="33" xfId="0" applyFont="1" applyBorder="1" applyAlignment="1">
      <alignment horizontal="left" vertical="top" wrapText="1"/>
    </xf>
    <xf numFmtId="0" fontId="8" fillId="0" borderId="34" xfId="0" applyFont="1" applyBorder="1" applyAlignment="1">
      <alignment horizontal="right" vertical="center" wrapText="1"/>
    </xf>
    <xf numFmtId="0" fontId="8" fillId="0" borderId="27" xfId="0" applyFont="1" applyBorder="1" applyAlignment="1">
      <alignment horizontal="right" vertical="center" wrapText="1"/>
    </xf>
    <xf numFmtId="0" fontId="8" fillId="0" borderId="41" xfId="0" applyFont="1" applyBorder="1" applyAlignment="1">
      <alignment horizontal="right" vertical="center" wrapText="1"/>
    </xf>
    <xf numFmtId="167" fontId="9" fillId="0" borderId="39" xfId="0" applyNumberFormat="1" applyFont="1" applyBorder="1" applyAlignment="1">
      <alignment horizontal="right" vertical="center" wrapText="1"/>
    </xf>
    <xf numFmtId="167" fontId="9" fillId="0" borderId="42" xfId="0" applyNumberFormat="1" applyFont="1" applyBorder="1" applyAlignment="1">
      <alignment horizontal="right" vertical="center" wrapText="1"/>
    </xf>
    <xf numFmtId="167" fontId="9" fillId="0" borderId="43" xfId="0" applyNumberFormat="1" applyFont="1" applyBorder="1" applyAlignment="1">
      <alignment horizontal="right" vertical="center" wrapText="1"/>
    </xf>
    <xf numFmtId="2" fontId="61" fillId="23" borderId="59" xfId="0" applyNumberFormat="1" applyFont="1" applyFill="1" applyBorder="1" applyAlignment="1">
      <alignment horizontal="center" vertical="center" wrapText="1"/>
    </xf>
    <xf numFmtId="0" fontId="61" fillId="23" borderId="59" xfId="0" applyFont="1" applyFill="1" applyBorder="1" applyAlignment="1">
      <alignment horizontal="center" vertical="center" wrapText="1"/>
    </xf>
    <xf numFmtId="0" fontId="48" fillId="18" borderId="33" xfId="0" applyFont="1" applyFill="1" applyBorder="1" applyAlignment="1">
      <alignment horizontal="center" vertical="center" wrapText="1"/>
    </xf>
    <xf numFmtId="0" fontId="49" fillId="0" borderId="33" xfId="0" applyFont="1" applyBorder="1" applyAlignment="1">
      <alignment horizontal="right" vertical="center"/>
    </xf>
    <xf numFmtId="0" fontId="57" fillId="18" borderId="56" xfId="0" applyFont="1" applyFill="1" applyBorder="1" applyAlignment="1">
      <alignment horizontal="left" vertical="center"/>
    </xf>
    <xf numFmtId="0" fontId="50" fillId="0" borderId="33" xfId="0" applyFont="1" applyBorder="1" applyAlignment="1">
      <alignment horizontal="center" vertical="center"/>
    </xf>
    <xf numFmtId="0" fontId="52" fillId="0" borderId="45" xfId="0" applyFont="1" applyBorder="1" applyAlignment="1">
      <alignment horizontal="left" vertical="center" wrapText="1"/>
    </xf>
    <xf numFmtId="0" fontId="52" fillId="0" borderId="0" xfId="0" applyFont="1" applyAlignment="1">
      <alignment horizontal="left" vertical="center" wrapText="1"/>
    </xf>
    <xf numFmtId="0" fontId="49" fillId="0" borderId="33" xfId="0" applyFont="1" applyBorder="1" applyAlignment="1">
      <alignment horizontal="right" vertical="center" wrapText="1"/>
    </xf>
    <xf numFmtId="0" fontId="49" fillId="0" borderId="33" xfId="0" applyFont="1" applyBorder="1" applyAlignment="1">
      <alignment horizontal="left" vertical="center" wrapText="1"/>
    </xf>
    <xf numFmtId="0" fontId="52" fillId="0" borderId="38" xfId="0" applyFont="1" applyBorder="1" applyAlignment="1">
      <alignment horizontal="left" vertical="center" wrapText="1"/>
    </xf>
    <xf numFmtId="2" fontId="62" fillId="22" borderId="33" xfId="0" applyNumberFormat="1" applyFont="1" applyFill="1" applyBorder="1" applyAlignment="1">
      <alignment horizontal="center" vertical="center" wrapText="1"/>
    </xf>
    <xf numFmtId="0" fontId="62" fillId="22" borderId="33" xfId="0" applyFont="1" applyFill="1" applyBorder="1" applyAlignment="1">
      <alignment horizontal="center" vertical="center" wrapText="1"/>
    </xf>
    <xf numFmtId="0" fontId="61" fillId="0" borderId="46" xfId="0" applyFont="1" applyBorder="1" applyAlignment="1">
      <alignment horizontal="center" wrapText="1"/>
    </xf>
    <xf numFmtId="0" fontId="61" fillId="0" borderId="31" xfId="0" applyFont="1" applyBorder="1" applyAlignment="1">
      <alignment horizontal="center" wrapText="1"/>
    </xf>
    <xf numFmtId="0" fontId="61" fillId="0" borderId="47" xfId="0" applyFont="1" applyBorder="1" applyAlignment="1">
      <alignment horizontal="center" wrapText="1"/>
    </xf>
    <xf numFmtId="0" fontId="7" fillId="18" borderId="34" xfId="0" applyFont="1" applyFill="1" applyBorder="1" applyAlignment="1">
      <alignment horizontal="center" vertical="center" wrapText="1"/>
    </xf>
    <xf numFmtId="0" fontId="7" fillId="18" borderId="12" xfId="0" applyFont="1" applyFill="1" applyBorder="1" applyAlignment="1">
      <alignment horizontal="center" vertical="center" wrapText="1"/>
    </xf>
    <xf numFmtId="0" fontId="7" fillId="18" borderId="35" xfId="0" applyFont="1" applyFill="1" applyBorder="1" applyAlignment="1">
      <alignment horizontal="center" vertical="center" wrapText="1"/>
    </xf>
    <xf numFmtId="0" fontId="6" fillId="0" borderId="34" xfId="0" applyFont="1" applyBorder="1" applyAlignment="1">
      <alignment horizontal="right" vertical="center" wrapText="1"/>
    </xf>
    <xf numFmtId="0" fontId="6" fillId="0" borderId="12" xfId="0" applyFont="1" applyBorder="1" applyAlignment="1">
      <alignment horizontal="right" vertical="center" wrapText="1"/>
    </xf>
    <xf numFmtId="0" fontId="6" fillId="0" borderId="35" xfId="0" applyFont="1" applyBorder="1" applyAlignment="1">
      <alignment horizontal="right" vertical="center" wrapText="1"/>
    </xf>
    <xf numFmtId="0" fontId="10" fillId="18" borderId="35" xfId="0" applyFont="1" applyFill="1" applyBorder="1" applyAlignment="1">
      <alignment horizontal="left" wrapText="1"/>
    </xf>
    <xf numFmtId="0" fontId="48" fillId="18" borderId="66" xfId="0" applyFont="1" applyFill="1" applyBorder="1" applyAlignment="1">
      <alignment horizontal="center" vertical="center" wrapText="1"/>
    </xf>
    <xf numFmtId="0" fontId="48" fillId="18" borderId="16" xfId="0" applyFont="1" applyFill="1" applyBorder="1" applyAlignment="1">
      <alignment horizontal="center" vertical="center" wrapText="1"/>
    </xf>
    <xf numFmtId="0" fontId="48" fillId="18" borderId="67" xfId="0" applyFont="1" applyFill="1" applyBorder="1" applyAlignment="1">
      <alignment horizontal="center" vertical="center" wrapText="1"/>
    </xf>
    <xf numFmtId="0" fontId="48" fillId="18" borderId="68" xfId="0" applyFont="1" applyFill="1" applyBorder="1" applyAlignment="1">
      <alignment horizontal="center" vertical="center" wrapText="1"/>
    </xf>
    <xf numFmtId="0" fontId="50" fillId="27" borderId="66" xfId="0" applyFont="1" applyFill="1" applyBorder="1" applyAlignment="1">
      <alignment horizontal="center" vertical="center"/>
    </xf>
    <xf numFmtId="0" fontId="50" fillId="27" borderId="67" xfId="0" applyFont="1" applyFill="1" applyBorder="1" applyAlignment="1">
      <alignment horizontal="center" vertical="center"/>
    </xf>
    <xf numFmtId="0" fontId="69" fillId="0" borderId="33" xfId="0" applyFont="1" applyBorder="1" applyAlignment="1">
      <alignment horizontal="center" vertical="center" wrapText="1"/>
    </xf>
    <xf numFmtId="0" fontId="6" fillId="0" borderId="46" xfId="0" applyFont="1" applyBorder="1" applyAlignment="1">
      <alignment horizontal="right" vertical="center" wrapText="1"/>
    </xf>
    <xf numFmtId="0" fontId="6" fillId="0" borderId="31" xfId="0" applyFont="1" applyBorder="1" applyAlignment="1">
      <alignment horizontal="right" vertical="center" wrapText="1"/>
    </xf>
    <xf numFmtId="0" fontId="6" fillId="0" borderId="40" xfId="0" applyFont="1" applyBorder="1" applyAlignment="1">
      <alignment horizontal="right" vertical="center" wrapText="1"/>
    </xf>
    <xf numFmtId="0" fontId="6" fillId="0" borderId="49" xfId="0" applyFont="1" applyBorder="1" applyAlignment="1">
      <alignment horizontal="right" vertical="center" wrapText="1"/>
    </xf>
    <xf numFmtId="0" fontId="7" fillId="18" borderId="45" xfId="0" applyFont="1" applyFill="1" applyBorder="1" applyAlignment="1">
      <alignment horizontal="center" wrapText="1"/>
    </xf>
    <xf numFmtId="0" fontId="7" fillId="18" borderId="0" xfId="0" applyFont="1" applyFill="1" applyAlignment="1">
      <alignment horizontal="center" wrapText="1"/>
    </xf>
    <xf numFmtId="0" fontId="10" fillId="18" borderId="58" xfId="0" applyFont="1" applyFill="1" applyBorder="1" applyAlignment="1">
      <alignment horizontal="left" wrapText="1"/>
    </xf>
    <xf numFmtId="0" fontId="10" fillId="18" borderId="42" xfId="0" applyFont="1" applyFill="1" applyBorder="1" applyAlignment="1">
      <alignment horizontal="left" wrapText="1"/>
    </xf>
    <xf numFmtId="0" fontId="6" fillId="0" borderId="45" xfId="0" applyFont="1" applyBorder="1" applyAlignment="1">
      <alignment horizontal="left" vertical="top" wrapText="1"/>
    </xf>
    <xf numFmtId="0" fontId="6" fillId="0" borderId="0" xfId="0" applyFont="1" applyAlignment="1">
      <alignment horizontal="left" vertical="top" wrapText="1"/>
    </xf>
    <xf numFmtId="0" fontId="1" fillId="0" borderId="46"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47" xfId="0" applyFont="1" applyBorder="1" applyAlignment="1">
      <alignment horizontal="center" vertical="center" wrapText="1"/>
    </xf>
    <xf numFmtId="0" fontId="7" fillId="18" borderId="34" xfId="0" applyFont="1" applyFill="1" applyBorder="1" applyAlignment="1">
      <alignment horizontal="center" wrapText="1"/>
    </xf>
    <xf numFmtId="0" fontId="7" fillId="18" borderId="12" xfId="0" applyFont="1" applyFill="1" applyBorder="1" applyAlignment="1">
      <alignment horizontal="center" wrapText="1"/>
    </xf>
    <xf numFmtId="0" fontId="7" fillId="18" borderId="35" xfId="0" applyFont="1" applyFill="1" applyBorder="1" applyAlignment="1">
      <alignment horizontal="center" wrapText="1"/>
    </xf>
    <xf numFmtId="0" fontId="6" fillId="0" borderId="27" xfId="0" applyFont="1" applyBorder="1" applyAlignment="1">
      <alignment horizontal="right" vertical="center" wrapText="1"/>
    </xf>
    <xf numFmtId="0" fontId="6" fillId="0" borderId="41" xfId="0" applyFont="1" applyBorder="1" applyAlignment="1">
      <alignment horizontal="right" vertical="center" wrapText="1"/>
    </xf>
    <xf numFmtId="0" fontId="6" fillId="0" borderId="47" xfId="0" applyFont="1" applyBorder="1" applyAlignment="1">
      <alignment horizontal="right" vertical="center" wrapText="1"/>
    </xf>
    <xf numFmtId="0" fontId="63" fillId="0" borderId="33" xfId="0" applyFont="1" applyBorder="1" applyAlignment="1">
      <alignment horizontal="center" vertical="center" wrapText="1"/>
    </xf>
    <xf numFmtId="0" fontId="63" fillId="0" borderId="33" xfId="0" applyFont="1" applyBorder="1" applyAlignment="1">
      <alignment horizontal="center"/>
    </xf>
    <xf numFmtId="0" fontId="10" fillId="3" borderId="58" xfId="0" applyFont="1" applyFill="1" applyBorder="1" applyAlignment="1">
      <alignment horizontal="left" wrapText="1"/>
    </xf>
    <xf numFmtId="0" fontId="10" fillId="3" borderId="42" xfId="0" applyFont="1" applyFill="1" applyBorder="1" applyAlignment="1">
      <alignment horizontal="left" wrapText="1"/>
    </xf>
    <xf numFmtId="0" fontId="10" fillId="3" borderId="34" xfId="0" applyFont="1" applyFill="1" applyBorder="1" applyAlignment="1">
      <alignment horizontal="left" wrapText="1"/>
    </xf>
    <xf numFmtId="0" fontId="10" fillId="3" borderId="12" xfId="0" applyFont="1" applyFill="1" applyBorder="1" applyAlignment="1">
      <alignment horizontal="left" wrapText="1"/>
    </xf>
    <xf numFmtId="0" fontId="10" fillId="3" borderId="35" xfId="0" applyFont="1" applyFill="1" applyBorder="1" applyAlignment="1">
      <alignment horizontal="left" wrapText="1"/>
    </xf>
    <xf numFmtId="0" fontId="0" fillId="0" borderId="45" xfId="0" applyBorder="1" applyAlignment="1">
      <alignment horizontal="left" vertical="center" wrapText="1"/>
    </xf>
    <xf numFmtId="0" fontId="0" fillId="0" borderId="0" xfId="0" applyAlignment="1">
      <alignment horizontal="left" vertical="center" wrapText="1"/>
    </xf>
    <xf numFmtId="0" fontId="63" fillId="0" borderId="56" xfId="0" applyFont="1" applyBorder="1" applyAlignment="1">
      <alignment horizontal="center" vertical="center" wrapText="1"/>
    </xf>
    <xf numFmtId="0" fontId="63" fillId="0" borderId="38" xfId="0" applyFont="1" applyBorder="1" applyAlignment="1">
      <alignment horizontal="center" vertical="center" wrapText="1"/>
    </xf>
    <xf numFmtId="0" fontId="69" fillId="0" borderId="33" xfId="0" applyFont="1" applyBorder="1" applyAlignment="1">
      <alignment horizontal="center"/>
    </xf>
    <xf numFmtId="0" fontId="6" fillId="0" borderId="33" xfId="0" applyFont="1" applyBorder="1" applyAlignment="1">
      <alignment horizontal="right" vertical="center" wrapText="1"/>
    </xf>
    <xf numFmtId="0" fontId="10" fillId="3" borderId="33" xfId="0" applyFont="1" applyFill="1" applyBorder="1" applyAlignment="1">
      <alignment horizontal="left" wrapText="1"/>
    </xf>
    <xf numFmtId="0" fontId="7" fillId="18" borderId="33" xfId="0" applyFont="1" applyFill="1" applyBorder="1" applyAlignment="1">
      <alignment horizontal="center" wrapText="1"/>
    </xf>
    <xf numFmtId="0" fontId="65" fillId="0" borderId="65" xfId="0" applyFont="1" applyBorder="1" applyAlignment="1">
      <alignment horizontal="left" vertical="top"/>
    </xf>
    <xf numFmtId="0" fontId="65" fillId="0" borderId="49" xfId="0" applyFont="1" applyBorder="1" applyAlignment="1">
      <alignment horizontal="left" vertical="top"/>
    </xf>
    <xf numFmtId="0" fontId="65" fillId="0" borderId="50" xfId="0" applyFont="1" applyBorder="1" applyAlignment="1">
      <alignment horizontal="left" vertical="top"/>
    </xf>
    <xf numFmtId="0" fontId="64" fillId="18" borderId="33" xfId="0" applyFont="1" applyFill="1" applyBorder="1" applyAlignment="1">
      <alignment horizontal="center"/>
    </xf>
    <xf numFmtId="0" fontId="61" fillId="21" borderId="33" xfId="0" applyFont="1" applyFill="1" applyBorder="1" applyAlignment="1">
      <alignment horizontal="center" vertical="center" wrapText="1"/>
    </xf>
    <xf numFmtId="43" fontId="62" fillId="22" borderId="33" xfId="0" applyNumberFormat="1" applyFont="1" applyFill="1" applyBorder="1" applyAlignment="1">
      <alignment horizontal="center" vertical="center" wrapText="1"/>
    </xf>
    <xf numFmtId="43" fontId="61" fillId="23" borderId="62" xfId="0" applyNumberFormat="1" applyFont="1" applyFill="1" applyBorder="1" applyAlignment="1">
      <alignment horizontal="center" vertical="center" wrapText="1"/>
    </xf>
    <xf numFmtId="43" fontId="61" fillId="23" borderId="63" xfId="0" applyNumberFormat="1" applyFont="1" applyFill="1" applyBorder="1" applyAlignment="1">
      <alignment horizontal="center" vertical="center" wrapText="1"/>
    </xf>
    <xf numFmtId="43" fontId="61" fillId="23" borderId="64" xfId="0" applyNumberFormat="1" applyFont="1" applyFill="1" applyBorder="1" applyAlignment="1">
      <alignment horizontal="center" vertical="center" wrapText="1"/>
    </xf>
    <xf numFmtId="0" fontId="6" fillId="0" borderId="31" xfId="0" applyFont="1" applyBorder="1" applyAlignment="1">
      <alignment horizontal="center" vertical="center" wrapText="1"/>
    </xf>
    <xf numFmtId="0" fontId="6" fillId="0" borderId="47" xfId="0" applyFont="1" applyBorder="1" applyAlignment="1">
      <alignment horizontal="center" vertical="center" wrapText="1"/>
    </xf>
    <xf numFmtId="0" fontId="52" fillId="0" borderId="33" xfId="0" applyFont="1" applyBorder="1" applyAlignment="1">
      <alignment horizontal="justify" vertical="center"/>
    </xf>
    <xf numFmtId="0" fontId="51" fillId="0" borderId="33" xfId="0" applyFont="1" applyBorder="1" applyAlignment="1">
      <alignment horizontal="right" vertical="center" wrapText="1"/>
    </xf>
    <xf numFmtId="0" fontId="0" fillId="0" borderId="33" xfId="0" applyBorder="1" applyAlignment="1">
      <alignment wrapText="1"/>
    </xf>
    <xf numFmtId="0" fontId="57" fillId="18" borderId="33" xfId="0" applyFont="1" applyFill="1" applyBorder="1" applyAlignment="1">
      <alignment vertical="center"/>
    </xf>
    <xf numFmtId="0" fontId="51" fillId="20" borderId="51" xfId="0" applyFont="1" applyFill="1" applyBorder="1" applyAlignment="1">
      <alignment horizontal="left" vertical="center" wrapText="1"/>
    </xf>
    <xf numFmtId="0" fontId="51" fillId="20" borderId="52" xfId="0" applyFont="1" applyFill="1" applyBorder="1" applyAlignment="1">
      <alignment horizontal="left" vertical="center" wrapText="1"/>
    </xf>
    <xf numFmtId="0" fontId="51" fillId="20" borderId="53" xfId="0" applyFont="1" applyFill="1" applyBorder="1" applyAlignment="1">
      <alignment horizontal="left" vertical="center" wrapText="1"/>
    </xf>
    <xf numFmtId="0" fontId="51" fillId="20" borderId="54" xfId="0" applyFont="1" applyFill="1" applyBorder="1" applyAlignment="1">
      <alignment horizontal="left" vertical="center" wrapText="1"/>
    </xf>
    <xf numFmtId="0" fontId="51" fillId="20" borderId="9" xfId="0" applyFont="1" applyFill="1" applyBorder="1" applyAlignment="1">
      <alignment horizontal="left" vertical="center" wrapText="1"/>
    </xf>
    <xf numFmtId="0" fontId="51" fillId="20" borderId="48" xfId="0" applyFont="1" applyFill="1" applyBorder="1" applyAlignment="1">
      <alignment horizontal="left" vertical="center" wrapText="1"/>
    </xf>
    <xf numFmtId="0" fontId="51" fillId="20" borderId="44" xfId="0" applyFont="1" applyFill="1" applyBorder="1" applyAlignment="1">
      <alignment horizontal="left" vertical="center" wrapText="1"/>
    </xf>
    <xf numFmtId="0" fontId="51" fillId="20" borderId="55" xfId="0" applyFont="1" applyFill="1" applyBorder="1" applyAlignment="1">
      <alignment horizontal="left" vertical="center" wrapText="1"/>
    </xf>
    <xf numFmtId="0" fontId="51" fillId="20" borderId="50" xfId="0" applyFont="1" applyFill="1" applyBorder="1" applyAlignment="1">
      <alignment horizontal="left" vertical="center" wrapText="1"/>
    </xf>
    <xf numFmtId="0" fontId="48" fillId="18" borderId="33" xfId="0" applyFont="1" applyFill="1" applyBorder="1" applyAlignment="1">
      <alignment horizontal="center" vertical="center"/>
    </xf>
    <xf numFmtId="0" fontId="52" fillId="0" borderId="45" xfId="0" applyFont="1" applyBorder="1" applyAlignment="1">
      <alignment horizontal="justify" vertical="center"/>
    </xf>
    <xf numFmtId="0" fontId="52" fillId="0" borderId="0" xfId="0" applyFont="1" applyAlignment="1">
      <alignment horizontal="justify" vertical="center"/>
    </xf>
    <xf numFmtId="0" fontId="52" fillId="0" borderId="48" xfId="0" applyFont="1" applyBorder="1" applyAlignment="1">
      <alignment horizontal="justify" vertical="center"/>
    </xf>
    <xf numFmtId="0" fontId="52" fillId="0" borderId="40" xfId="0" applyFont="1" applyBorder="1" applyAlignment="1">
      <alignment horizontal="justify" vertical="center"/>
    </xf>
    <xf numFmtId="0" fontId="52" fillId="0" borderId="49" xfId="0" applyFont="1" applyBorder="1" applyAlignment="1">
      <alignment horizontal="justify" vertical="center"/>
    </xf>
    <xf numFmtId="0" fontId="52" fillId="0" borderId="50" xfId="0" applyFont="1" applyBorder="1" applyAlignment="1">
      <alignment horizontal="justify" vertical="center"/>
    </xf>
    <xf numFmtId="0" fontId="50" fillId="0" borderId="33" xfId="0" applyFont="1" applyBorder="1" applyAlignment="1">
      <alignment vertical="center" wrapText="1"/>
    </xf>
    <xf numFmtId="0" fontId="52" fillId="19" borderId="33" xfId="0" applyFont="1" applyFill="1" applyBorder="1" applyAlignment="1">
      <alignment vertical="center"/>
    </xf>
    <xf numFmtId="0" fontId="77" fillId="0" borderId="33" xfId="0" applyFont="1" applyBorder="1" applyAlignment="1">
      <alignment horizontal="right"/>
    </xf>
    <xf numFmtId="0" fontId="19" fillId="2" borderId="33" xfId="0" applyFont="1" applyFill="1" applyBorder="1" applyAlignment="1">
      <alignment horizontal="center" vertical="center"/>
    </xf>
    <xf numFmtId="0" fontId="8" fillId="0" borderId="45" xfId="0" applyFont="1" applyBorder="1" applyAlignment="1">
      <alignment horizontal="left" vertical="center" wrapText="1"/>
    </xf>
    <xf numFmtId="0" fontId="8" fillId="0" borderId="0" xfId="0" applyFont="1" applyAlignment="1">
      <alignment horizontal="left" vertical="center" wrapText="1"/>
    </xf>
    <xf numFmtId="0" fontId="8" fillId="0" borderId="33" xfId="0" applyFont="1" applyBorder="1" applyAlignment="1">
      <alignment horizontal="left" vertical="center" wrapText="1"/>
    </xf>
    <xf numFmtId="0" fontId="64" fillId="18" borderId="49" xfId="0" applyFont="1" applyFill="1" applyBorder="1" applyAlignment="1">
      <alignment horizontal="left"/>
    </xf>
    <xf numFmtId="2" fontId="43" fillId="0" borderId="33" xfId="0" applyNumberFormat="1" applyFont="1" applyBorder="1" applyAlignment="1">
      <alignment horizontal="center" vertical="center"/>
    </xf>
  </cellXfs>
  <cellStyles count="5105">
    <cellStyle name=" _x0007_LÓ_x0018_ÄþÍN^NuNVþˆHÁ_x0001__x0018_(n" xfId="36" xr:uid="{00000000-0005-0000-0000-000000000000}"/>
    <cellStyle name="%" xfId="37" xr:uid="{00000000-0005-0000-0000-000001000000}"/>
    <cellStyle name="%_eFunds ETR Q3 -2007" xfId="38" xr:uid="{00000000-0005-0000-0000-000002000000}"/>
    <cellStyle name="??" xfId="39" xr:uid="{00000000-0005-0000-0000-000003000000}"/>
    <cellStyle name="?? [0.00]_PERSONAL" xfId="40" xr:uid="{00000000-0005-0000-0000-000004000000}"/>
    <cellStyle name="???? [0.00]_PERSONAL" xfId="41" xr:uid="{00000000-0005-0000-0000-000005000000}"/>
    <cellStyle name="????_PERSONAL" xfId="42" xr:uid="{00000000-0005-0000-0000-000006000000}"/>
    <cellStyle name="??_PERSONAL" xfId="43" xr:uid="{00000000-0005-0000-0000-000007000000}"/>
    <cellStyle name="_Worksheet in 2262" xfId="44" xr:uid="{00000000-0005-0000-0000-000008000000}"/>
    <cellStyle name="=C:\WINNT\SYSTEM32\COMMAND.COM" xfId="23" xr:uid="{00000000-0005-0000-0000-000009000000}"/>
    <cellStyle name="=C:\WINNT\SYSTEM32\COMMAND.COM 2" xfId="28" xr:uid="{00000000-0005-0000-0000-00000A000000}"/>
    <cellStyle name="Body" xfId="45" xr:uid="{00000000-0005-0000-0000-00000B000000}"/>
    <cellStyle name="Calc Currency (0)" xfId="46" xr:uid="{00000000-0005-0000-0000-00000C000000}"/>
    <cellStyle name="Calc Currency (2)" xfId="47" xr:uid="{00000000-0005-0000-0000-00000D000000}"/>
    <cellStyle name="Calc Percent (0)" xfId="48" xr:uid="{00000000-0005-0000-0000-00000E000000}"/>
    <cellStyle name="Calc Percent (1)" xfId="49" xr:uid="{00000000-0005-0000-0000-00000F000000}"/>
    <cellStyle name="Calc Percent (2)" xfId="50" xr:uid="{00000000-0005-0000-0000-000010000000}"/>
    <cellStyle name="Calc Units (0)" xfId="51" xr:uid="{00000000-0005-0000-0000-000011000000}"/>
    <cellStyle name="Calc Units (1)" xfId="52" xr:uid="{00000000-0005-0000-0000-000012000000}"/>
    <cellStyle name="Calc Units (2)" xfId="53" xr:uid="{00000000-0005-0000-0000-000013000000}"/>
    <cellStyle name="category" xfId="54" xr:uid="{00000000-0005-0000-0000-000014000000}"/>
    <cellStyle name="category 2" xfId="55" xr:uid="{00000000-0005-0000-0000-000015000000}"/>
    <cellStyle name="Comma" xfId="1" builtinId="3"/>
    <cellStyle name="Comma [00]" xfId="57" xr:uid="{00000000-0005-0000-0000-000017000000}"/>
    <cellStyle name="Comma 10" xfId="58" xr:uid="{00000000-0005-0000-0000-000018000000}"/>
    <cellStyle name="Comma 10 2" xfId="874" xr:uid="{00000000-0005-0000-0000-000019000000}"/>
    <cellStyle name="Comma 10 2 2" xfId="1662" xr:uid="{00000000-0005-0000-0000-00001A000000}"/>
    <cellStyle name="Comma 10 2 2 2" xfId="3906" xr:uid="{00000000-0005-0000-0000-00001B000000}"/>
    <cellStyle name="Comma 10 2 3" xfId="2386" xr:uid="{00000000-0005-0000-0000-00001C000000}"/>
    <cellStyle name="Comma 10 2 3 2" xfId="4630" xr:uid="{00000000-0005-0000-0000-00001D000000}"/>
    <cellStyle name="Comma 10 2 4" xfId="3120" xr:uid="{00000000-0005-0000-0000-00001E000000}"/>
    <cellStyle name="Comma 10 3" xfId="1068" xr:uid="{00000000-0005-0000-0000-00001F000000}"/>
    <cellStyle name="Comma 10 3 2" xfId="1855" xr:uid="{00000000-0005-0000-0000-000020000000}"/>
    <cellStyle name="Comma 10 3 2 2" xfId="4099" xr:uid="{00000000-0005-0000-0000-000021000000}"/>
    <cellStyle name="Comma 10 3 3" xfId="2579" xr:uid="{00000000-0005-0000-0000-000022000000}"/>
    <cellStyle name="Comma 10 3 3 2" xfId="4823" xr:uid="{00000000-0005-0000-0000-000023000000}"/>
    <cellStyle name="Comma 10 3 4" xfId="3313" xr:uid="{00000000-0005-0000-0000-000024000000}"/>
    <cellStyle name="Comma 10 4" xfId="1081" xr:uid="{00000000-0005-0000-0000-000025000000}"/>
    <cellStyle name="Comma 10 4 2" xfId="1868" xr:uid="{00000000-0005-0000-0000-000026000000}"/>
    <cellStyle name="Comma 10 4 2 2" xfId="4112" xr:uid="{00000000-0005-0000-0000-000027000000}"/>
    <cellStyle name="Comma 10 4 3" xfId="2592" xr:uid="{00000000-0005-0000-0000-000028000000}"/>
    <cellStyle name="Comma 10 4 3 2" xfId="4836" xr:uid="{00000000-0005-0000-0000-000029000000}"/>
    <cellStyle name="Comma 10 4 4" xfId="3326" xr:uid="{00000000-0005-0000-0000-00002A000000}"/>
    <cellStyle name="Comma 10 5" xfId="1127" xr:uid="{00000000-0005-0000-0000-00002B000000}"/>
    <cellStyle name="Comma 10 5 2" xfId="1914" xr:uid="{00000000-0005-0000-0000-00002C000000}"/>
    <cellStyle name="Comma 10 5 2 2" xfId="4158" xr:uid="{00000000-0005-0000-0000-00002D000000}"/>
    <cellStyle name="Comma 10 5 3" xfId="2638" xr:uid="{00000000-0005-0000-0000-00002E000000}"/>
    <cellStyle name="Comma 10 5 3 2" xfId="4882" xr:uid="{00000000-0005-0000-0000-00002F000000}"/>
    <cellStyle name="Comma 10 5 4" xfId="3372" xr:uid="{00000000-0005-0000-0000-000030000000}"/>
    <cellStyle name="Comma 10 6" xfId="1342" xr:uid="{00000000-0005-0000-0000-000031000000}"/>
    <cellStyle name="Comma 10 6 2" xfId="3586" xr:uid="{00000000-0005-0000-0000-000032000000}"/>
    <cellStyle name="Comma 10 7" xfId="2128" xr:uid="{00000000-0005-0000-0000-000033000000}"/>
    <cellStyle name="Comma 10 7 2" xfId="4372" xr:uid="{00000000-0005-0000-0000-000034000000}"/>
    <cellStyle name="Comma 10 8" xfId="2852" xr:uid="{00000000-0005-0000-0000-000035000000}"/>
    <cellStyle name="Comma 11" xfId="59" xr:uid="{00000000-0005-0000-0000-000036000000}"/>
    <cellStyle name="Comma 12" xfId="13" xr:uid="{00000000-0005-0000-0000-000037000000}"/>
    <cellStyle name="Comma 12 2" xfId="60" xr:uid="{00000000-0005-0000-0000-000038000000}"/>
    <cellStyle name="Comma 12 2 2" xfId="875" xr:uid="{00000000-0005-0000-0000-000039000000}"/>
    <cellStyle name="Comma 12 2 2 2" xfId="1663" xr:uid="{00000000-0005-0000-0000-00003A000000}"/>
    <cellStyle name="Comma 12 2 2 2 2" xfId="3907" xr:uid="{00000000-0005-0000-0000-00003B000000}"/>
    <cellStyle name="Comma 12 2 2 3" xfId="2387" xr:uid="{00000000-0005-0000-0000-00003C000000}"/>
    <cellStyle name="Comma 12 2 2 3 2" xfId="4631" xr:uid="{00000000-0005-0000-0000-00003D000000}"/>
    <cellStyle name="Comma 12 2 2 4" xfId="3121" xr:uid="{00000000-0005-0000-0000-00003E000000}"/>
    <cellStyle name="Comma 12 2 3" xfId="1128" xr:uid="{00000000-0005-0000-0000-00003F000000}"/>
    <cellStyle name="Comma 12 2 3 2" xfId="1915" xr:uid="{00000000-0005-0000-0000-000040000000}"/>
    <cellStyle name="Comma 12 2 3 2 2" xfId="4159" xr:uid="{00000000-0005-0000-0000-000041000000}"/>
    <cellStyle name="Comma 12 2 3 3" xfId="2639" xr:uid="{00000000-0005-0000-0000-000042000000}"/>
    <cellStyle name="Comma 12 2 3 3 2" xfId="4883" xr:uid="{00000000-0005-0000-0000-000043000000}"/>
    <cellStyle name="Comma 12 2 3 4" xfId="3373" xr:uid="{00000000-0005-0000-0000-000044000000}"/>
    <cellStyle name="Comma 12 2 4" xfId="1343" xr:uid="{00000000-0005-0000-0000-000045000000}"/>
    <cellStyle name="Comma 12 2 4 2" xfId="3587" xr:uid="{00000000-0005-0000-0000-000046000000}"/>
    <cellStyle name="Comma 12 2 5" xfId="2129" xr:uid="{00000000-0005-0000-0000-000047000000}"/>
    <cellStyle name="Comma 12 2 5 2" xfId="4373" xr:uid="{00000000-0005-0000-0000-000048000000}"/>
    <cellStyle name="Comma 12 2 6" xfId="2853" xr:uid="{00000000-0005-0000-0000-000049000000}"/>
    <cellStyle name="Comma 12 3" xfId="860" xr:uid="{00000000-0005-0000-0000-00004A000000}"/>
    <cellStyle name="Comma 12 3 2" xfId="1648" xr:uid="{00000000-0005-0000-0000-00004B000000}"/>
    <cellStyle name="Comma 12 3 2 2" xfId="3892" xr:uid="{00000000-0005-0000-0000-00004C000000}"/>
    <cellStyle name="Comma 12 3 3" xfId="2372" xr:uid="{00000000-0005-0000-0000-00004D000000}"/>
    <cellStyle name="Comma 12 3 3 2" xfId="4616" xr:uid="{00000000-0005-0000-0000-00004E000000}"/>
    <cellStyle name="Comma 12 3 4" xfId="3106" xr:uid="{00000000-0005-0000-0000-00004F000000}"/>
    <cellStyle name="Comma 13" xfId="61" xr:uid="{00000000-0005-0000-0000-000050000000}"/>
    <cellStyle name="Comma 14" xfId="62" xr:uid="{00000000-0005-0000-0000-000051000000}"/>
    <cellStyle name="Comma 14 2" xfId="876" xr:uid="{00000000-0005-0000-0000-000052000000}"/>
    <cellStyle name="Comma 14 2 2" xfId="1664" xr:uid="{00000000-0005-0000-0000-000053000000}"/>
    <cellStyle name="Comma 14 2 2 2" xfId="3908" xr:uid="{00000000-0005-0000-0000-000054000000}"/>
    <cellStyle name="Comma 14 2 3" xfId="2388" xr:uid="{00000000-0005-0000-0000-000055000000}"/>
    <cellStyle name="Comma 14 2 3 2" xfId="4632" xr:uid="{00000000-0005-0000-0000-000056000000}"/>
    <cellStyle name="Comma 14 2 4" xfId="3122" xr:uid="{00000000-0005-0000-0000-000057000000}"/>
    <cellStyle name="Comma 14 3" xfId="1129" xr:uid="{00000000-0005-0000-0000-000058000000}"/>
    <cellStyle name="Comma 14 3 2" xfId="1916" xr:uid="{00000000-0005-0000-0000-000059000000}"/>
    <cellStyle name="Comma 14 3 2 2" xfId="4160" xr:uid="{00000000-0005-0000-0000-00005A000000}"/>
    <cellStyle name="Comma 14 3 3" xfId="2640" xr:uid="{00000000-0005-0000-0000-00005B000000}"/>
    <cellStyle name="Comma 14 3 3 2" xfId="4884" xr:uid="{00000000-0005-0000-0000-00005C000000}"/>
    <cellStyle name="Comma 14 3 4" xfId="3374" xr:uid="{00000000-0005-0000-0000-00005D000000}"/>
    <cellStyle name="Comma 14 4" xfId="1344" xr:uid="{00000000-0005-0000-0000-00005E000000}"/>
    <cellStyle name="Comma 14 4 2" xfId="3588" xr:uid="{00000000-0005-0000-0000-00005F000000}"/>
    <cellStyle name="Comma 14 5" xfId="2130" xr:uid="{00000000-0005-0000-0000-000060000000}"/>
    <cellStyle name="Comma 14 5 2" xfId="4374" xr:uid="{00000000-0005-0000-0000-000061000000}"/>
    <cellStyle name="Comma 14 6" xfId="2854" xr:uid="{00000000-0005-0000-0000-000062000000}"/>
    <cellStyle name="Comma 15" xfId="63" xr:uid="{00000000-0005-0000-0000-000063000000}"/>
    <cellStyle name="Comma 15 2" xfId="877" xr:uid="{00000000-0005-0000-0000-000064000000}"/>
    <cellStyle name="Comma 15 2 2" xfId="1665" xr:uid="{00000000-0005-0000-0000-000065000000}"/>
    <cellStyle name="Comma 15 2 2 2" xfId="3909" xr:uid="{00000000-0005-0000-0000-000066000000}"/>
    <cellStyle name="Comma 15 2 3" xfId="2389" xr:uid="{00000000-0005-0000-0000-000067000000}"/>
    <cellStyle name="Comma 15 2 3 2" xfId="4633" xr:uid="{00000000-0005-0000-0000-000068000000}"/>
    <cellStyle name="Comma 15 2 4" xfId="3123" xr:uid="{00000000-0005-0000-0000-000069000000}"/>
    <cellStyle name="Comma 15 3" xfId="1130" xr:uid="{00000000-0005-0000-0000-00006A000000}"/>
    <cellStyle name="Comma 15 3 2" xfId="1917" xr:uid="{00000000-0005-0000-0000-00006B000000}"/>
    <cellStyle name="Comma 15 3 2 2" xfId="4161" xr:uid="{00000000-0005-0000-0000-00006C000000}"/>
    <cellStyle name="Comma 15 3 3" xfId="2641" xr:uid="{00000000-0005-0000-0000-00006D000000}"/>
    <cellStyle name="Comma 15 3 3 2" xfId="4885" xr:uid="{00000000-0005-0000-0000-00006E000000}"/>
    <cellStyle name="Comma 15 3 4" xfId="3375" xr:uid="{00000000-0005-0000-0000-00006F000000}"/>
    <cellStyle name="Comma 15 4" xfId="1345" xr:uid="{00000000-0005-0000-0000-000070000000}"/>
    <cellStyle name="Comma 15 4 2" xfId="3589" xr:uid="{00000000-0005-0000-0000-000071000000}"/>
    <cellStyle name="Comma 15 5" xfId="2131" xr:uid="{00000000-0005-0000-0000-000072000000}"/>
    <cellStyle name="Comma 15 5 2" xfId="4375" xr:uid="{00000000-0005-0000-0000-000073000000}"/>
    <cellStyle name="Comma 15 6" xfId="2855" xr:uid="{00000000-0005-0000-0000-000074000000}"/>
    <cellStyle name="Comma 16" xfId="64" xr:uid="{00000000-0005-0000-0000-000075000000}"/>
    <cellStyle name="Comma 16 2" xfId="878" xr:uid="{00000000-0005-0000-0000-000076000000}"/>
    <cellStyle name="Comma 16 2 2" xfId="1666" xr:uid="{00000000-0005-0000-0000-000077000000}"/>
    <cellStyle name="Comma 16 2 2 2" xfId="3910" xr:uid="{00000000-0005-0000-0000-000078000000}"/>
    <cellStyle name="Comma 16 2 3" xfId="2390" xr:uid="{00000000-0005-0000-0000-000079000000}"/>
    <cellStyle name="Comma 16 2 3 2" xfId="4634" xr:uid="{00000000-0005-0000-0000-00007A000000}"/>
    <cellStyle name="Comma 16 2 4" xfId="3124" xr:uid="{00000000-0005-0000-0000-00007B000000}"/>
    <cellStyle name="Comma 16 3" xfId="1131" xr:uid="{00000000-0005-0000-0000-00007C000000}"/>
    <cellStyle name="Comma 16 3 2" xfId="1918" xr:uid="{00000000-0005-0000-0000-00007D000000}"/>
    <cellStyle name="Comma 16 3 2 2" xfId="4162" xr:uid="{00000000-0005-0000-0000-00007E000000}"/>
    <cellStyle name="Comma 16 3 3" xfId="2642" xr:uid="{00000000-0005-0000-0000-00007F000000}"/>
    <cellStyle name="Comma 16 3 3 2" xfId="4886" xr:uid="{00000000-0005-0000-0000-000080000000}"/>
    <cellStyle name="Comma 16 3 4" xfId="3376" xr:uid="{00000000-0005-0000-0000-000081000000}"/>
    <cellStyle name="Comma 16 4" xfId="1346" xr:uid="{00000000-0005-0000-0000-000082000000}"/>
    <cellStyle name="Comma 16 4 2" xfId="3590" xr:uid="{00000000-0005-0000-0000-000083000000}"/>
    <cellStyle name="Comma 16 5" xfId="2132" xr:uid="{00000000-0005-0000-0000-000084000000}"/>
    <cellStyle name="Comma 16 5 2" xfId="4376" xr:uid="{00000000-0005-0000-0000-000085000000}"/>
    <cellStyle name="Comma 16 6" xfId="2856" xr:uid="{00000000-0005-0000-0000-000086000000}"/>
    <cellStyle name="Comma 17" xfId="65" xr:uid="{00000000-0005-0000-0000-000087000000}"/>
    <cellStyle name="Comma 17 2" xfId="879" xr:uid="{00000000-0005-0000-0000-000088000000}"/>
    <cellStyle name="Comma 17 2 2" xfId="1667" xr:uid="{00000000-0005-0000-0000-000089000000}"/>
    <cellStyle name="Comma 17 2 2 2" xfId="3911" xr:uid="{00000000-0005-0000-0000-00008A000000}"/>
    <cellStyle name="Comma 17 2 3" xfId="2391" xr:uid="{00000000-0005-0000-0000-00008B000000}"/>
    <cellStyle name="Comma 17 2 3 2" xfId="4635" xr:uid="{00000000-0005-0000-0000-00008C000000}"/>
    <cellStyle name="Comma 17 2 4" xfId="3125" xr:uid="{00000000-0005-0000-0000-00008D000000}"/>
    <cellStyle name="Comma 17 3" xfId="1132" xr:uid="{00000000-0005-0000-0000-00008E000000}"/>
    <cellStyle name="Comma 17 3 2" xfId="1919" xr:uid="{00000000-0005-0000-0000-00008F000000}"/>
    <cellStyle name="Comma 17 3 2 2" xfId="4163" xr:uid="{00000000-0005-0000-0000-000090000000}"/>
    <cellStyle name="Comma 17 3 3" xfId="2643" xr:uid="{00000000-0005-0000-0000-000091000000}"/>
    <cellStyle name="Comma 17 3 3 2" xfId="4887" xr:uid="{00000000-0005-0000-0000-000092000000}"/>
    <cellStyle name="Comma 17 3 4" xfId="3377" xr:uid="{00000000-0005-0000-0000-000093000000}"/>
    <cellStyle name="Comma 17 4" xfId="1347" xr:uid="{00000000-0005-0000-0000-000094000000}"/>
    <cellStyle name="Comma 17 4 2" xfId="3591" xr:uid="{00000000-0005-0000-0000-000095000000}"/>
    <cellStyle name="Comma 17 5" xfId="2133" xr:uid="{00000000-0005-0000-0000-000096000000}"/>
    <cellStyle name="Comma 17 5 2" xfId="4377" xr:uid="{00000000-0005-0000-0000-000097000000}"/>
    <cellStyle name="Comma 17 6" xfId="2857" xr:uid="{00000000-0005-0000-0000-000098000000}"/>
    <cellStyle name="Comma 18" xfId="66" xr:uid="{00000000-0005-0000-0000-000099000000}"/>
    <cellStyle name="Comma 18 2" xfId="880" xr:uid="{00000000-0005-0000-0000-00009A000000}"/>
    <cellStyle name="Comma 18 2 2" xfId="1668" xr:uid="{00000000-0005-0000-0000-00009B000000}"/>
    <cellStyle name="Comma 18 2 2 2" xfId="3912" xr:uid="{00000000-0005-0000-0000-00009C000000}"/>
    <cellStyle name="Comma 18 2 3" xfId="2392" xr:uid="{00000000-0005-0000-0000-00009D000000}"/>
    <cellStyle name="Comma 18 2 3 2" xfId="4636" xr:uid="{00000000-0005-0000-0000-00009E000000}"/>
    <cellStyle name="Comma 18 2 4" xfId="3126" xr:uid="{00000000-0005-0000-0000-00009F000000}"/>
    <cellStyle name="Comma 18 3" xfId="1133" xr:uid="{00000000-0005-0000-0000-0000A0000000}"/>
    <cellStyle name="Comma 18 3 2" xfId="1920" xr:uid="{00000000-0005-0000-0000-0000A1000000}"/>
    <cellStyle name="Comma 18 3 2 2" xfId="4164" xr:uid="{00000000-0005-0000-0000-0000A2000000}"/>
    <cellStyle name="Comma 18 3 3" xfId="2644" xr:uid="{00000000-0005-0000-0000-0000A3000000}"/>
    <cellStyle name="Comma 18 3 3 2" xfId="4888" xr:uid="{00000000-0005-0000-0000-0000A4000000}"/>
    <cellStyle name="Comma 18 3 4" xfId="3378" xr:uid="{00000000-0005-0000-0000-0000A5000000}"/>
    <cellStyle name="Comma 18 4" xfId="1348" xr:uid="{00000000-0005-0000-0000-0000A6000000}"/>
    <cellStyle name="Comma 18 4 2" xfId="3592" xr:uid="{00000000-0005-0000-0000-0000A7000000}"/>
    <cellStyle name="Comma 18 5" xfId="2134" xr:uid="{00000000-0005-0000-0000-0000A8000000}"/>
    <cellStyle name="Comma 18 5 2" xfId="4378" xr:uid="{00000000-0005-0000-0000-0000A9000000}"/>
    <cellStyle name="Comma 18 6" xfId="2858" xr:uid="{00000000-0005-0000-0000-0000AA000000}"/>
    <cellStyle name="Comma 19" xfId="67" xr:uid="{00000000-0005-0000-0000-0000AB000000}"/>
    <cellStyle name="Comma 19 2" xfId="881" xr:uid="{00000000-0005-0000-0000-0000AC000000}"/>
    <cellStyle name="Comma 19 2 2" xfId="1669" xr:uid="{00000000-0005-0000-0000-0000AD000000}"/>
    <cellStyle name="Comma 19 2 2 2" xfId="3913" xr:uid="{00000000-0005-0000-0000-0000AE000000}"/>
    <cellStyle name="Comma 19 2 3" xfId="2393" xr:uid="{00000000-0005-0000-0000-0000AF000000}"/>
    <cellStyle name="Comma 19 2 3 2" xfId="4637" xr:uid="{00000000-0005-0000-0000-0000B0000000}"/>
    <cellStyle name="Comma 19 2 4" xfId="3127" xr:uid="{00000000-0005-0000-0000-0000B1000000}"/>
    <cellStyle name="Comma 19 3" xfId="1134" xr:uid="{00000000-0005-0000-0000-0000B2000000}"/>
    <cellStyle name="Comma 19 3 2" xfId="1921" xr:uid="{00000000-0005-0000-0000-0000B3000000}"/>
    <cellStyle name="Comma 19 3 2 2" xfId="4165" xr:uid="{00000000-0005-0000-0000-0000B4000000}"/>
    <cellStyle name="Comma 19 3 3" xfId="2645" xr:uid="{00000000-0005-0000-0000-0000B5000000}"/>
    <cellStyle name="Comma 19 3 3 2" xfId="4889" xr:uid="{00000000-0005-0000-0000-0000B6000000}"/>
    <cellStyle name="Comma 19 3 4" xfId="3379" xr:uid="{00000000-0005-0000-0000-0000B7000000}"/>
    <cellStyle name="Comma 19 4" xfId="1349" xr:uid="{00000000-0005-0000-0000-0000B8000000}"/>
    <cellStyle name="Comma 19 4 2" xfId="3593" xr:uid="{00000000-0005-0000-0000-0000B9000000}"/>
    <cellStyle name="Comma 19 5" xfId="2135" xr:uid="{00000000-0005-0000-0000-0000BA000000}"/>
    <cellStyle name="Comma 19 5 2" xfId="4379" xr:uid="{00000000-0005-0000-0000-0000BB000000}"/>
    <cellStyle name="Comma 19 6" xfId="2859" xr:uid="{00000000-0005-0000-0000-0000BC000000}"/>
    <cellStyle name="Comma 2" xfId="7" xr:uid="{00000000-0005-0000-0000-0000BD000000}"/>
    <cellStyle name="Comma 2 10" xfId="68" xr:uid="{00000000-0005-0000-0000-0000BE000000}"/>
    <cellStyle name="Comma 2 10 2" xfId="882" xr:uid="{00000000-0005-0000-0000-0000BF000000}"/>
    <cellStyle name="Comma 2 10 2 2" xfId="1670" xr:uid="{00000000-0005-0000-0000-0000C0000000}"/>
    <cellStyle name="Comma 2 10 2 2 2" xfId="3914" xr:uid="{00000000-0005-0000-0000-0000C1000000}"/>
    <cellStyle name="Comma 2 10 2 3" xfId="2394" xr:uid="{00000000-0005-0000-0000-0000C2000000}"/>
    <cellStyle name="Comma 2 10 2 3 2" xfId="4638" xr:uid="{00000000-0005-0000-0000-0000C3000000}"/>
    <cellStyle name="Comma 2 10 2 4" xfId="3128" xr:uid="{00000000-0005-0000-0000-0000C4000000}"/>
    <cellStyle name="Comma 2 10 3" xfId="1135" xr:uid="{00000000-0005-0000-0000-0000C5000000}"/>
    <cellStyle name="Comma 2 10 3 2" xfId="1922" xr:uid="{00000000-0005-0000-0000-0000C6000000}"/>
    <cellStyle name="Comma 2 10 3 2 2" xfId="4166" xr:uid="{00000000-0005-0000-0000-0000C7000000}"/>
    <cellStyle name="Comma 2 10 3 3" xfId="2646" xr:uid="{00000000-0005-0000-0000-0000C8000000}"/>
    <cellStyle name="Comma 2 10 3 3 2" xfId="4890" xr:uid="{00000000-0005-0000-0000-0000C9000000}"/>
    <cellStyle name="Comma 2 10 3 4" xfId="3380" xr:uid="{00000000-0005-0000-0000-0000CA000000}"/>
    <cellStyle name="Comma 2 10 4" xfId="1350" xr:uid="{00000000-0005-0000-0000-0000CB000000}"/>
    <cellStyle name="Comma 2 10 4 2" xfId="3594" xr:uid="{00000000-0005-0000-0000-0000CC000000}"/>
    <cellStyle name="Comma 2 10 5" xfId="2136" xr:uid="{00000000-0005-0000-0000-0000CD000000}"/>
    <cellStyle name="Comma 2 10 5 2" xfId="4380" xr:uid="{00000000-0005-0000-0000-0000CE000000}"/>
    <cellStyle name="Comma 2 10 6" xfId="2829" xr:uid="{00000000-0005-0000-0000-0000CF000000}"/>
    <cellStyle name="Comma 2 10 7" xfId="2860" xr:uid="{00000000-0005-0000-0000-0000D0000000}"/>
    <cellStyle name="Comma 2 11" xfId="69" xr:uid="{00000000-0005-0000-0000-0000D1000000}"/>
    <cellStyle name="Comma 2 11 2" xfId="883" xr:uid="{00000000-0005-0000-0000-0000D2000000}"/>
    <cellStyle name="Comma 2 11 2 2" xfId="1671" xr:uid="{00000000-0005-0000-0000-0000D3000000}"/>
    <cellStyle name="Comma 2 11 2 2 2" xfId="3915" xr:uid="{00000000-0005-0000-0000-0000D4000000}"/>
    <cellStyle name="Comma 2 11 2 3" xfId="2395" xr:uid="{00000000-0005-0000-0000-0000D5000000}"/>
    <cellStyle name="Comma 2 11 2 3 2" xfId="4639" xr:uid="{00000000-0005-0000-0000-0000D6000000}"/>
    <cellStyle name="Comma 2 11 2 4" xfId="3129" xr:uid="{00000000-0005-0000-0000-0000D7000000}"/>
    <cellStyle name="Comma 2 11 3" xfId="1136" xr:uid="{00000000-0005-0000-0000-0000D8000000}"/>
    <cellStyle name="Comma 2 11 3 2" xfId="1923" xr:uid="{00000000-0005-0000-0000-0000D9000000}"/>
    <cellStyle name="Comma 2 11 3 2 2" xfId="4167" xr:uid="{00000000-0005-0000-0000-0000DA000000}"/>
    <cellStyle name="Comma 2 11 3 3" xfId="2647" xr:uid="{00000000-0005-0000-0000-0000DB000000}"/>
    <cellStyle name="Comma 2 11 3 3 2" xfId="4891" xr:uid="{00000000-0005-0000-0000-0000DC000000}"/>
    <cellStyle name="Comma 2 11 3 4" xfId="3381" xr:uid="{00000000-0005-0000-0000-0000DD000000}"/>
    <cellStyle name="Comma 2 11 4" xfId="1351" xr:uid="{00000000-0005-0000-0000-0000DE000000}"/>
    <cellStyle name="Comma 2 11 4 2" xfId="3595" xr:uid="{00000000-0005-0000-0000-0000DF000000}"/>
    <cellStyle name="Comma 2 11 5" xfId="2137" xr:uid="{00000000-0005-0000-0000-0000E0000000}"/>
    <cellStyle name="Comma 2 11 5 2" xfId="4381" xr:uid="{00000000-0005-0000-0000-0000E1000000}"/>
    <cellStyle name="Comma 2 11 6" xfId="2861" xr:uid="{00000000-0005-0000-0000-0000E2000000}"/>
    <cellStyle name="Comma 2 12" xfId="70" xr:uid="{00000000-0005-0000-0000-0000E3000000}"/>
    <cellStyle name="Comma 2 12 2" xfId="884" xr:uid="{00000000-0005-0000-0000-0000E4000000}"/>
    <cellStyle name="Comma 2 12 2 2" xfId="1672" xr:uid="{00000000-0005-0000-0000-0000E5000000}"/>
    <cellStyle name="Comma 2 12 2 2 2" xfId="3916" xr:uid="{00000000-0005-0000-0000-0000E6000000}"/>
    <cellStyle name="Comma 2 12 2 3" xfId="2396" xr:uid="{00000000-0005-0000-0000-0000E7000000}"/>
    <cellStyle name="Comma 2 12 2 3 2" xfId="4640" xr:uid="{00000000-0005-0000-0000-0000E8000000}"/>
    <cellStyle name="Comma 2 12 2 4" xfId="3130" xr:uid="{00000000-0005-0000-0000-0000E9000000}"/>
    <cellStyle name="Comma 2 12 3" xfId="1137" xr:uid="{00000000-0005-0000-0000-0000EA000000}"/>
    <cellStyle name="Comma 2 12 3 2" xfId="1924" xr:uid="{00000000-0005-0000-0000-0000EB000000}"/>
    <cellStyle name="Comma 2 12 3 2 2" xfId="4168" xr:uid="{00000000-0005-0000-0000-0000EC000000}"/>
    <cellStyle name="Comma 2 12 3 3" xfId="2648" xr:uid="{00000000-0005-0000-0000-0000ED000000}"/>
    <cellStyle name="Comma 2 12 3 3 2" xfId="4892" xr:uid="{00000000-0005-0000-0000-0000EE000000}"/>
    <cellStyle name="Comma 2 12 3 4" xfId="3382" xr:uid="{00000000-0005-0000-0000-0000EF000000}"/>
    <cellStyle name="Comma 2 12 4" xfId="1352" xr:uid="{00000000-0005-0000-0000-0000F0000000}"/>
    <cellStyle name="Comma 2 12 4 2" xfId="3596" xr:uid="{00000000-0005-0000-0000-0000F1000000}"/>
    <cellStyle name="Comma 2 12 5" xfId="2138" xr:uid="{00000000-0005-0000-0000-0000F2000000}"/>
    <cellStyle name="Comma 2 12 5 2" xfId="4382" xr:uid="{00000000-0005-0000-0000-0000F3000000}"/>
    <cellStyle name="Comma 2 12 6" xfId="2862" xr:uid="{00000000-0005-0000-0000-0000F4000000}"/>
    <cellStyle name="Comma 2 13" xfId="71" xr:uid="{00000000-0005-0000-0000-0000F5000000}"/>
    <cellStyle name="Comma 2 13 2" xfId="885" xr:uid="{00000000-0005-0000-0000-0000F6000000}"/>
    <cellStyle name="Comma 2 13 2 2" xfId="1673" xr:uid="{00000000-0005-0000-0000-0000F7000000}"/>
    <cellStyle name="Comma 2 13 2 2 2" xfId="3917" xr:uid="{00000000-0005-0000-0000-0000F8000000}"/>
    <cellStyle name="Comma 2 13 2 3" xfId="2397" xr:uid="{00000000-0005-0000-0000-0000F9000000}"/>
    <cellStyle name="Comma 2 13 2 3 2" xfId="4641" xr:uid="{00000000-0005-0000-0000-0000FA000000}"/>
    <cellStyle name="Comma 2 13 2 4" xfId="3131" xr:uid="{00000000-0005-0000-0000-0000FB000000}"/>
    <cellStyle name="Comma 2 13 3" xfId="1138" xr:uid="{00000000-0005-0000-0000-0000FC000000}"/>
    <cellStyle name="Comma 2 13 3 2" xfId="1925" xr:uid="{00000000-0005-0000-0000-0000FD000000}"/>
    <cellStyle name="Comma 2 13 3 2 2" xfId="4169" xr:uid="{00000000-0005-0000-0000-0000FE000000}"/>
    <cellStyle name="Comma 2 13 3 3" xfId="2649" xr:uid="{00000000-0005-0000-0000-0000FF000000}"/>
    <cellStyle name="Comma 2 13 3 3 2" xfId="4893" xr:uid="{00000000-0005-0000-0000-000000010000}"/>
    <cellStyle name="Comma 2 13 3 4" xfId="3383" xr:uid="{00000000-0005-0000-0000-000001010000}"/>
    <cellStyle name="Comma 2 13 4" xfId="1353" xr:uid="{00000000-0005-0000-0000-000002010000}"/>
    <cellStyle name="Comma 2 13 4 2" xfId="3597" xr:uid="{00000000-0005-0000-0000-000003010000}"/>
    <cellStyle name="Comma 2 13 5" xfId="2139" xr:uid="{00000000-0005-0000-0000-000004010000}"/>
    <cellStyle name="Comma 2 13 5 2" xfId="4383" xr:uid="{00000000-0005-0000-0000-000005010000}"/>
    <cellStyle name="Comma 2 13 6" xfId="2863" xr:uid="{00000000-0005-0000-0000-000006010000}"/>
    <cellStyle name="Comma 2 14" xfId="72" xr:uid="{00000000-0005-0000-0000-000007010000}"/>
    <cellStyle name="Comma 2 14 2" xfId="886" xr:uid="{00000000-0005-0000-0000-000008010000}"/>
    <cellStyle name="Comma 2 14 2 2" xfId="1674" xr:uid="{00000000-0005-0000-0000-000009010000}"/>
    <cellStyle name="Comma 2 14 2 2 2" xfId="3918" xr:uid="{00000000-0005-0000-0000-00000A010000}"/>
    <cellStyle name="Comma 2 14 2 3" xfId="2398" xr:uid="{00000000-0005-0000-0000-00000B010000}"/>
    <cellStyle name="Comma 2 14 2 3 2" xfId="4642" xr:uid="{00000000-0005-0000-0000-00000C010000}"/>
    <cellStyle name="Comma 2 14 2 4" xfId="3132" xr:uid="{00000000-0005-0000-0000-00000D010000}"/>
    <cellStyle name="Comma 2 14 3" xfId="1139" xr:uid="{00000000-0005-0000-0000-00000E010000}"/>
    <cellStyle name="Comma 2 14 3 2" xfId="1926" xr:uid="{00000000-0005-0000-0000-00000F010000}"/>
    <cellStyle name="Comma 2 14 3 2 2" xfId="4170" xr:uid="{00000000-0005-0000-0000-000010010000}"/>
    <cellStyle name="Comma 2 14 3 3" xfId="2650" xr:uid="{00000000-0005-0000-0000-000011010000}"/>
    <cellStyle name="Comma 2 14 3 3 2" xfId="4894" xr:uid="{00000000-0005-0000-0000-000012010000}"/>
    <cellStyle name="Comma 2 14 3 4" xfId="3384" xr:uid="{00000000-0005-0000-0000-000013010000}"/>
    <cellStyle name="Comma 2 14 4" xfId="1354" xr:uid="{00000000-0005-0000-0000-000014010000}"/>
    <cellStyle name="Comma 2 14 4 2" xfId="3598" xr:uid="{00000000-0005-0000-0000-000015010000}"/>
    <cellStyle name="Comma 2 14 5" xfId="2140" xr:uid="{00000000-0005-0000-0000-000016010000}"/>
    <cellStyle name="Comma 2 14 5 2" xfId="4384" xr:uid="{00000000-0005-0000-0000-000017010000}"/>
    <cellStyle name="Comma 2 14 6" xfId="2864" xr:uid="{00000000-0005-0000-0000-000018010000}"/>
    <cellStyle name="Comma 2 15" xfId="73" xr:uid="{00000000-0005-0000-0000-000019010000}"/>
    <cellStyle name="Comma 2 15 2" xfId="887" xr:uid="{00000000-0005-0000-0000-00001A010000}"/>
    <cellStyle name="Comma 2 15 2 2" xfId="1675" xr:uid="{00000000-0005-0000-0000-00001B010000}"/>
    <cellStyle name="Comma 2 15 2 2 2" xfId="3919" xr:uid="{00000000-0005-0000-0000-00001C010000}"/>
    <cellStyle name="Comma 2 15 2 3" xfId="2399" xr:uid="{00000000-0005-0000-0000-00001D010000}"/>
    <cellStyle name="Comma 2 15 2 3 2" xfId="4643" xr:uid="{00000000-0005-0000-0000-00001E010000}"/>
    <cellStyle name="Comma 2 15 2 4" xfId="3133" xr:uid="{00000000-0005-0000-0000-00001F010000}"/>
    <cellStyle name="Comma 2 15 3" xfId="1140" xr:uid="{00000000-0005-0000-0000-000020010000}"/>
    <cellStyle name="Comma 2 15 3 2" xfId="1927" xr:uid="{00000000-0005-0000-0000-000021010000}"/>
    <cellStyle name="Comma 2 15 3 2 2" xfId="4171" xr:uid="{00000000-0005-0000-0000-000022010000}"/>
    <cellStyle name="Comma 2 15 3 3" xfId="2651" xr:uid="{00000000-0005-0000-0000-000023010000}"/>
    <cellStyle name="Comma 2 15 3 3 2" xfId="4895" xr:uid="{00000000-0005-0000-0000-000024010000}"/>
    <cellStyle name="Comma 2 15 3 4" xfId="3385" xr:uid="{00000000-0005-0000-0000-000025010000}"/>
    <cellStyle name="Comma 2 15 4" xfId="1355" xr:uid="{00000000-0005-0000-0000-000026010000}"/>
    <cellStyle name="Comma 2 15 4 2" xfId="3599" xr:uid="{00000000-0005-0000-0000-000027010000}"/>
    <cellStyle name="Comma 2 15 5" xfId="2141" xr:uid="{00000000-0005-0000-0000-000028010000}"/>
    <cellStyle name="Comma 2 15 5 2" xfId="4385" xr:uid="{00000000-0005-0000-0000-000029010000}"/>
    <cellStyle name="Comma 2 15 6" xfId="2865" xr:uid="{00000000-0005-0000-0000-00002A010000}"/>
    <cellStyle name="Comma 2 16" xfId="74" xr:uid="{00000000-0005-0000-0000-00002B010000}"/>
    <cellStyle name="Comma 2 16 2" xfId="888" xr:uid="{00000000-0005-0000-0000-00002C010000}"/>
    <cellStyle name="Comma 2 16 2 2" xfId="1676" xr:uid="{00000000-0005-0000-0000-00002D010000}"/>
    <cellStyle name="Comma 2 16 2 2 2" xfId="3920" xr:uid="{00000000-0005-0000-0000-00002E010000}"/>
    <cellStyle name="Comma 2 16 2 3" xfId="2400" xr:uid="{00000000-0005-0000-0000-00002F010000}"/>
    <cellStyle name="Comma 2 16 2 3 2" xfId="4644" xr:uid="{00000000-0005-0000-0000-000030010000}"/>
    <cellStyle name="Comma 2 16 2 4" xfId="3134" xr:uid="{00000000-0005-0000-0000-000031010000}"/>
    <cellStyle name="Comma 2 16 3" xfId="1141" xr:uid="{00000000-0005-0000-0000-000032010000}"/>
    <cellStyle name="Comma 2 16 3 2" xfId="1928" xr:uid="{00000000-0005-0000-0000-000033010000}"/>
    <cellStyle name="Comma 2 16 3 2 2" xfId="4172" xr:uid="{00000000-0005-0000-0000-000034010000}"/>
    <cellStyle name="Comma 2 16 3 3" xfId="2652" xr:uid="{00000000-0005-0000-0000-000035010000}"/>
    <cellStyle name="Comma 2 16 3 3 2" xfId="4896" xr:uid="{00000000-0005-0000-0000-000036010000}"/>
    <cellStyle name="Comma 2 16 3 4" xfId="3386" xr:uid="{00000000-0005-0000-0000-000037010000}"/>
    <cellStyle name="Comma 2 16 4" xfId="1356" xr:uid="{00000000-0005-0000-0000-000038010000}"/>
    <cellStyle name="Comma 2 16 4 2" xfId="3600" xr:uid="{00000000-0005-0000-0000-000039010000}"/>
    <cellStyle name="Comma 2 16 5" xfId="2142" xr:uid="{00000000-0005-0000-0000-00003A010000}"/>
    <cellStyle name="Comma 2 16 5 2" xfId="4386" xr:uid="{00000000-0005-0000-0000-00003B010000}"/>
    <cellStyle name="Comma 2 16 6" xfId="2866" xr:uid="{00000000-0005-0000-0000-00003C010000}"/>
    <cellStyle name="Comma 2 17" xfId="75" xr:uid="{00000000-0005-0000-0000-00003D010000}"/>
    <cellStyle name="Comma 2 17 2" xfId="889" xr:uid="{00000000-0005-0000-0000-00003E010000}"/>
    <cellStyle name="Comma 2 17 2 2" xfId="1677" xr:uid="{00000000-0005-0000-0000-00003F010000}"/>
    <cellStyle name="Comma 2 17 2 2 2" xfId="3921" xr:uid="{00000000-0005-0000-0000-000040010000}"/>
    <cellStyle name="Comma 2 17 2 3" xfId="2401" xr:uid="{00000000-0005-0000-0000-000041010000}"/>
    <cellStyle name="Comma 2 17 2 3 2" xfId="4645" xr:uid="{00000000-0005-0000-0000-000042010000}"/>
    <cellStyle name="Comma 2 17 2 4" xfId="3135" xr:uid="{00000000-0005-0000-0000-000043010000}"/>
    <cellStyle name="Comma 2 17 3" xfId="1142" xr:uid="{00000000-0005-0000-0000-000044010000}"/>
    <cellStyle name="Comma 2 17 3 2" xfId="1929" xr:uid="{00000000-0005-0000-0000-000045010000}"/>
    <cellStyle name="Comma 2 17 3 2 2" xfId="4173" xr:uid="{00000000-0005-0000-0000-000046010000}"/>
    <cellStyle name="Comma 2 17 3 3" xfId="2653" xr:uid="{00000000-0005-0000-0000-000047010000}"/>
    <cellStyle name="Comma 2 17 3 3 2" xfId="4897" xr:uid="{00000000-0005-0000-0000-000048010000}"/>
    <cellStyle name="Comma 2 17 3 4" xfId="3387" xr:uid="{00000000-0005-0000-0000-000049010000}"/>
    <cellStyle name="Comma 2 17 4" xfId="1357" xr:uid="{00000000-0005-0000-0000-00004A010000}"/>
    <cellStyle name="Comma 2 17 4 2" xfId="3601" xr:uid="{00000000-0005-0000-0000-00004B010000}"/>
    <cellStyle name="Comma 2 17 5" xfId="2143" xr:uid="{00000000-0005-0000-0000-00004C010000}"/>
    <cellStyle name="Comma 2 17 5 2" xfId="4387" xr:uid="{00000000-0005-0000-0000-00004D010000}"/>
    <cellStyle name="Comma 2 17 6" xfId="2867" xr:uid="{00000000-0005-0000-0000-00004E010000}"/>
    <cellStyle name="Comma 2 18" xfId="76" xr:uid="{00000000-0005-0000-0000-00004F010000}"/>
    <cellStyle name="Comma 2 18 2" xfId="890" xr:uid="{00000000-0005-0000-0000-000050010000}"/>
    <cellStyle name="Comma 2 18 2 2" xfId="1678" xr:uid="{00000000-0005-0000-0000-000051010000}"/>
    <cellStyle name="Comma 2 18 2 2 2" xfId="3922" xr:uid="{00000000-0005-0000-0000-000052010000}"/>
    <cellStyle name="Comma 2 18 2 3" xfId="2402" xr:uid="{00000000-0005-0000-0000-000053010000}"/>
    <cellStyle name="Comma 2 18 2 3 2" xfId="4646" xr:uid="{00000000-0005-0000-0000-000054010000}"/>
    <cellStyle name="Comma 2 18 2 4" xfId="3136" xr:uid="{00000000-0005-0000-0000-000055010000}"/>
    <cellStyle name="Comma 2 18 3" xfId="1143" xr:uid="{00000000-0005-0000-0000-000056010000}"/>
    <cellStyle name="Comma 2 18 3 2" xfId="1930" xr:uid="{00000000-0005-0000-0000-000057010000}"/>
    <cellStyle name="Comma 2 18 3 2 2" xfId="4174" xr:uid="{00000000-0005-0000-0000-000058010000}"/>
    <cellStyle name="Comma 2 18 3 3" xfId="2654" xr:uid="{00000000-0005-0000-0000-000059010000}"/>
    <cellStyle name="Comma 2 18 3 3 2" xfId="4898" xr:uid="{00000000-0005-0000-0000-00005A010000}"/>
    <cellStyle name="Comma 2 18 3 4" xfId="3388" xr:uid="{00000000-0005-0000-0000-00005B010000}"/>
    <cellStyle name="Comma 2 18 4" xfId="1358" xr:uid="{00000000-0005-0000-0000-00005C010000}"/>
    <cellStyle name="Comma 2 18 4 2" xfId="3602" xr:uid="{00000000-0005-0000-0000-00005D010000}"/>
    <cellStyle name="Comma 2 18 5" xfId="2144" xr:uid="{00000000-0005-0000-0000-00005E010000}"/>
    <cellStyle name="Comma 2 18 5 2" xfId="4388" xr:uid="{00000000-0005-0000-0000-00005F010000}"/>
    <cellStyle name="Comma 2 18 6" xfId="2868" xr:uid="{00000000-0005-0000-0000-000060010000}"/>
    <cellStyle name="Comma 2 19" xfId="77" xr:uid="{00000000-0005-0000-0000-000061010000}"/>
    <cellStyle name="Comma 2 19 2" xfId="891" xr:uid="{00000000-0005-0000-0000-000062010000}"/>
    <cellStyle name="Comma 2 19 2 2" xfId="1679" xr:uid="{00000000-0005-0000-0000-000063010000}"/>
    <cellStyle name="Comma 2 19 2 2 2" xfId="3923" xr:uid="{00000000-0005-0000-0000-000064010000}"/>
    <cellStyle name="Comma 2 19 2 3" xfId="2403" xr:uid="{00000000-0005-0000-0000-000065010000}"/>
    <cellStyle name="Comma 2 19 2 3 2" xfId="4647" xr:uid="{00000000-0005-0000-0000-000066010000}"/>
    <cellStyle name="Comma 2 19 2 4" xfId="3137" xr:uid="{00000000-0005-0000-0000-000067010000}"/>
    <cellStyle name="Comma 2 19 3" xfId="1144" xr:uid="{00000000-0005-0000-0000-000068010000}"/>
    <cellStyle name="Comma 2 19 3 2" xfId="1931" xr:uid="{00000000-0005-0000-0000-000069010000}"/>
    <cellStyle name="Comma 2 19 3 2 2" xfId="4175" xr:uid="{00000000-0005-0000-0000-00006A010000}"/>
    <cellStyle name="Comma 2 19 3 3" xfId="2655" xr:uid="{00000000-0005-0000-0000-00006B010000}"/>
    <cellStyle name="Comma 2 19 3 3 2" xfId="4899" xr:uid="{00000000-0005-0000-0000-00006C010000}"/>
    <cellStyle name="Comma 2 19 3 4" xfId="3389" xr:uid="{00000000-0005-0000-0000-00006D010000}"/>
    <cellStyle name="Comma 2 19 4" xfId="1359" xr:uid="{00000000-0005-0000-0000-00006E010000}"/>
    <cellStyle name="Comma 2 19 4 2" xfId="3603" xr:uid="{00000000-0005-0000-0000-00006F010000}"/>
    <cellStyle name="Comma 2 19 5" xfId="2145" xr:uid="{00000000-0005-0000-0000-000070010000}"/>
    <cellStyle name="Comma 2 19 5 2" xfId="4389" xr:uid="{00000000-0005-0000-0000-000071010000}"/>
    <cellStyle name="Comma 2 19 6" xfId="2869" xr:uid="{00000000-0005-0000-0000-000072010000}"/>
    <cellStyle name="Comma 2 2" xfId="12" xr:uid="{00000000-0005-0000-0000-000073010000}"/>
    <cellStyle name="Comma 2 2 10" xfId="2838" xr:uid="{00000000-0005-0000-0000-000074010000}"/>
    <cellStyle name="Comma 2 2 11" xfId="5080" xr:uid="{00000000-0005-0000-0000-000075010000}"/>
    <cellStyle name="Comma 2 2 2" xfId="21" xr:uid="{00000000-0005-0000-0000-000076010000}"/>
    <cellStyle name="Comma 2 2 2 2" xfId="78" xr:uid="{00000000-0005-0000-0000-000077010000}"/>
    <cellStyle name="Comma 2 2 2 3" xfId="868" xr:uid="{00000000-0005-0000-0000-000078010000}"/>
    <cellStyle name="Comma 2 2 2 3 2" xfId="1656" xr:uid="{00000000-0005-0000-0000-000079010000}"/>
    <cellStyle name="Comma 2 2 2 3 2 2" xfId="3900" xr:uid="{00000000-0005-0000-0000-00007A010000}"/>
    <cellStyle name="Comma 2 2 2 3 3" xfId="2380" xr:uid="{00000000-0005-0000-0000-00007B010000}"/>
    <cellStyle name="Comma 2 2 2 3 3 2" xfId="4624" xr:uid="{00000000-0005-0000-0000-00007C010000}"/>
    <cellStyle name="Comma 2 2 2 3 4" xfId="3114" xr:uid="{00000000-0005-0000-0000-00007D010000}"/>
    <cellStyle name="Comma 2 2 2 4" xfId="1098" xr:uid="{00000000-0005-0000-0000-00007E010000}"/>
    <cellStyle name="Comma 2 2 2 4 2" xfId="1885" xr:uid="{00000000-0005-0000-0000-00007F010000}"/>
    <cellStyle name="Comma 2 2 2 4 2 2" xfId="4129" xr:uid="{00000000-0005-0000-0000-000080010000}"/>
    <cellStyle name="Comma 2 2 2 4 3" xfId="2609" xr:uid="{00000000-0005-0000-0000-000081010000}"/>
    <cellStyle name="Comma 2 2 2 4 3 2" xfId="4853" xr:uid="{00000000-0005-0000-0000-000082010000}"/>
    <cellStyle name="Comma 2 2 2 4 4" xfId="3343" xr:uid="{00000000-0005-0000-0000-000083010000}"/>
    <cellStyle name="Comma 2 2 2 5" xfId="1120" xr:uid="{00000000-0005-0000-0000-000084010000}"/>
    <cellStyle name="Comma 2 2 2 5 2" xfId="1907" xr:uid="{00000000-0005-0000-0000-000085010000}"/>
    <cellStyle name="Comma 2 2 2 5 2 2" xfId="4151" xr:uid="{00000000-0005-0000-0000-000086010000}"/>
    <cellStyle name="Comma 2 2 2 5 3" xfId="2631" xr:uid="{00000000-0005-0000-0000-000087010000}"/>
    <cellStyle name="Comma 2 2 2 5 3 2" xfId="4875" xr:uid="{00000000-0005-0000-0000-000088010000}"/>
    <cellStyle name="Comma 2 2 2 5 4" xfId="3365" xr:uid="{00000000-0005-0000-0000-000089010000}"/>
    <cellStyle name="Comma 2 2 2 6" xfId="1336" xr:uid="{00000000-0005-0000-0000-00008A010000}"/>
    <cellStyle name="Comma 2 2 2 6 2" xfId="3580" xr:uid="{00000000-0005-0000-0000-00008B010000}"/>
    <cellStyle name="Comma 2 2 2 7" xfId="2122" xr:uid="{00000000-0005-0000-0000-00008C010000}"/>
    <cellStyle name="Comma 2 2 2 7 2" xfId="4366" xr:uid="{00000000-0005-0000-0000-00008D010000}"/>
    <cellStyle name="Comma 2 2 2 8" xfId="2846" xr:uid="{00000000-0005-0000-0000-00008E010000}"/>
    <cellStyle name="Comma 2 2 2 9" xfId="5088" xr:uid="{00000000-0005-0000-0000-00008F010000}"/>
    <cellStyle name="Comma 2 2 3" xfId="79" xr:uid="{00000000-0005-0000-0000-000090010000}"/>
    <cellStyle name="Comma 2 2 4" xfId="859" xr:uid="{00000000-0005-0000-0000-000091010000}"/>
    <cellStyle name="Comma 2 2 4 2" xfId="1647" xr:uid="{00000000-0005-0000-0000-000092010000}"/>
    <cellStyle name="Comma 2 2 4 2 2" xfId="3891" xr:uid="{00000000-0005-0000-0000-000093010000}"/>
    <cellStyle name="Comma 2 2 4 3" xfId="2371" xr:uid="{00000000-0005-0000-0000-000094010000}"/>
    <cellStyle name="Comma 2 2 4 3 2" xfId="4615" xr:uid="{00000000-0005-0000-0000-000095010000}"/>
    <cellStyle name="Comma 2 2 4 4" xfId="3105" xr:uid="{00000000-0005-0000-0000-000096010000}"/>
    <cellStyle name="Comma 2 2 5" xfId="1076" xr:uid="{00000000-0005-0000-0000-000097010000}"/>
    <cellStyle name="Comma 2 2 5 2" xfId="1863" xr:uid="{00000000-0005-0000-0000-000098010000}"/>
    <cellStyle name="Comma 2 2 5 2 2" xfId="4107" xr:uid="{00000000-0005-0000-0000-000099010000}"/>
    <cellStyle name="Comma 2 2 5 3" xfId="2587" xr:uid="{00000000-0005-0000-0000-00009A010000}"/>
    <cellStyle name="Comma 2 2 5 3 2" xfId="4831" xr:uid="{00000000-0005-0000-0000-00009B010000}"/>
    <cellStyle name="Comma 2 2 5 4" xfId="3321" xr:uid="{00000000-0005-0000-0000-00009C010000}"/>
    <cellStyle name="Comma 2 2 6" xfId="1090" xr:uid="{00000000-0005-0000-0000-00009D010000}"/>
    <cellStyle name="Comma 2 2 6 2" xfId="1877" xr:uid="{00000000-0005-0000-0000-00009E010000}"/>
    <cellStyle name="Comma 2 2 6 2 2" xfId="4121" xr:uid="{00000000-0005-0000-0000-00009F010000}"/>
    <cellStyle name="Comma 2 2 6 3" xfId="2601" xr:uid="{00000000-0005-0000-0000-0000A0010000}"/>
    <cellStyle name="Comma 2 2 6 3 2" xfId="4845" xr:uid="{00000000-0005-0000-0000-0000A1010000}"/>
    <cellStyle name="Comma 2 2 6 4" xfId="3335" xr:uid="{00000000-0005-0000-0000-0000A2010000}"/>
    <cellStyle name="Comma 2 2 7" xfId="1112" xr:uid="{00000000-0005-0000-0000-0000A3010000}"/>
    <cellStyle name="Comma 2 2 7 2" xfId="1899" xr:uid="{00000000-0005-0000-0000-0000A4010000}"/>
    <cellStyle name="Comma 2 2 7 2 2" xfId="4143" xr:uid="{00000000-0005-0000-0000-0000A5010000}"/>
    <cellStyle name="Comma 2 2 7 3" xfId="2623" xr:uid="{00000000-0005-0000-0000-0000A6010000}"/>
    <cellStyle name="Comma 2 2 7 3 2" xfId="4867" xr:uid="{00000000-0005-0000-0000-0000A7010000}"/>
    <cellStyle name="Comma 2 2 7 4" xfId="3357" xr:uid="{00000000-0005-0000-0000-0000A8010000}"/>
    <cellStyle name="Comma 2 2 8" xfId="1328" xr:uid="{00000000-0005-0000-0000-0000A9010000}"/>
    <cellStyle name="Comma 2 2 8 2" xfId="3572" xr:uid="{00000000-0005-0000-0000-0000AA010000}"/>
    <cellStyle name="Comma 2 2 9" xfId="2114" xr:uid="{00000000-0005-0000-0000-0000AB010000}"/>
    <cellStyle name="Comma 2 2 9 2" xfId="4358" xr:uid="{00000000-0005-0000-0000-0000AC010000}"/>
    <cellStyle name="Comma 2 20" xfId="80" xr:uid="{00000000-0005-0000-0000-0000AD010000}"/>
    <cellStyle name="Comma 2 20 2" xfId="892" xr:uid="{00000000-0005-0000-0000-0000AE010000}"/>
    <cellStyle name="Comma 2 20 2 2" xfId="1680" xr:uid="{00000000-0005-0000-0000-0000AF010000}"/>
    <cellStyle name="Comma 2 20 2 2 2" xfId="3924" xr:uid="{00000000-0005-0000-0000-0000B0010000}"/>
    <cellStyle name="Comma 2 20 2 3" xfId="2404" xr:uid="{00000000-0005-0000-0000-0000B1010000}"/>
    <cellStyle name="Comma 2 20 2 3 2" xfId="4648" xr:uid="{00000000-0005-0000-0000-0000B2010000}"/>
    <cellStyle name="Comma 2 20 2 4" xfId="3138" xr:uid="{00000000-0005-0000-0000-0000B3010000}"/>
    <cellStyle name="Comma 2 20 3" xfId="1145" xr:uid="{00000000-0005-0000-0000-0000B4010000}"/>
    <cellStyle name="Comma 2 20 3 2" xfId="1932" xr:uid="{00000000-0005-0000-0000-0000B5010000}"/>
    <cellStyle name="Comma 2 20 3 2 2" xfId="4176" xr:uid="{00000000-0005-0000-0000-0000B6010000}"/>
    <cellStyle name="Comma 2 20 3 3" xfId="2656" xr:uid="{00000000-0005-0000-0000-0000B7010000}"/>
    <cellStyle name="Comma 2 20 3 3 2" xfId="4900" xr:uid="{00000000-0005-0000-0000-0000B8010000}"/>
    <cellStyle name="Comma 2 20 3 4" xfId="3390" xr:uid="{00000000-0005-0000-0000-0000B9010000}"/>
    <cellStyle name="Comma 2 20 4" xfId="1360" xr:uid="{00000000-0005-0000-0000-0000BA010000}"/>
    <cellStyle name="Comma 2 20 4 2" xfId="3604" xr:uid="{00000000-0005-0000-0000-0000BB010000}"/>
    <cellStyle name="Comma 2 20 5" xfId="2146" xr:uid="{00000000-0005-0000-0000-0000BC010000}"/>
    <cellStyle name="Comma 2 20 5 2" xfId="4390" xr:uid="{00000000-0005-0000-0000-0000BD010000}"/>
    <cellStyle name="Comma 2 20 6" xfId="2870" xr:uid="{00000000-0005-0000-0000-0000BE010000}"/>
    <cellStyle name="Comma 2 21" xfId="81" xr:uid="{00000000-0005-0000-0000-0000BF010000}"/>
    <cellStyle name="Comma 2 21 2" xfId="893" xr:uid="{00000000-0005-0000-0000-0000C0010000}"/>
    <cellStyle name="Comma 2 21 2 2" xfId="1681" xr:uid="{00000000-0005-0000-0000-0000C1010000}"/>
    <cellStyle name="Comma 2 21 2 2 2" xfId="3925" xr:uid="{00000000-0005-0000-0000-0000C2010000}"/>
    <cellStyle name="Comma 2 21 2 3" xfId="2405" xr:uid="{00000000-0005-0000-0000-0000C3010000}"/>
    <cellStyle name="Comma 2 21 2 3 2" xfId="4649" xr:uid="{00000000-0005-0000-0000-0000C4010000}"/>
    <cellStyle name="Comma 2 21 2 4" xfId="3139" xr:uid="{00000000-0005-0000-0000-0000C5010000}"/>
    <cellStyle name="Comma 2 21 3" xfId="1146" xr:uid="{00000000-0005-0000-0000-0000C6010000}"/>
    <cellStyle name="Comma 2 21 3 2" xfId="1933" xr:uid="{00000000-0005-0000-0000-0000C7010000}"/>
    <cellStyle name="Comma 2 21 3 2 2" xfId="4177" xr:uid="{00000000-0005-0000-0000-0000C8010000}"/>
    <cellStyle name="Comma 2 21 3 3" xfId="2657" xr:uid="{00000000-0005-0000-0000-0000C9010000}"/>
    <cellStyle name="Comma 2 21 3 3 2" xfId="4901" xr:uid="{00000000-0005-0000-0000-0000CA010000}"/>
    <cellStyle name="Comma 2 21 3 4" xfId="3391" xr:uid="{00000000-0005-0000-0000-0000CB010000}"/>
    <cellStyle name="Comma 2 21 4" xfId="1361" xr:uid="{00000000-0005-0000-0000-0000CC010000}"/>
    <cellStyle name="Comma 2 21 4 2" xfId="3605" xr:uid="{00000000-0005-0000-0000-0000CD010000}"/>
    <cellStyle name="Comma 2 21 5" xfId="2147" xr:uid="{00000000-0005-0000-0000-0000CE010000}"/>
    <cellStyle name="Comma 2 21 5 2" xfId="4391" xr:uid="{00000000-0005-0000-0000-0000CF010000}"/>
    <cellStyle name="Comma 2 21 6" xfId="2871" xr:uid="{00000000-0005-0000-0000-0000D0010000}"/>
    <cellStyle name="Comma 2 22" xfId="82" xr:uid="{00000000-0005-0000-0000-0000D1010000}"/>
    <cellStyle name="Comma 2 22 2" xfId="894" xr:uid="{00000000-0005-0000-0000-0000D2010000}"/>
    <cellStyle name="Comma 2 22 2 2" xfId="1682" xr:uid="{00000000-0005-0000-0000-0000D3010000}"/>
    <cellStyle name="Comma 2 22 2 2 2" xfId="3926" xr:uid="{00000000-0005-0000-0000-0000D4010000}"/>
    <cellStyle name="Comma 2 22 2 3" xfId="2406" xr:uid="{00000000-0005-0000-0000-0000D5010000}"/>
    <cellStyle name="Comma 2 22 2 3 2" xfId="4650" xr:uid="{00000000-0005-0000-0000-0000D6010000}"/>
    <cellStyle name="Comma 2 22 2 4" xfId="3140" xr:uid="{00000000-0005-0000-0000-0000D7010000}"/>
    <cellStyle name="Comma 2 22 3" xfId="1147" xr:uid="{00000000-0005-0000-0000-0000D8010000}"/>
    <cellStyle name="Comma 2 22 3 2" xfId="1934" xr:uid="{00000000-0005-0000-0000-0000D9010000}"/>
    <cellStyle name="Comma 2 22 3 2 2" xfId="4178" xr:uid="{00000000-0005-0000-0000-0000DA010000}"/>
    <cellStyle name="Comma 2 22 3 3" xfId="2658" xr:uid="{00000000-0005-0000-0000-0000DB010000}"/>
    <cellStyle name="Comma 2 22 3 3 2" xfId="4902" xr:uid="{00000000-0005-0000-0000-0000DC010000}"/>
    <cellStyle name="Comma 2 22 3 4" xfId="3392" xr:uid="{00000000-0005-0000-0000-0000DD010000}"/>
    <cellStyle name="Comma 2 22 4" xfId="1362" xr:uid="{00000000-0005-0000-0000-0000DE010000}"/>
    <cellStyle name="Comma 2 22 4 2" xfId="3606" xr:uid="{00000000-0005-0000-0000-0000DF010000}"/>
    <cellStyle name="Comma 2 22 5" xfId="2148" xr:uid="{00000000-0005-0000-0000-0000E0010000}"/>
    <cellStyle name="Comma 2 22 5 2" xfId="4392" xr:uid="{00000000-0005-0000-0000-0000E1010000}"/>
    <cellStyle name="Comma 2 22 6" xfId="2872" xr:uid="{00000000-0005-0000-0000-0000E2010000}"/>
    <cellStyle name="Comma 2 23" xfId="83" xr:uid="{00000000-0005-0000-0000-0000E3010000}"/>
    <cellStyle name="Comma 2 23 2" xfId="895" xr:uid="{00000000-0005-0000-0000-0000E4010000}"/>
    <cellStyle name="Comma 2 23 2 2" xfId="1683" xr:uid="{00000000-0005-0000-0000-0000E5010000}"/>
    <cellStyle name="Comma 2 23 2 2 2" xfId="3927" xr:uid="{00000000-0005-0000-0000-0000E6010000}"/>
    <cellStyle name="Comma 2 23 2 3" xfId="2407" xr:uid="{00000000-0005-0000-0000-0000E7010000}"/>
    <cellStyle name="Comma 2 23 2 3 2" xfId="4651" xr:uid="{00000000-0005-0000-0000-0000E8010000}"/>
    <cellStyle name="Comma 2 23 2 4" xfId="3141" xr:uid="{00000000-0005-0000-0000-0000E9010000}"/>
    <cellStyle name="Comma 2 23 3" xfId="1148" xr:uid="{00000000-0005-0000-0000-0000EA010000}"/>
    <cellStyle name="Comma 2 23 3 2" xfId="1935" xr:uid="{00000000-0005-0000-0000-0000EB010000}"/>
    <cellStyle name="Comma 2 23 3 2 2" xfId="4179" xr:uid="{00000000-0005-0000-0000-0000EC010000}"/>
    <cellStyle name="Comma 2 23 3 3" xfId="2659" xr:uid="{00000000-0005-0000-0000-0000ED010000}"/>
    <cellStyle name="Comma 2 23 3 3 2" xfId="4903" xr:uid="{00000000-0005-0000-0000-0000EE010000}"/>
    <cellStyle name="Comma 2 23 3 4" xfId="3393" xr:uid="{00000000-0005-0000-0000-0000EF010000}"/>
    <cellStyle name="Comma 2 23 4" xfId="1363" xr:uid="{00000000-0005-0000-0000-0000F0010000}"/>
    <cellStyle name="Comma 2 23 4 2" xfId="3607" xr:uid="{00000000-0005-0000-0000-0000F1010000}"/>
    <cellStyle name="Comma 2 23 5" xfId="2149" xr:uid="{00000000-0005-0000-0000-0000F2010000}"/>
    <cellStyle name="Comma 2 23 5 2" xfId="4393" xr:uid="{00000000-0005-0000-0000-0000F3010000}"/>
    <cellStyle name="Comma 2 23 6" xfId="2873" xr:uid="{00000000-0005-0000-0000-0000F4010000}"/>
    <cellStyle name="Comma 2 24" xfId="84" xr:uid="{00000000-0005-0000-0000-0000F5010000}"/>
    <cellStyle name="Comma 2 24 2" xfId="896" xr:uid="{00000000-0005-0000-0000-0000F6010000}"/>
    <cellStyle name="Comma 2 24 2 2" xfId="1684" xr:uid="{00000000-0005-0000-0000-0000F7010000}"/>
    <cellStyle name="Comma 2 24 2 2 2" xfId="3928" xr:uid="{00000000-0005-0000-0000-0000F8010000}"/>
    <cellStyle name="Comma 2 24 2 3" xfId="2408" xr:uid="{00000000-0005-0000-0000-0000F9010000}"/>
    <cellStyle name="Comma 2 24 2 3 2" xfId="4652" xr:uid="{00000000-0005-0000-0000-0000FA010000}"/>
    <cellStyle name="Comma 2 24 2 4" xfId="3142" xr:uid="{00000000-0005-0000-0000-0000FB010000}"/>
    <cellStyle name="Comma 2 24 3" xfId="1149" xr:uid="{00000000-0005-0000-0000-0000FC010000}"/>
    <cellStyle name="Comma 2 24 3 2" xfId="1936" xr:uid="{00000000-0005-0000-0000-0000FD010000}"/>
    <cellStyle name="Comma 2 24 3 2 2" xfId="4180" xr:uid="{00000000-0005-0000-0000-0000FE010000}"/>
    <cellStyle name="Comma 2 24 3 3" xfId="2660" xr:uid="{00000000-0005-0000-0000-0000FF010000}"/>
    <cellStyle name="Comma 2 24 3 3 2" xfId="4904" xr:uid="{00000000-0005-0000-0000-000000020000}"/>
    <cellStyle name="Comma 2 24 3 4" xfId="3394" xr:uid="{00000000-0005-0000-0000-000001020000}"/>
    <cellStyle name="Comma 2 24 4" xfId="1364" xr:uid="{00000000-0005-0000-0000-000002020000}"/>
    <cellStyle name="Comma 2 24 4 2" xfId="3608" xr:uid="{00000000-0005-0000-0000-000003020000}"/>
    <cellStyle name="Comma 2 24 5" xfId="2150" xr:uid="{00000000-0005-0000-0000-000004020000}"/>
    <cellStyle name="Comma 2 24 5 2" xfId="4394" xr:uid="{00000000-0005-0000-0000-000005020000}"/>
    <cellStyle name="Comma 2 24 6" xfId="2874" xr:uid="{00000000-0005-0000-0000-000006020000}"/>
    <cellStyle name="Comma 2 25" xfId="85" xr:uid="{00000000-0005-0000-0000-000007020000}"/>
    <cellStyle name="Comma 2 25 2" xfId="897" xr:uid="{00000000-0005-0000-0000-000008020000}"/>
    <cellStyle name="Comma 2 25 2 2" xfId="1685" xr:uid="{00000000-0005-0000-0000-000009020000}"/>
    <cellStyle name="Comma 2 25 2 2 2" xfId="3929" xr:uid="{00000000-0005-0000-0000-00000A020000}"/>
    <cellStyle name="Comma 2 25 2 3" xfId="2409" xr:uid="{00000000-0005-0000-0000-00000B020000}"/>
    <cellStyle name="Comma 2 25 2 3 2" xfId="4653" xr:uid="{00000000-0005-0000-0000-00000C020000}"/>
    <cellStyle name="Comma 2 25 2 4" xfId="3143" xr:uid="{00000000-0005-0000-0000-00000D020000}"/>
    <cellStyle name="Comma 2 25 3" xfId="1150" xr:uid="{00000000-0005-0000-0000-00000E020000}"/>
    <cellStyle name="Comma 2 25 3 2" xfId="1937" xr:uid="{00000000-0005-0000-0000-00000F020000}"/>
    <cellStyle name="Comma 2 25 3 2 2" xfId="4181" xr:uid="{00000000-0005-0000-0000-000010020000}"/>
    <cellStyle name="Comma 2 25 3 3" xfId="2661" xr:uid="{00000000-0005-0000-0000-000011020000}"/>
    <cellStyle name="Comma 2 25 3 3 2" xfId="4905" xr:uid="{00000000-0005-0000-0000-000012020000}"/>
    <cellStyle name="Comma 2 25 3 4" xfId="3395" xr:uid="{00000000-0005-0000-0000-000013020000}"/>
    <cellStyle name="Comma 2 25 4" xfId="1365" xr:uid="{00000000-0005-0000-0000-000014020000}"/>
    <cellStyle name="Comma 2 25 4 2" xfId="3609" xr:uid="{00000000-0005-0000-0000-000015020000}"/>
    <cellStyle name="Comma 2 25 5" xfId="2151" xr:uid="{00000000-0005-0000-0000-000016020000}"/>
    <cellStyle name="Comma 2 25 5 2" xfId="4395" xr:uid="{00000000-0005-0000-0000-000017020000}"/>
    <cellStyle name="Comma 2 25 6" xfId="2875" xr:uid="{00000000-0005-0000-0000-000018020000}"/>
    <cellStyle name="Comma 2 26" xfId="86" xr:uid="{00000000-0005-0000-0000-000019020000}"/>
    <cellStyle name="Comma 2 26 2" xfId="898" xr:uid="{00000000-0005-0000-0000-00001A020000}"/>
    <cellStyle name="Comma 2 26 2 2" xfId="1686" xr:uid="{00000000-0005-0000-0000-00001B020000}"/>
    <cellStyle name="Comma 2 26 2 2 2" xfId="3930" xr:uid="{00000000-0005-0000-0000-00001C020000}"/>
    <cellStyle name="Comma 2 26 2 3" xfId="2410" xr:uid="{00000000-0005-0000-0000-00001D020000}"/>
    <cellStyle name="Comma 2 26 2 3 2" xfId="4654" xr:uid="{00000000-0005-0000-0000-00001E020000}"/>
    <cellStyle name="Comma 2 26 2 4" xfId="3144" xr:uid="{00000000-0005-0000-0000-00001F020000}"/>
    <cellStyle name="Comma 2 26 3" xfId="1151" xr:uid="{00000000-0005-0000-0000-000020020000}"/>
    <cellStyle name="Comma 2 26 3 2" xfId="1938" xr:uid="{00000000-0005-0000-0000-000021020000}"/>
    <cellStyle name="Comma 2 26 3 2 2" xfId="4182" xr:uid="{00000000-0005-0000-0000-000022020000}"/>
    <cellStyle name="Comma 2 26 3 3" xfId="2662" xr:uid="{00000000-0005-0000-0000-000023020000}"/>
    <cellStyle name="Comma 2 26 3 3 2" xfId="4906" xr:uid="{00000000-0005-0000-0000-000024020000}"/>
    <cellStyle name="Comma 2 26 3 4" xfId="3396" xr:uid="{00000000-0005-0000-0000-000025020000}"/>
    <cellStyle name="Comma 2 26 4" xfId="1366" xr:uid="{00000000-0005-0000-0000-000026020000}"/>
    <cellStyle name="Comma 2 26 4 2" xfId="3610" xr:uid="{00000000-0005-0000-0000-000027020000}"/>
    <cellStyle name="Comma 2 26 5" xfId="2152" xr:uid="{00000000-0005-0000-0000-000028020000}"/>
    <cellStyle name="Comma 2 26 5 2" xfId="4396" xr:uid="{00000000-0005-0000-0000-000029020000}"/>
    <cellStyle name="Comma 2 26 6" xfId="2876" xr:uid="{00000000-0005-0000-0000-00002A020000}"/>
    <cellStyle name="Comma 2 27" xfId="87" xr:uid="{00000000-0005-0000-0000-00002B020000}"/>
    <cellStyle name="Comma 2 27 2" xfId="899" xr:uid="{00000000-0005-0000-0000-00002C020000}"/>
    <cellStyle name="Comma 2 27 2 2" xfId="1687" xr:uid="{00000000-0005-0000-0000-00002D020000}"/>
    <cellStyle name="Comma 2 27 2 2 2" xfId="3931" xr:uid="{00000000-0005-0000-0000-00002E020000}"/>
    <cellStyle name="Comma 2 27 2 3" xfId="2411" xr:uid="{00000000-0005-0000-0000-00002F020000}"/>
    <cellStyle name="Comma 2 27 2 3 2" xfId="4655" xr:uid="{00000000-0005-0000-0000-000030020000}"/>
    <cellStyle name="Comma 2 27 2 4" xfId="3145" xr:uid="{00000000-0005-0000-0000-000031020000}"/>
    <cellStyle name="Comma 2 27 3" xfId="1152" xr:uid="{00000000-0005-0000-0000-000032020000}"/>
    <cellStyle name="Comma 2 27 3 2" xfId="1939" xr:uid="{00000000-0005-0000-0000-000033020000}"/>
    <cellStyle name="Comma 2 27 3 2 2" xfId="4183" xr:uid="{00000000-0005-0000-0000-000034020000}"/>
    <cellStyle name="Comma 2 27 3 3" xfId="2663" xr:uid="{00000000-0005-0000-0000-000035020000}"/>
    <cellStyle name="Comma 2 27 3 3 2" xfId="4907" xr:uid="{00000000-0005-0000-0000-000036020000}"/>
    <cellStyle name="Comma 2 27 3 4" xfId="3397" xr:uid="{00000000-0005-0000-0000-000037020000}"/>
    <cellStyle name="Comma 2 27 4" xfId="1367" xr:uid="{00000000-0005-0000-0000-000038020000}"/>
    <cellStyle name="Comma 2 27 4 2" xfId="3611" xr:uid="{00000000-0005-0000-0000-000039020000}"/>
    <cellStyle name="Comma 2 27 5" xfId="2153" xr:uid="{00000000-0005-0000-0000-00003A020000}"/>
    <cellStyle name="Comma 2 27 5 2" xfId="4397" xr:uid="{00000000-0005-0000-0000-00003B020000}"/>
    <cellStyle name="Comma 2 27 6" xfId="2877" xr:uid="{00000000-0005-0000-0000-00003C020000}"/>
    <cellStyle name="Comma 2 28" xfId="855" xr:uid="{00000000-0005-0000-0000-00003D020000}"/>
    <cellStyle name="Comma 2 28 2" xfId="1643" xr:uid="{00000000-0005-0000-0000-00003E020000}"/>
    <cellStyle name="Comma 2 28 2 2" xfId="3887" xr:uid="{00000000-0005-0000-0000-00003F020000}"/>
    <cellStyle name="Comma 2 28 3" xfId="2367" xr:uid="{00000000-0005-0000-0000-000040020000}"/>
    <cellStyle name="Comma 2 28 3 2" xfId="4611" xr:uid="{00000000-0005-0000-0000-000041020000}"/>
    <cellStyle name="Comma 2 28 4" xfId="3101" xr:uid="{00000000-0005-0000-0000-000042020000}"/>
    <cellStyle name="Comma 2 29" xfId="1072" xr:uid="{00000000-0005-0000-0000-000043020000}"/>
    <cellStyle name="Comma 2 29 2" xfId="1859" xr:uid="{00000000-0005-0000-0000-000044020000}"/>
    <cellStyle name="Comma 2 29 2 2" xfId="4103" xr:uid="{00000000-0005-0000-0000-000045020000}"/>
    <cellStyle name="Comma 2 29 3" xfId="2583" xr:uid="{00000000-0005-0000-0000-000046020000}"/>
    <cellStyle name="Comma 2 29 3 2" xfId="4827" xr:uid="{00000000-0005-0000-0000-000047020000}"/>
    <cellStyle name="Comma 2 29 4" xfId="3317" xr:uid="{00000000-0005-0000-0000-000048020000}"/>
    <cellStyle name="Comma 2 3" xfId="26" xr:uid="{00000000-0005-0000-0000-000049020000}"/>
    <cellStyle name="Comma 2 3 10" xfId="2125" xr:uid="{00000000-0005-0000-0000-00004A020000}"/>
    <cellStyle name="Comma 2 3 10 2" xfId="4369" xr:uid="{00000000-0005-0000-0000-00004B020000}"/>
    <cellStyle name="Comma 2 3 11" xfId="2849" xr:uid="{00000000-0005-0000-0000-00004C020000}"/>
    <cellStyle name="Comma 2 3 12" xfId="5091" xr:uid="{00000000-0005-0000-0000-00004D020000}"/>
    <cellStyle name="Comma 2 3 2" xfId="89" xr:uid="{00000000-0005-0000-0000-00004E020000}"/>
    <cellStyle name="Comma 2 3 2 2" xfId="901" xr:uid="{00000000-0005-0000-0000-00004F020000}"/>
    <cellStyle name="Comma 2 3 2 2 2" xfId="1689" xr:uid="{00000000-0005-0000-0000-000050020000}"/>
    <cellStyle name="Comma 2 3 2 2 2 2" xfId="3933" xr:uid="{00000000-0005-0000-0000-000051020000}"/>
    <cellStyle name="Comma 2 3 2 2 3" xfId="2413" xr:uid="{00000000-0005-0000-0000-000052020000}"/>
    <cellStyle name="Comma 2 3 2 2 3 2" xfId="4657" xr:uid="{00000000-0005-0000-0000-000053020000}"/>
    <cellStyle name="Comma 2 3 2 2 4" xfId="3147" xr:uid="{00000000-0005-0000-0000-000054020000}"/>
    <cellStyle name="Comma 2 3 2 3" xfId="1154" xr:uid="{00000000-0005-0000-0000-000055020000}"/>
    <cellStyle name="Comma 2 3 2 3 2" xfId="1941" xr:uid="{00000000-0005-0000-0000-000056020000}"/>
    <cellStyle name="Comma 2 3 2 3 2 2" xfId="4185" xr:uid="{00000000-0005-0000-0000-000057020000}"/>
    <cellStyle name="Comma 2 3 2 3 3" xfId="2665" xr:uid="{00000000-0005-0000-0000-000058020000}"/>
    <cellStyle name="Comma 2 3 2 3 3 2" xfId="4909" xr:uid="{00000000-0005-0000-0000-000059020000}"/>
    <cellStyle name="Comma 2 3 2 3 4" xfId="3399" xr:uid="{00000000-0005-0000-0000-00005A020000}"/>
    <cellStyle name="Comma 2 3 2 4" xfId="1369" xr:uid="{00000000-0005-0000-0000-00005B020000}"/>
    <cellStyle name="Comma 2 3 2 4 2" xfId="3613" xr:uid="{00000000-0005-0000-0000-00005C020000}"/>
    <cellStyle name="Comma 2 3 2 5" xfId="2155" xr:uid="{00000000-0005-0000-0000-00005D020000}"/>
    <cellStyle name="Comma 2 3 2 5 2" xfId="4399" xr:uid="{00000000-0005-0000-0000-00005E020000}"/>
    <cellStyle name="Comma 2 3 2 6" xfId="2879" xr:uid="{00000000-0005-0000-0000-00005F020000}"/>
    <cellStyle name="Comma 2 3 3" xfId="90" xr:uid="{00000000-0005-0000-0000-000060020000}"/>
    <cellStyle name="Comma 2 3 3 2" xfId="902" xr:uid="{00000000-0005-0000-0000-000061020000}"/>
    <cellStyle name="Comma 2 3 3 2 2" xfId="1690" xr:uid="{00000000-0005-0000-0000-000062020000}"/>
    <cellStyle name="Comma 2 3 3 2 2 2" xfId="3934" xr:uid="{00000000-0005-0000-0000-000063020000}"/>
    <cellStyle name="Comma 2 3 3 2 3" xfId="2414" xr:uid="{00000000-0005-0000-0000-000064020000}"/>
    <cellStyle name="Comma 2 3 3 2 3 2" xfId="4658" xr:uid="{00000000-0005-0000-0000-000065020000}"/>
    <cellStyle name="Comma 2 3 3 2 4" xfId="3148" xr:uid="{00000000-0005-0000-0000-000066020000}"/>
    <cellStyle name="Comma 2 3 3 3" xfId="1155" xr:uid="{00000000-0005-0000-0000-000067020000}"/>
    <cellStyle name="Comma 2 3 3 3 2" xfId="1942" xr:uid="{00000000-0005-0000-0000-000068020000}"/>
    <cellStyle name="Comma 2 3 3 3 2 2" xfId="4186" xr:uid="{00000000-0005-0000-0000-000069020000}"/>
    <cellStyle name="Comma 2 3 3 3 3" xfId="2666" xr:uid="{00000000-0005-0000-0000-00006A020000}"/>
    <cellStyle name="Comma 2 3 3 3 3 2" xfId="4910" xr:uid="{00000000-0005-0000-0000-00006B020000}"/>
    <cellStyle name="Comma 2 3 3 3 4" xfId="3400" xr:uid="{00000000-0005-0000-0000-00006C020000}"/>
    <cellStyle name="Comma 2 3 3 4" xfId="1370" xr:uid="{00000000-0005-0000-0000-00006D020000}"/>
    <cellStyle name="Comma 2 3 3 4 2" xfId="3614" xr:uid="{00000000-0005-0000-0000-00006E020000}"/>
    <cellStyle name="Comma 2 3 3 5" xfId="2156" xr:uid="{00000000-0005-0000-0000-00006F020000}"/>
    <cellStyle name="Comma 2 3 3 5 2" xfId="4400" xr:uid="{00000000-0005-0000-0000-000070020000}"/>
    <cellStyle name="Comma 2 3 3 6" xfId="2880" xr:uid="{00000000-0005-0000-0000-000071020000}"/>
    <cellStyle name="Comma 2 3 4" xfId="88" xr:uid="{00000000-0005-0000-0000-000072020000}"/>
    <cellStyle name="Comma 2 3 4 2" xfId="900" xr:uid="{00000000-0005-0000-0000-000073020000}"/>
    <cellStyle name="Comma 2 3 4 2 2" xfId="1688" xr:uid="{00000000-0005-0000-0000-000074020000}"/>
    <cellStyle name="Comma 2 3 4 2 2 2" xfId="3932" xr:uid="{00000000-0005-0000-0000-000075020000}"/>
    <cellStyle name="Comma 2 3 4 2 3" xfId="2412" xr:uid="{00000000-0005-0000-0000-000076020000}"/>
    <cellStyle name="Comma 2 3 4 2 3 2" xfId="4656" xr:uid="{00000000-0005-0000-0000-000077020000}"/>
    <cellStyle name="Comma 2 3 4 2 4" xfId="3146" xr:uid="{00000000-0005-0000-0000-000078020000}"/>
    <cellStyle name="Comma 2 3 4 3" xfId="1153" xr:uid="{00000000-0005-0000-0000-000079020000}"/>
    <cellStyle name="Comma 2 3 4 3 2" xfId="1940" xr:uid="{00000000-0005-0000-0000-00007A020000}"/>
    <cellStyle name="Comma 2 3 4 3 2 2" xfId="4184" xr:uid="{00000000-0005-0000-0000-00007B020000}"/>
    <cellStyle name="Comma 2 3 4 3 3" xfId="2664" xr:uid="{00000000-0005-0000-0000-00007C020000}"/>
    <cellStyle name="Comma 2 3 4 3 3 2" xfId="4908" xr:uid="{00000000-0005-0000-0000-00007D020000}"/>
    <cellStyle name="Comma 2 3 4 3 4" xfId="3398" xr:uid="{00000000-0005-0000-0000-00007E020000}"/>
    <cellStyle name="Comma 2 3 4 4" xfId="1368" xr:uid="{00000000-0005-0000-0000-00007F020000}"/>
    <cellStyle name="Comma 2 3 4 4 2" xfId="3612" xr:uid="{00000000-0005-0000-0000-000080020000}"/>
    <cellStyle name="Comma 2 3 4 5" xfId="2154" xr:uid="{00000000-0005-0000-0000-000081020000}"/>
    <cellStyle name="Comma 2 3 4 5 2" xfId="4398" xr:uid="{00000000-0005-0000-0000-000082020000}"/>
    <cellStyle name="Comma 2 3 4 6" xfId="2878" xr:uid="{00000000-0005-0000-0000-000083020000}"/>
    <cellStyle name="Comma 2 3 5" xfId="871" xr:uid="{00000000-0005-0000-0000-000084020000}"/>
    <cellStyle name="Comma 2 3 5 2" xfId="1659" xr:uid="{00000000-0005-0000-0000-000085020000}"/>
    <cellStyle name="Comma 2 3 5 2 2" xfId="3903" xr:uid="{00000000-0005-0000-0000-000086020000}"/>
    <cellStyle name="Comma 2 3 5 3" xfId="2383" xr:uid="{00000000-0005-0000-0000-000087020000}"/>
    <cellStyle name="Comma 2 3 5 3 2" xfId="4627" xr:uid="{00000000-0005-0000-0000-000088020000}"/>
    <cellStyle name="Comma 2 3 5 4" xfId="3117" xr:uid="{00000000-0005-0000-0000-000089020000}"/>
    <cellStyle name="Comma 2 3 6" xfId="1079" xr:uid="{00000000-0005-0000-0000-00008A020000}"/>
    <cellStyle name="Comma 2 3 6 2" xfId="1866" xr:uid="{00000000-0005-0000-0000-00008B020000}"/>
    <cellStyle name="Comma 2 3 6 2 2" xfId="4110" xr:uid="{00000000-0005-0000-0000-00008C020000}"/>
    <cellStyle name="Comma 2 3 6 3" xfId="2590" xr:uid="{00000000-0005-0000-0000-00008D020000}"/>
    <cellStyle name="Comma 2 3 6 3 2" xfId="4834" xr:uid="{00000000-0005-0000-0000-00008E020000}"/>
    <cellStyle name="Comma 2 3 6 4" xfId="3324" xr:uid="{00000000-0005-0000-0000-00008F020000}"/>
    <cellStyle name="Comma 2 3 7" xfId="1101" xr:uid="{00000000-0005-0000-0000-000090020000}"/>
    <cellStyle name="Comma 2 3 7 2" xfId="1888" xr:uid="{00000000-0005-0000-0000-000091020000}"/>
    <cellStyle name="Comma 2 3 7 2 2" xfId="4132" xr:uid="{00000000-0005-0000-0000-000092020000}"/>
    <cellStyle name="Comma 2 3 7 3" xfId="2612" xr:uid="{00000000-0005-0000-0000-000093020000}"/>
    <cellStyle name="Comma 2 3 7 3 2" xfId="4856" xr:uid="{00000000-0005-0000-0000-000094020000}"/>
    <cellStyle name="Comma 2 3 7 4" xfId="3346" xr:uid="{00000000-0005-0000-0000-000095020000}"/>
    <cellStyle name="Comma 2 3 8" xfId="1123" xr:uid="{00000000-0005-0000-0000-000096020000}"/>
    <cellStyle name="Comma 2 3 8 2" xfId="1910" xr:uid="{00000000-0005-0000-0000-000097020000}"/>
    <cellStyle name="Comma 2 3 8 2 2" xfId="4154" xr:uid="{00000000-0005-0000-0000-000098020000}"/>
    <cellStyle name="Comma 2 3 8 3" xfId="2634" xr:uid="{00000000-0005-0000-0000-000099020000}"/>
    <cellStyle name="Comma 2 3 8 3 2" xfId="4878" xr:uid="{00000000-0005-0000-0000-00009A020000}"/>
    <cellStyle name="Comma 2 3 8 4" xfId="3368" xr:uid="{00000000-0005-0000-0000-00009B020000}"/>
    <cellStyle name="Comma 2 3 9" xfId="1339" xr:uid="{00000000-0005-0000-0000-00009C020000}"/>
    <cellStyle name="Comma 2 3 9 2" xfId="3583" xr:uid="{00000000-0005-0000-0000-00009D020000}"/>
    <cellStyle name="Comma 2 30" xfId="1086" xr:uid="{00000000-0005-0000-0000-00009E020000}"/>
    <cellStyle name="Comma 2 30 2" xfId="1873" xr:uid="{00000000-0005-0000-0000-00009F020000}"/>
    <cellStyle name="Comma 2 30 2 2" xfId="4117" xr:uid="{00000000-0005-0000-0000-0000A0020000}"/>
    <cellStyle name="Comma 2 30 3" xfId="2597" xr:uid="{00000000-0005-0000-0000-0000A1020000}"/>
    <cellStyle name="Comma 2 30 3 2" xfId="4841" xr:uid="{00000000-0005-0000-0000-0000A2020000}"/>
    <cellStyle name="Comma 2 30 4" xfId="3331" xr:uid="{00000000-0005-0000-0000-0000A3020000}"/>
    <cellStyle name="Comma 2 31" xfId="1107" xr:uid="{00000000-0005-0000-0000-0000A4020000}"/>
    <cellStyle name="Comma 2 31 2" xfId="1894" xr:uid="{00000000-0005-0000-0000-0000A5020000}"/>
    <cellStyle name="Comma 2 31 2 2" xfId="4138" xr:uid="{00000000-0005-0000-0000-0000A6020000}"/>
    <cellStyle name="Comma 2 31 3" xfId="2618" xr:uid="{00000000-0005-0000-0000-0000A7020000}"/>
    <cellStyle name="Comma 2 31 3 2" xfId="4862" xr:uid="{00000000-0005-0000-0000-0000A8020000}"/>
    <cellStyle name="Comma 2 31 4" xfId="3352" xr:uid="{00000000-0005-0000-0000-0000A9020000}"/>
    <cellStyle name="Comma 2 32" xfId="1324" xr:uid="{00000000-0005-0000-0000-0000AA020000}"/>
    <cellStyle name="Comma 2 32 2" xfId="3568" xr:uid="{00000000-0005-0000-0000-0000AB020000}"/>
    <cellStyle name="Comma 2 33" xfId="2110" xr:uid="{00000000-0005-0000-0000-0000AC020000}"/>
    <cellStyle name="Comma 2 33 2" xfId="4354" xr:uid="{00000000-0005-0000-0000-0000AD020000}"/>
    <cellStyle name="Comma 2 34" xfId="2834" xr:uid="{00000000-0005-0000-0000-0000AE020000}"/>
    <cellStyle name="Comma 2 35" xfId="5076" xr:uid="{00000000-0005-0000-0000-0000AF020000}"/>
    <cellStyle name="Comma 2 36" xfId="5095" xr:uid="{00000000-0005-0000-0000-0000B0020000}"/>
    <cellStyle name="Comma 2 37" xfId="5102" xr:uid="{00000000-0005-0000-0000-0000B1020000}"/>
    <cellStyle name="Comma 2 4" xfId="17" xr:uid="{00000000-0005-0000-0000-0000B2020000}"/>
    <cellStyle name="Comma 2 4 2" xfId="91" xr:uid="{00000000-0005-0000-0000-0000B3020000}"/>
    <cellStyle name="Comma 2 4 2 2" xfId="903" xr:uid="{00000000-0005-0000-0000-0000B4020000}"/>
    <cellStyle name="Comma 2 4 2 2 2" xfId="1691" xr:uid="{00000000-0005-0000-0000-0000B5020000}"/>
    <cellStyle name="Comma 2 4 2 2 2 2" xfId="3935" xr:uid="{00000000-0005-0000-0000-0000B6020000}"/>
    <cellStyle name="Comma 2 4 2 2 3" xfId="2415" xr:uid="{00000000-0005-0000-0000-0000B7020000}"/>
    <cellStyle name="Comma 2 4 2 2 3 2" xfId="4659" xr:uid="{00000000-0005-0000-0000-0000B8020000}"/>
    <cellStyle name="Comma 2 4 2 2 4" xfId="3149" xr:uid="{00000000-0005-0000-0000-0000B9020000}"/>
    <cellStyle name="Comma 2 4 2 3" xfId="1156" xr:uid="{00000000-0005-0000-0000-0000BA020000}"/>
    <cellStyle name="Comma 2 4 2 3 2" xfId="1943" xr:uid="{00000000-0005-0000-0000-0000BB020000}"/>
    <cellStyle name="Comma 2 4 2 3 2 2" xfId="4187" xr:uid="{00000000-0005-0000-0000-0000BC020000}"/>
    <cellStyle name="Comma 2 4 2 3 3" xfId="2667" xr:uid="{00000000-0005-0000-0000-0000BD020000}"/>
    <cellStyle name="Comma 2 4 2 3 3 2" xfId="4911" xr:uid="{00000000-0005-0000-0000-0000BE020000}"/>
    <cellStyle name="Comma 2 4 2 3 4" xfId="3401" xr:uid="{00000000-0005-0000-0000-0000BF020000}"/>
    <cellStyle name="Comma 2 4 2 4" xfId="1371" xr:uid="{00000000-0005-0000-0000-0000C0020000}"/>
    <cellStyle name="Comma 2 4 2 4 2" xfId="3615" xr:uid="{00000000-0005-0000-0000-0000C1020000}"/>
    <cellStyle name="Comma 2 4 2 5" xfId="2157" xr:uid="{00000000-0005-0000-0000-0000C2020000}"/>
    <cellStyle name="Comma 2 4 2 5 2" xfId="4401" xr:uid="{00000000-0005-0000-0000-0000C3020000}"/>
    <cellStyle name="Comma 2 4 2 6" xfId="2881" xr:uid="{00000000-0005-0000-0000-0000C4020000}"/>
    <cellStyle name="Comma 2 4 3" xfId="864" xr:uid="{00000000-0005-0000-0000-0000C5020000}"/>
    <cellStyle name="Comma 2 4 3 2" xfId="1652" xr:uid="{00000000-0005-0000-0000-0000C6020000}"/>
    <cellStyle name="Comma 2 4 3 2 2" xfId="3896" xr:uid="{00000000-0005-0000-0000-0000C7020000}"/>
    <cellStyle name="Comma 2 4 3 3" xfId="2376" xr:uid="{00000000-0005-0000-0000-0000C8020000}"/>
    <cellStyle name="Comma 2 4 3 3 2" xfId="4620" xr:uid="{00000000-0005-0000-0000-0000C9020000}"/>
    <cellStyle name="Comma 2 4 3 4" xfId="3110" xr:uid="{00000000-0005-0000-0000-0000CA020000}"/>
    <cellStyle name="Comma 2 4 4" xfId="1094" xr:uid="{00000000-0005-0000-0000-0000CB020000}"/>
    <cellStyle name="Comma 2 4 4 2" xfId="1881" xr:uid="{00000000-0005-0000-0000-0000CC020000}"/>
    <cellStyle name="Comma 2 4 4 2 2" xfId="4125" xr:uid="{00000000-0005-0000-0000-0000CD020000}"/>
    <cellStyle name="Comma 2 4 4 3" xfId="2605" xr:uid="{00000000-0005-0000-0000-0000CE020000}"/>
    <cellStyle name="Comma 2 4 4 3 2" xfId="4849" xr:uid="{00000000-0005-0000-0000-0000CF020000}"/>
    <cellStyle name="Comma 2 4 4 4" xfId="3339" xr:uid="{00000000-0005-0000-0000-0000D0020000}"/>
    <cellStyle name="Comma 2 4 5" xfId="1116" xr:uid="{00000000-0005-0000-0000-0000D1020000}"/>
    <cellStyle name="Comma 2 4 5 2" xfId="1903" xr:uid="{00000000-0005-0000-0000-0000D2020000}"/>
    <cellStyle name="Comma 2 4 5 2 2" xfId="4147" xr:uid="{00000000-0005-0000-0000-0000D3020000}"/>
    <cellStyle name="Comma 2 4 5 3" xfId="2627" xr:uid="{00000000-0005-0000-0000-0000D4020000}"/>
    <cellStyle name="Comma 2 4 5 3 2" xfId="4871" xr:uid="{00000000-0005-0000-0000-0000D5020000}"/>
    <cellStyle name="Comma 2 4 5 4" xfId="3361" xr:uid="{00000000-0005-0000-0000-0000D6020000}"/>
    <cellStyle name="Comma 2 4 6" xfId="1332" xr:uid="{00000000-0005-0000-0000-0000D7020000}"/>
    <cellStyle name="Comma 2 4 6 2" xfId="3576" xr:uid="{00000000-0005-0000-0000-0000D8020000}"/>
    <cellStyle name="Comma 2 4 7" xfId="2118" xr:uid="{00000000-0005-0000-0000-0000D9020000}"/>
    <cellStyle name="Comma 2 4 7 2" xfId="4362" xr:uid="{00000000-0005-0000-0000-0000DA020000}"/>
    <cellStyle name="Comma 2 4 8" xfId="2842" xr:uid="{00000000-0005-0000-0000-0000DB020000}"/>
    <cellStyle name="Comma 2 4 9" xfId="5084" xr:uid="{00000000-0005-0000-0000-0000DC020000}"/>
    <cellStyle name="Comma 2 5" xfId="92" xr:uid="{00000000-0005-0000-0000-0000DD020000}"/>
    <cellStyle name="Comma 2 5 2" xfId="904" xr:uid="{00000000-0005-0000-0000-0000DE020000}"/>
    <cellStyle name="Comma 2 5 2 2" xfId="1692" xr:uid="{00000000-0005-0000-0000-0000DF020000}"/>
    <cellStyle name="Comma 2 5 2 2 2" xfId="3936" xr:uid="{00000000-0005-0000-0000-0000E0020000}"/>
    <cellStyle name="Comma 2 5 2 3" xfId="2416" xr:uid="{00000000-0005-0000-0000-0000E1020000}"/>
    <cellStyle name="Comma 2 5 2 3 2" xfId="4660" xr:uid="{00000000-0005-0000-0000-0000E2020000}"/>
    <cellStyle name="Comma 2 5 2 4" xfId="3150" xr:uid="{00000000-0005-0000-0000-0000E3020000}"/>
    <cellStyle name="Comma 2 5 3" xfId="1157" xr:uid="{00000000-0005-0000-0000-0000E4020000}"/>
    <cellStyle name="Comma 2 5 3 2" xfId="1944" xr:uid="{00000000-0005-0000-0000-0000E5020000}"/>
    <cellStyle name="Comma 2 5 3 2 2" xfId="4188" xr:uid="{00000000-0005-0000-0000-0000E6020000}"/>
    <cellStyle name="Comma 2 5 3 3" xfId="2668" xr:uid="{00000000-0005-0000-0000-0000E7020000}"/>
    <cellStyle name="Comma 2 5 3 3 2" xfId="4912" xr:uid="{00000000-0005-0000-0000-0000E8020000}"/>
    <cellStyle name="Comma 2 5 3 4" xfId="3402" xr:uid="{00000000-0005-0000-0000-0000E9020000}"/>
    <cellStyle name="Comma 2 5 4" xfId="1372" xr:uid="{00000000-0005-0000-0000-0000EA020000}"/>
    <cellStyle name="Comma 2 5 4 2" xfId="3616" xr:uid="{00000000-0005-0000-0000-0000EB020000}"/>
    <cellStyle name="Comma 2 5 5" xfId="2158" xr:uid="{00000000-0005-0000-0000-0000EC020000}"/>
    <cellStyle name="Comma 2 5 5 2" xfId="4402" xr:uid="{00000000-0005-0000-0000-0000ED020000}"/>
    <cellStyle name="Comma 2 5 6" xfId="2882" xr:uid="{00000000-0005-0000-0000-0000EE020000}"/>
    <cellStyle name="Comma 2 6" xfId="93" xr:uid="{00000000-0005-0000-0000-0000EF020000}"/>
    <cellStyle name="Comma 2 6 2" xfId="905" xr:uid="{00000000-0005-0000-0000-0000F0020000}"/>
    <cellStyle name="Comma 2 6 2 2" xfId="1693" xr:uid="{00000000-0005-0000-0000-0000F1020000}"/>
    <cellStyle name="Comma 2 6 2 2 2" xfId="3937" xr:uid="{00000000-0005-0000-0000-0000F2020000}"/>
    <cellStyle name="Comma 2 6 2 3" xfId="2417" xr:uid="{00000000-0005-0000-0000-0000F3020000}"/>
    <cellStyle name="Comma 2 6 2 3 2" xfId="4661" xr:uid="{00000000-0005-0000-0000-0000F4020000}"/>
    <cellStyle name="Comma 2 6 2 4" xfId="3151" xr:uid="{00000000-0005-0000-0000-0000F5020000}"/>
    <cellStyle name="Comma 2 6 3" xfId="1158" xr:uid="{00000000-0005-0000-0000-0000F6020000}"/>
    <cellStyle name="Comma 2 6 3 2" xfId="1945" xr:uid="{00000000-0005-0000-0000-0000F7020000}"/>
    <cellStyle name="Comma 2 6 3 2 2" xfId="4189" xr:uid="{00000000-0005-0000-0000-0000F8020000}"/>
    <cellStyle name="Comma 2 6 3 3" xfId="2669" xr:uid="{00000000-0005-0000-0000-0000F9020000}"/>
    <cellStyle name="Comma 2 6 3 3 2" xfId="4913" xr:uid="{00000000-0005-0000-0000-0000FA020000}"/>
    <cellStyle name="Comma 2 6 3 4" xfId="3403" xr:uid="{00000000-0005-0000-0000-0000FB020000}"/>
    <cellStyle name="Comma 2 6 4" xfId="1373" xr:uid="{00000000-0005-0000-0000-0000FC020000}"/>
    <cellStyle name="Comma 2 6 4 2" xfId="3617" xr:uid="{00000000-0005-0000-0000-0000FD020000}"/>
    <cellStyle name="Comma 2 6 5" xfId="2159" xr:uid="{00000000-0005-0000-0000-0000FE020000}"/>
    <cellStyle name="Comma 2 6 5 2" xfId="4403" xr:uid="{00000000-0005-0000-0000-0000FF020000}"/>
    <cellStyle name="Comma 2 6 6" xfId="2883" xr:uid="{00000000-0005-0000-0000-000000030000}"/>
    <cellStyle name="Comma 2 7" xfId="94" xr:uid="{00000000-0005-0000-0000-000001030000}"/>
    <cellStyle name="Comma 2 7 2" xfId="906" xr:uid="{00000000-0005-0000-0000-000002030000}"/>
    <cellStyle name="Comma 2 7 2 2" xfId="1694" xr:uid="{00000000-0005-0000-0000-000003030000}"/>
    <cellStyle name="Comma 2 7 2 2 2" xfId="3938" xr:uid="{00000000-0005-0000-0000-000004030000}"/>
    <cellStyle name="Comma 2 7 2 3" xfId="2418" xr:uid="{00000000-0005-0000-0000-000005030000}"/>
    <cellStyle name="Comma 2 7 2 3 2" xfId="4662" xr:uid="{00000000-0005-0000-0000-000006030000}"/>
    <cellStyle name="Comma 2 7 2 4" xfId="3152" xr:uid="{00000000-0005-0000-0000-000007030000}"/>
    <cellStyle name="Comma 2 7 3" xfId="1159" xr:uid="{00000000-0005-0000-0000-000008030000}"/>
    <cellStyle name="Comma 2 7 3 2" xfId="1946" xr:uid="{00000000-0005-0000-0000-000009030000}"/>
    <cellStyle name="Comma 2 7 3 2 2" xfId="4190" xr:uid="{00000000-0005-0000-0000-00000A030000}"/>
    <cellStyle name="Comma 2 7 3 3" xfId="2670" xr:uid="{00000000-0005-0000-0000-00000B030000}"/>
    <cellStyle name="Comma 2 7 3 3 2" xfId="4914" xr:uid="{00000000-0005-0000-0000-00000C030000}"/>
    <cellStyle name="Comma 2 7 3 4" xfId="3404" xr:uid="{00000000-0005-0000-0000-00000D030000}"/>
    <cellStyle name="Comma 2 7 4" xfId="1374" xr:uid="{00000000-0005-0000-0000-00000E030000}"/>
    <cellStyle name="Comma 2 7 4 2" xfId="3618" xr:uid="{00000000-0005-0000-0000-00000F030000}"/>
    <cellStyle name="Comma 2 7 5" xfId="2160" xr:uid="{00000000-0005-0000-0000-000010030000}"/>
    <cellStyle name="Comma 2 7 5 2" xfId="4404" xr:uid="{00000000-0005-0000-0000-000011030000}"/>
    <cellStyle name="Comma 2 7 6" xfId="2884" xr:uid="{00000000-0005-0000-0000-000012030000}"/>
    <cellStyle name="Comma 2 8" xfId="95" xr:uid="{00000000-0005-0000-0000-000013030000}"/>
    <cellStyle name="Comma 2 8 2" xfId="907" xr:uid="{00000000-0005-0000-0000-000014030000}"/>
    <cellStyle name="Comma 2 8 2 2" xfId="1695" xr:uid="{00000000-0005-0000-0000-000015030000}"/>
    <cellStyle name="Comma 2 8 2 2 2" xfId="3939" xr:uid="{00000000-0005-0000-0000-000016030000}"/>
    <cellStyle name="Comma 2 8 2 3" xfId="2419" xr:uid="{00000000-0005-0000-0000-000017030000}"/>
    <cellStyle name="Comma 2 8 2 3 2" xfId="4663" xr:uid="{00000000-0005-0000-0000-000018030000}"/>
    <cellStyle name="Comma 2 8 2 4" xfId="3153" xr:uid="{00000000-0005-0000-0000-000019030000}"/>
    <cellStyle name="Comma 2 8 3" xfId="1160" xr:uid="{00000000-0005-0000-0000-00001A030000}"/>
    <cellStyle name="Comma 2 8 3 2" xfId="1947" xr:uid="{00000000-0005-0000-0000-00001B030000}"/>
    <cellStyle name="Comma 2 8 3 2 2" xfId="4191" xr:uid="{00000000-0005-0000-0000-00001C030000}"/>
    <cellStyle name="Comma 2 8 3 3" xfId="2671" xr:uid="{00000000-0005-0000-0000-00001D030000}"/>
    <cellStyle name="Comma 2 8 3 3 2" xfId="4915" xr:uid="{00000000-0005-0000-0000-00001E030000}"/>
    <cellStyle name="Comma 2 8 3 4" xfId="3405" xr:uid="{00000000-0005-0000-0000-00001F030000}"/>
    <cellStyle name="Comma 2 8 4" xfId="1375" xr:uid="{00000000-0005-0000-0000-000020030000}"/>
    <cellStyle name="Comma 2 8 4 2" xfId="3619" xr:uid="{00000000-0005-0000-0000-000021030000}"/>
    <cellStyle name="Comma 2 8 5" xfId="2161" xr:uid="{00000000-0005-0000-0000-000022030000}"/>
    <cellStyle name="Comma 2 8 5 2" xfId="4405" xr:uid="{00000000-0005-0000-0000-000023030000}"/>
    <cellStyle name="Comma 2 8 6" xfId="2885" xr:uid="{00000000-0005-0000-0000-000024030000}"/>
    <cellStyle name="Comma 2 9" xfId="96" xr:uid="{00000000-0005-0000-0000-000025030000}"/>
    <cellStyle name="Comma 2 9 2" xfId="908" xr:uid="{00000000-0005-0000-0000-000026030000}"/>
    <cellStyle name="Comma 2 9 2 2" xfId="1696" xr:uid="{00000000-0005-0000-0000-000027030000}"/>
    <cellStyle name="Comma 2 9 2 2 2" xfId="3940" xr:uid="{00000000-0005-0000-0000-000028030000}"/>
    <cellStyle name="Comma 2 9 2 3" xfId="2420" xr:uid="{00000000-0005-0000-0000-000029030000}"/>
    <cellStyle name="Comma 2 9 2 3 2" xfId="4664" xr:uid="{00000000-0005-0000-0000-00002A030000}"/>
    <cellStyle name="Comma 2 9 2 4" xfId="3154" xr:uid="{00000000-0005-0000-0000-00002B030000}"/>
    <cellStyle name="Comma 2 9 3" xfId="1161" xr:uid="{00000000-0005-0000-0000-00002C030000}"/>
    <cellStyle name="Comma 2 9 3 2" xfId="1948" xr:uid="{00000000-0005-0000-0000-00002D030000}"/>
    <cellStyle name="Comma 2 9 3 2 2" xfId="4192" xr:uid="{00000000-0005-0000-0000-00002E030000}"/>
    <cellStyle name="Comma 2 9 3 3" xfId="2672" xr:uid="{00000000-0005-0000-0000-00002F030000}"/>
    <cellStyle name="Comma 2 9 3 3 2" xfId="4916" xr:uid="{00000000-0005-0000-0000-000030030000}"/>
    <cellStyle name="Comma 2 9 3 4" xfId="3406" xr:uid="{00000000-0005-0000-0000-000031030000}"/>
    <cellStyle name="Comma 2 9 4" xfId="1376" xr:uid="{00000000-0005-0000-0000-000032030000}"/>
    <cellStyle name="Comma 2 9 4 2" xfId="3620" xr:uid="{00000000-0005-0000-0000-000033030000}"/>
    <cellStyle name="Comma 2 9 5" xfId="2162" xr:uid="{00000000-0005-0000-0000-000034030000}"/>
    <cellStyle name="Comma 2 9 5 2" xfId="4406" xr:uid="{00000000-0005-0000-0000-000035030000}"/>
    <cellStyle name="Comma 2 9 6" xfId="2886" xr:uid="{00000000-0005-0000-0000-000036030000}"/>
    <cellStyle name="Comma 20" xfId="97" xr:uid="{00000000-0005-0000-0000-000037030000}"/>
    <cellStyle name="Comma 20 2" xfId="909" xr:uid="{00000000-0005-0000-0000-000038030000}"/>
    <cellStyle name="Comma 20 2 2" xfId="1697" xr:uid="{00000000-0005-0000-0000-000039030000}"/>
    <cellStyle name="Comma 20 2 2 2" xfId="3941" xr:uid="{00000000-0005-0000-0000-00003A030000}"/>
    <cellStyle name="Comma 20 2 3" xfId="2421" xr:uid="{00000000-0005-0000-0000-00003B030000}"/>
    <cellStyle name="Comma 20 2 3 2" xfId="4665" xr:uid="{00000000-0005-0000-0000-00003C030000}"/>
    <cellStyle name="Comma 20 2 4" xfId="3155" xr:uid="{00000000-0005-0000-0000-00003D030000}"/>
    <cellStyle name="Comma 20 3" xfId="1162" xr:uid="{00000000-0005-0000-0000-00003E030000}"/>
    <cellStyle name="Comma 20 3 2" xfId="1949" xr:uid="{00000000-0005-0000-0000-00003F030000}"/>
    <cellStyle name="Comma 20 3 2 2" xfId="4193" xr:uid="{00000000-0005-0000-0000-000040030000}"/>
    <cellStyle name="Comma 20 3 3" xfId="2673" xr:uid="{00000000-0005-0000-0000-000041030000}"/>
    <cellStyle name="Comma 20 3 3 2" xfId="4917" xr:uid="{00000000-0005-0000-0000-000042030000}"/>
    <cellStyle name="Comma 20 3 4" xfId="3407" xr:uid="{00000000-0005-0000-0000-000043030000}"/>
    <cellStyle name="Comma 20 4" xfId="1377" xr:uid="{00000000-0005-0000-0000-000044030000}"/>
    <cellStyle name="Comma 20 4 2" xfId="3621" xr:uid="{00000000-0005-0000-0000-000045030000}"/>
    <cellStyle name="Comma 20 5" xfId="2163" xr:uid="{00000000-0005-0000-0000-000046030000}"/>
    <cellStyle name="Comma 20 5 2" xfId="4407" xr:uid="{00000000-0005-0000-0000-000047030000}"/>
    <cellStyle name="Comma 20 6" xfId="2887" xr:uid="{00000000-0005-0000-0000-000048030000}"/>
    <cellStyle name="Comma 21" xfId="98" xr:uid="{00000000-0005-0000-0000-000049030000}"/>
    <cellStyle name="Comma 21 2" xfId="910" xr:uid="{00000000-0005-0000-0000-00004A030000}"/>
    <cellStyle name="Comma 21 2 2" xfId="1698" xr:uid="{00000000-0005-0000-0000-00004B030000}"/>
    <cellStyle name="Comma 21 2 2 2" xfId="3942" xr:uid="{00000000-0005-0000-0000-00004C030000}"/>
    <cellStyle name="Comma 21 2 3" xfId="2422" xr:uid="{00000000-0005-0000-0000-00004D030000}"/>
    <cellStyle name="Comma 21 2 3 2" xfId="4666" xr:uid="{00000000-0005-0000-0000-00004E030000}"/>
    <cellStyle name="Comma 21 2 4" xfId="3156" xr:uid="{00000000-0005-0000-0000-00004F030000}"/>
    <cellStyle name="Comma 21 3" xfId="1163" xr:uid="{00000000-0005-0000-0000-000050030000}"/>
    <cellStyle name="Comma 21 3 2" xfId="1950" xr:uid="{00000000-0005-0000-0000-000051030000}"/>
    <cellStyle name="Comma 21 3 2 2" xfId="4194" xr:uid="{00000000-0005-0000-0000-000052030000}"/>
    <cellStyle name="Comma 21 3 3" xfId="2674" xr:uid="{00000000-0005-0000-0000-000053030000}"/>
    <cellStyle name="Comma 21 3 3 2" xfId="4918" xr:uid="{00000000-0005-0000-0000-000054030000}"/>
    <cellStyle name="Comma 21 3 4" xfId="3408" xr:uid="{00000000-0005-0000-0000-000055030000}"/>
    <cellStyle name="Comma 21 4" xfId="1378" xr:uid="{00000000-0005-0000-0000-000056030000}"/>
    <cellStyle name="Comma 21 4 2" xfId="3622" xr:uid="{00000000-0005-0000-0000-000057030000}"/>
    <cellStyle name="Comma 21 5" xfId="2164" xr:uid="{00000000-0005-0000-0000-000058030000}"/>
    <cellStyle name="Comma 21 5 2" xfId="4408" xr:uid="{00000000-0005-0000-0000-000059030000}"/>
    <cellStyle name="Comma 21 6" xfId="2888" xr:uid="{00000000-0005-0000-0000-00005A030000}"/>
    <cellStyle name="Comma 22" xfId="723" xr:uid="{00000000-0005-0000-0000-00005B030000}"/>
    <cellStyle name="Comma 22 2" xfId="1038" xr:uid="{00000000-0005-0000-0000-00005C030000}"/>
    <cellStyle name="Comma 22 2 2" xfId="1826" xr:uid="{00000000-0005-0000-0000-00005D030000}"/>
    <cellStyle name="Comma 22 2 2 2" xfId="4070" xr:uid="{00000000-0005-0000-0000-00005E030000}"/>
    <cellStyle name="Comma 22 2 3" xfId="2550" xr:uid="{00000000-0005-0000-0000-00005F030000}"/>
    <cellStyle name="Comma 22 2 3 2" xfId="4794" xr:uid="{00000000-0005-0000-0000-000060030000}"/>
    <cellStyle name="Comma 22 2 4" xfId="3284" xr:uid="{00000000-0005-0000-0000-000061030000}"/>
    <cellStyle name="Comma 22 3" xfId="1291" xr:uid="{00000000-0005-0000-0000-000062030000}"/>
    <cellStyle name="Comma 22 3 2" xfId="2078" xr:uid="{00000000-0005-0000-0000-000063030000}"/>
    <cellStyle name="Comma 22 3 2 2" xfId="4322" xr:uid="{00000000-0005-0000-0000-000064030000}"/>
    <cellStyle name="Comma 22 3 3" xfId="2801" xr:uid="{00000000-0005-0000-0000-000065030000}"/>
    <cellStyle name="Comma 22 3 3 2" xfId="5045" xr:uid="{00000000-0005-0000-0000-000066030000}"/>
    <cellStyle name="Comma 22 3 4" xfId="3536" xr:uid="{00000000-0005-0000-0000-000067030000}"/>
    <cellStyle name="Comma 22 4" xfId="1558" xr:uid="{00000000-0005-0000-0000-000068030000}"/>
    <cellStyle name="Comma 22 4 2" xfId="3802" xr:uid="{00000000-0005-0000-0000-000069030000}"/>
    <cellStyle name="Comma 22 5" xfId="2336" xr:uid="{00000000-0005-0000-0000-00006A030000}"/>
    <cellStyle name="Comma 22 5 2" xfId="4580" xr:uid="{00000000-0005-0000-0000-00006B030000}"/>
    <cellStyle name="Comma 22 6" xfId="3016" xr:uid="{00000000-0005-0000-0000-00006C030000}"/>
    <cellStyle name="Comma 23" xfId="815" xr:uid="{00000000-0005-0000-0000-00006D030000}"/>
    <cellStyle name="Comma 23 2" xfId="1049" xr:uid="{00000000-0005-0000-0000-00006E030000}"/>
    <cellStyle name="Comma 23 2 2" xfId="1837" xr:uid="{00000000-0005-0000-0000-00006F030000}"/>
    <cellStyle name="Comma 23 2 2 2" xfId="4081" xr:uid="{00000000-0005-0000-0000-000070030000}"/>
    <cellStyle name="Comma 23 2 3" xfId="2561" xr:uid="{00000000-0005-0000-0000-000071030000}"/>
    <cellStyle name="Comma 23 2 3 2" xfId="4805" xr:uid="{00000000-0005-0000-0000-000072030000}"/>
    <cellStyle name="Comma 23 2 4" xfId="3295" xr:uid="{00000000-0005-0000-0000-000073030000}"/>
    <cellStyle name="Comma 23 3" xfId="1303" xr:uid="{00000000-0005-0000-0000-000074030000}"/>
    <cellStyle name="Comma 23 3 2" xfId="2090" xr:uid="{00000000-0005-0000-0000-000075030000}"/>
    <cellStyle name="Comma 23 3 2 2" xfId="4334" xr:uid="{00000000-0005-0000-0000-000076030000}"/>
    <cellStyle name="Comma 23 3 3" xfId="2812" xr:uid="{00000000-0005-0000-0000-000077030000}"/>
    <cellStyle name="Comma 23 3 3 2" xfId="5056" xr:uid="{00000000-0005-0000-0000-000078030000}"/>
    <cellStyle name="Comma 23 3 4" xfId="3548" xr:uid="{00000000-0005-0000-0000-000079030000}"/>
    <cellStyle name="Comma 23 4" xfId="1623" xr:uid="{00000000-0005-0000-0000-00007A030000}"/>
    <cellStyle name="Comma 23 4 2" xfId="3867" xr:uid="{00000000-0005-0000-0000-00007B030000}"/>
    <cellStyle name="Comma 23 5" xfId="2347" xr:uid="{00000000-0005-0000-0000-00007C030000}"/>
    <cellStyle name="Comma 23 5 2" xfId="4591" xr:uid="{00000000-0005-0000-0000-00007D030000}"/>
    <cellStyle name="Comma 23 6" xfId="3081" xr:uid="{00000000-0005-0000-0000-00007E030000}"/>
    <cellStyle name="Comma 24" xfId="99" xr:uid="{00000000-0005-0000-0000-00007F030000}"/>
    <cellStyle name="Comma 24 2" xfId="911" xr:uid="{00000000-0005-0000-0000-000080030000}"/>
    <cellStyle name="Comma 24 2 2" xfId="1699" xr:uid="{00000000-0005-0000-0000-000081030000}"/>
    <cellStyle name="Comma 24 2 2 2" xfId="3943" xr:uid="{00000000-0005-0000-0000-000082030000}"/>
    <cellStyle name="Comma 24 2 3" xfId="2423" xr:uid="{00000000-0005-0000-0000-000083030000}"/>
    <cellStyle name="Comma 24 2 3 2" xfId="4667" xr:uid="{00000000-0005-0000-0000-000084030000}"/>
    <cellStyle name="Comma 24 2 4" xfId="3157" xr:uid="{00000000-0005-0000-0000-000085030000}"/>
    <cellStyle name="Comma 24 3" xfId="1164" xr:uid="{00000000-0005-0000-0000-000086030000}"/>
    <cellStyle name="Comma 24 3 2" xfId="1951" xr:uid="{00000000-0005-0000-0000-000087030000}"/>
    <cellStyle name="Comma 24 3 2 2" xfId="4195" xr:uid="{00000000-0005-0000-0000-000088030000}"/>
    <cellStyle name="Comma 24 3 3" xfId="2675" xr:uid="{00000000-0005-0000-0000-000089030000}"/>
    <cellStyle name="Comma 24 3 3 2" xfId="4919" xr:uid="{00000000-0005-0000-0000-00008A030000}"/>
    <cellStyle name="Comma 24 3 4" xfId="3409" xr:uid="{00000000-0005-0000-0000-00008B030000}"/>
    <cellStyle name="Comma 24 4" xfId="1379" xr:uid="{00000000-0005-0000-0000-00008C030000}"/>
    <cellStyle name="Comma 24 4 2" xfId="3623" xr:uid="{00000000-0005-0000-0000-00008D030000}"/>
    <cellStyle name="Comma 24 5" xfId="2165" xr:uid="{00000000-0005-0000-0000-00008E030000}"/>
    <cellStyle name="Comma 24 5 2" xfId="4409" xr:uid="{00000000-0005-0000-0000-00008F030000}"/>
    <cellStyle name="Comma 24 6" xfId="2889" xr:uid="{00000000-0005-0000-0000-000090030000}"/>
    <cellStyle name="Comma 25" xfId="100" xr:uid="{00000000-0005-0000-0000-000091030000}"/>
    <cellStyle name="Comma 25 2" xfId="912" xr:uid="{00000000-0005-0000-0000-000092030000}"/>
    <cellStyle name="Comma 25 2 2" xfId="1700" xr:uid="{00000000-0005-0000-0000-000093030000}"/>
    <cellStyle name="Comma 25 2 2 2" xfId="3944" xr:uid="{00000000-0005-0000-0000-000094030000}"/>
    <cellStyle name="Comma 25 2 3" xfId="2424" xr:uid="{00000000-0005-0000-0000-000095030000}"/>
    <cellStyle name="Comma 25 2 3 2" xfId="4668" xr:uid="{00000000-0005-0000-0000-000096030000}"/>
    <cellStyle name="Comma 25 2 4" xfId="3158" xr:uid="{00000000-0005-0000-0000-000097030000}"/>
    <cellStyle name="Comma 25 3" xfId="1165" xr:uid="{00000000-0005-0000-0000-000098030000}"/>
    <cellStyle name="Comma 25 3 2" xfId="1952" xr:uid="{00000000-0005-0000-0000-000099030000}"/>
    <cellStyle name="Comma 25 3 2 2" xfId="4196" xr:uid="{00000000-0005-0000-0000-00009A030000}"/>
    <cellStyle name="Comma 25 3 3" xfId="2676" xr:uid="{00000000-0005-0000-0000-00009B030000}"/>
    <cellStyle name="Comma 25 3 3 2" xfId="4920" xr:uid="{00000000-0005-0000-0000-00009C030000}"/>
    <cellStyle name="Comma 25 3 4" xfId="3410" xr:uid="{00000000-0005-0000-0000-00009D030000}"/>
    <cellStyle name="Comma 25 4" xfId="1380" xr:uid="{00000000-0005-0000-0000-00009E030000}"/>
    <cellStyle name="Comma 25 4 2" xfId="3624" xr:uid="{00000000-0005-0000-0000-00009F030000}"/>
    <cellStyle name="Comma 25 5" xfId="2166" xr:uid="{00000000-0005-0000-0000-0000A0030000}"/>
    <cellStyle name="Comma 25 5 2" xfId="4410" xr:uid="{00000000-0005-0000-0000-0000A1030000}"/>
    <cellStyle name="Comma 25 6" xfId="2890" xr:uid="{00000000-0005-0000-0000-0000A2030000}"/>
    <cellStyle name="Comma 26" xfId="2" xr:uid="{00000000-0005-0000-0000-0000A3030000}"/>
    <cellStyle name="Comma 26 10" xfId="2108" xr:uid="{00000000-0005-0000-0000-0000A4030000}"/>
    <cellStyle name="Comma 26 10 2" xfId="4352" xr:uid="{00000000-0005-0000-0000-0000A5030000}"/>
    <cellStyle name="Comma 26 11" xfId="2832" xr:uid="{00000000-0005-0000-0000-0000A6030000}"/>
    <cellStyle name="Comma 26 12" xfId="5074" xr:uid="{00000000-0005-0000-0000-0000A7030000}"/>
    <cellStyle name="Comma 26 2" xfId="5" xr:uid="{00000000-0005-0000-0000-0000A8030000}"/>
    <cellStyle name="Comma 26 2 10" xfId="2833" xr:uid="{00000000-0005-0000-0000-0000A9030000}"/>
    <cellStyle name="Comma 26 2 11" xfId="5075" xr:uid="{00000000-0005-0000-0000-0000AA030000}"/>
    <cellStyle name="Comma 26 2 2" xfId="10" xr:uid="{00000000-0005-0000-0000-0000AB030000}"/>
    <cellStyle name="Comma 26 2 2 10" xfId="5079" xr:uid="{00000000-0005-0000-0000-0000AC030000}"/>
    <cellStyle name="Comma 26 2 2 2" xfId="20" xr:uid="{00000000-0005-0000-0000-0000AD030000}"/>
    <cellStyle name="Comma 26 2 2 2 2" xfId="867" xr:uid="{00000000-0005-0000-0000-0000AE030000}"/>
    <cellStyle name="Comma 26 2 2 2 2 2" xfId="1655" xr:uid="{00000000-0005-0000-0000-0000AF030000}"/>
    <cellStyle name="Comma 26 2 2 2 2 2 2" xfId="3899" xr:uid="{00000000-0005-0000-0000-0000B0030000}"/>
    <cellStyle name="Comma 26 2 2 2 2 3" xfId="2379" xr:uid="{00000000-0005-0000-0000-0000B1030000}"/>
    <cellStyle name="Comma 26 2 2 2 2 3 2" xfId="4623" xr:uid="{00000000-0005-0000-0000-0000B2030000}"/>
    <cellStyle name="Comma 26 2 2 2 2 4" xfId="3113" xr:uid="{00000000-0005-0000-0000-0000B3030000}"/>
    <cellStyle name="Comma 26 2 2 2 3" xfId="1097" xr:uid="{00000000-0005-0000-0000-0000B4030000}"/>
    <cellStyle name="Comma 26 2 2 2 3 2" xfId="1884" xr:uid="{00000000-0005-0000-0000-0000B5030000}"/>
    <cellStyle name="Comma 26 2 2 2 3 2 2" xfId="4128" xr:uid="{00000000-0005-0000-0000-0000B6030000}"/>
    <cellStyle name="Comma 26 2 2 2 3 3" xfId="2608" xr:uid="{00000000-0005-0000-0000-0000B7030000}"/>
    <cellStyle name="Comma 26 2 2 2 3 3 2" xfId="4852" xr:uid="{00000000-0005-0000-0000-0000B8030000}"/>
    <cellStyle name="Comma 26 2 2 2 3 4" xfId="3342" xr:uid="{00000000-0005-0000-0000-0000B9030000}"/>
    <cellStyle name="Comma 26 2 2 2 4" xfId="1119" xr:uid="{00000000-0005-0000-0000-0000BA030000}"/>
    <cellStyle name="Comma 26 2 2 2 4 2" xfId="1906" xr:uid="{00000000-0005-0000-0000-0000BB030000}"/>
    <cellStyle name="Comma 26 2 2 2 4 2 2" xfId="4150" xr:uid="{00000000-0005-0000-0000-0000BC030000}"/>
    <cellStyle name="Comma 26 2 2 2 4 3" xfId="2630" xr:uid="{00000000-0005-0000-0000-0000BD030000}"/>
    <cellStyle name="Comma 26 2 2 2 4 3 2" xfId="4874" xr:uid="{00000000-0005-0000-0000-0000BE030000}"/>
    <cellStyle name="Comma 26 2 2 2 4 4" xfId="3364" xr:uid="{00000000-0005-0000-0000-0000BF030000}"/>
    <cellStyle name="Comma 26 2 2 2 5" xfId="1335" xr:uid="{00000000-0005-0000-0000-0000C0030000}"/>
    <cellStyle name="Comma 26 2 2 2 5 2" xfId="3579" xr:uid="{00000000-0005-0000-0000-0000C1030000}"/>
    <cellStyle name="Comma 26 2 2 2 6" xfId="2121" xr:uid="{00000000-0005-0000-0000-0000C2030000}"/>
    <cellStyle name="Comma 26 2 2 2 6 2" xfId="4365" xr:uid="{00000000-0005-0000-0000-0000C3030000}"/>
    <cellStyle name="Comma 26 2 2 2 7" xfId="2845" xr:uid="{00000000-0005-0000-0000-0000C4030000}"/>
    <cellStyle name="Comma 26 2 2 2 8" xfId="5087" xr:uid="{00000000-0005-0000-0000-0000C5030000}"/>
    <cellStyle name="Comma 26 2 2 3" xfId="858" xr:uid="{00000000-0005-0000-0000-0000C6030000}"/>
    <cellStyle name="Comma 26 2 2 3 2" xfId="1646" xr:uid="{00000000-0005-0000-0000-0000C7030000}"/>
    <cellStyle name="Comma 26 2 2 3 2 2" xfId="3890" xr:uid="{00000000-0005-0000-0000-0000C8030000}"/>
    <cellStyle name="Comma 26 2 2 3 3" xfId="2370" xr:uid="{00000000-0005-0000-0000-0000C9030000}"/>
    <cellStyle name="Comma 26 2 2 3 3 2" xfId="4614" xr:uid="{00000000-0005-0000-0000-0000CA030000}"/>
    <cellStyle name="Comma 26 2 2 3 4" xfId="3104" xr:uid="{00000000-0005-0000-0000-0000CB030000}"/>
    <cellStyle name="Comma 26 2 2 4" xfId="1075" xr:uid="{00000000-0005-0000-0000-0000CC030000}"/>
    <cellStyle name="Comma 26 2 2 4 2" xfId="1862" xr:uid="{00000000-0005-0000-0000-0000CD030000}"/>
    <cellStyle name="Comma 26 2 2 4 2 2" xfId="4106" xr:uid="{00000000-0005-0000-0000-0000CE030000}"/>
    <cellStyle name="Comma 26 2 2 4 3" xfId="2586" xr:uid="{00000000-0005-0000-0000-0000CF030000}"/>
    <cellStyle name="Comma 26 2 2 4 3 2" xfId="4830" xr:uid="{00000000-0005-0000-0000-0000D0030000}"/>
    <cellStyle name="Comma 26 2 2 4 4" xfId="3320" xr:uid="{00000000-0005-0000-0000-0000D1030000}"/>
    <cellStyle name="Comma 26 2 2 5" xfId="1089" xr:uid="{00000000-0005-0000-0000-0000D2030000}"/>
    <cellStyle name="Comma 26 2 2 5 2" xfId="1876" xr:uid="{00000000-0005-0000-0000-0000D3030000}"/>
    <cellStyle name="Comma 26 2 2 5 2 2" xfId="4120" xr:uid="{00000000-0005-0000-0000-0000D4030000}"/>
    <cellStyle name="Comma 26 2 2 5 3" xfId="2600" xr:uid="{00000000-0005-0000-0000-0000D5030000}"/>
    <cellStyle name="Comma 26 2 2 5 3 2" xfId="4844" xr:uid="{00000000-0005-0000-0000-0000D6030000}"/>
    <cellStyle name="Comma 26 2 2 5 4" xfId="3334" xr:uid="{00000000-0005-0000-0000-0000D7030000}"/>
    <cellStyle name="Comma 26 2 2 6" xfId="1110" xr:uid="{00000000-0005-0000-0000-0000D8030000}"/>
    <cellStyle name="Comma 26 2 2 6 2" xfId="1897" xr:uid="{00000000-0005-0000-0000-0000D9030000}"/>
    <cellStyle name="Comma 26 2 2 6 2 2" xfId="4141" xr:uid="{00000000-0005-0000-0000-0000DA030000}"/>
    <cellStyle name="Comma 26 2 2 6 3" xfId="2621" xr:uid="{00000000-0005-0000-0000-0000DB030000}"/>
    <cellStyle name="Comma 26 2 2 6 3 2" xfId="4865" xr:uid="{00000000-0005-0000-0000-0000DC030000}"/>
    <cellStyle name="Comma 26 2 2 6 4" xfId="3355" xr:uid="{00000000-0005-0000-0000-0000DD030000}"/>
    <cellStyle name="Comma 26 2 2 7" xfId="1327" xr:uid="{00000000-0005-0000-0000-0000DE030000}"/>
    <cellStyle name="Comma 26 2 2 7 2" xfId="3571" xr:uid="{00000000-0005-0000-0000-0000DF030000}"/>
    <cellStyle name="Comma 26 2 2 8" xfId="2113" xr:uid="{00000000-0005-0000-0000-0000E0030000}"/>
    <cellStyle name="Comma 26 2 2 8 2" xfId="4357" xr:uid="{00000000-0005-0000-0000-0000E1030000}"/>
    <cellStyle name="Comma 26 2 2 9" xfId="2837" xr:uid="{00000000-0005-0000-0000-0000E2030000}"/>
    <cellStyle name="Comma 26 2 3" xfId="16" xr:uid="{00000000-0005-0000-0000-0000E3030000}"/>
    <cellStyle name="Comma 26 2 3 2" xfId="863" xr:uid="{00000000-0005-0000-0000-0000E4030000}"/>
    <cellStyle name="Comma 26 2 3 2 2" xfId="1651" xr:uid="{00000000-0005-0000-0000-0000E5030000}"/>
    <cellStyle name="Comma 26 2 3 2 2 2" xfId="3895" xr:uid="{00000000-0005-0000-0000-0000E6030000}"/>
    <cellStyle name="Comma 26 2 3 2 3" xfId="2375" xr:uid="{00000000-0005-0000-0000-0000E7030000}"/>
    <cellStyle name="Comma 26 2 3 2 3 2" xfId="4619" xr:uid="{00000000-0005-0000-0000-0000E8030000}"/>
    <cellStyle name="Comma 26 2 3 2 4" xfId="3109" xr:uid="{00000000-0005-0000-0000-0000E9030000}"/>
    <cellStyle name="Comma 26 2 3 3" xfId="1093" xr:uid="{00000000-0005-0000-0000-0000EA030000}"/>
    <cellStyle name="Comma 26 2 3 3 2" xfId="1880" xr:uid="{00000000-0005-0000-0000-0000EB030000}"/>
    <cellStyle name="Comma 26 2 3 3 2 2" xfId="4124" xr:uid="{00000000-0005-0000-0000-0000EC030000}"/>
    <cellStyle name="Comma 26 2 3 3 3" xfId="2604" xr:uid="{00000000-0005-0000-0000-0000ED030000}"/>
    <cellStyle name="Comma 26 2 3 3 3 2" xfId="4848" xr:uid="{00000000-0005-0000-0000-0000EE030000}"/>
    <cellStyle name="Comma 26 2 3 3 4" xfId="3338" xr:uid="{00000000-0005-0000-0000-0000EF030000}"/>
    <cellStyle name="Comma 26 2 3 4" xfId="1115" xr:uid="{00000000-0005-0000-0000-0000F0030000}"/>
    <cellStyle name="Comma 26 2 3 4 2" xfId="1902" xr:uid="{00000000-0005-0000-0000-0000F1030000}"/>
    <cellStyle name="Comma 26 2 3 4 2 2" xfId="4146" xr:uid="{00000000-0005-0000-0000-0000F2030000}"/>
    <cellStyle name="Comma 26 2 3 4 3" xfId="2626" xr:uid="{00000000-0005-0000-0000-0000F3030000}"/>
    <cellStyle name="Comma 26 2 3 4 3 2" xfId="4870" xr:uid="{00000000-0005-0000-0000-0000F4030000}"/>
    <cellStyle name="Comma 26 2 3 4 4" xfId="3360" xr:uid="{00000000-0005-0000-0000-0000F5030000}"/>
    <cellStyle name="Comma 26 2 3 5" xfId="1331" xr:uid="{00000000-0005-0000-0000-0000F6030000}"/>
    <cellStyle name="Comma 26 2 3 5 2" xfId="3575" xr:uid="{00000000-0005-0000-0000-0000F7030000}"/>
    <cellStyle name="Comma 26 2 3 6" xfId="2117" xr:uid="{00000000-0005-0000-0000-0000F8030000}"/>
    <cellStyle name="Comma 26 2 3 6 2" xfId="4361" xr:uid="{00000000-0005-0000-0000-0000F9030000}"/>
    <cellStyle name="Comma 26 2 3 7" xfId="2841" xr:uid="{00000000-0005-0000-0000-0000FA030000}"/>
    <cellStyle name="Comma 26 2 3 8" xfId="5083" xr:uid="{00000000-0005-0000-0000-0000FB030000}"/>
    <cellStyle name="Comma 26 2 4" xfId="854" xr:uid="{00000000-0005-0000-0000-0000FC030000}"/>
    <cellStyle name="Comma 26 2 4 2" xfId="1642" xr:uid="{00000000-0005-0000-0000-0000FD030000}"/>
    <cellStyle name="Comma 26 2 4 2 2" xfId="3886" xr:uid="{00000000-0005-0000-0000-0000FE030000}"/>
    <cellStyle name="Comma 26 2 4 3" xfId="2366" xr:uid="{00000000-0005-0000-0000-0000FF030000}"/>
    <cellStyle name="Comma 26 2 4 3 2" xfId="4610" xr:uid="{00000000-0005-0000-0000-000000040000}"/>
    <cellStyle name="Comma 26 2 4 4" xfId="3100" xr:uid="{00000000-0005-0000-0000-000001040000}"/>
    <cellStyle name="Comma 26 2 5" xfId="1071" xr:uid="{00000000-0005-0000-0000-000002040000}"/>
    <cellStyle name="Comma 26 2 5 2" xfId="1858" xr:uid="{00000000-0005-0000-0000-000003040000}"/>
    <cellStyle name="Comma 26 2 5 2 2" xfId="4102" xr:uid="{00000000-0005-0000-0000-000004040000}"/>
    <cellStyle name="Comma 26 2 5 3" xfId="2582" xr:uid="{00000000-0005-0000-0000-000005040000}"/>
    <cellStyle name="Comma 26 2 5 3 2" xfId="4826" xr:uid="{00000000-0005-0000-0000-000006040000}"/>
    <cellStyle name="Comma 26 2 5 4" xfId="3316" xr:uid="{00000000-0005-0000-0000-000007040000}"/>
    <cellStyle name="Comma 26 2 6" xfId="1085" xr:uid="{00000000-0005-0000-0000-000008040000}"/>
    <cellStyle name="Comma 26 2 6 2" xfId="1872" xr:uid="{00000000-0005-0000-0000-000009040000}"/>
    <cellStyle name="Comma 26 2 6 2 2" xfId="4116" xr:uid="{00000000-0005-0000-0000-00000A040000}"/>
    <cellStyle name="Comma 26 2 6 3" xfId="2596" xr:uid="{00000000-0005-0000-0000-00000B040000}"/>
    <cellStyle name="Comma 26 2 6 3 2" xfId="4840" xr:uid="{00000000-0005-0000-0000-00000C040000}"/>
    <cellStyle name="Comma 26 2 6 4" xfId="3330" xr:uid="{00000000-0005-0000-0000-00000D040000}"/>
    <cellStyle name="Comma 26 2 7" xfId="1106" xr:uid="{00000000-0005-0000-0000-00000E040000}"/>
    <cellStyle name="Comma 26 2 7 2" xfId="1893" xr:uid="{00000000-0005-0000-0000-00000F040000}"/>
    <cellStyle name="Comma 26 2 7 2 2" xfId="4137" xr:uid="{00000000-0005-0000-0000-000010040000}"/>
    <cellStyle name="Comma 26 2 7 3" xfId="2617" xr:uid="{00000000-0005-0000-0000-000011040000}"/>
    <cellStyle name="Comma 26 2 7 3 2" xfId="4861" xr:uid="{00000000-0005-0000-0000-000012040000}"/>
    <cellStyle name="Comma 26 2 7 4" xfId="3351" xr:uid="{00000000-0005-0000-0000-000013040000}"/>
    <cellStyle name="Comma 26 2 8" xfId="1323" xr:uid="{00000000-0005-0000-0000-000014040000}"/>
    <cellStyle name="Comma 26 2 8 2" xfId="3567" xr:uid="{00000000-0005-0000-0000-000015040000}"/>
    <cellStyle name="Comma 26 2 9" xfId="2109" xr:uid="{00000000-0005-0000-0000-000016040000}"/>
    <cellStyle name="Comma 26 2 9 2" xfId="4353" xr:uid="{00000000-0005-0000-0000-000017040000}"/>
    <cellStyle name="Comma 26 3" xfId="8" xr:uid="{00000000-0005-0000-0000-000018040000}"/>
    <cellStyle name="Comma 26 3 10" xfId="5077" xr:uid="{00000000-0005-0000-0000-000019040000}"/>
    <cellStyle name="Comma 26 3 2" xfId="18" xr:uid="{00000000-0005-0000-0000-00001A040000}"/>
    <cellStyle name="Comma 26 3 2 2" xfId="865" xr:uid="{00000000-0005-0000-0000-00001B040000}"/>
    <cellStyle name="Comma 26 3 2 2 2" xfId="1653" xr:uid="{00000000-0005-0000-0000-00001C040000}"/>
    <cellStyle name="Comma 26 3 2 2 2 2" xfId="3897" xr:uid="{00000000-0005-0000-0000-00001D040000}"/>
    <cellStyle name="Comma 26 3 2 2 3" xfId="2377" xr:uid="{00000000-0005-0000-0000-00001E040000}"/>
    <cellStyle name="Comma 26 3 2 2 3 2" xfId="4621" xr:uid="{00000000-0005-0000-0000-00001F040000}"/>
    <cellStyle name="Comma 26 3 2 2 4" xfId="3111" xr:uid="{00000000-0005-0000-0000-000020040000}"/>
    <cellStyle name="Comma 26 3 2 3" xfId="1095" xr:uid="{00000000-0005-0000-0000-000021040000}"/>
    <cellStyle name="Comma 26 3 2 3 2" xfId="1882" xr:uid="{00000000-0005-0000-0000-000022040000}"/>
    <cellStyle name="Comma 26 3 2 3 2 2" xfId="4126" xr:uid="{00000000-0005-0000-0000-000023040000}"/>
    <cellStyle name="Comma 26 3 2 3 3" xfId="2606" xr:uid="{00000000-0005-0000-0000-000024040000}"/>
    <cellStyle name="Comma 26 3 2 3 3 2" xfId="4850" xr:uid="{00000000-0005-0000-0000-000025040000}"/>
    <cellStyle name="Comma 26 3 2 3 4" xfId="3340" xr:uid="{00000000-0005-0000-0000-000026040000}"/>
    <cellStyle name="Comma 26 3 2 4" xfId="1117" xr:uid="{00000000-0005-0000-0000-000027040000}"/>
    <cellStyle name="Comma 26 3 2 4 2" xfId="1904" xr:uid="{00000000-0005-0000-0000-000028040000}"/>
    <cellStyle name="Comma 26 3 2 4 2 2" xfId="4148" xr:uid="{00000000-0005-0000-0000-000029040000}"/>
    <cellStyle name="Comma 26 3 2 4 3" xfId="2628" xr:uid="{00000000-0005-0000-0000-00002A040000}"/>
    <cellStyle name="Comma 26 3 2 4 3 2" xfId="4872" xr:uid="{00000000-0005-0000-0000-00002B040000}"/>
    <cellStyle name="Comma 26 3 2 4 4" xfId="3362" xr:uid="{00000000-0005-0000-0000-00002C040000}"/>
    <cellStyle name="Comma 26 3 2 5" xfId="1333" xr:uid="{00000000-0005-0000-0000-00002D040000}"/>
    <cellStyle name="Comma 26 3 2 5 2" xfId="3577" xr:uid="{00000000-0005-0000-0000-00002E040000}"/>
    <cellStyle name="Comma 26 3 2 6" xfId="2119" xr:uid="{00000000-0005-0000-0000-00002F040000}"/>
    <cellStyle name="Comma 26 3 2 6 2" xfId="4363" xr:uid="{00000000-0005-0000-0000-000030040000}"/>
    <cellStyle name="Comma 26 3 2 7" xfId="2843" xr:uid="{00000000-0005-0000-0000-000031040000}"/>
    <cellStyle name="Comma 26 3 2 8" xfId="5085" xr:uid="{00000000-0005-0000-0000-000032040000}"/>
    <cellStyle name="Comma 26 3 3" xfId="856" xr:uid="{00000000-0005-0000-0000-000033040000}"/>
    <cellStyle name="Comma 26 3 3 2" xfId="1644" xr:uid="{00000000-0005-0000-0000-000034040000}"/>
    <cellStyle name="Comma 26 3 3 2 2" xfId="3888" xr:uid="{00000000-0005-0000-0000-000035040000}"/>
    <cellStyle name="Comma 26 3 3 3" xfId="2368" xr:uid="{00000000-0005-0000-0000-000036040000}"/>
    <cellStyle name="Comma 26 3 3 3 2" xfId="4612" xr:uid="{00000000-0005-0000-0000-000037040000}"/>
    <cellStyle name="Comma 26 3 3 4" xfId="3102" xr:uid="{00000000-0005-0000-0000-000038040000}"/>
    <cellStyle name="Comma 26 3 4" xfId="1073" xr:uid="{00000000-0005-0000-0000-000039040000}"/>
    <cellStyle name="Comma 26 3 4 2" xfId="1860" xr:uid="{00000000-0005-0000-0000-00003A040000}"/>
    <cellStyle name="Comma 26 3 4 2 2" xfId="4104" xr:uid="{00000000-0005-0000-0000-00003B040000}"/>
    <cellStyle name="Comma 26 3 4 3" xfId="2584" xr:uid="{00000000-0005-0000-0000-00003C040000}"/>
    <cellStyle name="Comma 26 3 4 3 2" xfId="4828" xr:uid="{00000000-0005-0000-0000-00003D040000}"/>
    <cellStyle name="Comma 26 3 4 4" xfId="3318" xr:uid="{00000000-0005-0000-0000-00003E040000}"/>
    <cellStyle name="Comma 26 3 5" xfId="1087" xr:uid="{00000000-0005-0000-0000-00003F040000}"/>
    <cellStyle name="Comma 26 3 5 2" xfId="1874" xr:uid="{00000000-0005-0000-0000-000040040000}"/>
    <cellStyle name="Comma 26 3 5 2 2" xfId="4118" xr:uid="{00000000-0005-0000-0000-000041040000}"/>
    <cellStyle name="Comma 26 3 5 3" xfId="2598" xr:uid="{00000000-0005-0000-0000-000042040000}"/>
    <cellStyle name="Comma 26 3 5 3 2" xfId="4842" xr:uid="{00000000-0005-0000-0000-000043040000}"/>
    <cellStyle name="Comma 26 3 5 4" xfId="3332" xr:uid="{00000000-0005-0000-0000-000044040000}"/>
    <cellStyle name="Comma 26 3 6" xfId="1108" xr:uid="{00000000-0005-0000-0000-000045040000}"/>
    <cellStyle name="Comma 26 3 6 2" xfId="1895" xr:uid="{00000000-0005-0000-0000-000046040000}"/>
    <cellStyle name="Comma 26 3 6 2 2" xfId="4139" xr:uid="{00000000-0005-0000-0000-000047040000}"/>
    <cellStyle name="Comma 26 3 6 3" xfId="2619" xr:uid="{00000000-0005-0000-0000-000048040000}"/>
    <cellStyle name="Comma 26 3 6 3 2" xfId="4863" xr:uid="{00000000-0005-0000-0000-000049040000}"/>
    <cellStyle name="Comma 26 3 6 4" xfId="3353" xr:uid="{00000000-0005-0000-0000-00004A040000}"/>
    <cellStyle name="Comma 26 3 7" xfId="1325" xr:uid="{00000000-0005-0000-0000-00004B040000}"/>
    <cellStyle name="Comma 26 3 7 2" xfId="3569" xr:uid="{00000000-0005-0000-0000-00004C040000}"/>
    <cellStyle name="Comma 26 3 8" xfId="2111" xr:uid="{00000000-0005-0000-0000-00004D040000}"/>
    <cellStyle name="Comma 26 3 8 2" xfId="4355" xr:uid="{00000000-0005-0000-0000-00004E040000}"/>
    <cellStyle name="Comma 26 3 9" xfId="2835" xr:uid="{00000000-0005-0000-0000-00004F040000}"/>
    <cellStyle name="Comma 26 4" xfId="15" xr:uid="{00000000-0005-0000-0000-000050040000}"/>
    <cellStyle name="Comma 26 4 2" xfId="862" xr:uid="{00000000-0005-0000-0000-000051040000}"/>
    <cellStyle name="Comma 26 4 2 2" xfId="1650" xr:uid="{00000000-0005-0000-0000-000052040000}"/>
    <cellStyle name="Comma 26 4 2 2 2" xfId="3894" xr:uid="{00000000-0005-0000-0000-000053040000}"/>
    <cellStyle name="Comma 26 4 2 3" xfId="2374" xr:uid="{00000000-0005-0000-0000-000054040000}"/>
    <cellStyle name="Comma 26 4 2 3 2" xfId="4618" xr:uid="{00000000-0005-0000-0000-000055040000}"/>
    <cellStyle name="Comma 26 4 2 4" xfId="3108" xr:uid="{00000000-0005-0000-0000-000056040000}"/>
    <cellStyle name="Comma 26 4 3" xfId="1092" xr:uid="{00000000-0005-0000-0000-000057040000}"/>
    <cellStyle name="Comma 26 4 3 2" xfId="1879" xr:uid="{00000000-0005-0000-0000-000058040000}"/>
    <cellStyle name="Comma 26 4 3 2 2" xfId="4123" xr:uid="{00000000-0005-0000-0000-000059040000}"/>
    <cellStyle name="Comma 26 4 3 3" xfId="2603" xr:uid="{00000000-0005-0000-0000-00005A040000}"/>
    <cellStyle name="Comma 26 4 3 3 2" xfId="4847" xr:uid="{00000000-0005-0000-0000-00005B040000}"/>
    <cellStyle name="Comma 26 4 3 4" xfId="3337" xr:uid="{00000000-0005-0000-0000-00005C040000}"/>
    <cellStyle name="Comma 26 4 4" xfId="1114" xr:uid="{00000000-0005-0000-0000-00005D040000}"/>
    <cellStyle name="Comma 26 4 4 2" xfId="1901" xr:uid="{00000000-0005-0000-0000-00005E040000}"/>
    <cellStyle name="Comma 26 4 4 2 2" xfId="4145" xr:uid="{00000000-0005-0000-0000-00005F040000}"/>
    <cellStyle name="Comma 26 4 4 3" xfId="2625" xr:uid="{00000000-0005-0000-0000-000060040000}"/>
    <cellStyle name="Comma 26 4 4 3 2" xfId="4869" xr:uid="{00000000-0005-0000-0000-000061040000}"/>
    <cellStyle name="Comma 26 4 4 4" xfId="3359" xr:uid="{00000000-0005-0000-0000-000062040000}"/>
    <cellStyle name="Comma 26 4 5" xfId="1330" xr:uid="{00000000-0005-0000-0000-000063040000}"/>
    <cellStyle name="Comma 26 4 5 2" xfId="3574" xr:uid="{00000000-0005-0000-0000-000064040000}"/>
    <cellStyle name="Comma 26 4 6" xfId="2116" xr:uid="{00000000-0005-0000-0000-000065040000}"/>
    <cellStyle name="Comma 26 4 6 2" xfId="4360" xr:uid="{00000000-0005-0000-0000-000066040000}"/>
    <cellStyle name="Comma 26 4 7" xfId="2840" xr:uid="{00000000-0005-0000-0000-000067040000}"/>
    <cellStyle name="Comma 26 4 8" xfId="5082" xr:uid="{00000000-0005-0000-0000-000068040000}"/>
    <cellStyle name="Comma 26 5" xfId="853" xr:uid="{00000000-0005-0000-0000-000069040000}"/>
    <cellStyle name="Comma 26 5 2" xfId="1641" xr:uid="{00000000-0005-0000-0000-00006A040000}"/>
    <cellStyle name="Comma 26 5 2 2" xfId="3885" xr:uid="{00000000-0005-0000-0000-00006B040000}"/>
    <cellStyle name="Comma 26 5 3" xfId="2365" xr:uid="{00000000-0005-0000-0000-00006C040000}"/>
    <cellStyle name="Comma 26 5 3 2" xfId="4609" xr:uid="{00000000-0005-0000-0000-00006D040000}"/>
    <cellStyle name="Comma 26 5 4" xfId="3099" xr:uid="{00000000-0005-0000-0000-00006E040000}"/>
    <cellStyle name="Comma 26 6" xfId="1070" xr:uid="{00000000-0005-0000-0000-00006F040000}"/>
    <cellStyle name="Comma 26 6 2" xfId="1857" xr:uid="{00000000-0005-0000-0000-000070040000}"/>
    <cellStyle name="Comma 26 6 2 2" xfId="4101" xr:uid="{00000000-0005-0000-0000-000071040000}"/>
    <cellStyle name="Comma 26 6 3" xfId="2581" xr:uid="{00000000-0005-0000-0000-000072040000}"/>
    <cellStyle name="Comma 26 6 3 2" xfId="4825" xr:uid="{00000000-0005-0000-0000-000073040000}"/>
    <cellStyle name="Comma 26 6 4" xfId="3315" xr:uid="{00000000-0005-0000-0000-000074040000}"/>
    <cellStyle name="Comma 26 7" xfId="1083" xr:uid="{00000000-0005-0000-0000-000075040000}"/>
    <cellStyle name="Comma 26 7 2" xfId="1870" xr:uid="{00000000-0005-0000-0000-000076040000}"/>
    <cellStyle name="Comma 26 7 2 2" xfId="4114" xr:uid="{00000000-0005-0000-0000-000077040000}"/>
    <cellStyle name="Comma 26 7 3" xfId="2594" xr:uid="{00000000-0005-0000-0000-000078040000}"/>
    <cellStyle name="Comma 26 7 3 2" xfId="4838" xr:uid="{00000000-0005-0000-0000-000079040000}"/>
    <cellStyle name="Comma 26 7 4" xfId="3328" xr:uid="{00000000-0005-0000-0000-00007A040000}"/>
    <cellStyle name="Comma 26 8" xfId="1104" xr:uid="{00000000-0005-0000-0000-00007B040000}"/>
    <cellStyle name="Comma 26 8 2" xfId="1891" xr:uid="{00000000-0005-0000-0000-00007C040000}"/>
    <cellStyle name="Comma 26 8 2 2" xfId="4135" xr:uid="{00000000-0005-0000-0000-00007D040000}"/>
    <cellStyle name="Comma 26 8 3" xfId="2615" xr:uid="{00000000-0005-0000-0000-00007E040000}"/>
    <cellStyle name="Comma 26 8 3 2" xfId="4859" xr:uid="{00000000-0005-0000-0000-00007F040000}"/>
    <cellStyle name="Comma 26 8 4" xfId="3349" xr:uid="{00000000-0005-0000-0000-000080040000}"/>
    <cellStyle name="Comma 26 9" xfId="1322" xr:uid="{00000000-0005-0000-0000-000081040000}"/>
    <cellStyle name="Comma 26 9 2" xfId="3566" xr:uid="{00000000-0005-0000-0000-000082040000}"/>
    <cellStyle name="Comma 27" xfId="724" xr:uid="{00000000-0005-0000-0000-000083040000}"/>
    <cellStyle name="Comma 27 2" xfId="1039" xr:uid="{00000000-0005-0000-0000-000084040000}"/>
    <cellStyle name="Comma 27 2 2" xfId="1827" xr:uid="{00000000-0005-0000-0000-000085040000}"/>
    <cellStyle name="Comma 27 2 2 2" xfId="4071" xr:uid="{00000000-0005-0000-0000-000086040000}"/>
    <cellStyle name="Comma 27 2 3" xfId="2551" xr:uid="{00000000-0005-0000-0000-000087040000}"/>
    <cellStyle name="Comma 27 2 3 2" xfId="4795" xr:uid="{00000000-0005-0000-0000-000088040000}"/>
    <cellStyle name="Comma 27 2 4" xfId="3285" xr:uid="{00000000-0005-0000-0000-000089040000}"/>
    <cellStyle name="Comma 27 3" xfId="1292" xr:uid="{00000000-0005-0000-0000-00008A040000}"/>
    <cellStyle name="Comma 27 3 2" xfId="2079" xr:uid="{00000000-0005-0000-0000-00008B040000}"/>
    <cellStyle name="Comma 27 3 2 2" xfId="4323" xr:uid="{00000000-0005-0000-0000-00008C040000}"/>
    <cellStyle name="Comma 27 3 3" xfId="2802" xr:uid="{00000000-0005-0000-0000-00008D040000}"/>
    <cellStyle name="Comma 27 3 3 2" xfId="5046" xr:uid="{00000000-0005-0000-0000-00008E040000}"/>
    <cellStyle name="Comma 27 3 4" xfId="3537" xr:uid="{00000000-0005-0000-0000-00008F040000}"/>
    <cellStyle name="Comma 27 4" xfId="1559" xr:uid="{00000000-0005-0000-0000-000090040000}"/>
    <cellStyle name="Comma 27 4 2" xfId="3803" xr:uid="{00000000-0005-0000-0000-000091040000}"/>
    <cellStyle name="Comma 27 5" xfId="2337" xr:uid="{00000000-0005-0000-0000-000092040000}"/>
    <cellStyle name="Comma 27 5 2" xfId="4581" xr:uid="{00000000-0005-0000-0000-000093040000}"/>
    <cellStyle name="Comma 27 6" xfId="3017" xr:uid="{00000000-0005-0000-0000-000094040000}"/>
    <cellStyle name="Comma 28" xfId="816" xr:uid="{00000000-0005-0000-0000-000095040000}"/>
    <cellStyle name="Comma 28 2" xfId="1050" xr:uid="{00000000-0005-0000-0000-000096040000}"/>
    <cellStyle name="Comma 28 2 2" xfId="1838" xr:uid="{00000000-0005-0000-0000-000097040000}"/>
    <cellStyle name="Comma 28 2 2 2" xfId="4082" xr:uid="{00000000-0005-0000-0000-000098040000}"/>
    <cellStyle name="Comma 28 2 3" xfId="2562" xr:uid="{00000000-0005-0000-0000-000099040000}"/>
    <cellStyle name="Comma 28 2 3 2" xfId="4806" xr:uid="{00000000-0005-0000-0000-00009A040000}"/>
    <cellStyle name="Comma 28 2 4" xfId="3296" xr:uid="{00000000-0005-0000-0000-00009B040000}"/>
    <cellStyle name="Comma 28 3" xfId="1304" xr:uid="{00000000-0005-0000-0000-00009C040000}"/>
    <cellStyle name="Comma 28 3 2" xfId="2091" xr:uid="{00000000-0005-0000-0000-00009D040000}"/>
    <cellStyle name="Comma 28 3 2 2" xfId="4335" xr:uid="{00000000-0005-0000-0000-00009E040000}"/>
    <cellStyle name="Comma 28 3 3" xfId="2813" xr:uid="{00000000-0005-0000-0000-00009F040000}"/>
    <cellStyle name="Comma 28 3 3 2" xfId="5057" xr:uid="{00000000-0005-0000-0000-0000A0040000}"/>
    <cellStyle name="Comma 28 3 4" xfId="3549" xr:uid="{00000000-0005-0000-0000-0000A1040000}"/>
    <cellStyle name="Comma 28 4" xfId="1624" xr:uid="{00000000-0005-0000-0000-0000A2040000}"/>
    <cellStyle name="Comma 28 4 2" xfId="3868" xr:uid="{00000000-0005-0000-0000-0000A3040000}"/>
    <cellStyle name="Comma 28 5" xfId="2348" xr:uid="{00000000-0005-0000-0000-0000A4040000}"/>
    <cellStyle name="Comma 28 5 2" xfId="4592" xr:uid="{00000000-0005-0000-0000-0000A5040000}"/>
    <cellStyle name="Comma 28 6" xfId="3082" xr:uid="{00000000-0005-0000-0000-0000A6040000}"/>
    <cellStyle name="Comma 29" xfId="821" xr:uid="{00000000-0005-0000-0000-0000A7040000}"/>
    <cellStyle name="Comma 29 2" xfId="1052" xr:uid="{00000000-0005-0000-0000-0000A8040000}"/>
    <cellStyle name="Comma 29 2 2" xfId="1840" xr:uid="{00000000-0005-0000-0000-0000A9040000}"/>
    <cellStyle name="Comma 29 2 2 2" xfId="4084" xr:uid="{00000000-0005-0000-0000-0000AA040000}"/>
    <cellStyle name="Comma 29 2 3" xfId="2564" xr:uid="{00000000-0005-0000-0000-0000AB040000}"/>
    <cellStyle name="Comma 29 2 3 2" xfId="4808" xr:uid="{00000000-0005-0000-0000-0000AC040000}"/>
    <cellStyle name="Comma 29 2 4" xfId="3298" xr:uid="{00000000-0005-0000-0000-0000AD040000}"/>
    <cellStyle name="Comma 29 3" xfId="1306" xr:uid="{00000000-0005-0000-0000-0000AE040000}"/>
    <cellStyle name="Comma 29 3 2" xfId="2093" xr:uid="{00000000-0005-0000-0000-0000AF040000}"/>
    <cellStyle name="Comma 29 3 2 2" xfId="4337" xr:uid="{00000000-0005-0000-0000-0000B0040000}"/>
    <cellStyle name="Comma 29 3 3" xfId="2815" xr:uid="{00000000-0005-0000-0000-0000B1040000}"/>
    <cellStyle name="Comma 29 3 3 2" xfId="5059" xr:uid="{00000000-0005-0000-0000-0000B2040000}"/>
    <cellStyle name="Comma 29 3 4" xfId="3551" xr:uid="{00000000-0005-0000-0000-0000B3040000}"/>
    <cellStyle name="Comma 29 4" xfId="1626" xr:uid="{00000000-0005-0000-0000-0000B4040000}"/>
    <cellStyle name="Comma 29 4 2" xfId="3870" xr:uid="{00000000-0005-0000-0000-0000B5040000}"/>
    <cellStyle name="Comma 29 5" xfId="2350" xr:uid="{00000000-0005-0000-0000-0000B6040000}"/>
    <cellStyle name="Comma 29 5 2" xfId="4594" xr:uid="{00000000-0005-0000-0000-0000B7040000}"/>
    <cellStyle name="Comma 29 6" xfId="3084" xr:uid="{00000000-0005-0000-0000-0000B8040000}"/>
    <cellStyle name="Comma 3" xfId="22" xr:uid="{00000000-0005-0000-0000-0000B9040000}"/>
    <cellStyle name="Comma 3 10" xfId="102" xr:uid="{00000000-0005-0000-0000-0000BA040000}"/>
    <cellStyle name="Comma 3 10 2" xfId="914" xr:uid="{00000000-0005-0000-0000-0000BB040000}"/>
    <cellStyle name="Comma 3 10 2 2" xfId="1702" xr:uid="{00000000-0005-0000-0000-0000BC040000}"/>
    <cellStyle name="Comma 3 10 2 2 2" xfId="3946" xr:uid="{00000000-0005-0000-0000-0000BD040000}"/>
    <cellStyle name="Comma 3 10 2 3" xfId="2426" xr:uid="{00000000-0005-0000-0000-0000BE040000}"/>
    <cellStyle name="Comma 3 10 2 3 2" xfId="4670" xr:uid="{00000000-0005-0000-0000-0000BF040000}"/>
    <cellStyle name="Comma 3 10 2 4" xfId="3160" xr:uid="{00000000-0005-0000-0000-0000C0040000}"/>
    <cellStyle name="Comma 3 10 3" xfId="1167" xr:uid="{00000000-0005-0000-0000-0000C1040000}"/>
    <cellStyle name="Comma 3 10 3 2" xfId="1954" xr:uid="{00000000-0005-0000-0000-0000C2040000}"/>
    <cellStyle name="Comma 3 10 3 2 2" xfId="4198" xr:uid="{00000000-0005-0000-0000-0000C3040000}"/>
    <cellStyle name="Comma 3 10 3 3" xfId="2678" xr:uid="{00000000-0005-0000-0000-0000C4040000}"/>
    <cellStyle name="Comma 3 10 3 3 2" xfId="4922" xr:uid="{00000000-0005-0000-0000-0000C5040000}"/>
    <cellStyle name="Comma 3 10 3 4" xfId="3412" xr:uid="{00000000-0005-0000-0000-0000C6040000}"/>
    <cellStyle name="Comma 3 10 4" xfId="1382" xr:uid="{00000000-0005-0000-0000-0000C7040000}"/>
    <cellStyle name="Comma 3 10 4 2" xfId="3626" xr:uid="{00000000-0005-0000-0000-0000C8040000}"/>
    <cellStyle name="Comma 3 10 5" xfId="2168" xr:uid="{00000000-0005-0000-0000-0000C9040000}"/>
    <cellStyle name="Comma 3 10 5 2" xfId="4412" xr:uid="{00000000-0005-0000-0000-0000CA040000}"/>
    <cellStyle name="Comma 3 10 6" xfId="2892" xr:uid="{00000000-0005-0000-0000-0000CB040000}"/>
    <cellStyle name="Comma 3 11" xfId="103" xr:uid="{00000000-0005-0000-0000-0000CC040000}"/>
    <cellStyle name="Comma 3 11 2" xfId="915" xr:uid="{00000000-0005-0000-0000-0000CD040000}"/>
    <cellStyle name="Comma 3 11 2 2" xfId="1703" xr:uid="{00000000-0005-0000-0000-0000CE040000}"/>
    <cellStyle name="Comma 3 11 2 2 2" xfId="3947" xr:uid="{00000000-0005-0000-0000-0000CF040000}"/>
    <cellStyle name="Comma 3 11 2 3" xfId="2427" xr:uid="{00000000-0005-0000-0000-0000D0040000}"/>
    <cellStyle name="Comma 3 11 2 3 2" xfId="4671" xr:uid="{00000000-0005-0000-0000-0000D1040000}"/>
    <cellStyle name="Comma 3 11 2 4" xfId="3161" xr:uid="{00000000-0005-0000-0000-0000D2040000}"/>
    <cellStyle name="Comma 3 11 3" xfId="1168" xr:uid="{00000000-0005-0000-0000-0000D3040000}"/>
    <cellStyle name="Comma 3 11 3 2" xfId="1955" xr:uid="{00000000-0005-0000-0000-0000D4040000}"/>
    <cellStyle name="Comma 3 11 3 2 2" xfId="4199" xr:uid="{00000000-0005-0000-0000-0000D5040000}"/>
    <cellStyle name="Comma 3 11 3 3" xfId="2679" xr:uid="{00000000-0005-0000-0000-0000D6040000}"/>
    <cellStyle name="Comma 3 11 3 3 2" xfId="4923" xr:uid="{00000000-0005-0000-0000-0000D7040000}"/>
    <cellStyle name="Comma 3 11 3 4" xfId="3413" xr:uid="{00000000-0005-0000-0000-0000D8040000}"/>
    <cellStyle name="Comma 3 11 4" xfId="1383" xr:uid="{00000000-0005-0000-0000-0000D9040000}"/>
    <cellStyle name="Comma 3 11 4 2" xfId="3627" xr:uid="{00000000-0005-0000-0000-0000DA040000}"/>
    <cellStyle name="Comma 3 11 5" xfId="2169" xr:uid="{00000000-0005-0000-0000-0000DB040000}"/>
    <cellStyle name="Comma 3 11 5 2" xfId="4413" xr:uid="{00000000-0005-0000-0000-0000DC040000}"/>
    <cellStyle name="Comma 3 11 6" xfId="2893" xr:uid="{00000000-0005-0000-0000-0000DD040000}"/>
    <cellStyle name="Comma 3 12" xfId="104" xr:uid="{00000000-0005-0000-0000-0000DE040000}"/>
    <cellStyle name="Comma 3 12 2" xfId="916" xr:uid="{00000000-0005-0000-0000-0000DF040000}"/>
    <cellStyle name="Comma 3 12 2 2" xfId="1704" xr:uid="{00000000-0005-0000-0000-0000E0040000}"/>
    <cellStyle name="Comma 3 12 2 2 2" xfId="3948" xr:uid="{00000000-0005-0000-0000-0000E1040000}"/>
    <cellStyle name="Comma 3 12 2 3" xfId="2428" xr:uid="{00000000-0005-0000-0000-0000E2040000}"/>
    <cellStyle name="Comma 3 12 2 3 2" xfId="4672" xr:uid="{00000000-0005-0000-0000-0000E3040000}"/>
    <cellStyle name="Comma 3 12 2 4" xfId="3162" xr:uid="{00000000-0005-0000-0000-0000E4040000}"/>
    <cellStyle name="Comma 3 12 3" xfId="1169" xr:uid="{00000000-0005-0000-0000-0000E5040000}"/>
    <cellStyle name="Comma 3 12 3 2" xfId="1956" xr:uid="{00000000-0005-0000-0000-0000E6040000}"/>
    <cellStyle name="Comma 3 12 3 2 2" xfId="4200" xr:uid="{00000000-0005-0000-0000-0000E7040000}"/>
    <cellStyle name="Comma 3 12 3 3" xfId="2680" xr:uid="{00000000-0005-0000-0000-0000E8040000}"/>
    <cellStyle name="Comma 3 12 3 3 2" xfId="4924" xr:uid="{00000000-0005-0000-0000-0000E9040000}"/>
    <cellStyle name="Comma 3 12 3 4" xfId="3414" xr:uid="{00000000-0005-0000-0000-0000EA040000}"/>
    <cellStyle name="Comma 3 12 4" xfId="1384" xr:uid="{00000000-0005-0000-0000-0000EB040000}"/>
    <cellStyle name="Comma 3 12 4 2" xfId="3628" xr:uid="{00000000-0005-0000-0000-0000EC040000}"/>
    <cellStyle name="Comma 3 12 5" xfId="2170" xr:uid="{00000000-0005-0000-0000-0000ED040000}"/>
    <cellStyle name="Comma 3 12 5 2" xfId="4414" xr:uid="{00000000-0005-0000-0000-0000EE040000}"/>
    <cellStyle name="Comma 3 12 6" xfId="2894" xr:uid="{00000000-0005-0000-0000-0000EF040000}"/>
    <cellStyle name="Comma 3 13" xfId="105" xr:uid="{00000000-0005-0000-0000-0000F0040000}"/>
    <cellStyle name="Comma 3 13 2" xfId="917" xr:uid="{00000000-0005-0000-0000-0000F1040000}"/>
    <cellStyle name="Comma 3 13 2 2" xfId="1705" xr:uid="{00000000-0005-0000-0000-0000F2040000}"/>
    <cellStyle name="Comma 3 13 2 2 2" xfId="3949" xr:uid="{00000000-0005-0000-0000-0000F3040000}"/>
    <cellStyle name="Comma 3 13 2 3" xfId="2429" xr:uid="{00000000-0005-0000-0000-0000F4040000}"/>
    <cellStyle name="Comma 3 13 2 3 2" xfId="4673" xr:uid="{00000000-0005-0000-0000-0000F5040000}"/>
    <cellStyle name="Comma 3 13 2 4" xfId="3163" xr:uid="{00000000-0005-0000-0000-0000F6040000}"/>
    <cellStyle name="Comma 3 13 3" xfId="1170" xr:uid="{00000000-0005-0000-0000-0000F7040000}"/>
    <cellStyle name="Comma 3 13 3 2" xfId="1957" xr:uid="{00000000-0005-0000-0000-0000F8040000}"/>
    <cellStyle name="Comma 3 13 3 2 2" xfId="4201" xr:uid="{00000000-0005-0000-0000-0000F9040000}"/>
    <cellStyle name="Comma 3 13 3 3" xfId="2681" xr:uid="{00000000-0005-0000-0000-0000FA040000}"/>
    <cellStyle name="Comma 3 13 3 3 2" xfId="4925" xr:uid="{00000000-0005-0000-0000-0000FB040000}"/>
    <cellStyle name="Comma 3 13 3 4" xfId="3415" xr:uid="{00000000-0005-0000-0000-0000FC040000}"/>
    <cellStyle name="Comma 3 13 4" xfId="1385" xr:uid="{00000000-0005-0000-0000-0000FD040000}"/>
    <cellStyle name="Comma 3 13 4 2" xfId="3629" xr:uid="{00000000-0005-0000-0000-0000FE040000}"/>
    <cellStyle name="Comma 3 13 5" xfId="2171" xr:uid="{00000000-0005-0000-0000-0000FF040000}"/>
    <cellStyle name="Comma 3 13 5 2" xfId="4415" xr:uid="{00000000-0005-0000-0000-000000050000}"/>
    <cellStyle name="Comma 3 13 6" xfId="2895" xr:uid="{00000000-0005-0000-0000-000001050000}"/>
    <cellStyle name="Comma 3 14" xfId="106" xr:uid="{00000000-0005-0000-0000-000002050000}"/>
    <cellStyle name="Comma 3 14 2" xfId="918" xr:uid="{00000000-0005-0000-0000-000003050000}"/>
    <cellStyle name="Comma 3 14 2 2" xfId="1706" xr:uid="{00000000-0005-0000-0000-000004050000}"/>
    <cellStyle name="Comma 3 14 2 2 2" xfId="3950" xr:uid="{00000000-0005-0000-0000-000005050000}"/>
    <cellStyle name="Comma 3 14 2 3" xfId="2430" xr:uid="{00000000-0005-0000-0000-000006050000}"/>
    <cellStyle name="Comma 3 14 2 3 2" xfId="4674" xr:uid="{00000000-0005-0000-0000-000007050000}"/>
    <cellStyle name="Comma 3 14 2 4" xfId="3164" xr:uid="{00000000-0005-0000-0000-000008050000}"/>
    <cellStyle name="Comma 3 14 3" xfId="1171" xr:uid="{00000000-0005-0000-0000-000009050000}"/>
    <cellStyle name="Comma 3 14 3 2" xfId="1958" xr:uid="{00000000-0005-0000-0000-00000A050000}"/>
    <cellStyle name="Comma 3 14 3 2 2" xfId="4202" xr:uid="{00000000-0005-0000-0000-00000B050000}"/>
    <cellStyle name="Comma 3 14 3 3" xfId="2682" xr:uid="{00000000-0005-0000-0000-00000C050000}"/>
    <cellStyle name="Comma 3 14 3 3 2" xfId="4926" xr:uid="{00000000-0005-0000-0000-00000D050000}"/>
    <cellStyle name="Comma 3 14 3 4" xfId="3416" xr:uid="{00000000-0005-0000-0000-00000E050000}"/>
    <cellStyle name="Comma 3 14 4" xfId="1386" xr:uid="{00000000-0005-0000-0000-00000F050000}"/>
    <cellStyle name="Comma 3 14 4 2" xfId="3630" xr:uid="{00000000-0005-0000-0000-000010050000}"/>
    <cellStyle name="Comma 3 14 5" xfId="2172" xr:uid="{00000000-0005-0000-0000-000011050000}"/>
    <cellStyle name="Comma 3 14 5 2" xfId="4416" xr:uid="{00000000-0005-0000-0000-000012050000}"/>
    <cellStyle name="Comma 3 14 6" xfId="2896" xr:uid="{00000000-0005-0000-0000-000013050000}"/>
    <cellStyle name="Comma 3 15" xfId="107" xr:uid="{00000000-0005-0000-0000-000014050000}"/>
    <cellStyle name="Comma 3 15 2" xfId="919" xr:uid="{00000000-0005-0000-0000-000015050000}"/>
    <cellStyle name="Comma 3 15 2 2" xfId="1707" xr:uid="{00000000-0005-0000-0000-000016050000}"/>
    <cellStyle name="Comma 3 15 2 2 2" xfId="3951" xr:uid="{00000000-0005-0000-0000-000017050000}"/>
    <cellStyle name="Comma 3 15 2 3" xfId="2431" xr:uid="{00000000-0005-0000-0000-000018050000}"/>
    <cellStyle name="Comma 3 15 2 3 2" xfId="4675" xr:uid="{00000000-0005-0000-0000-000019050000}"/>
    <cellStyle name="Comma 3 15 2 4" xfId="3165" xr:uid="{00000000-0005-0000-0000-00001A050000}"/>
    <cellStyle name="Comma 3 15 3" xfId="1172" xr:uid="{00000000-0005-0000-0000-00001B050000}"/>
    <cellStyle name="Comma 3 15 3 2" xfId="1959" xr:uid="{00000000-0005-0000-0000-00001C050000}"/>
    <cellStyle name="Comma 3 15 3 2 2" xfId="4203" xr:uid="{00000000-0005-0000-0000-00001D050000}"/>
    <cellStyle name="Comma 3 15 3 3" xfId="2683" xr:uid="{00000000-0005-0000-0000-00001E050000}"/>
    <cellStyle name="Comma 3 15 3 3 2" xfId="4927" xr:uid="{00000000-0005-0000-0000-00001F050000}"/>
    <cellStyle name="Comma 3 15 3 4" xfId="3417" xr:uid="{00000000-0005-0000-0000-000020050000}"/>
    <cellStyle name="Comma 3 15 4" xfId="1387" xr:uid="{00000000-0005-0000-0000-000021050000}"/>
    <cellStyle name="Comma 3 15 4 2" xfId="3631" xr:uid="{00000000-0005-0000-0000-000022050000}"/>
    <cellStyle name="Comma 3 15 5" xfId="2173" xr:uid="{00000000-0005-0000-0000-000023050000}"/>
    <cellStyle name="Comma 3 15 5 2" xfId="4417" xr:uid="{00000000-0005-0000-0000-000024050000}"/>
    <cellStyle name="Comma 3 15 6" xfId="2897" xr:uid="{00000000-0005-0000-0000-000025050000}"/>
    <cellStyle name="Comma 3 16" xfId="108" xr:uid="{00000000-0005-0000-0000-000026050000}"/>
    <cellStyle name="Comma 3 16 2" xfId="920" xr:uid="{00000000-0005-0000-0000-000027050000}"/>
    <cellStyle name="Comma 3 16 2 2" xfId="1708" xr:uid="{00000000-0005-0000-0000-000028050000}"/>
    <cellStyle name="Comma 3 16 2 2 2" xfId="3952" xr:uid="{00000000-0005-0000-0000-000029050000}"/>
    <cellStyle name="Comma 3 16 2 3" xfId="2432" xr:uid="{00000000-0005-0000-0000-00002A050000}"/>
    <cellStyle name="Comma 3 16 2 3 2" xfId="4676" xr:uid="{00000000-0005-0000-0000-00002B050000}"/>
    <cellStyle name="Comma 3 16 2 4" xfId="3166" xr:uid="{00000000-0005-0000-0000-00002C050000}"/>
    <cellStyle name="Comma 3 16 3" xfId="1173" xr:uid="{00000000-0005-0000-0000-00002D050000}"/>
    <cellStyle name="Comma 3 16 3 2" xfId="1960" xr:uid="{00000000-0005-0000-0000-00002E050000}"/>
    <cellStyle name="Comma 3 16 3 2 2" xfId="4204" xr:uid="{00000000-0005-0000-0000-00002F050000}"/>
    <cellStyle name="Comma 3 16 3 3" xfId="2684" xr:uid="{00000000-0005-0000-0000-000030050000}"/>
    <cellStyle name="Comma 3 16 3 3 2" xfId="4928" xr:uid="{00000000-0005-0000-0000-000031050000}"/>
    <cellStyle name="Comma 3 16 3 4" xfId="3418" xr:uid="{00000000-0005-0000-0000-000032050000}"/>
    <cellStyle name="Comma 3 16 4" xfId="1388" xr:uid="{00000000-0005-0000-0000-000033050000}"/>
    <cellStyle name="Comma 3 16 4 2" xfId="3632" xr:uid="{00000000-0005-0000-0000-000034050000}"/>
    <cellStyle name="Comma 3 16 5" xfId="2174" xr:uid="{00000000-0005-0000-0000-000035050000}"/>
    <cellStyle name="Comma 3 16 5 2" xfId="4418" xr:uid="{00000000-0005-0000-0000-000036050000}"/>
    <cellStyle name="Comma 3 16 6" xfId="2898" xr:uid="{00000000-0005-0000-0000-000037050000}"/>
    <cellStyle name="Comma 3 17" xfId="109" xr:uid="{00000000-0005-0000-0000-000038050000}"/>
    <cellStyle name="Comma 3 17 2" xfId="921" xr:uid="{00000000-0005-0000-0000-000039050000}"/>
    <cellStyle name="Comma 3 17 2 2" xfId="1709" xr:uid="{00000000-0005-0000-0000-00003A050000}"/>
    <cellStyle name="Comma 3 17 2 2 2" xfId="3953" xr:uid="{00000000-0005-0000-0000-00003B050000}"/>
    <cellStyle name="Comma 3 17 2 3" xfId="2433" xr:uid="{00000000-0005-0000-0000-00003C050000}"/>
    <cellStyle name="Comma 3 17 2 3 2" xfId="4677" xr:uid="{00000000-0005-0000-0000-00003D050000}"/>
    <cellStyle name="Comma 3 17 2 4" xfId="3167" xr:uid="{00000000-0005-0000-0000-00003E050000}"/>
    <cellStyle name="Comma 3 17 3" xfId="1174" xr:uid="{00000000-0005-0000-0000-00003F050000}"/>
    <cellStyle name="Comma 3 17 3 2" xfId="1961" xr:uid="{00000000-0005-0000-0000-000040050000}"/>
    <cellStyle name="Comma 3 17 3 2 2" xfId="4205" xr:uid="{00000000-0005-0000-0000-000041050000}"/>
    <cellStyle name="Comma 3 17 3 3" xfId="2685" xr:uid="{00000000-0005-0000-0000-000042050000}"/>
    <cellStyle name="Comma 3 17 3 3 2" xfId="4929" xr:uid="{00000000-0005-0000-0000-000043050000}"/>
    <cellStyle name="Comma 3 17 3 4" xfId="3419" xr:uid="{00000000-0005-0000-0000-000044050000}"/>
    <cellStyle name="Comma 3 17 4" xfId="1389" xr:uid="{00000000-0005-0000-0000-000045050000}"/>
    <cellStyle name="Comma 3 17 4 2" xfId="3633" xr:uid="{00000000-0005-0000-0000-000046050000}"/>
    <cellStyle name="Comma 3 17 5" xfId="2175" xr:uid="{00000000-0005-0000-0000-000047050000}"/>
    <cellStyle name="Comma 3 17 5 2" xfId="4419" xr:uid="{00000000-0005-0000-0000-000048050000}"/>
    <cellStyle name="Comma 3 17 6" xfId="2899" xr:uid="{00000000-0005-0000-0000-000049050000}"/>
    <cellStyle name="Comma 3 18" xfId="110" xr:uid="{00000000-0005-0000-0000-00004A050000}"/>
    <cellStyle name="Comma 3 18 2" xfId="922" xr:uid="{00000000-0005-0000-0000-00004B050000}"/>
    <cellStyle name="Comma 3 18 2 2" xfId="1710" xr:uid="{00000000-0005-0000-0000-00004C050000}"/>
    <cellStyle name="Comma 3 18 2 2 2" xfId="3954" xr:uid="{00000000-0005-0000-0000-00004D050000}"/>
    <cellStyle name="Comma 3 18 2 3" xfId="2434" xr:uid="{00000000-0005-0000-0000-00004E050000}"/>
    <cellStyle name="Comma 3 18 2 3 2" xfId="4678" xr:uid="{00000000-0005-0000-0000-00004F050000}"/>
    <cellStyle name="Comma 3 18 2 4" xfId="3168" xr:uid="{00000000-0005-0000-0000-000050050000}"/>
    <cellStyle name="Comma 3 18 3" xfId="1175" xr:uid="{00000000-0005-0000-0000-000051050000}"/>
    <cellStyle name="Comma 3 18 3 2" xfId="1962" xr:uid="{00000000-0005-0000-0000-000052050000}"/>
    <cellStyle name="Comma 3 18 3 2 2" xfId="4206" xr:uid="{00000000-0005-0000-0000-000053050000}"/>
    <cellStyle name="Comma 3 18 3 3" xfId="2686" xr:uid="{00000000-0005-0000-0000-000054050000}"/>
    <cellStyle name="Comma 3 18 3 3 2" xfId="4930" xr:uid="{00000000-0005-0000-0000-000055050000}"/>
    <cellStyle name="Comma 3 18 3 4" xfId="3420" xr:uid="{00000000-0005-0000-0000-000056050000}"/>
    <cellStyle name="Comma 3 18 4" xfId="1390" xr:uid="{00000000-0005-0000-0000-000057050000}"/>
    <cellStyle name="Comma 3 18 4 2" xfId="3634" xr:uid="{00000000-0005-0000-0000-000058050000}"/>
    <cellStyle name="Comma 3 18 5" xfId="2176" xr:uid="{00000000-0005-0000-0000-000059050000}"/>
    <cellStyle name="Comma 3 18 5 2" xfId="4420" xr:uid="{00000000-0005-0000-0000-00005A050000}"/>
    <cellStyle name="Comma 3 18 6" xfId="2900" xr:uid="{00000000-0005-0000-0000-00005B050000}"/>
    <cellStyle name="Comma 3 19" xfId="111" xr:uid="{00000000-0005-0000-0000-00005C050000}"/>
    <cellStyle name="Comma 3 19 2" xfId="923" xr:uid="{00000000-0005-0000-0000-00005D050000}"/>
    <cellStyle name="Comma 3 19 2 2" xfId="1711" xr:uid="{00000000-0005-0000-0000-00005E050000}"/>
    <cellStyle name="Comma 3 19 2 2 2" xfId="3955" xr:uid="{00000000-0005-0000-0000-00005F050000}"/>
    <cellStyle name="Comma 3 19 2 3" xfId="2435" xr:uid="{00000000-0005-0000-0000-000060050000}"/>
    <cellStyle name="Comma 3 19 2 3 2" xfId="4679" xr:uid="{00000000-0005-0000-0000-000061050000}"/>
    <cellStyle name="Comma 3 19 2 4" xfId="3169" xr:uid="{00000000-0005-0000-0000-000062050000}"/>
    <cellStyle name="Comma 3 19 3" xfId="1176" xr:uid="{00000000-0005-0000-0000-000063050000}"/>
    <cellStyle name="Comma 3 19 3 2" xfId="1963" xr:uid="{00000000-0005-0000-0000-000064050000}"/>
    <cellStyle name="Comma 3 19 3 2 2" xfId="4207" xr:uid="{00000000-0005-0000-0000-000065050000}"/>
    <cellStyle name="Comma 3 19 3 3" xfId="2687" xr:uid="{00000000-0005-0000-0000-000066050000}"/>
    <cellStyle name="Comma 3 19 3 3 2" xfId="4931" xr:uid="{00000000-0005-0000-0000-000067050000}"/>
    <cellStyle name="Comma 3 19 3 4" xfId="3421" xr:uid="{00000000-0005-0000-0000-000068050000}"/>
    <cellStyle name="Comma 3 19 4" xfId="1391" xr:uid="{00000000-0005-0000-0000-000069050000}"/>
    <cellStyle name="Comma 3 19 4 2" xfId="3635" xr:uid="{00000000-0005-0000-0000-00006A050000}"/>
    <cellStyle name="Comma 3 19 5" xfId="2177" xr:uid="{00000000-0005-0000-0000-00006B050000}"/>
    <cellStyle name="Comma 3 19 5 2" xfId="4421" xr:uid="{00000000-0005-0000-0000-00006C050000}"/>
    <cellStyle name="Comma 3 19 6" xfId="2901" xr:uid="{00000000-0005-0000-0000-00006D050000}"/>
    <cellStyle name="Comma 3 2" xfId="112" xr:uid="{00000000-0005-0000-0000-00006E050000}"/>
    <cellStyle name="Comma 3 2 2" xfId="924" xr:uid="{00000000-0005-0000-0000-00006F050000}"/>
    <cellStyle name="Comma 3 2 2 2" xfId="1712" xr:uid="{00000000-0005-0000-0000-000070050000}"/>
    <cellStyle name="Comma 3 2 2 2 2" xfId="3956" xr:uid="{00000000-0005-0000-0000-000071050000}"/>
    <cellStyle name="Comma 3 2 2 3" xfId="2436" xr:uid="{00000000-0005-0000-0000-000072050000}"/>
    <cellStyle name="Comma 3 2 2 3 2" xfId="4680" xr:uid="{00000000-0005-0000-0000-000073050000}"/>
    <cellStyle name="Comma 3 2 2 4" xfId="3170" xr:uid="{00000000-0005-0000-0000-000074050000}"/>
    <cellStyle name="Comma 3 2 3" xfId="1177" xr:uid="{00000000-0005-0000-0000-000075050000}"/>
    <cellStyle name="Comma 3 2 3 2" xfId="1964" xr:uid="{00000000-0005-0000-0000-000076050000}"/>
    <cellStyle name="Comma 3 2 3 2 2" xfId="4208" xr:uid="{00000000-0005-0000-0000-000077050000}"/>
    <cellStyle name="Comma 3 2 3 3" xfId="2688" xr:uid="{00000000-0005-0000-0000-000078050000}"/>
    <cellStyle name="Comma 3 2 3 3 2" xfId="4932" xr:uid="{00000000-0005-0000-0000-000079050000}"/>
    <cellStyle name="Comma 3 2 3 4" xfId="3422" xr:uid="{00000000-0005-0000-0000-00007A050000}"/>
    <cellStyle name="Comma 3 2 4" xfId="1392" xr:uid="{00000000-0005-0000-0000-00007B050000}"/>
    <cellStyle name="Comma 3 2 4 2" xfId="3636" xr:uid="{00000000-0005-0000-0000-00007C050000}"/>
    <cellStyle name="Comma 3 2 5" xfId="2178" xr:uid="{00000000-0005-0000-0000-00007D050000}"/>
    <cellStyle name="Comma 3 2 5 2" xfId="4422" xr:uid="{00000000-0005-0000-0000-00007E050000}"/>
    <cellStyle name="Comma 3 2 6" xfId="2902" xr:uid="{00000000-0005-0000-0000-00007F050000}"/>
    <cellStyle name="Comma 3 20" xfId="113" xr:uid="{00000000-0005-0000-0000-000080050000}"/>
    <cellStyle name="Comma 3 20 2" xfId="925" xr:uid="{00000000-0005-0000-0000-000081050000}"/>
    <cellStyle name="Comma 3 20 2 2" xfId="1713" xr:uid="{00000000-0005-0000-0000-000082050000}"/>
    <cellStyle name="Comma 3 20 2 2 2" xfId="3957" xr:uid="{00000000-0005-0000-0000-000083050000}"/>
    <cellStyle name="Comma 3 20 2 3" xfId="2437" xr:uid="{00000000-0005-0000-0000-000084050000}"/>
    <cellStyle name="Comma 3 20 2 3 2" xfId="4681" xr:uid="{00000000-0005-0000-0000-000085050000}"/>
    <cellStyle name="Comma 3 20 2 4" xfId="3171" xr:uid="{00000000-0005-0000-0000-000086050000}"/>
    <cellStyle name="Comma 3 20 3" xfId="1178" xr:uid="{00000000-0005-0000-0000-000087050000}"/>
    <cellStyle name="Comma 3 20 3 2" xfId="1965" xr:uid="{00000000-0005-0000-0000-000088050000}"/>
    <cellStyle name="Comma 3 20 3 2 2" xfId="4209" xr:uid="{00000000-0005-0000-0000-000089050000}"/>
    <cellStyle name="Comma 3 20 3 3" xfId="2689" xr:uid="{00000000-0005-0000-0000-00008A050000}"/>
    <cellStyle name="Comma 3 20 3 3 2" xfId="4933" xr:uid="{00000000-0005-0000-0000-00008B050000}"/>
    <cellStyle name="Comma 3 20 3 4" xfId="3423" xr:uid="{00000000-0005-0000-0000-00008C050000}"/>
    <cellStyle name="Comma 3 20 4" xfId="1393" xr:uid="{00000000-0005-0000-0000-00008D050000}"/>
    <cellStyle name="Comma 3 20 4 2" xfId="3637" xr:uid="{00000000-0005-0000-0000-00008E050000}"/>
    <cellStyle name="Comma 3 20 5" xfId="2179" xr:uid="{00000000-0005-0000-0000-00008F050000}"/>
    <cellStyle name="Comma 3 20 5 2" xfId="4423" xr:uid="{00000000-0005-0000-0000-000090050000}"/>
    <cellStyle name="Comma 3 20 6" xfId="2903" xr:uid="{00000000-0005-0000-0000-000091050000}"/>
    <cellStyle name="Comma 3 21" xfId="114" xr:uid="{00000000-0005-0000-0000-000092050000}"/>
    <cellStyle name="Comma 3 21 2" xfId="926" xr:uid="{00000000-0005-0000-0000-000093050000}"/>
    <cellStyle name="Comma 3 21 2 2" xfId="1714" xr:uid="{00000000-0005-0000-0000-000094050000}"/>
    <cellStyle name="Comma 3 21 2 2 2" xfId="3958" xr:uid="{00000000-0005-0000-0000-000095050000}"/>
    <cellStyle name="Comma 3 21 2 3" xfId="2438" xr:uid="{00000000-0005-0000-0000-000096050000}"/>
    <cellStyle name="Comma 3 21 2 3 2" xfId="4682" xr:uid="{00000000-0005-0000-0000-000097050000}"/>
    <cellStyle name="Comma 3 21 2 4" xfId="3172" xr:uid="{00000000-0005-0000-0000-000098050000}"/>
    <cellStyle name="Comma 3 21 3" xfId="1179" xr:uid="{00000000-0005-0000-0000-000099050000}"/>
    <cellStyle name="Comma 3 21 3 2" xfId="1966" xr:uid="{00000000-0005-0000-0000-00009A050000}"/>
    <cellStyle name="Comma 3 21 3 2 2" xfId="4210" xr:uid="{00000000-0005-0000-0000-00009B050000}"/>
    <cellStyle name="Comma 3 21 3 3" xfId="2690" xr:uid="{00000000-0005-0000-0000-00009C050000}"/>
    <cellStyle name="Comma 3 21 3 3 2" xfId="4934" xr:uid="{00000000-0005-0000-0000-00009D050000}"/>
    <cellStyle name="Comma 3 21 3 4" xfId="3424" xr:uid="{00000000-0005-0000-0000-00009E050000}"/>
    <cellStyle name="Comma 3 21 4" xfId="1394" xr:uid="{00000000-0005-0000-0000-00009F050000}"/>
    <cellStyle name="Comma 3 21 4 2" xfId="3638" xr:uid="{00000000-0005-0000-0000-0000A0050000}"/>
    <cellStyle name="Comma 3 21 5" xfId="2180" xr:uid="{00000000-0005-0000-0000-0000A1050000}"/>
    <cellStyle name="Comma 3 21 5 2" xfId="4424" xr:uid="{00000000-0005-0000-0000-0000A2050000}"/>
    <cellStyle name="Comma 3 21 6" xfId="2904" xr:uid="{00000000-0005-0000-0000-0000A3050000}"/>
    <cellStyle name="Comma 3 22" xfId="115" xr:uid="{00000000-0005-0000-0000-0000A4050000}"/>
    <cellStyle name="Comma 3 22 2" xfId="927" xr:uid="{00000000-0005-0000-0000-0000A5050000}"/>
    <cellStyle name="Comma 3 22 2 2" xfId="1715" xr:uid="{00000000-0005-0000-0000-0000A6050000}"/>
    <cellStyle name="Comma 3 22 2 2 2" xfId="3959" xr:uid="{00000000-0005-0000-0000-0000A7050000}"/>
    <cellStyle name="Comma 3 22 2 3" xfId="2439" xr:uid="{00000000-0005-0000-0000-0000A8050000}"/>
    <cellStyle name="Comma 3 22 2 3 2" xfId="4683" xr:uid="{00000000-0005-0000-0000-0000A9050000}"/>
    <cellStyle name="Comma 3 22 2 4" xfId="3173" xr:uid="{00000000-0005-0000-0000-0000AA050000}"/>
    <cellStyle name="Comma 3 22 3" xfId="1180" xr:uid="{00000000-0005-0000-0000-0000AB050000}"/>
    <cellStyle name="Comma 3 22 3 2" xfId="1967" xr:uid="{00000000-0005-0000-0000-0000AC050000}"/>
    <cellStyle name="Comma 3 22 3 2 2" xfId="4211" xr:uid="{00000000-0005-0000-0000-0000AD050000}"/>
    <cellStyle name="Comma 3 22 3 3" xfId="2691" xr:uid="{00000000-0005-0000-0000-0000AE050000}"/>
    <cellStyle name="Comma 3 22 3 3 2" xfId="4935" xr:uid="{00000000-0005-0000-0000-0000AF050000}"/>
    <cellStyle name="Comma 3 22 3 4" xfId="3425" xr:uid="{00000000-0005-0000-0000-0000B0050000}"/>
    <cellStyle name="Comma 3 22 4" xfId="1395" xr:uid="{00000000-0005-0000-0000-0000B1050000}"/>
    <cellStyle name="Comma 3 22 4 2" xfId="3639" xr:uid="{00000000-0005-0000-0000-0000B2050000}"/>
    <cellStyle name="Comma 3 22 5" xfId="2181" xr:uid="{00000000-0005-0000-0000-0000B3050000}"/>
    <cellStyle name="Comma 3 22 5 2" xfId="4425" xr:uid="{00000000-0005-0000-0000-0000B4050000}"/>
    <cellStyle name="Comma 3 22 6" xfId="2905" xr:uid="{00000000-0005-0000-0000-0000B5050000}"/>
    <cellStyle name="Comma 3 23" xfId="116" xr:uid="{00000000-0005-0000-0000-0000B6050000}"/>
    <cellStyle name="Comma 3 23 2" xfId="928" xr:uid="{00000000-0005-0000-0000-0000B7050000}"/>
    <cellStyle name="Comma 3 23 2 2" xfId="1716" xr:uid="{00000000-0005-0000-0000-0000B8050000}"/>
    <cellStyle name="Comma 3 23 2 2 2" xfId="3960" xr:uid="{00000000-0005-0000-0000-0000B9050000}"/>
    <cellStyle name="Comma 3 23 2 3" xfId="2440" xr:uid="{00000000-0005-0000-0000-0000BA050000}"/>
    <cellStyle name="Comma 3 23 2 3 2" xfId="4684" xr:uid="{00000000-0005-0000-0000-0000BB050000}"/>
    <cellStyle name="Comma 3 23 2 4" xfId="3174" xr:uid="{00000000-0005-0000-0000-0000BC050000}"/>
    <cellStyle name="Comma 3 23 3" xfId="1181" xr:uid="{00000000-0005-0000-0000-0000BD050000}"/>
    <cellStyle name="Comma 3 23 3 2" xfId="1968" xr:uid="{00000000-0005-0000-0000-0000BE050000}"/>
    <cellStyle name="Comma 3 23 3 2 2" xfId="4212" xr:uid="{00000000-0005-0000-0000-0000BF050000}"/>
    <cellStyle name="Comma 3 23 3 3" xfId="2692" xr:uid="{00000000-0005-0000-0000-0000C0050000}"/>
    <cellStyle name="Comma 3 23 3 3 2" xfId="4936" xr:uid="{00000000-0005-0000-0000-0000C1050000}"/>
    <cellStyle name="Comma 3 23 3 4" xfId="3426" xr:uid="{00000000-0005-0000-0000-0000C2050000}"/>
    <cellStyle name="Comma 3 23 4" xfId="1396" xr:uid="{00000000-0005-0000-0000-0000C3050000}"/>
    <cellStyle name="Comma 3 23 4 2" xfId="3640" xr:uid="{00000000-0005-0000-0000-0000C4050000}"/>
    <cellStyle name="Comma 3 23 5" xfId="2182" xr:uid="{00000000-0005-0000-0000-0000C5050000}"/>
    <cellStyle name="Comma 3 23 5 2" xfId="4426" xr:uid="{00000000-0005-0000-0000-0000C6050000}"/>
    <cellStyle name="Comma 3 23 6" xfId="2906" xr:uid="{00000000-0005-0000-0000-0000C7050000}"/>
    <cellStyle name="Comma 3 24" xfId="117" xr:uid="{00000000-0005-0000-0000-0000C8050000}"/>
    <cellStyle name="Comma 3 24 2" xfId="929" xr:uid="{00000000-0005-0000-0000-0000C9050000}"/>
    <cellStyle name="Comma 3 24 2 2" xfId="1717" xr:uid="{00000000-0005-0000-0000-0000CA050000}"/>
    <cellStyle name="Comma 3 24 2 2 2" xfId="3961" xr:uid="{00000000-0005-0000-0000-0000CB050000}"/>
    <cellStyle name="Comma 3 24 2 3" xfId="2441" xr:uid="{00000000-0005-0000-0000-0000CC050000}"/>
    <cellStyle name="Comma 3 24 2 3 2" xfId="4685" xr:uid="{00000000-0005-0000-0000-0000CD050000}"/>
    <cellStyle name="Comma 3 24 2 4" xfId="3175" xr:uid="{00000000-0005-0000-0000-0000CE050000}"/>
    <cellStyle name="Comma 3 24 3" xfId="1182" xr:uid="{00000000-0005-0000-0000-0000CF050000}"/>
    <cellStyle name="Comma 3 24 3 2" xfId="1969" xr:uid="{00000000-0005-0000-0000-0000D0050000}"/>
    <cellStyle name="Comma 3 24 3 2 2" xfId="4213" xr:uid="{00000000-0005-0000-0000-0000D1050000}"/>
    <cellStyle name="Comma 3 24 3 3" xfId="2693" xr:uid="{00000000-0005-0000-0000-0000D2050000}"/>
    <cellStyle name="Comma 3 24 3 3 2" xfId="4937" xr:uid="{00000000-0005-0000-0000-0000D3050000}"/>
    <cellStyle name="Comma 3 24 3 4" xfId="3427" xr:uid="{00000000-0005-0000-0000-0000D4050000}"/>
    <cellStyle name="Comma 3 24 4" xfId="1397" xr:uid="{00000000-0005-0000-0000-0000D5050000}"/>
    <cellStyle name="Comma 3 24 4 2" xfId="3641" xr:uid="{00000000-0005-0000-0000-0000D6050000}"/>
    <cellStyle name="Comma 3 24 5" xfId="2183" xr:uid="{00000000-0005-0000-0000-0000D7050000}"/>
    <cellStyle name="Comma 3 24 5 2" xfId="4427" xr:uid="{00000000-0005-0000-0000-0000D8050000}"/>
    <cellStyle name="Comma 3 24 6" xfId="2907" xr:uid="{00000000-0005-0000-0000-0000D9050000}"/>
    <cellStyle name="Comma 3 25" xfId="118" xr:uid="{00000000-0005-0000-0000-0000DA050000}"/>
    <cellStyle name="Comma 3 25 2" xfId="930" xr:uid="{00000000-0005-0000-0000-0000DB050000}"/>
    <cellStyle name="Comma 3 25 2 2" xfId="1718" xr:uid="{00000000-0005-0000-0000-0000DC050000}"/>
    <cellStyle name="Comma 3 25 2 2 2" xfId="3962" xr:uid="{00000000-0005-0000-0000-0000DD050000}"/>
    <cellStyle name="Comma 3 25 2 3" xfId="2442" xr:uid="{00000000-0005-0000-0000-0000DE050000}"/>
    <cellStyle name="Comma 3 25 2 3 2" xfId="4686" xr:uid="{00000000-0005-0000-0000-0000DF050000}"/>
    <cellStyle name="Comma 3 25 2 4" xfId="3176" xr:uid="{00000000-0005-0000-0000-0000E0050000}"/>
    <cellStyle name="Comma 3 25 3" xfId="1183" xr:uid="{00000000-0005-0000-0000-0000E1050000}"/>
    <cellStyle name="Comma 3 25 3 2" xfId="1970" xr:uid="{00000000-0005-0000-0000-0000E2050000}"/>
    <cellStyle name="Comma 3 25 3 2 2" xfId="4214" xr:uid="{00000000-0005-0000-0000-0000E3050000}"/>
    <cellStyle name="Comma 3 25 3 3" xfId="2694" xr:uid="{00000000-0005-0000-0000-0000E4050000}"/>
    <cellStyle name="Comma 3 25 3 3 2" xfId="4938" xr:uid="{00000000-0005-0000-0000-0000E5050000}"/>
    <cellStyle name="Comma 3 25 3 4" xfId="3428" xr:uid="{00000000-0005-0000-0000-0000E6050000}"/>
    <cellStyle name="Comma 3 25 4" xfId="1398" xr:uid="{00000000-0005-0000-0000-0000E7050000}"/>
    <cellStyle name="Comma 3 25 4 2" xfId="3642" xr:uid="{00000000-0005-0000-0000-0000E8050000}"/>
    <cellStyle name="Comma 3 25 5" xfId="2184" xr:uid="{00000000-0005-0000-0000-0000E9050000}"/>
    <cellStyle name="Comma 3 25 5 2" xfId="4428" xr:uid="{00000000-0005-0000-0000-0000EA050000}"/>
    <cellStyle name="Comma 3 25 6" xfId="2908" xr:uid="{00000000-0005-0000-0000-0000EB050000}"/>
    <cellStyle name="Comma 3 26" xfId="119" xr:uid="{00000000-0005-0000-0000-0000EC050000}"/>
    <cellStyle name="Comma 3 26 2" xfId="931" xr:uid="{00000000-0005-0000-0000-0000ED050000}"/>
    <cellStyle name="Comma 3 26 2 2" xfId="1719" xr:uid="{00000000-0005-0000-0000-0000EE050000}"/>
    <cellStyle name="Comma 3 26 2 2 2" xfId="3963" xr:uid="{00000000-0005-0000-0000-0000EF050000}"/>
    <cellStyle name="Comma 3 26 2 3" xfId="2443" xr:uid="{00000000-0005-0000-0000-0000F0050000}"/>
    <cellStyle name="Comma 3 26 2 3 2" xfId="4687" xr:uid="{00000000-0005-0000-0000-0000F1050000}"/>
    <cellStyle name="Comma 3 26 2 4" xfId="3177" xr:uid="{00000000-0005-0000-0000-0000F2050000}"/>
    <cellStyle name="Comma 3 26 3" xfId="1184" xr:uid="{00000000-0005-0000-0000-0000F3050000}"/>
    <cellStyle name="Comma 3 26 3 2" xfId="1971" xr:uid="{00000000-0005-0000-0000-0000F4050000}"/>
    <cellStyle name="Comma 3 26 3 2 2" xfId="4215" xr:uid="{00000000-0005-0000-0000-0000F5050000}"/>
    <cellStyle name="Comma 3 26 3 3" xfId="2695" xr:uid="{00000000-0005-0000-0000-0000F6050000}"/>
    <cellStyle name="Comma 3 26 3 3 2" xfId="4939" xr:uid="{00000000-0005-0000-0000-0000F7050000}"/>
    <cellStyle name="Comma 3 26 3 4" xfId="3429" xr:uid="{00000000-0005-0000-0000-0000F8050000}"/>
    <cellStyle name="Comma 3 26 4" xfId="1399" xr:uid="{00000000-0005-0000-0000-0000F9050000}"/>
    <cellStyle name="Comma 3 26 4 2" xfId="3643" xr:uid="{00000000-0005-0000-0000-0000FA050000}"/>
    <cellStyle name="Comma 3 26 5" xfId="2185" xr:uid="{00000000-0005-0000-0000-0000FB050000}"/>
    <cellStyle name="Comma 3 26 5 2" xfId="4429" xr:uid="{00000000-0005-0000-0000-0000FC050000}"/>
    <cellStyle name="Comma 3 26 6" xfId="2909" xr:uid="{00000000-0005-0000-0000-0000FD050000}"/>
    <cellStyle name="Comma 3 27" xfId="120" xr:uid="{00000000-0005-0000-0000-0000FE050000}"/>
    <cellStyle name="Comma 3 27 2" xfId="932" xr:uid="{00000000-0005-0000-0000-0000FF050000}"/>
    <cellStyle name="Comma 3 27 2 2" xfId="1720" xr:uid="{00000000-0005-0000-0000-000000060000}"/>
    <cellStyle name="Comma 3 27 2 2 2" xfId="3964" xr:uid="{00000000-0005-0000-0000-000001060000}"/>
    <cellStyle name="Comma 3 27 2 3" xfId="2444" xr:uid="{00000000-0005-0000-0000-000002060000}"/>
    <cellStyle name="Comma 3 27 2 3 2" xfId="4688" xr:uid="{00000000-0005-0000-0000-000003060000}"/>
    <cellStyle name="Comma 3 27 2 4" xfId="3178" xr:uid="{00000000-0005-0000-0000-000004060000}"/>
    <cellStyle name="Comma 3 27 3" xfId="1185" xr:uid="{00000000-0005-0000-0000-000005060000}"/>
    <cellStyle name="Comma 3 27 3 2" xfId="1972" xr:uid="{00000000-0005-0000-0000-000006060000}"/>
    <cellStyle name="Comma 3 27 3 2 2" xfId="4216" xr:uid="{00000000-0005-0000-0000-000007060000}"/>
    <cellStyle name="Comma 3 27 3 3" xfId="2696" xr:uid="{00000000-0005-0000-0000-000008060000}"/>
    <cellStyle name="Comma 3 27 3 3 2" xfId="4940" xr:uid="{00000000-0005-0000-0000-000009060000}"/>
    <cellStyle name="Comma 3 27 3 4" xfId="3430" xr:uid="{00000000-0005-0000-0000-00000A060000}"/>
    <cellStyle name="Comma 3 27 4" xfId="1400" xr:uid="{00000000-0005-0000-0000-00000B060000}"/>
    <cellStyle name="Comma 3 27 4 2" xfId="3644" xr:uid="{00000000-0005-0000-0000-00000C060000}"/>
    <cellStyle name="Comma 3 27 5" xfId="2186" xr:uid="{00000000-0005-0000-0000-00000D060000}"/>
    <cellStyle name="Comma 3 27 5 2" xfId="4430" xr:uid="{00000000-0005-0000-0000-00000E060000}"/>
    <cellStyle name="Comma 3 27 6" xfId="2910" xr:uid="{00000000-0005-0000-0000-00000F060000}"/>
    <cellStyle name="Comma 3 28" xfId="121" xr:uid="{00000000-0005-0000-0000-000010060000}"/>
    <cellStyle name="Comma 3 28 2" xfId="933" xr:uid="{00000000-0005-0000-0000-000011060000}"/>
    <cellStyle name="Comma 3 28 2 2" xfId="1721" xr:uid="{00000000-0005-0000-0000-000012060000}"/>
    <cellStyle name="Comma 3 28 2 2 2" xfId="3965" xr:uid="{00000000-0005-0000-0000-000013060000}"/>
    <cellStyle name="Comma 3 28 2 3" xfId="2445" xr:uid="{00000000-0005-0000-0000-000014060000}"/>
    <cellStyle name="Comma 3 28 2 3 2" xfId="4689" xr:uid="{00000000-0005-0000-0000-000015060000}"/>
    <cellStyle name="Comma 3 28 2 4" xfId="3179" xr:uid="{00000000-0005-0000-0000-000016060000}"/>
    <cellStyle name="Comma 3 28 3" xfId="1186" xr:uid="{00000000-0005-0000-0000-000017060000}"/>
    <cellStyle name="Comma 3 28 3 2" xfId="1973" xr:uid="{00000000-0005-0000-0000-000018060000}"/>
    <cellStyle name="Comma 3 28 3 2 2" xfId="4217" xr:uid="{00000000-0005-0000-0000-000019060000}"/>
    <cellStyle name="Comma 3 28 3 3" xfId="2697" xr:uid="{00000000-0005-0000-0000-00001A060000}"/>
    <cellStyle name="Comma 3 28 3 3 2" xfId="4941" xr:uid="{00000000-0005-0000-0000-00001B060000}"/>
    <cellStyle name="Comma 3 28 3 4" xfId="3431" xr:uid="{00000000-0005-0000-0000-00001C060000}"/>
    <cellStyle name="Comma 3 28 4" xfId="1401" xr:uid="{00000000-0005-0000-0000-00001D060000}"/>
    <cellStyle name="Comma 3 28 4 2" xfId="3645" xr:uid="{00000000-0005-0000-0000-00001E060000}"/>
    <cellStyle name="Comma 3 28 5" xfId="2187" xr:uid="{00000000-0005-0000-0000-00001F060000}"/>
    <cellStyle name="Comma 3 28 5 2" xfId="4431" xr:uid="{00000000-0005-0000-0000-000020060000}"/>
    <cellStyle name="Comma 3 28 6" xfId="2911" xr:uid="{00000000-0005-0000-0000-000021060000}"/>
    <cellStyle name="Comma 3 29" xfId="122" xr:uid="{00000000-0005-0000-0000-000022060000}"/>
    <cellStyle name="Comma 3 29 2" xfId="934" xr:uid="{00000000-0005-0000-0000-000023060000}"/>
    <cellStyle name="Comma 3 29 2 2" xfId="1722" xr:uid="{00000000-0005-0000-0000-000024060000}"/>
    <cellStyle name="Comma 3 29 2 2 2" xfId="3966" xr:uid="{00000000-0005-0000-0000-000025060000}"/>
    <cellStyle name="Comma 3 29 2 3" xfId="2446" xr:uid="{00000000-0005-0000-0000-000026060000}"/>
    <cellStyle name="Comma 3 29 2 3 2" xfId="4690" xr:uid="{00000000-0005-0000-0000-000027060000}"/>
    <cellStyle name="Comma 3 29 2 4" xfId="3180" xr:uid="{00000000-0005-0000-0000-000028060000}"/>
    <cellStyle name="Comma 3 29 3" xfId="1187" xr:uid="{00000000-0005-0000-0000-000029060000}"/>
    <cellStyle name="Comma 3 29 3 2" xfId="1974" xr:uid="{00000000-0005-0000-0000-00002A060000}"/>
    <cellStyle name="Comma 3 29 3 2 2" xfId="4218" xr:uid="{00000000-0005-0000-0000-00002B060000}"/>
    <cellStyle name="Comma 3 29 3 3" xfId="2698" xr:uid="{00000000-0005-0000-0000-00002C060000}"/>
    <cellStyle name="Comma 3 29 3 3 2" xfId="4942" xr:uid="{00000000-0005-0000-0000-00002D060000}"/>
    <cellStyle name="Comma 3 29 3 4" xfId="3432" xr:uid="{00000000-0005-0000-0000-00002E060000}"/>
    <cellStyle name="Comma 3 29 4" xfId="1402" xr:uid="{00000000-0005-0000-0000-00002F060000}"/>
    <cellStyle name="Comma 3 29 4 2" xfId="3646" xr:uid="{00000000-0005-0000-0000-000030060000}"/>
    <cellStyle name="Comma 3 29 5" xfId="2188" xr:uid="{00000000-0005-0000-0000-000031060000}"/>
    <cellStyle name="Comma 3 29 5 2" xfId="4432" xr:uid="{00000000-0005-0000-0000-000032060000}"/>
    <cellStyle name="Comma 3 29 6" xfId="2912" xr:uid="{00000000-0005-0000-0000-000033060000}"/>
    <cellStyle name="Comma 3 3" xfId="123" xr:uid="{00000000-0005-0000-0000-000034060000}"/>
    <cellStyle name="Comma 3 3 2" xfId="935" xr:uid="{00000000-0005-0000-0000-000035060000}"/>
    <cellStyle name="Comma 3 3 2 2" xfId="1723" xr:uid="{00000000-0005-0000-0000-000036060000}"/>
    <cellStyle name="Comma 3 3 2 2 2" xfId="3967" xr:uid="{00000000-0005-0000-0000-000037060000}"/>
    <cellStyle name="Comma 3 3 2 3" xfId="2447" xr:uid="{00000000-0005-0000-0000-000038060000}"/>
    <cellStyle name="Comma 3 3 2 3 2" xfId="4691" xr:uid="{00000000-0005-0000-0000-000039060000}"/>
    <cellStyle name="Comma 3 3 2 4" xfId="3181" xr:uid="{00000000-0005-0000-0000-00003A060000}"/>
    <cellStyle name="Comma 3 3 3" xfId="1188" xr:uid="{00000000-0005-0000-0000-00003B060000}"/>
    <cellStyle name="Comma 3 3 3 2" xfId="1975" xr:uid="{00000000-0005-0000-0000-00003C060000}"/>
    <cellStyle name="Comma 3 3 3 2 2" xfId="4219" xr:uid="{00000000-0005-0000-0000-00003D060000}"/>
    <cellStyle name="Comma 3 3 3 3" xfId="2699" xr:uid="{00000000-0005-0000-0000-00003E060000}"/>
    <cellStyle name="Comma 3 3 3 3 2" xfId="4943" xr:uid="{00000000-0005-0000-0000-00003F060000}"/>
    <cellStyle name="Comma 3 3 3 4" xfId="3433" xr:uid="{00000000-0005-0000-0000-000040060000}"/>
    <cellStyle name="Comma 3 3 4" xfId="1403" xr:uid="{00000000-0005-0000-0000-000041060000}"/>
    <cellStyle name="Comma 3 3 4 2" xfId="3647" xr:uid="{00000000-0005-0000-0000-000042060000}"/>
    <cellStyle name="Comma 3 3 5" xfId="2189" xr:uid="{00000000-0005-0000-0000-000043060000}"/>
    <cellStyle name="Comma 3 3 5 2" xfId="4433" xr:uid="{00000000-0005-0000-0000-000044060000}"/>
    <cellStyle name="Comma 3 3 6" xfId="2913" xr:uid="{00000000-0005-0000-0000-000045060000}"/>
    <cellStyle name="Comma 3 30" xfId="124" xr:uid="{00000000-0005-0000-0000-000046060000}"/>
    <cellStyle name="Comma 3 30 2" xfId="936" xr:uid="{00000000-0005-0000-0000-000047060000}"/>
    <cellStyle name="Comma 3 30 2 2" xfId="1724" xr:uid="{00000000-0005-0000-0000-000048060000}"/>
    <cellStyle name="Comma 3 30 2 2 2" xfId="3968" xr:uid="{00000000-0005-0000-0000-000049060000}"/>
    <cellStyle name="Comma 3 30 2 3" xfId="2448" xr:uid="{00000000-0005-0000-0000-00004A060000}"/>
    <cellStyle name="Comma 3 30 2 3 2" xfId="4692" xr:uid="{00000000-0005-0000-0000-00004B060000}"/>
    <cellStyle name="Comma 3 30 2 4" xfId="3182" xr:uid="{00000000-0005-0000-0000-00004C060000}"/>
    <cellStyle name="Comma 3 30 3" xfId="1189" xr:uid="{00000000-0005-0000-0000-00004D060000}"/>
    <cellStyle name="Comma 3 30 3 2" xfId="1976" xr:uid="{00000000-0005-0000-0000-00004E060000}"/>
    <cellStyle name="Comma 3 30 3 2 2" xfId="4220" xr:uid="{00000000-0005-0000-0000-00004F060000}"/>
    <cellStyle name="Comma 3 30 3 3" xfId="2700" xr:uid="{00000000-0005-0000-0000-000050060000}"/>
    <cellStyle name="Comma 3 30 3 3 2" xfId="4944" xr:uid="{00000000-0005-0000-0000-000051060000}"/>
    <cellStyle name="Comma 3 30 3 4" xfId="3434" xr:uid="{00000000-0005-0000-0000-000052060000}"/>
    <cellStyle name="Comma 3 30 4" xfId="1404" xr:uid="{00000000-0005-0000-0000-000053060000}"/>
    <cellStyle name="Comma 3 30 4 2" xfId="3648" xr:uid="{00000000-0005-0000-0000-000054060000}"/>
    <cellStyle name="Comma 3 30 5" xfId="2190" xr:uid="{00000000-0005-0000-0000-000055060000}"/>
    <cellStyle name="Comma 3 30 5 2" xfId="4434" xr:uid="{00000000-0005-0000-0000-000056060000}"/>
    <cellStyle name="Comma 3 30 6" xfId="2914" xr:uid="{00000000-0005-0000-0000-000057060000}"/>
    <cellStyle name="Comma 3 31" xfId="125" xr:uid="{00000000-0005-0000-0000-000058060000}"/>
    <cellStyle name="Comma 3 31 2" xfId="937" xr:uid="{00000000-0005-0000-0000-000059060000}"/>
    <cellStyle name="Comma 3 31 2 2" xfId="1725" xr:uid="{00000000-0005-0000-0000-00005A060000}"/>
    <cellStyle name="Comma 3 31 2 2 2" xfId="3969" xr:uid="{00000000-0005-0000-0000-00005B060000}"/>
    <cellStyle name="Comma 3 31 2 3" xfId="2449" xr:uid="{00000000-0005-0000-0000-00005C060000}"/>
    <cellStyle name="Comma 3 31 2 3 2" xfId="4693" xr:uid="{00000000-0005-0000-0000-00005D060000}"/>
    <cellStyle name="Comma 3 31 2 4" xfId="3183" xr:uid="{00000000-0005-0000-0000-00005E060000}"/>
    <cellStyle name="Comma 3 31 3" xfId="1190" xr:uid="{00000000-0005-0000-0000-00005F060000}"/>
    <cellStyle name="Comma 3 31 3 2" xfId="1977" xr:uid="{00000000-0005-0000-0000-000060060000}"/>
    <cellStyle name="Comma 3 31 3 2 2" xfId="4221" xr:uid="{00000000-0005-0000-0000-000061060000}"/>
    <cellStyle name="Comma 3 31 3 3" xfId="2701" xr:uid="{00000000-0005-0000-0000-000062060000}"/>
    <cellStyle name="Comma 3 31 3 3 2" xfId="4945" xr:uid="{00000000-0005-0000-0000-000063060000}"/>
    <cellStyle name="Comma 3 31 3 4" xfId="3435" xr:uid="{00000000-0005-0000-0000-000064060000}"/>
    <cellStyle name="Comma 3 31 4" xfId="1405" xr:uid="{00000000-0005-0000-0000-000065060000}"/>
    <cellStyle name="Comma 3 31 4 2" xfId="3649" xr:uid="{00000000-0005-0000-0000-000066060000}"/>
    <cellStyle name="Comma 3 31 5" xfId="2191" xr:uid="{00000000-0005-0000-0000-000067060000}"/>
    <cellStyle name="Comma 3 31 5 2" xfId="4435" xr:uid="{00000000-0005-0000-0000-000068060000}"/>
    <cellStyle name="Comma 3 31 6" xfId="2915" xr:uid="{00000000-0005-0000-0000-000069060000}"/>
    <cellStyle name="Comma 3 32" xfId="126" xr:uid="{00000000-0005-0000-0000-00006A060000}"/>
    <cellStyle name="Comma 3 32 2" xfId="938" xr:uid="{00000000-0005-0000-0000-00006B060000}"/>
    <cellStyle name="Comma 3 32 2 2" xfId="1726" xr:uid="{00000000-0005-0000-0000-00006C060000}"/>
    <cellStyle name="Comma 3 32 2 2 2" xfId="3970" xr:uid="{00000000-0005-0000-0000-00006D060000}"/>
    <cellStyle name="Comma 3 32 2 3" xfId="2450" xr:uid="{00000000-0005-0000-0000-00006E060000}"/>
    <cellStyle name="Comma 3 32 2 3 2" xfId="4694" xr:uid="{00000000-0005-0000-0000-00006F060000}"/>
    <cellStyle name="Comma 3 32 2 4" xfId="3184" xr:uid="{00000000-0005-0000-0000-000070060000}"/>
    <cellStyle name="Comma 3 32 3" xfId="1191" xr:uid="{00000000-0005-0000-0000-000071060000}"/>
    <cellStyle name="Comma 3 32 3 2" xfId="1978" xr:uid="{00000000-0005-0000-0000-000072060000}"/>
    <cellStyle name="Comma 3 32 3 2 2" xfId="4222" xr:uid="{00000000-0005-0000-0000-000073060000}"/>
    <cellStyle name="Comma 3 32 3 3" xfId="2702" xr:uid="{00000000-0005-0000-0000-000074060000}"/>
    <cellStyle name="Comma 3 32 3 3 2" xfId="4946" xr:uid="{00000000-0005-0000-0000-000075060000}"/>
    <cellStyle name="Comma 3 32 3 4" xfId="3436" xr:uid="{00000000-0005-0000-0000-000076060000}"/>
    <cellStyle name="Comma 3 32 4" xfId="1406" xr:uid="{00000000-0005-0000-0000-000077060000}"/>
    <cellStyle name="Comma 3 32 4 2" xfId="3650" xr:uid="{00000000-0005-0000-0000-000078060000}"/>
    <cellStyle name="Comma 3 32 5" xfId="2192" xr:uid="{00000000-0005-0000-0000-000079060000}"/>
    <cellStyle name="Comma 3 32 5 2" xfId="4436" xr:uid="{00000000-0005-0000-0000-00007A060000}"/>
    <cellStyle name="Comma 3 32 6" xfId="2916" xr:uid="{00000000-0005-0000-0000-00007B060000}"/>
    <cellStyle name="Comma 3 33" xfId="127" xr:uid="{00000000-0005-0000-0000-00007C060000}"/>
    <cellStyle name="Comma 3 33 2" xfId="939" xr:uid="{00000000-0005-0000-0000-00007D060000}"/>
    <cellStyle name="Comma 3 33 2 2" xfId="1727" xr:uid="{00000000-0005-0000-0000-00007E060000}"/>
    <cellStyle name="Comma 3 33 2 2 2" xfId="3971" xr:uid="{00000000-0005-0000-0000-00007F060000}"/>
    <cellStyle name="Comma 3 33 2 3" xfId="2451" xr:uid="{00000000-0005-0000-0000-000080060000}"/>
    <cellStyle name="Comma 3 33 2 3 2" xfId="4695" xr:uid="{00000000-0005-0000-0000-000081060000}"/>
    <cellStyle name="Comma 3 33 2 4" xfId="3185" xr:uid="{00000000-0005-0000-0000-000082060000}"/>
    <cellStyle name="Comma 3 33 3" xfId="1192" xr:uid="{00000000-0005-0000-0000-000083060000}"/>
    <cellStyle name="Comma 3 33 3 2" xfId="1979" xr:uid="{00000000-0005-0000-0000-000084060000}"/>
    <cellStyle name="Comma 3 33 3 2 2" xfId="4223" xr:uid="{00000000-0005-0000-0000-000085060000}"/>
    <cellStyle name="Comma 3 33 3 3" xfId="2703" xr:uid="{00000000-0005-0000-0000-000086060000}"/>
    <cellStyle name="Comma 3 33 3 3 2" xfId="4947" xr:uid="{00000000-0005-0000-0000-000087060000}"/>
    <cellStyle name="Comma 3 33 3 4" xfId="3437" xr:uid="{00000000-0005-0000-0000-000088060000}"/>
    <cellStyle name="Comma 3 33 4" xfId="1407" xr:uid="{00000000-0005-0000-0000-000089060000}"/>
    <cellStyle name="Comma 3 33 4 2" xfId="3651" xr:uid="{00000000-0005-0000-0000-00008A060000}"/>
    <cellStyle name="Comma 3 33 5" xfId="2193" xr:uid="{00000000-0005-0000-0000-00008B060000}"/>
    <cellStyle name="Comma 3 33 5 2" xfId="4437" xr:uid="{00000000-0005-0000-0000-00008C060000}"/>
    <cellStyle name="Comma 3 33 6" xfId="2917" xr:uid="{00000000-0005-0000-0000-00008D060000}"/>
    <cellStyle name="Comma 3 34" xfId="128" xr:uid="{00000000-0005-0000-0000-00008E060000}"/>
    <cellStyle name="Comma 3 34 2" xfId="940" xr:uid="{00000000-0005-0000-0000-00008F060000}"/>
    <cellStyle name="Comma 3 34 2 2" xfId="1728" xr:uid="{00000000-0005-0000-0000-000090060000}"/>
    <cellStyle name="Comma 3 34 2 2 2" xfId="3972" xr:uid="{00000000-0005-0000-0000-000091060000}"/>
    <cellStyle name="Comma 3 34 2 3" xfId="2452" xr:uid="{00000000-0005-0000-0000-000092060000}"/>
    <cellStyle name="Comma 3 34 2 3 2" xfId="4696" xr:uid="{00000000-0005-0000-0000-000093060000}"/>
    <cellStyle name="Comma 3 34 2 4" xfId="3186" xr:uid="{00000000-0005-0000-0000-000094060000}"/>
    <cellStyle name="Comma 3 34 3" xfId="1193" xr:uid="{00000000-0005-0000-0000-000095060000}"/>
    <cellStyle name="Comma 3 34 3 2" xfId="1980" xr:uid="{00000000-0005-0000-0000-000096060000}"/>
    <cellStyle name="Comma 3 34 3 2 2" xfId="4224" xr:uid="{00000000-0005-0000-0000-000097060000}"/>
    <cellStyle name="Comma 3 34 3 3" xfId="2704" xr:uid="{00000000-0005-0000-0000-000098060000}"/>
    <cellStyle name="Comma 3 34 3 3 2" xfId="4948" xr:uid="{00000000-0005-0000-0000-000099060000}"/>
    <cellStyle name="Comma 3 34 3 4" xfId="3438" xr:uid="{00000000-0005-0000-0000-00009A060000}"/>
    <cellStyle name="Comma 3 34 4" xfId="1408" xr:uid="{00000000-0005-0000-0000-00009B060000}"/>
    <cellStyle name="Comma 3 34 4 2" xfId="3652" xr:uid="{00000000-0005-0000-0000-00009C060000}"/>
    <cellStyle name="Comma 3 34 5" xfId="2194" xr:uid="{00000000-0005-0000-0000-00009D060000}"/>
    <cellStyle name="Comma 3 34 5 2" xfId="4438" xr:uid="{00000000-0005-0000-0000-00009E060000}"/>
    <cellStyle name="Comma 3 34 6" xfId="2918" xr:uid="{00000000-0005-0000-0000-00009F060000}"/>
    <cellStyle name="Comma 3 35" xfId="129" xr:uid="{00000000-0005-0000-0000-0000A0060000}"/>
    <cellStyle name="Comma 3 35 2" xfId="941" xr:uid="{00000000-0005-0000-0000-0000A1060000}"/>
    <cellStyle name="Comma 3 35 2 2" xfId="1729" xr:uid="{00000000-0005-0000-0000-0000A2060000}"/>
    <cellStyle name="Comma 3 35 2 2 2" xfId="3973" xr:uid="{00000000-0005-0000-0000-0000A3060000}"/>
    <cellStyle name="Comma 3 35 2 3" xfId="2453" xr:uid="{00000000-0005-0000-0000-0000A4060000}"/>
    <cellStyle name="Comma 3 35 2 3 2" xfId="4697" xr:uid="{00000000-0005-0000-0000-0000A5060000}"/>
    <cellStyle name="Comma 3 35 2 4" xfId="3187" xr:uid="{00000000-0005-0000-0000-0000A6060000}"/>
    <cellStyle name="Comma 3 35 3" xfId="1194" xr:uid="{00000000-0005-0000-0000-0000A7060000}"/>
    <cellStyle name="Comma 3 35 3 2" xfId="1981" xr:uid="{00000000-0005-0000-0000-0000A8060000}"/>
    <cellStyle name="Comma 3 35 3 2 2" xfId="4225" xr:uid="{00000000-0005-0000-0000-0000A9060000}"/>
    <cellStyle name="Comma 3 35 3 3" xfId="2705" xr:uid="{00000000-0005-0000-0000-0000AA060000}"/>
    <cellStyle name="Comma 3 35 3 3 2" xfId="4949" xr:uid="{00000000-0005-0000-0000-0000AB060000}"/>
    <cellStyle name="Comma 3 35 3 4" xfId="3439" xr:uid="{00000000-0005-0000-0000-0000AC060000}"/>
    <cellStyle name="Comma 3 35 4" xfId="1409" xr:uid="{00000000-0005-0000-0000-0000AD060000}"/>
    <cellStyle name="Comma 3 35 4 2" xfId="3653" xr:uid="{00000000-0005-0000-0000-0000AE060000}"/>
    <cellStyle name="Comma 3 35 5" xfId="2195" xr:uid="{00000000-0005-0000-0000-0000AF060000}"/>
    <cellStyle name="Comma 3 35 5 2" xfId="4439" xr:uid="{00000000-0005-0000-0000-0000B0060000}"/>
    <cellStyle name="Comma 3 35 6" xfId="2919" xr:uid="{00000000-0005-0000-0000-0000B1060000}"/>
    <cellStyle name="Comma 3 36" xfId="130" xr:uid="{00000000-0005-0000-0000-0000B2060000}"/>
    <cellStyle name="Comma 3 36 2" xfId="942" xr:uid="{00000000-0005-0000-0000-0000B3060000}"/>
    <cellStyle name="Comma 3 36 2 2" xfId="1730" xr:uid="{00000000-0005-0000-0000-0000B4060000}"/>
    <cellStyle name="Comma 3 36 2 2 2" xfId="3974" xr:uid="{00000000-0005-0000-0000-0000B5060000}"/>
    <cellStyle name="Comma 3 36 2 3" xfId="2454" xr:uid="{00000000-0005-0000-0000-0000B6060000}"/>
    <cellStyle name="Comma 3 36 2 3 2" xfId="4698" xr:uid="{00000000-0005-0000-0000-0000B7060000}"/>
    <cellStyle name="Comma 3 36 2 4" xfId="3188" xr:uid="{00000000-0005-0000-0000-0000B8060000}"/>
    <cellStyle name="Comma 3 36 3" xfId="1195" xr:uid="{00000000-0005-0000-0000-0000B9060000}"/>
    <cellStyle name="Comma 3 36 3 2" xfId="1982" xr:uid="{00000000-0005-0000-0000-0000BA060000}"/>
    <cellStyle name="Comma 3 36 3 2 2" xfId="4226" xr:uid="{00000000-0005-0000-0000-0000BB060000}"/>
    <cellStyle name="Comma 3 36 3 3" xfId="2706" xr:uid="{00000000-0005-0000-0000-0000BC060000}"/>
    <cellStyle name="Comma 3 36 3 3 2" xfId="4950" xr:uid="{00000000-0005-0000-0000-0000BD060000}"/>
    <cellStyle name="Comma 3 36 3 4" xfId="3440" xr:uid="{00000000-0005-0000-0000-0000BE060000}"/>
    <cellStyle name="Comma 3 36 4" xfId="1410" xr:uid="{00000000-0005-0000-0000-0000BF060000}"/>
    <cellStyle name="Comma 3 36 4 2" xfId="3654" xr:uid="{00000000-0005-0000-0000-0000C0060000}"/>
    <cellStyle name="Comma 3 36 5" xfId="2196" xr:uid="{00000000-0005-0000-0000-0000C1060000}"/>
    <cellStyle name="Comma 3 36 5 2" xfId="4440" xr:uid="{00000000-0005-0000-0000-0000C2060000}"/>
    <cellStyle name="Comma 3 36 6" xfId="2920" xr:uid="{00000000-0005-0000-0000-0000C3060000}"/>
    <cellStyle name="Comma 3 37" xfId="131" xr:uid="{00000000-0005-0000-0000-0000C4060000}"/>
    <cellStyle name="Comma 3 37 2" xfId="943" xr:uid="{00000000-0005-0000-0000-0000C5060000}"/>
    <cellStyle name="Comma 3 37 2 2" xfId="1731" xr:uid="{00000000-0005-0000-0000-0000C6060000}"/>
    <cellStyle name="Comma 3 37 2 2 2" xfId="3975" xr:uid="{00000000-0005-0000-0000-0000C7060000}"/>
    <cellStyle name="Comma 3 37 2 3" xfId="2455" xr:uid="{00000000-0005-0000-0000-0000C8060000}"/>
    <cellStyle name="Comma 3 37 2 3 2" xfId="4699" xr:uid="{00000000-0005-0000-0000-0000C9060000}"/>
    <cellStyle name="Comma 3 37 2 4" xfId="3189" xr:uid="{00000000-0005-0000-0000-0000CA060000}"/>
    <cellStyle name="Comma 3 37 3" xfId="1196" xr:uid="{00000000-0005-0000-0000-0000CB060000}"/>
    <cellStyle name="Comma 3 37 3 2" xfId="1983" xr:uid="{00000000-0005-0000-0000-0000CC060000}"/>
    <cellStyle name="Comma 3 37 3 2 2" xfId="4227" xr:uid="{00000000-0005-0000-0000-0000CD060000}"/>
    <cellStyle name="Comma 3 37 3 3" xfId="2707" xr:uid="{00000000-0005-0000-0000-0000CE060000}"/>
    <cellStyle name="Comma 3 37 3 3 2" xfId="4951" xr:uid="{00000000-0005-0000-0000-0000CF060000}"/>
    <cellStyle name="Comma 3 37 3 4" xfId="3441" xr:uid="{00000000-0005-0000-0000-0000D0060000}"/>
    <cellStyle name="Comma 3 37 4" xfId="1411" xr:uid="{00000000-0005-0000-0000-0000D1060000}"/>
    <cellStyle name="Comma 3 37 4 2" xfId="3655" xr:uid="{00000000-0005-0000-0000-0000D2060000}"/>
    <cellStyle name="Comma 3 37 5" xfId="2197" xr:uid="{00000000-0005-0000-0000-0000D3060000}"/>
    <cellStyle name="Comma 3 37 5 2" xfId="4441" xr:uid="{00000000-0005-0000-0000-0000D4060000}"/>
    <cellStyle name="Comma 3 37 6" xfId="2921" xr:uid="{00000000-0005-0000-0000-0000D5060000}"/>
    <cellStyle name="Comma 3 38" xfId="132" xr:uid="{00000000-0005-0000-0000-0000D6060000}"/>
    <cellStyle name="Comma 3 38 2" xfId="944" xr:uid="{00000000-0005-0000-0000-0000D7060000}"/>
    <cellStyle name="Comma 3 38 2 2" xfId="1732" xr:uid="{00000000-0005-0000-0000-0000D8060000}"/>
    <cellStyle name="Comma 3 38 2 2 2" xfId="3976" xr:uid="{00000000-0005-0000-0000-0000D9060000}"/>
    <cellStyle name="Comma 3 38 2 3" xfId="2456" xr:uid="{00000000-0005-0000-0000-0000DA060000}"/>
    <cellStyle name="Comma 3 38 2 3 2" xfId="4700" xr:uid="{00000000-0005-0000-0000-0000DB060000}"/>
    <cellStyle name="Comma 3 38 2 4" xfId="3190" xr:uid="{00000000-0005-0000-0000-0000DC060000}"/>
    <cellStyle name="Comma 3 38 3" xfId="1197" xr:uid="{00000000-0005-0000-0000-0000DD060000}"/>
    <cellStyle name="Comma 3 38 3 2" xfId="1984" xr:uid="{00000000-0005-0000-0000-0000DE060000}"/>
    <cellStyle name="Comma 3 38 3 2 2" xfId="4228" xr:uid="{00000000-0005-0000-0000-0000DF060000}"/>
    <cellStyle name="Comma 3 38 3 3" xfId="2708" xr:uid="{00000000-0005-0000-0000-0000E0060000}"/>
    <cellStyle name="Comma 3 38 3 3 2" xfId="4952" xr:uid="{00000000-0005-0000-0000-0000E1060000}"/>
    <cellStyle name="Comma 3 38 3 4" xfId="3442" xr:uid="{00000000-0005-0000-0000-0000E2060000}"/>
    <cellStyle name="Comma 3 38 4" xfId="1412" xr:uid="{00000000-0005-0000-0000-0000E3060000}"/>
    <cellStyle name="Comma 3 38 4 2" xfId="3656" xr:uid="{00000000-0005-0000-0000-0000E4060000}"/>
    <cellStyle name="Comma 3 38 5" xfId="2198" xr:uid="{00000000-0005-0000-0000-0000E5060000}"/>
    <cellStyle name="Comma 3 38 5 2" xfId="4442" xr:uid="{00000000-0005-0000-0000-0000E6060000}"/>
    <cellStyle name="Comma 3 38 6" xfId="2922" xr:uid="{00000000-0005-0000-0000-0000E7060000}"/>
    <cellStyle name="Comma 3 39" xfId="133" xr:uid="{00000000-0005-0000-0000-0000E8060000}"/>
    <cellStyle name="Comma 3 39 2" xfId="945" xr:uid="{00000000-0005-0000-0000-0000E9060000}"/>
    <cellStyle name="Comma 3 39 2 2" xfId="1733" xr:uid="{00000000-0005-0000-0000-0000EA060000}"/>
    <cellStyle name="Comma 3 39 2 2 2" xfId="3977" xr:uid="{00000000-0005-0000-0000-0000EB060000}"/>
    <cellStyle name="Comma 3 39 2 3" xfId="2457" xr:uid="{00000000-0005-0000-0000-0000EC060000}"/>
    <cellStyle name="Comma 3 39 2 3 2" xfId="4701" xr:uid="{00000000-0005-0000-0000-0000ED060000}"/>
    <cellStyle name="Comma 3 39 2 4" xfId="3191" xr:uid="{00000000-0005-0000-0000-0000EE060000}"/>
    <cellStyle name="Comma 3 39 3" xfId="1198" xr:uid="{00000000-0005-0000-0000-0000EF060000}"/>
    <cellStyle name="Comma 3 39 3 2" xfId="1985" xr:uid="{00000000-0005-0000-0000-0000F0060000}"/>
    <cellStyle name="Comma 3 39 3 2 2" xfId="4229" xr:uid="{00000000-0005-0000-0000-0000F1060000}"/>
    <cellStyle name="Comma 3 39 3 3" xfId="2709" xr:uid="{00000000-0005-0000-0000-0000F2060000}"/>
    <cellStyle name="Comma 3 39 3 3 2" xfId="4953" xr:uid="{00000000-0005-0000-0000-0000F3060000}"/>
    <cellStyle name="Comma 3 39 3 4" xfId="3443" xr:uid="{00000000-0005-0000-0000-0000F4060000}"/>
    <cellStyle name="Comma 3 39 4" xfId="1413" xr:uid="{00000000-0005-0000-0000-0000F5060000}"/>
    <cellStyle name="Comma 3 39 4 2" xfId="3657" xr:uid="{00000000-0005-0000-0000-0000F6060000}"/>
    <cellStyle name="Comma 3 39 5" xfId="2199" xr:uid="{00000000-0005-0000-0000-0000F7060000}"/>
    <cellStyle name="Comma 3 39 5 2" xfId="4443" xr:uid="{00000000-0005-0000-0000-0000F8060000}"/>
    <cellStyle name="Comma 3 39 6" xfId="2923" xr:uid="{00000000-0005-0000-0000-0000F9060000}"/>
    <cellStyle name="Comma 3 4" xfId="134" xr:uid="{00000000-0005-0000-0000-0000FA060000}"/>
    <cellStyle name="Comma 3 4 2" xfId="946" xr:uid="{00000000-0005-0000-0000-0000FB060000}"/>
    <cellStyle name="Comma 3 4 2 2" xfId="1734" xr:uid="{00000000-0005-0000-0000-0000FC060000}"/>
    <cellStyle name="Comma 3 4 2 2 2" xfId="3978" xr:uid="{00000000-0005-0000-0000-0000FD060000}"/>
    <cellStyle name="Comma 3 4 2 3" xfId="2458" xr:uid="{00000000-0005-0000-0000-0000FE060000}"/>
    <cellStyle name="Comma 3 4 2 3 2" xfId="4702" xr:uid="{00000000-0005-0000-0000-0000FF060000}"/>
    <cellStyle name="Comma 3 4 2 4" xfId="3192" xr:uid="{00000000-0005-0000-0000-000000070000}"/>
    <cellStyle name="Comma 3 4 3" xfId="1199" xr:uid="{00000000-0005-0000-0000-000001070000}"/>
    <cellStyle name="Comma 3 4 3 2" xfId="1986" xr:uid="{00000000-0005-0000-0000-000002070000}"/>
    <cellStyle name="Comma 3 4 3 2 2" xfId="4230" xr:uid="{00000000-0005-0000-0000-000003070000}"/>
    <cellStyle name="Comma 3 4 3 3" xfId="2710" xr:uid="{00000000-0005-0000-0000-000004070000}"/>
    <cellStyle name="Comma 3 4 3 3 2" xfId="4954" xr:uid="{00000000-0005-0000-0000-000005070000}"/>
    <cellStyle name="Comma 3 4 3 4" xfId="3444" xr:uid="{00000000-0005-0000-0000-000006070000}"/>
    <cellStyle name="Comma 3 4 4" xfId="1414" xr:uid="{00000000-0005-0000-0000-000007070000}"/>
    <cellStyle name="Comma 3 4 4 2" xfId="3658" xr:uid="{00000000-0005-0000-0000-000008070000}"/>
    <cellStyle name="Comma 3 4 5" xfId="2200" xr:uid="{00000000-0005-0000-0000-000009070000}"/>
    <cellStyle name="Comma 3 4 5 2" xfId="4444" xr:uid="{00000000-0005-0000-0000-00000A070000}"/>
    <cellStyle name="Comma 3 4 6" xfId="2924" xr:uid="{00000000-0005-0000-0000-00000B070000}"/>
    <cellStyle name="Comma 3 40" xfId="135" xr:uid="{00000000-0005-0000-0000-00000C070000}"/>
    <cellStyle name="Comma 3 40 2" xfId="947" xr:uid="{00000000-0005-0000-0000-00000D070000}"/>
    <cellStyle name="Comma 3 40 2 2" xfId="1735" xr:uid="{00000000-0005-0000-0000-00000E070000}"/>
    <cellStyle name="Comma 3 40 2 2 2" xfId="3979" xr:uid="{00000000-0005-0000-0000-00000F070000}"/>
    <cellStyle name="Comma 3 40 2 3" xfId="2459" xr:uid="{00000000-0005-0000-0000-000010070000}"/>
    <cellStyle name="Comma 3 40 2 3 2" xfId="4703" xr:uid="{00000000-0005-0000-0000-000011070000}"/>
    <cellStyle name="Comma 3 40 2 4" xfId="3193" xr:uid="{00000000-0005-0000-0000-000012070000}"/>
    <cellStyle name="Comma 3 40 3" xfId="1200" xr:uid="{00000000-0005-0000-0000-000013070000}"/>
    <cellStyle name="Comma 3 40 3 2" xfId="1987" xr:uid="{00000000-0005-0000-0000-000014070000}"/>
    <cellStyle name="Comma 3 40 3 2 2" xfId="4231" xr:uid="{00000000-0005-0000-0000-000015070000}"/>
    <cellStyle name="Comma 3 40 3 3" xfId="2711" xr:uid="{00000000-0005-0000-0000-000016070000}"/>
    <cellStyle name="Comma 3 40 3 3 2" xfId="4955" xr:uid="{00000000-0005-0000-0000-000017070000}"/>
    <cellStyle name="Comma 3 40 3 4" xfId="3445" xr:uid="{00000000-0005-0000-0000-000018070000}"/>
    <cellStyle name="Comma 3 40 4" xfId="1415" xr:uid="{00000000-0005-0000-0000-000019070000}"/>
    <cellStyle name="Comma 3 40 4 2" xfId="3659" xr:uid="{00000000-0005-0000-0000-00001A070000}"/>
    <cellStyle name="Comma 3 40 5" xfId="2201" xr:uid="{00000000-0005-0000-0000-00001B070000}"/>
    <cellStyle name="Comma 3 40 5 2" xfId="4445" xr:uid="{00000000-0005-0000-0000-00001C070000}"/>
    <cellStyle name="Comma 3 40 6" xfId="2925" xr:uid="{00000000-0005-0000-0000-00001D070000}"/>
    <cellStyle name="Comma 3 41" xfId="136" xr:uid="{00000000-0005-0000-0000-00001E070000}"/>
    <cellStyle name="Comma 3 41 2" xfId="948" xr:uid="{00000000-0005-0000-0000-00001F070000}"/>
    <cellStyle name="Comma 3 41 2 2" xfId="1736" xr:uid="{00000000-0005-0000-0000-000020070000}"/>
    <cellStyle name="Comma 3 41 2 2 2" xfId="3980" xr:uid="{00000000-0005-0000-0000-000021070000}"/>
    <cellStyle name="Comma 3 41 2 3" xfId="2460" xr:uid="{00000000-0005-0000-0000-000022070000}"/>
    <cellStyle name="Comma 3 41 2 3 2" xfId="4704" xr:uid="{00000000-0005-0000-0000-000023070000}"/>
    <cellStyle name="Comma 3 41 2 4" xfId="3194" xr:uid="{00000000-0005-0000-0000-000024070000}"/>
    <cellStyle name="Comma 3 41 3" xfId="1201" xr:uid="{00000000-0005-0000-0000-000025070000}"/>
    <cellStyle name="Comma 3 41 3 2" xfId="1988" xr:uid="{00000000-0005-0000-0000-000026070000}"/>
    <cellStyle name="Comma 3 41 3 2 2" xfId="4232" xr:uid="{00000000-0005-0000-0000-000027070000}"/>
    <cellStyle name="Comma 3 41 3 3" xfId="2712" xr:uid="{00000000-0005-0000-0000-000028070000}"/>
    <cellStyle name="Comma 3 41 3 3 2" xfId="4956" xr:uid="{00000000-0005-0000-0000-000029070000}"/>
    <cellStyle name="Comma 3 41 3 4" xfId="3446" xr:uid="{00000000-0005-0000-0000-00002A070000}"/>
    <cellStyle name="Comma 3 41 4" xfId="1416" xr:uid="{00000000-0005-0000-0000-00002B070000}"/>
    <cellStyle name="Comma 3 41 4 2" xfId="3660" xr:uid="{00000000-0005-0000-0000-00002C070000}"/>
    <cellStyle name="Comma 3 41 5" xfId="2202" xr:uid="{00000000-0005-0000-0000-00002D070000}"/>
    <cellStyle name="Comma 3 41 5 2" xfId="4446" xr:uid="{00000000-0005-0000-0000-00002E070000}"/>
    <cellStyle name="Comma 3 41 6" xfId="2926" xr:uid="{00000000-0005-0000-0000-00002F070000}"/>
    <cellStyle name="Comma 3 42" xfId="137" xr:uid="{00000000-0005-0000-0000-000030070000}"/>
    <cellStyle name="Comma 3 42 2" xfId="949" xr:uid="{00000000-0005-0000-0000-000031070000}"/>
    <cellStyle name="Comma 3 42 2 2" xfId="1737" xr:uid="{00000000-0005-0000-0000-000032070000}"/>
    <cellStyle name="Comma 3 42 2 2 2" xfId="3981" xr:uid="{00000000-0005-0000-0000-000033070000}"/>
    <cellStyle name="Comma 3 42 2 3" xfId="2461" xr:uid="{00000000-0005-0000-0000-000034070000}"/>
    <cellStyle name="Comma 3 42 2 3 2" xfId="4705" xr:uid="{00000000-0005-0000-0000-000035070000}"/>
    <cellStyle name="Comma 3 42 2 4" xfId="3195" xr:uid="{00000000-0005-0000-0000-000036070000}"/>
    <cellStyle name="Comma 3 42 3" xfId="1202" xr:uid="{00000000-0005-0000-0000-000037070000}"/>
    <cellStyle name="Comma 3 42 3 2" xfId="1989" xr:uid="{00000000-0005-0000-0000-000038070000}"/>
    <cellStyle name="Comma 3 42 3 2 2" xfId="4233" xr:uid="{00000000-0005-0000-0000-000039070000}"/>
    <cellStyle name="Comma 3 42 3 3" xfId="2713" xr:uid="{00000000-0005-0000-0000-00003A070000}"/>
    <cellStyle name="Comma 3 42 3 3 2" xfId="4957" xr:uid="{00000000-0005-0000-0000-00003B070000}"/>
    <cellStyle name="Comma 3 42 3 4" xfId="3447" xr:uid="{00000000-0005-0000-0000-00003C070000}"/>
    <cellStyle name="Comma 3 42 4" xfId="1417" xr:uid="{00000000-0005-0000-0000-00003D070000}"/>
    <cellStyle name="Comma 3 42 4 2" xfId="3661" xr:uid="{00000000-0005-0000-0000-00003E070000}"/>
    <cellStyle name="Comma 3 42 5" xfId="2203" xr:uid="{00000000-0005-0000-0000-00003F070000}"/>
    <cellStyle name="Comma 3 42 5 2" xfId="4447" xr:uid="{00000000-0005-0000-0000-000040070000}"/>
    <cellStyle name="Comma 3 42 6" xfId="2927" xr:uid="{00000000-0005-0000-0000-000041070000}"/>
    <cellStyle name="Comma 3 43" xfId="138" xr:uid="{00000000-0005-0000-0000-000042070000}"/>
    <cellStyle name="Comma 3 43 2" xfId="950" xr:uid="{00000000-0005-0000-0000-000043070000}"/>
    <cellStyle name="Comma 3 43 2 2" xfId="1738" xr:uid="{00000000-0005-0000-0000-000044070000}"/>
    <cellStyle name="Comma 3 43 2 2 2" xfId="3982" xr:uid="{00000000-0005-0000-0000-000045070000}"/>
    <cellStyle name="Comma 3 43 2 3" xfId="2462" xr:uid="{00000000-0005-0000-0000-000046070000}"/>
    <cellStyle name="Comma 3 43 2 3 2" xfId="4706" xr:uid="{00000000-0005-0000-0000-000047070000}"/>
    <cellStyle name="Comma 3 43 2 4" xfId="3196" xr:uid="{00000000-0005-0000-0000-000048070000}"/>
    <cellStyle name="Comma 3 43 3" xfId="1203" xr:uid="{00000000-0005-0000-0000-000049070000}"/>
    <cellStyle name="Comma 3 43 3 2" xfId="1990" xr:uid="{00000000-0005-0000-0000-00004A070000}"/>
    <cellStyle name="Comma 3 43 3 2 2" xfId="4234" xr:uid="{00000000-0005-0000-0000-00004B070000}"/>
    <cellStyle name="Comma 3 43 3 3" xfId="2714" xr:uid="{00000000-0005-0000-0000-00004C070000}"/>
    <cellStyle name="Comma 3 43 3 3 2" xfId="4958" xr:uid="{00000000-0005-0000-0000-00004D070000}"/>
    <cellStyle name="Comma 3 43 3 4" xfId="3448" xr:uid="{00000000-0005-0000-0000-00004E070000}"/>
    <cellStyle name="Comma 3 43 4" xfId="1418" xr:uid="{00000000-0005-0000-0000-00004F070000}"/>
    <cellStyle name="Comma 3 43 4 2" xfId="3662" xr:uid="{00000000-0005-0000-0000-000050070000}"/>
    <cellStyle name="Comma 3 43 5" xfId="2204" xr:uid="{00000000-0005-0000-0000-000051070000}"/>
    <cellStyle name="Comma 3 43 5 2" xfId="4448" xr:uid="{00000000-0005-0000-0000-000052070000}"/>
    <cellStyle name="Comma 3 43 6" xfId="2928" xr:uid="{00000000-0005-0000-0000-000053070000}"/>
    <cellStyle name="Comma 3 44" xfId="139" xr:uid="{00000000-0005-0000-0000-000054070000}"/>
    <cellStyle name="Comma 3 44 2" xfId="951" xr:uid="{00000000-0005-0000-0000-000055070000}"/>
    <cellStyle name="Comma 3 44 2 2" xfId="1739" xr:uid="{00000000-0005-0000-0000-000056070000}"/>
    <cellStyle name="Comma 3 44 2 2 2" xfId="3983" xr:uid="{00000000-0005-0000-0000-000057070000}"/>
    <cellStyle name="Comma 3 44 2 3" xfId="2463" xr:uid="{00000000-0005-0000-0000-000058070000}"/>
    <cellStyle name="Comma 3 44 2 3 2" xfId="4707" xr:uid="{00000000-0005-0000-0000-000059070000}"/>
    <cellStyle name="Comma 3 44 2 4" xfId="3197" xr:uid="{00000000-0005-0000-0000-00005A070000}"/>
    <cellStyle name="Comma 3 44 3" xfId="1204" xr:uid="{00000000-0005-0000-0000-00005B070000}"/>
    <cellStyle name="Comma 3 44 3 2" xfId="1991" xr:uid="{00000000-0005-0000-0000-00005C070000}"/>
    <cellStyle name="Comma 3 44 3 2 2" xfId="4235" xr:uid="{00000000-0005-0000-0000-00005D070000}"/>
    <cellStyle name="Comma 3 44 3 3" xfId="2715" xr:uid="{00000000-0005-0000-0000-00005E070000}"/>
    <cellStyle name="Comma 3 44 3 3 2" xfId="4959" xr:uid="{00000000-0005-0000-0000-00005F070000}"/>
    <cellStyle name="Comma 3 44 3 4" xfId="3449" xr:uid="{00000000-0005-0000-0000-000060070000}"/>
    <cellStyle name="Comma 3 44 4" xfId="1419" xr:uid="{00000000-0005-0000-0000-000061070000}"/>
    <cellStyle name="Comma 3 44 4 2" xfId="3663" xr:uid="{00000000-0005-0000-0000-000062070000}"/>
    <cellStyle name="Comma 3 44 5" xfId="2205" xr:uid="{00000000-0005-0000-0000-000063070000}"/>
    <cellStyle name="Comma 3 44 5 2" xfId="4449" xr:uid="{00000000-0005-0000-0000-000064070000}"/>
    <cellStyle name="Comma 3 44 6" xfId="2929" xr:uid="{00000000-0005-0000-0000-000065070000}"/>
    <cellStyle name="Comma 3 45" xfId="140" xr:uid="{00000000-0005-0000-0000-000066070000}"/>
    <cellStyle name="Comma 3 45 2" xfId="952" xr:uid="{00000000-0005-0000-0000-000067070000}"/>
    <cellStyle name="Comma 3 45 2 2" xfId="1740" xr:uid="{00000000-0005-0000-0000-000068070000}"/>
    <cellStyle name="Comma 3 45 2 2 2" xfId="3984" xr:uid="{00000000-0005-0000-0000-000069070000}"/>
    <cellStyle name="Comma 3 45 2 3" xfId="2464" xr:uid="{00000000-0005-0000-0000-00006A070000}"/>
    <cellStyle name="Comma 3 45 2 3 2" xfId="4708" xr:uid="{00000000-0005-0000-0000-00006B070000}"/>
    <cellStyle name="Comma 3 45 2 4" xfId="3198" xr:uid="{00000000-0005-0000-0000-00006C070000}"/>
    <cellStyle name="Comma 3 45 3" xfId="1205" xr:uid="{00000000-0005-0000-0000-00006D070000}"/>
    <cellStyle name="Comma 3 45 3 2" xfId="1992" xr:uid="{00000000-0005-0000-0000-00006E070000}"/>
    <cellStyle name="Comma 3 45 3 2 2" xfId="4236" xr:uid="{00000000-0005-0000-0000-00006F070000}"/>
    <cellStyle name="Comma 3 45 3 3" xfId="2716" xr:uid="{00000000-0005-0000-0000-000070070000}"/>
    <cellStyle name="Comma 3 45 3 3 2" xfId="4960" xr:uid="{00000000-0005-0000-0000-000071070000}"/>
    <cellStyle name="Comma 3 45 3 4" xfId="3450" xr:uid="{00000000-0005-0000-0000-000072070000}"/>
    <cellStyle name="Comma 3 45 4" xfId="1420" xr:uid="{00000000-0005-0000-0000-000073070000}"/>
    <cellStyle name="Comma 3 45 4 2" xfId="3664" xr:uid="{00000000-0005-0000-0000-000074070000}"/>
    <cellStyle name="Comma 3 45 5" xfId="2206" xr:uid="{00000000-0005-0000-0000-000075070000}"/>
    <cellStyle name="Comma 3 45 5 2" xfId="4450" xr:uid="{00000000-0005-0000-0000-000076070000}"/>
    <cellStyle name="Comma 3 45 6" xfId="2930" xr:uid="{00000000-0005-0000-0000-000077070000}"/>
    <cellStyle name="Comma 3 46" xfId="141" xr:uid="{00000000-0005-0000-0000-000078070000}"/>
    <cellStyle name="Comma 3 46 2" xfId="953" xr:uid="{00000000-0005-0000-0000-000079070000}"/>
    <cellStyle name="Comma 3 46 2 2" xfId="1741" xr:uid="{00000000-0005-0000-0000-00007A070000}"/>
    <cellStyle name="Comma 3 46 2 2 2" xfId="3985" xr:uid="{00000000-0005-0000-0000-00007B070000}"/>
    <cellStyle name="Comma 3 46 2 3" xfId="2465" xr:uid="{00000000-0005-0000-0000-00007C070000}"/>
    <cellStyle name="Comma 3 46 2 3 2" xfId="4709" xr:uid="{00000000-0005-0000-0000-00007D070000}"/>
    <cellStyle name="Comma 3 46 2 4" xfId="3199" xr:uid="{00000000-0005-0000-0000-00007E070000}"/>
    <cellStyle name="Comma 3 46 3" xfId="1206" xr:uid="{00000000-0005-0000-0000-00007F070000}"/>
    <cellStyle name="Comma 3 46 3 2" xfId="1993" xr:uid="{00000000-0005-0000-0000-000080070000}"/>
    <cellStyle name="Comma 3 46 3 2 2" xfId="4237" xr:uid="{00000000-0005-0000-0000-000081070000}"/>
    <cellStyle name="Comma 3 46 3 3" xfId="2717" xr:uid="{00000000-0005-0000-0000-000082070000}"/>
    <cellStyle name="Comma 3 46 3 3 2" xfId="4961" xr:uid="{00000000-0005-0000-0000-000083070000}"/>
    <cellStyle name="Comma 3 46 3 4" xfId="3451" xr:uid="{00000000-0005-0000-0000-000084070000}"/>
    <cellStyle name="Comma 3 46 4" xfId="1421" xr:uid="{00000000-0005-0000-0000-000085070000}"/>
    <cellStyle name="Comma 3 46 4 2" xfId="3665" xr:uid="{00000000-0005-0000-0000-000086070000}"/>
    <cellStyle name="Comma 3 46 5" xfId="2207" xr:uid="{00000000-0005-0000-0000-000087070000}"/>
    <cellStyle name="Comma 3 46 5 2" xfId="4451" xr:uid="{00000000-0005-0000-0000-000088070000}"/>
    <cellStyle name="Comma 3 46 6" xfId="2931" xr:uid="{00000000-0005-0000-0000-000089070000}"/>
    <cellStyle name="Comma 3 47" xfId="142" xr:uid="{00000000-0005-0000-0000-00008A070000}"/>
    <cellStyle name="Comma 3 47 2" xfId="954" xr:uid="{00000000-0005-0000-0000-00008B070000}"/>
    <cellStyle name="Comma 3 47 2 2" xfId="1742" xr:uid="{00000000-0005-0000-0000-00008C070000}"/>
    <cellStyle name="Comma 3 47 2 2 2" xfId="3986" xr:uid="{00000000-0005-0000-0000-00008D070000}"/>
    <cellStyle name="Comma 3 47 2 3" xfId="2466" xr:uid="{00000000-0005-0000-0000-00008E070000}"/>
    <cellStyle name="Comma 3 47 2 3 2" xfId="4710" xr:uid="{00000000-0005-0000-0000-00008F070000}"/>
    <cellStyle name="Comma 3 47 2 4" xfId="3200" xr:uid="{00000000-0005-0000-0000-000090070000}"/>
    <cellStyle name="Comma 3 47 3" xfId="1207" xr:uid="{00000000-0005-0000-0000-000091070000}"/>
    <cellStyle name="Comma 3 47 3 2" xfId="1994" xr:uid="{00000000-0005-0000-0000-000092070000}"/>
    <cellStyle name="Comma 3 47 3 2 2" xfId="4238" xr:uid="{00000000-0005-0000-0000-000093070000}"/>
    <cellStyle name="Comma 3 47 3 3" xfId="2718" xr:uid="{00000000-0005-0000-0000-000094070000}"/>
    <cellStyle name="Comma 3 47 3 3 2" xfId="4962" xr:uid="{00000000-0005-0000-0000-000095070000}"/>
    <cellStyle name="Comma 3 47 3 4" xfId="3452" xr:uid="{00000000-0005-0000-0000-000096070000}"/>
    <cellStyle name="Comma 3 47 4" xfId="1422" xr:uid="{00000000-0005-0000-0000-000097070000}"/>
    <cellStyle name="Comma 3 47 4 2" xfId="3666" xr:uid="{00000000-0005-0000-0000-000098070000}"/>
    <cellStyle name="Comma 3 47 5" xfId="2208" xr:uid="{00000000-0005-0000-0000-000099070000}"/>
    <cellStyle name="Comma 3 47 5 2" xfId="4452" xr:uid="{00000000-0005-0000-0000-00009A070000}"/>
    <cellStyle name="Comma 3 47 6" xfId="2932" xr:uid="{00000000-0005-0000-0000-00009B070000}"/>
    <cellStyle name="Comma 3 48" xfId="143" xr:uid="{00000000-0005-0000-0000-00009C070000}"/>
    <cellStyle name="Comma 3 48 2" xfId="955" xr:uid="{00000000-0005-0000-0000-00009D070000}"/>
    <cellStyle name="Comma 3 48 2 2" xfId="1743" xr:uid="{00000000-0005-0000-0000-00009E070000}"/>
    <cellStyle name="Comma 3 48 2 2 2" xfId="3987" xr:uid="{00000000-0005-0000-0000-00009F070000}"/>
    <cellStyle name="Comma 3 48 2 3" xfId="2467" xr:uid="{00000000-0005-0000-0000-0000A0070000}"/>
    <cellStyle name="Comma 3 48 2 3 2" xfId="4711" xr:uid="{00000000-0005-0000-0000-0000A1070000}"/>
    <cellStyle name="Comma 3 48 2 4" xfId="3201" xr:uid="{00000000-0005-0000-0000-0000A2070000}"/>
    <cellStyle name="Comma 3 48 3" xfId="1208" xr:uid="{00000000-0005-0000-0000-0000A3070000}"/>
    <cellStyle name="Comma 3 48 3 2" xfId="1995" xr:uid="{00000000-0005-0000-0000-0000A4070000}"/>
    <cellStyle name="Comma 3 48 3 2 2" xfId="4239" xr:uid="{00000000-0005-0000-0000-0000A5070000}"/>
    <cellStyle name="Comma 3 48 3 3" xfId="2719" xr:uid="{00000000-0005-0000-0000-0000A6070000}"/>
    <cellStyle name="Comma 3 48 3 3 2" xfId="4963" xr:uid="{00000000-0005-0000-0000-0000A7070000}"/>
    <cellStyle name="Comma 3 48 3 4" xfId="3453" xr:uid="{00000000-0005-0000-0000-0000A8070000}"/>
    <cellStyle name="Comma 3 48 4" xfId="1423" xr:uid="{00000000-0005-0000-0000-0000A9070000}"/>
    <cellStyle name="Comma 3 48 4 2" xfId="3667" xr:uid="{00000000-0005-0000-0000-0000AA070000}"/>
    <cellStyle name="Comma 3 48 5" xfId="2209" xr:uid="{00000000-0005-0000-0000-0000AB070000}"/>
    <cellStyle name="Comma 3 48 5 2" xfId="4453" xr:uid="{00000000-0005-0000-0000-0000AC070000}"/>
    <cellStyle name="Comma 3 48 6" xfId="2933" xr:uid="{00000000-0005-0000-0000-0000AD070000}"/>
    <cellStyle name="Comma 3 49" xfId="144" xr:uid="{00000000-0005-0000-0000-0000AE070000}"/>
    <cellStyle name="Comma 3 49 2" xfId="956" xr:uid="{00000000-0005-0000-0000-0000AF070000}"/>
    <cellStyle name="Comma 3 49 2 2" xfId="1744" xr:uid="{00000000-0005-0000-0000-0000B0070000}"/>
    <cellStyle name="Comma 3 49 2 2 2" xfId="3988" xr:uid="{00000000-0005-0000-0000-0000B1070000}"/>
    <cellStyle name="Comma 3 49 2 3" xfId="2468" xr:uid="{00000000-0005-0000-0000-0000B2070000}"/>
    <cellStyle name="Comma 3 49 2 3 2" xfId="4712" xr:uid="{00000000-0005-0000-0000-0000B3070000}"/>
    <cellStyle name="Comma 3 49 2 4" xfId="3202" xr:uid="{00000000-0005-0000-0000-0000B4070000}"/>
    <cellStyle name="Comma 3 49 3" xfId="1209" xr:uid="{00000000-0005-0000-0000-0000B5070000}"/>
    <cellStyle name="Comma 3 49 3 2" xfId="1996" xr:uid="{00000000-0005-0000-0000-0000B6070000}"/>
    <cellStyle name="Comma 3 49 3 2 2" xfId="4240" xr:uid="{00000000-0005-0000-0000-0000B7070000}"/>
    <cellStyle name="Comma 3 49 3 3" xfId="2720" xr:uid="{00000000-0005-0000-0000-0000B8070000}"/>
    <cellStyle name="Comma 3 49 3 3 2" xfId="4964" xr:uid="{00000000-0005-0000-0000-0000B9070000}"/>
    <cellStyle name="Comma 3 49 3 4" xfId="3454" xr:uid="{00000000-0005-0000-0000-0000BA070000}"/>
    <cellStyle name="Comma 3 49 4" xfId="1424" xr:uid="{00000000-0005-0000-0000-0000BB070000}"/>
    <cellStyle name="Comma 3 49 4 2" xfId="3668" xr:uid="{00000000-0005-0000-0000-0000BC070000}"/>
    <cellStyle name="Comma 3 49 5" xfId="2210" xr:uid="{00000000-0005-0000-0000-0000BD070000}"/>
    <cellStyle name="Comma 3 49 5 2" xfId="4454" xr:uid="{00000000-0005-0000-0000-0000BE070000}"/>
    <cellStyle name="Comma 3 49 6" xfId="2934" xr:uid="{00000000-0005-0000-0000-0000BF070000}"/>
    <cellStyle name="Comma 3 5" xfId="145" xr:uid="{00000000-0005-0000-0000-0000C0070000}"/>
    <cellStyle name="Comma 3 5 2" xfId="957" xr:uid="{00000000-0005-0000-0000-0000C1070000}"/>
    <cellStyle name="Comma 3 5 2 2" xfId="1745" xr:uid="{00000000-0005-0000-0000-0000C2070000}"/>
    <cellStyle name="Comma 3 5 2 2 2" xfId="3989" xr:uid="{00000000-0005-0000-0000-0000C3070000}"/>
    <cellStyle name="Comma 3 5 2 3" xfId="2469" xr:uid="{00000000-0005-0000-0000-0000C4070000}"/>
    <cellStyle name="Comma 3 5 2 3 2" xfId="4713" xr:uid="{00000000-0005-0000-0000-0000C5070000}"/>
    <cellStyle name="Comma 3 5 2 4" xfId="3203" xr:uid="{00000000-0005-0000-0000-0000C6070000}"/>
    <cellStyle name="Comma 3 5 3" xfId="1210" xr:uid="{00000000-0005-0000-0000-0000C7070000}"/>
    <cellStyle name="Comma 3 5 3 2" xfId="1997" xr:uid="{00000000-0005-0000-0000-0000C8070000}"/>
    <cellStyle name="Comma 3 5 3 2 2" xfId="4241" xr:uid="{00000000-0005-0000-0000-0000C9070000}"/>
    <cellStyle name="Comma 3 5 3 3" xfId="2721" xr:uid="{00000000-0005-0000-0000-0000CA070000}"/>
    <cellStyle name="Comma 3 5 3 3 2" xfId="4965" xr:uid="{00000000-0005-0000-0000-0000CB070000}"/>
    <cellStyle name="Comma 3 5 3 4" xfId="3455" xr:uid="{00000000-0005-0000-0000-0000CC070000}"/>
    <cellStyle name="Comma 3 5 4" xfId="1425" xr:uid="{00000000-0005-0000-0000-0000CD070000}"/>
    <cellStyle name="Comma 3 5 4 2" xfId="3669" xr:uid="{00000000-0005-0000-0000-0000CE070000}"/>
    <cellStyle name="Comma 3 5 5" xfId="2211" xr:uid="{00000000-0005-0000-0000-0000CF070000}"/>
    <cellStyle name="Comma 3 5 5 2" xfId="4455" xr:uid="{00000000-0005-0000-0000-0000D0070000}"/>
    <cellStyle name="Comma 3 5 6" xfId="2935" xr:uid="{00000000-0005-0000-0000-0000D1070000}"/>
    <cellStyle name="Comma 3 50" xfId="146" xr:uid="{00000000-0005-0000-0000-0000D2070000}"/>
    <cellStyle name="Comma 3 50 2" xfId="958" xr:uid="{00000000-0005-0000-0000-0000D3070000}"/>
    <cellStyle name="Comma 3 50 2 2" xfId="1746" xr:uid="{00000000-0005-0000-0000-0000D4070000}"/>
    <cellStyle name="Comma 3 50 2 2 2" xfId="3990" xr:uid="{00000000-0005-0000-0000-0000D5070000}"/>
    <cellStyle name="Comma 3 50 2 3" xfId="2470" xr:uid="{00000000-0005-0000-0000-0000D6070000}"/>
    <cellStyle name="Comma 3 50 2 3 2" xfId="4714" xr:uid="{00000000-0005-0000-0000-0000D7070000}"/>
    <cellStyle name="Comma 3 50 2 4" xfId="3204" xr:uid="{00000000-0005-0000-0000-0000D8070000}"/>
    <cellStyle name="Comma 3 50 3" xfId="1211" xr:uid="{00000000-0005-0000-0000-0000D9070000}"/>
    <cellStyle name="Comma 3 50 3 2" xfId="1998" xr:uid="{00000000-0005-0000-0000-0000DA070000}"/>
    <cellStyle name="Comma 3 50 3 2 2" xfId="4242" xr:uid="{00000000-0005-0000-0000-0000DB070000}"/>
    <cellStyle name="Comma 3 50 3 3" xfId="2722" xr:uid="{00000000-0005-0000-0000-0000DC070000}"/>
    <cellStyle name="Comma 3 50 3 3 2" xfId="4966" xr:uid="{00000000-0005-0000-0000-0000DD070000}"/>
    <cellStyle name="Comma 3 50 3 4" xfId="3456" xr:uid="{00000000-0005-0000-0000-0000DE070000}"/>
    <cellStyle name="Comma 3 50 4" xfId="1426" xr:uid="{00000000-0005-0000-0000-0000DF070000}"/>
    <cellStyle name="Comma 3 50 4 2" xfId="3670" xr:uid="{00000000-0005-0000-0000-0000E0070000}"/>
    <cellStyle name="Comma 3 50 5" xfId="2212" xr:uid="{00000000-0005-0000-0000-0000E1070000}"/>
    <cellStyle name="Comma 3 50 5 2" xfId="4456" xr:uid="{00000000-0005-0000-0000-0000E2070000}"/>
    <cellStyle name="Comma 3 50 6" xfId="2936" xr:uid="{00000000-0005-0000-0000-0000E3070000}"/>
    <cellStyle name="Comma 3 51" xfId="147" xr:uid="{00000000-0005-0000-0000-0000E4070000}"/>
    <cellStyle name="Comma 3 51 2" xfId="959" xr:uid="{00000000-0005-0000-0000-0000E5070000}"/>
    <cellStyle name="Comma 3 51 2 2" xfId="1747" xr:uid="{00000000-0005-0000-0000-0000E6070000}"/>
    <cellStyle name="Comma 3 51 2 2 2" xfId="3991" xr:uid="{00000000-0005-0000-0000-0000E7070000}"/>
    <cellStyle name="Comma 3 51 2 3" xfId="2471" xr:uid="{00000000-0005-0000-0000-0000E8070000}"/>
    <cellStyle name="Comma 3 51 2 3 2" xfId="4715" xr:uid="{00000000-0005-0000-0000-0000E9070000}"/>
    <cellStyle name="Comma 3 51 2 4" xfId="3205" xr:uid="{00000000-0005-0000-0000-0000EA070000}"/>
    <cellStyle name="Comma 3 51 3" xfId="1212" xr:uid="{00000000-0005-0000-0000-0000EB070000}"/>
    <cellStyle name="Comma 3 51 3 2" xfId="1999" xr:uid="{00000000-0005-0000-0000-0000EC070000}"/>
    <cellStyle name="Comma 3 51 3 2 2" xfId="4243" xr:uid="{00000000-0005-0000-0000-0000ED070000}"/>
    <cellStyle name="Comma 3 51 3 3" xfId="2723" xr:uid="{00000000-0005-0000-0000-0000EE070000}"/>
    <cellStyle name="Comma 3 51 3 3 2" xfId="4967" xr:uid="{00000000-0005-0000-0000-0000EF070000}"/>
    <cellStyle name="Comma 3 51 3 4" xfId="3457" xr:uid="{00000000-0005-0000-0000-0000F0070000}"/>
    <cellStyle name="Comma 3 51 4" xfId="1427" xr:uid="{00000000-0005-0000-0000-0000F1070000}"/>
    <cellStyle name="Comma 3 51 4 2" xfId="3671" xr:uid="{00000000-0005-0000-0000-0000F2070000}"/>
    <cellStyle name="Comma 3 51 5" xfId="2213" xr:uid="{00000000-0005-0000-0000-0000F3070000}"/>
    <cellStyle name="Comma 3 51 5 2" xfId="4457" xr:uid="{00000000-0005-0000-0000-0000F4070000}"/>
    <cellStyle name="Comma 3 51 6" xfId="2937" xr:uid="{00000000-0005-0000-0000-0000F5070000}"/>
    <cellStyle name="Comma 3 52" xfId="148" xr:uid="{00000000-0005-0000-0000-0000F6070000}"/>
    <cellStyle name="Comma 3 52 2" xfId="960" xr:uid="{00000000-0005-0000-0000-0000F7070000}"/>
    <cellStyle name="Comma 3 52 2 2" xfId="1748" xr:uid="{00000000-0005-0000-0000-0000F8070000}"/>
    <cellStyle name="Comma 3 52 2 2 2" xfId="3992" xr:uid="{00000000-0005-0000-0000-0000F9070000}"/>
    <cellStyle name="Comma 3 52 2 3" xfId="2472" xr:uid="{00000000-0005-0000-0000-0000FA070000}"/>
    <cellStyle name="Comma 3 52 2 3 2" xfId="4716" xr:uid="{00000000-0005-0000-0000-0000FB070000}"/>
    <cellStyle name="Comma 3 52 2 4" xfId="3206" xr:uid="{00000000-0005-0000-0000-0000FC070000}"/>
    <cellStyle name="Comma 3 52 3" xfId="1213" xr:uid="{00000000-0005-0000-0000-0000FD070000}"/>
    <cellStyle name="Comma 3 52 3 2" xfId="2000" xr:uid="{00000000-0005-0000-0000-0000FE070000}"/>
    <cellStyle name="Comma 3 52 3 2 2" xfId="4244" xr:uid="{00000000-0005-0000-0000-0000FF070000}"/>
    <cellStyle name="Comma 3 52 3 3" xfId="2724" xr:uid="{00000000-0005-0000-0000-000000080000}"/>
    <cellStyle name="Comma 3 52 3 3 2" xfId="4968" xr:uid="{00000000-0005-0000-0000-000001080000}"/>
    <cellStyle name="Comma 3 52 3 4" xfId="3458" xr:uid="{00000000-0005-0000-0000-000002080000}"/>
    <cellStyle name="Comma 3 52 4" xfId="1428" xr:uid="{00000000-0005-0000-0000-000003080000}"/>
    <cellStyle name="Comma 3 52 4 2" xfId="3672" xr:uid="{00000000-0005-0000-0000-000004080000}"/>
    <cellStyle name="Comma 3 52 5" xfId="2214" xr:uid="{00000000-0005-0000-0000-000005080000}"/>
    <cellStyle name="Comma 3 52 5 2" xfId="4458" xr:uid="{00000000-0005-0000-0000-000006080000}"/>
    <cellStyle name="Comma 3 52 6" xfId="2938" xr:uid="{00000000-0005-0000-0000-000007080000}"/>
    <cellStyle name="Comma 3 53" xfId="149" xr:uid="{00000000-0005-0000-0000-000008080000}"/>
    <cellStyle name="Comma 3 53 2" xfId="961" xr:uid="{00000000-0005-0000-0000-000009080000}"/>
    <cellStyle name="Comma 3 53 2 2" xfId="1749" xr:uid="{00000000-0005-0000-0000-00000A080000}"/>
    <cellStyle name="Comma 3 53 2 2 2" xfId="3993" xr:uid="{00000000-0005-0000-0000-00000B080000}"/>
    <cellStyle name="Comma 3 53 2 3" xfId="2473" xr:uid="{00000000-0005-0000-0000-00000C080000}"/>
    <cellStyle name="Comma 3 53 2 3 2" xfId="4717" xr:uid="{00000000-0005-0000-0000-00000D080000}"/>
    <cellStyle name="Comma 3 53 2 4" xfId="3207" xr:uid="{00000000-0005-0000-0000-00000E080000}"/>
    <cellStyle name="Comma 3 53 3" xfId="1214" xr:uid="{00000000-0005-0000-0000-00000F080000}"/>
    <cellStyle name="Comma 3 53 3 2" xfId="2001" xr:uid="{00000000-0005-0000-0000-000010080000}"/>
    <cellStyle name="Comma 3 53 3 2 2" xfId="4245" xr:uid="{00000000-0005-0000-0000-000011080000}"/>
    <cellStyle name="Comma 3 53 3 3" xfId="2725" xr:uid="{00000000-0005-0000-0000-000012080000}"/>
    <cellStyle name="Comma 3 53 3 3 2" xfId="4969" xr:uid="{00000000-0005-0000-0000-000013080000}"/>
    <cellStyle name="Comma 3 53 3 4" xfId="3459" xr:uid="{00000000-0005-0000-0000-000014080000}"/>
    <cellStyle name="Comma 3 53 4" xfId="1429" xr:uid="{00000000-0005-0000-0000-000015080000}"/>
    <cellStyle name="Comma 3 53 4 2" xfId="3673" xr:uid="{00000000-0005-0000-0000-000016080000}"/>
    <cellStyle name="Comma 3 53 5" xfId="2215" xr:uid="{00000000-0005-0000-0000-000017080000}"/>
    <cellStyle name="Comma 3 53 5 2" xfId="4459" xr:uid="{00000000-0005-0000-0000-000018080000}"/>
    <cellStyle name="Comma 3 53 6" xfId="2939" xr:uid="{00000000-0005-0000-0000-000019080000}"/>
    <cellStyle name="Comma 3 54" xfId="101" xr:uid="{00000000-0005-0000-0000-00001A080000}"/>
    <cellStyle name="Comma 3 54 2" xfId="913" xr:uid="{00000000-0005-0000-0000-00001B080000}"/>
    <cellStyle name="Comma 3 54 2 2" xfId="1701" xr:uid="{00000000-0005-0000-0000-00001C080000}"/>
    <cellStyle name="Comma 3 54 2 2 2" xfId="3945" xr:uid="{00000000-0005-0000-0000-00001D080000}"/>
    <cellStyle name="Comma 3 54 2 3" xfId="2425" xr:uid="{00000000-0005-0000-0000-00001E080000}"/>
    <cellStyle name="Comma 3 54 2 3 2" xfId="4669" xr:uid="{00000000-0005-0000-0000-00001F080000}"/>
    <cellStyle name="Comma 3 54 2 4" xfId="3159" xr:uid="{00000000-0005-0000-0000-000020080000}"/>
    <cellStyle name="Comma 3 54 3" xfId="1166" xr:uid="{00000000-0005-0000-0000-000021080000}"/>
    <cellStyle name="Comma 3 54 3 2" xfId="1953" xr:uid="{00000000-0005-0000-0000-000022080000}"/>
    <cellStyle name="Comma 3 54 3 2 2" xfId="4197" xr:uid="{00000000-0005-0000-0000-000023080000}"/>
    <cellStyle name="Comma 3 54 3 3" xfId="2677" xr:uid="{00000000-0005-0000-0000-000024080000}"/>
    <cellStyle name="Comma 3 54 3 3 2" xfId="4921" xr:uid="{00000000-0005-0000-0000-000025080000}"/>
    <cellStyle name="Comma 3 54 3 4" xfId="3411" xr:uid="{00000000-0005-0000-0000-000026080000}"/>
    <cellStyle name="Comma 3 54 4" xfId="1381" xr:uid="{00000000-0005-0000-0000-000027080000}"/>
    <cellStyle name="Comma 3 54 4 2" xfId="3625" xr:uid="{00000000-0005-0000-0000-000028080000}"/>
    <cellStyle name="Comma 3 54 5" xfId="2167" xr:uid="{00000000-0005-0000-0000-000029080000}"/>
    <cellStyle name="Comma 3 54 5 2" xfId="4411" xr:uid="{00000000-0005-0000-0000-00002A080000}"/>
    <cellStyle name="Comma 3 54 6" xfId="2891" xr:uid="{00000000-0005-0000-0000-00002B080000}"/>
    <cellStyle name="Comma 3 55" xfId="869" xr:uid="{00000000-0005-0000-0000-00002C080000}"/>
    <cellStyle name="Comma 3 55 2" xfId="1657" xr:uid="{00000000-0005-0000-0000-00002D080000}"/>
    <cellStyle name="Comma 3 55 2 2" xfId="3901" xr:uid="{00000000-0005-0000-0000-00002E080000}"/>
    <cellStyle name="Comma 3 55 3" xfId="2381" xr:uid="{00000000-0005-0000-0000-00002F080000}"/>
    <cellStyle name="Comma 3 55 3 2" xfId="4625" xr:uid="{00000000-0005-0000-0000-000030080000}"/>
    <cellStyle name="Comma 3 55 4" xfId="3115" xr:uid="{00000000-0005-0000-0000-000031080000}"/>
    <cellStyle name="Comma 3 56" xfId="1077" xr:uid="{00000000-0005-0000-0000-000032080000}"/>
    <cellStyle name="Comma 3 56 2" xfId="1864" xr:uid="{00000000-0005-0000-0000-000033080000}"/>
    <cellStyle name="Comma 3 56 2 2" xfId="4108" xr:uid="{00000000-0005-0000-0000-000034080000}"/>
    <cellStyle name="Comma 3 56 3" xfId="2588" xr:uid="{00000000-0005-0000-0000-000035080000}"/>
    <cellStyle name="Comma 3 56 3 2" xfId="4832" xr:uid="{00000000-0005-0000-0000-000036080000}"/>
    <cellStyle name="Comma 3 56 4" xfId="3322" xr:uid="{00000000-0005-0000-0000-000037080000}"/>
    <cellStyle name="Comma 3 57" xfId="1099" xr:uid="{00000000-0005-0000-0000-000038080000}"/>
    <cellStyle name="Comma 3 57 2" xfId="1886" xr:uid="{00000000-0005-0000-0000-000039080000}"/>
    <cellStyle name="Comma 3 57 2 2" xfId="4130" xr:uid="{00000000-0005-0000-0000-00003A080000}"/>
    <cellStyle name="Comma 3 57 3" xfId="2610" xr:uid="{00000000-0005-0000-0000-00003B080000}"/>
    <cellStyle name="Comma 3 57 3 2" xfId="4854" xr:uid="{00000000-0005-0000-0000-00003C080000}"/>
    <cellStyle name="Comma 3 57 4" xfId="3344" xr:uid="{00000000-0005-0000-0000-00003D080000}"/>
    <cellStyle name="Comma 3 58" xfId="1121" xr:uid="{00000000-0005-0000-0000-00003E080000}"/>
    <cellStyle name="Comma 3 58 2" xfId="1908" xr:uid="{00000000-0005-0000-0000-00003F080000}"/>
    <cellStyle name="Comma 3 58 2 2" xfId="4152" xr:uid="{00000000-0005-0000-0000-000040080000}"/>
    <cellStyle name="Comma 3 58 3" xfId="2632" xr:uid="{00000000-0005-0000-0000-000041080000}"/>
    <cellStyle name="Comma 3 58 3 2" xfId="4876" xr:uid="{00000000-0005-0000-0000-000042080000}"/>
    <cellStyle name="Comma 3 58 4" xfId="3366" xr:uid="{00000000-0005-0000-0000-000043080000}"/>
    <cellStyle name="Comma 3 59" xfId="1337" xr:uid="{00000000-0005-0000-0000-000044080000}"/>
    <cellStyle name="Comma 3 59 2" xfId="3581" xr:uid="{00000000-0005-0000-0000-000045080000}"/>
    <cellStyle name="Comma 3 6" xfId="150" xr:uid="{00000000-0005-0000-0000-000046080000}"/>
    <cellStyle name="Comma 3 6 2" xfId="962" xr:uid="{00000000-0005-0000-0000-000047080000}"/>
    <cellStyle name="Comma 3 6 2 2" xfId="1750" xr:uid="{00000000-0005-0000-0000-000048080000}"/>
    <cellStyle name="Comma 3 6 2 2 2" xfId="3994" xr:uid="{00000000-0005-0000-0000-000049080000}"/>
    <cellStyle name="Comma 3 6 2 3" xfId="2474" xr:uid="{00000000-0005-0000-0000-00004A080000}"/>
    <cellStyle name="Comma 3 6 2 3 2" xfId="4718" xr:uid="{00000000-0005-0000-0000-00004B080000}"/>
    <cellStyle name="Comma 3 6 2 4" xfId="3208" xr:uid="{00000000-0005-0000-0000-00004C080000}"/>
    <cellStyle name="Comma 3 6 3" xfId="1215" xr:uid="{00000000-0005-0000-0000-00004D080000}"/>
    <cellStyle name="Comma 3 6 3 2" xfId="2002" xr:uid="{00000000-0005-0000-0000-00004E080000}"/>
    <cellStyle name="Comma 3 6 3 2 2" xfId="4246" xr:uid="{00000000-0005-0000-0000-00004F080000}"/>
    <cellStyle name="Comma 3 6 3 3" xfId="2726" xr:uid="{00000000-0005-0000-0000-000050080000}"/>
    <cellStyle name="Comma 3 6 3 3 2" xfId="4970" xr:uid="{00000000-0005-0000-0000-000051080000}"/>
    <cellStyle name="Comma 3 6 3 4" xfId="3460" xr:uid="{00000000-0005-0000-0000-000052080000}"/>
    <cellStyle name="Comma 3 6 4" xfId="1430" xr:uid="{00000000-0005-0000-0000-000053080000}"/>
    <cellStyle name="Comma 3 6 4 2" xfId="3674" xr:uid="{00000000-0005-0000-0000-000054080000}"/>
    <cellStyle name="Comma 3 6 5" xfId="2216" xr:uid="{00000000-0005-0000-0000-000055080000}"/>
    <cellStyle name="Comma 3 6 5 2" xfId="4460" xr:uid="{00000000-0005-0000-0000-000056080000}"/>
    <cellStyle name="Comma 3 6 6" xfId="2940" xr:uid="{00000000-0005-0000-0000-000057080000}"/>
    <cellStyle name="Comma 3 60" xfId="2123" xr:uid="{00000000-0005-0000-0000-000058080000}"/>
    <cellStyle name="Comma 3 60 2" xfId="4367" xr:uid="{00000000-0005-0000-0000-000059080000}"/>
    <cellStyle name="Comma 3 61" xfId="2847" xr:uid="{00000000-0005-0000-0000-00005A080000}"/>
    <cellStyle name="Comma 3 62" xfId="5089" xr:uid="{00000000-0005-0000-0000-00005B080000}"/>
    <cellStyle name="Comma 3 63" xfId="5098" xr:uid="{00000000-0005-0000-0000-00005C080000}"/>
    <cellStyle name="Comma 3 64" xfId="5101" xr:uid="{00000000-0005-0000-0000-00005D080000}"/>
    <cellStyle name="Comma 3 7" xfId="151" xr:uid="{00000000-0005-0000-0000-00005E080000}"/>
    <cellStyle name="Comma 3 7 2" xfId="963" xr:uid="{00000000-0005-0000-0000-00005F080000}"/>
    <cellStyle name="Comma 3 7 2 2" xfId="1751" xr:uid="{00000000-0005-0000-0000-000060080000}"/>
    <cellStyle name="Comma 3 7 2 2 2" xfId="3995" xr:uid="{00000000-0005-0000-0000-000061080000}"/>
    <cellStyle name="Comma 3 7 2 3" xfId="2475" xr:uid="{00000000-0005-0000-0000-000062080000}"/>
    <cellStyle name="Comma 3 7 2 3 2" xfId="4719" xr:uid="{00000000-0005-0000-0000-000063080000}"/>
    <cellStyle name="Comma 3 7 2 4" xfId="3209" xr:uid="{00000000-0005-0000-0000-000064080000}"/>
    <cellStyle name="Comma 3 7 3" xfId="1216" xr:uid="{00000000-0005-0000-0000-000065080000}"/>
    <cellStyle name="Comma 3 7 3 2" xfId="2003" xr:uid="{00000000-0005-0000-0000-000066080000}"/>
    <cellStyle name="Comma 3 7 3 2 2" xfId="4247" xr:uid="{00000000-0005-0000-0000-000067080000}"/>
    <cellStyle name="Comma 3 7 3 3" xfId="2727" xr:uid="{00000000-0005-0000-0000-000068080000}"/>
    <cellStyle name="Comma 3 7 3 3 2" xfId="4971" xr:uid="{00000000-0005-0000-0000-000069080000}"/>
    <cellStyle name="Comma 3 7 3 4" xfId="3461" xr:uid="{00000000-0005-0000-0000-00006A080000}"/>
    <cellStyle name="Comma 3 7 4" xfId="1431" xr:uid="{00000000-0005-0000-0000-00006B080000}"/>
    <cellStyle name="Comma 3 7 4 2" xfId="3675" xr:uid="{00000000-0005-0000-0000-00006C080000}"/>
    <cellStyle name="Comma 3 7 5" xfId="2217" xr:uid="{00000000-0005-0000-0000-00006D080000}"/>
    <cellStyle name="Comma 3 7 5 2" xfId="4461" xr:uid="{00000000-0005-0000-0000-00006E080000}"/>
    <cellStyle name="Comma 3 7 6" xfId="2941" xr:uid="{00000000-0005-0000-0000-00006F080000}"/>
    <cellStyle name="Comma 3 8" xfId="152" xr:uid="{00000000-0005-0000-0000-000070080000}"/>
    <cellStyle name="Comma 3 8 2" xfId="964" xr:uid="{00000000-0005-0000-0000-000071080000}"/>
    <cellStyle name="Comma 3 8 2 2" xfId="1752" xr:uid="{00000000-0005-0000-0000-000072080000}"/>
    <cellStyle name="Comma 3 8 2 2 2" xfId="3996" xr:uid="{00000000-0005-0000-0000-000073080000}"/>
    <cellStyle name="Comma 3 8 2 3" xfId="2476" xr:uid="{00000000-0005-0000-0000-000074080000}"/>
    <cellStyle name="Comma 3 8 2 3 2" xfId="4720" xr:uid="{00000000-0005-0000-0000-000075080000}"/>
    <cellStyle name="Comma 3 8 2 4" xfId="3210" xr:uid="{00000000-0005-0000-0000-000076080000}"/>
    <cellStyle name="Comma 3 8 3" xfId="1217" xr:uid="{00000000-0005-0000-0000-000077080000}"/>
    <cellStyle name="Comma 3 8 3 2" xfId="2004" xr:uid="{00000000-0005-0000-0000-000078080000}"/>
    <cellStyle name="Comma 3 8 3 2 2" xfId="4248" xr:uid="{00000000-0005-0000-0000-000079080000}"/>
    <cellStyle name="Comma 3 8 3 3" xfId="2728" xr:uid="{00000000-0005-0000-0000-00007A080000}"/>
    <cellStyle name="Comma 3 8 3 3 2" xfId="4972" xr:uid="{00000000-0005-0000-0000-00007B080000}"/>
    <cellStyle name="Comma 3 8 3 4" xfId="3462" xr:uid="{00000000-0005-0000-0000-00007C080000}"/>
    <cellStyle name="Comma 3 8 4" xfId="1432" xr:uid="{00000000-0005-0000-0000-00007D080000}"/>
    <cellStyle name="Comma 3 8 4 2" xfId="3676" xr:uid="{00000000-0005-0000-0000-00007E080000}"/>
    <cellStyle name="Comma 3 8 5" xfId="2218" xr:uid="{00000000-0005-0000-0000-00007F080000}"/>
    <cellStyle name="Comma 3 8 5 2" xfId="4462" xr:uid="{00000000-0005-0000-0000-000080080000}"/>
    <cellStyle name="Comma 3 8 6" xfId="2942" xr:uid="{00000000-0005-0000-0000-000081080000}"/>
    <cellStyle name="Comma 3 9" xfId="153" xr:uid="{00000000-0005-0000-0000-000082080000}"/>
    <cellStyle name="Comma 3 9 2" xfId="965" xr:uid="{00000000-0005-0000-0000-000083080000}"/>
    <cellStyle name="Comma 3 9 2 2" xfId="1753" xr:uid="{00000000-0005-0000-0000-000084080000}"/>
    <cellStyle name="Comma 3 9 2 2 2" xfId="3997" xr:uid="{00000000-0005-0000-0000-000085080000}"/>
    <cellStyle name="Comma 3 9 2 3" xfId="2477" xr:uid="{00000000-0005-0000-0000-000086080000}"/>
    <cellStyle name="Comma 3 9 2 3 2" xfId="4721" xr:uid="{00000000-0005-0000-0000-000087080000}"/>
    <cellStyle name="Comma 3 9 2 4" xfId="3211" xr:uid="{00000000-0005-0000-0000-000088080000}"/>
    <cellStyle name="Comma 3 9 3" xfId="1218" xr:uid="{00000000-0005-0000-0000-000089080000}"/>
    <cellStyle name="Comma 3 9 3 2" xfId="2005" xr:uid="{00000000-0005-0000-0000-00008A080000}"/>
    <cellStyle name="Comma 3 9 3 2 2" xfId="4249" xr:uid="{00000000-0005-0000-0000-00008B080000}"/>
    <cellStyle name="Comma 3 9 3 3" xfId="2729" xr:uid="{00000000-0005-0000-0000-00008C080000}"/>
    <cellStyle name="Comma 3 9 3 3 2" xfId="4973" xr:uid="{00000000-0005-0000-0000-00008D080000}"/>
    <cellStyle name="Comma 3 9 3 4" xfId="3463" xr:uid="{00000000-0005-0000-0000-00008E080000}"/>
    <cellStyle name="Comma 3 9 4" xfId="1433" xr:uid="{00000000-0005-0000-0000-00008F080000}"/>
    <cellStyle name="Comma 3 9 4 2" xfId="3677" xr:uid="{00000000-0005-0000-0000-000090080000}"/>
    <cellStyle name="Comma 3 9 5" xfId="2219" xr:uid="{00000000-0005-0000-0000-000091080000}"/>
    <cellStyle name="Comma 3 9 5 2" xfId="4463" xr:uid="{00000000-0005-0000-0000-000092080000}"/>
    <cellStyle name="Comma 3 9 6" xfId="2943" xr:uid="{00000000-0005-0000-0000-000093080000}"/>
    <cellStyle name="Comma 30" xfId="817" xr:uid="{00000000-0005-0000-0000-000094080000}"/>
    <cellStyle name="Comma 30 2" xfId="1051" xr:uid="{00000000-0005-0000-0000-000095080000}"/>
    <cellStyle name="Comma 30 2 2" xfId="1839" xr:uid="{00000000-0005-0000-0000-000096080000}"/>
    <cellStyle name="Comma 30 2 2 2" xfId="4083" xr:uid="{00000000-0005-0000-0000-000097080000}"/>
    <cellStyle name="Comma 30 2 3" xfId="2563" xr:uid="{00000000-0005-0000-0000-000098080000}"/>
    <cellStyle name="Comma 30 2 3 2" xfId="4807" xr:uid="{00000000-0005-0000-0000-000099080000}"/>
    <cellStyle name="Comma 30 2 4" xfId="3297" xr:uid="{00000000-0005-0000-0000-00009A080000}"/>
    <cellStyle name="Comma 30 3" xfId="1305" xr:uid="{00000000-0005-0000-0000-00009B080000}"/>
    <cellStyle name="Comma 30 3 2" xfId="2092" xr:uid="{00000000-0005-0000-0000-00009C080000}"/>
    <cellStyle name="Comma 30 3 2 2" xfId="4336" xr:uid="{00000000-0005-0000-0000-00009D080000}"/>
    <cellStyle name="Comma 30 3 3" xfId="2814" xr:uid="{00000000-0005-0000-0000-00009E080000}"/>
    <cellStyle name="Comma 30 3 3 2" xfId="5058" xr:uid="{00000000-0005-0000-0000-00009F080000}"/>
    <cellStyle name="Comma 30 3 4" xfId="3550" xr:uid="{00000000-0005-0000-0000-0000A0080000}"/>
    <cellStyle name="Comma 30 4" xfId="1625" xr:uid="{00000000-0005-0000-0000-0000A1080000}"/>
    <cellStyle name="Comma 30 4 2" xfId="3869" xr:uid="{00000000-0005-0000-0000-0000A2080000}"/>
    <cellStyle name="Comma 30 5" xfId="2349" xr:uid="{00000000-0005-0000-0000-0000A3080000}"/>
    <cellStyle name="Comma 30 5 2" xfId="4593" xr:uid="{00000000-0005-0000-0000-0000A4080000}"/>
    <cellStyle name="Comma 30 6" xfId="3083" xr:uid="{00000000-0005-0000-0000-0000A5080000}"/>
    <cellStyle name="Comma 31" xfId="728" xr:uid="{00000000-0005-0000-0000-0000A6080000}"/>
    <cellStyle name="Comma 31 2" xfId="1041" xr:uid="{00000000-0005-0000-0000-0000A7080000}"/>
    <cellStyle name="Comma 31 2 2" xfId="1829" xr:uid="{00000000-0005-0000-0000-0000A8080000}"/>
    <cellStyle name="Comma 31 2 2 2" xfId="4073" xr:uid="{00000000-0005-0000-0000-0000A9080000}"/>
    <cellStyle name="Comma 31 2 3" xfId="2553" xr:uid="{00000000-0005-0000-0000-0000AA080000}"/>
    <cellStyle name="Comma 31 2 3 2" xfId="4797" xr:uid="{00000000-0005-0000-0000-0000AB080000}"/>
    <cellStyle name="Comma 31 2 4" xfId="3287" xr:uid="{00000000-0005-0000-0000-0000AC080000}"/>
    <cellStyle name="Comma 31 3" xfId="1294" xr:uid="{00000000-0005-0000-0000-0000AD080000}"/>
    <cellStyle name="Comma 31 3 2" xfId="2081" xr:uid="{00000000-0005-0000-0000-0000AE080000}"/>
    <cellStyle name="Comma 31 3 2 2" xfId="4325" xr:uid="{00000000-0005-0000-0000-0000AF080000}"/>
    <cellStyle name="Comma 31 3 3" xfId="2804" xr:uid="{00000000-0005-0000-0000-0000B0080000}"/>
    <cellStyle name="Comma 31 3 3 2" xfId="5048" xr:uid="{00000000-0005-0000-0000-0000B1080000}"/>
    <cellStyle name="Comma 31 3 4" xfId="3539" xr:uid="{00000000-0005-0000-0000-0000B2080000}"/>
    <cellStyle name="Comma 31 4" xfId="1561" xr:uid="{00000000-0005-0000-0000-0000B3080000}"/>
    <cellStyle name="Comma 31 4 2" xfId="3805" xr:uid="{00000000-0005-0000-0000-0000B4080000}"/>
    <cellStyle name="Comma 31 5" xfId="2339" xr:uid="{00000000-0005-0000-0000-0000B5080000}"/>
    <cellStyle name="Comma 31 5 2" xfId="4583" xr:uid="{00000000-0005-0000-0000-0000B6080000}"/>
    <cellStyle name="Comma 31 6" xfId="3019" xr:uid="{00000000-0005-0000-0000-0000B7080000}"/>
    <cellStyle name="Comma 32" xfId="825" xr:uid="{00000000-0005-0000-0000-0000B8080000}"/>
    <cellStyle name="Comma 32 2" xfId="1054" xr:uid="{00000000-0005-0000-0000-0000B9080000}"/>
    <cellStyle name="Comma 32 2 2" xfId="1842" xr:uid="{00000000-0005-0000-0000-0000BA080000}"/>
    <cellStyle name="Comma 32 2 2 2" xfId="4086" xr:uid="{00000000-0005-0000-0000-0000BB080000}"/>
    <cellStyle name="Comma 32 2 3" xfId="2566" xr:uid="{00000000-0005-0000-0000-0000BC080000}"/>
    <cellStyle name="Comma 32 2 3 2" xfId="4810" xr:uid="{00000000-0005-0000-0000-0000BD080000}"/>
    <cellStyle name="Comma 32 2 4" xfId="3300" xr:uid="{00000000-0005-0000-0000-0000BE080000}"/>
    <cellStyle name="Comma 32 3" xfId="1308" xr:uid="{00000000-0005-0000-0000-0000BF080000}"/>
    <cellStyle name="Comma 32 3 2" xfId="2095" xr:uid="{00000000-0005-0000-0000-0000C0080000}"/>
    <cellStyle name="Comma 32 3 2 2" xfId="4339" xr:uid="{00000000-0005-0000-0000-0000C1080000}"/>
    <cellStyle name="Comma 32 3 3" xfId="2817" xr:uid="{00000000-0005-0000-0000-0000C2080000}"/>
    <cellStyle name="Comma 32 3 3 2" xfId="5061" xr:uid="{00000000-0005-0000-0000-0000C3080000}"/>
    <cellStyle name="Comma 32 3 4" xfId="3553" xr:uid="{00000000-0005-0000-0000-0000C4080000}"/>
    <cellStyle name="Comma 32 4" xfId="1628" xr:uid="{00000000-0005-0000-0000-0000C5080000}"/>
    <cellStyle name="Comma 32 4 2" xfId="3872" xr:uid="{00000000-0005-0000-0000-0000C6080000}"/>
    <cellStyle name="Comma 32 5" xfId="2352" xr:uid="{00000000-0005-0000-0000-0000C7080000}"/>
    <cellStyle name="Comma 32 5 2" xfId="4596" xr:uid="{00000000-0005-0000-0000-0000C8080000}"/>
    <cellStyle name="Comma 32 6" xfId="3086" xr:uid="{00000000-0005-0000-0000-0000C9080000}"/>
    <cellStyle name="Comma 33" xfId="154" xr:uid="{00000000-0005-0000-0000-0000CA080000}"/>
    <cellStyle name="Comma 33 2" xfId="966" xr:uid="{00000000-0005-0000-0000-0000CB080000}"/>
    <cellStyle name="Comma 33 2 2" xfId="1754" xr:uid="{00000000-0005-0000-0000-0000CC080000}"/>
    <cellStyle name="Comma 33 2 2 2" xfId="3998" xr:uid="{00000000-0005-0000-0000-0000CD080000}"/>
    <cellStyle name="Comma 33 2 3" xfId="2478" xr:uid="{00000000-0005-0000-0000-0000CE080000}"/>
    <cellStyle name="Comma 33 2 3 2" xfId="4722" xr:uid="{00000000-0005-0000-0000-0000CF080000}"/>
    <cellStyle name="Comma 33 2 4" xfId="3212" xr:uid="{00000000-0005-0000-0000-0000D0080000}"/>
    <cellStyle name="Comma 33 3" xfId="1219" xr:uid="{00000000-0005-0000-0000-0000D1080000}"/>
    <cellStyle name="Comma 33 3 2" xfId="2006" xr:uid="{00000000-0005-0000-0000-0000D2080000}"/>
    <cellStyle name="Comma 33 3 2 2" xfId="4250" xr:uid="{00000000-0005-0000-0000-0000D3080000}"/>
    <cellStyle name="Comma 33 3 3" xfId="2730" xr:uid="{00000000-0005-0000-0000-0000D4080000}"/>
    <cellStyle name="Comma 33 3 3 2" xfId="4974" xr:uid="{00000000-0005-0000-0000-0000D5080000}"/>
    <cellStyle name="Comma 33 3 4" xfId="3464" xr:uid="{00000000-0005-0000-0000-0000D6080000}"/>
    <cellStyle name="Comma 33 4" xfId="1434" xr:uid="{00000000-0005-0000-0000-0000D7080000}"/>
    <cellStyle name="Comma 33 4 2" xfId="3678" xr:uid="{00000000-0005-0000-0000-0000D8080000}"/>
    <cellStyle name="Comma 33 5" xfId="2220" xr:uid="{00000000-0005-0000-0000-0000D9080000}"/>
    <cellStyle name="Comma 33 5 2" xfId="4464" xr:uid="{00000000-0005-0000-0000-0000DA080000}"/>
    <cellStyle name="Comma 33 6" xfId="2944" xr:uid="{00000000-0005-0000-0000-0000DB080000}"/>
    <cellStyle name="Comma 34" xfId="731" xr:uid="{00000000-0005-0000-0000-0000DC080000}"/>
    <cellStyle name="Comma 34 2" xfId="1044" xr:uid="{00000000-0005-0000-0000-0000DD080000}"/>
    <cellStyle name="Comma 34 2 2" xfId="1832" xr:uid="{00000000-0005-0000-0000-0000DE080000}"/>
    <cellStyle name="Comma 34 2 2 2" xfId="4076" xr:uid="{00000000-0005-0000-0000-0000DF080000}"/>
    <cellStyle name="Comma 34 2 3" xfId="2556" xr:uid="{00000000-0005-0000-0000-0000E0080000}"/>
    <cellStyle name="Comma 34 2 3 2" xfId="4800" xr:uid="{00000000-0005-0000-0000-0000E1080000}"/>
    <cellStyle name="Comma 34 2 4" xfId="3290" xr:uid="{00000000-0005-0000-0000-0000E2080000}"/>
    <cellStyle name="Comma 34 3" xfId="1297" xr:uid="{00000000-0005-0000-0000-0000E3080000}"/>
    <cellStyle name="Comma 34 3 2" xfId="2084" xr:uid="{00000000-0005-0000-0000-0000E4080000}"/>
    <cellStyle name="Comma 34 3 2 2" xfId="4328" xr:uid="{00000000-0005-0000-0000-0000E5080000}"/>
    <cellStyle name="Comma 34 3 3" xfId="2807" xr:uid="{00000000-0005-0000-0000-0000E6080000}"/>
    <cellStyle name="Comma 34 3 3 2" xfId="5051" xr:uid="{00000000-0005-0000-0000-0000E7080000}"/>
    <cellStyle name="Comma 34 3 4" xfId="3542" xr:uid="{00000000-0005-0000-0000-0000E8080000}"/>
    <cellStyle name="Comma 34 4" xfId="1564" xr:uid="{00000000-0005-0000-0000-0000E9080000}"/>
    <cellStyle name="Comma 34 4 2" xfId="3808" xr:uid="{00000000-0005-0000-0000-0000EA080000}"/>
    <cellStyle name="Comma 34 5" xfId="2342" xr:uid="{00000000-0005-0000-0000-0000EB080000}"/>
    <cellStyle name="Comma 34 5 2" xfId="4586" xr:uid="{00000000-0005-0000-0000-0000EC080000}"/>
    <cellStyle name="Comma 34 6" xfId="3022" xr:uid="{00000000-0005-0000-0000-0000ED080000}"/>
    <cellStyle name="Comma 35" xfId="824" xr:uid="{00000000-0005-0000-0000-0000EE080000}"/>
    <cellStyle name="Comma 35 2" xfId="1053" xr:uid="{00000000-0005-0000-0000-0000EF080000}"/>
    <cellStyle name="Comma 35 2 2" xfId="1841" xr:uid="{00000000-0005-0000-0000-0000F0080000}"/>
    <cellStyle name="Comma 35 2 2 2" xfId="4085" xr:uid="{00000000-0005-0000-0000-0000F1080000}"/>
    <cellStyle name="Comma 35 2 3" xfId="2565" xr:uid="{00000000-0005-0000-0000-0000F2080000}"/>
    <cellStyle name="Comma 35 2 3 2" xfId="4809" xr:uid="{00000000-0005-0000-0000-0000F3080000}"/>
    <cellStyle name="Comma 35 2 4" xfId="3299" xr:uid="{00000000-0005-0000-0000-0000F4080000}"/>
    <cellStyle name="Comma 35 3" xfId="1307" xr:uid="{00000000-0005-0000-0000-0000F5080000}"/>
    <cellStyle name="Comma 35 3 2" xfId="2094" xr:uid="{00000000-0005-0000-0000-0000F6080000}"/>
    <cellStyle name="Comma 35 3 2 2" xfId="4338" xr:uid="{00000000-0005-0000-0000-0000F7080000}"/>
    <cellStyle name="Comma 35 3 3" xfId="2816" xr:uid="{00000000-0005-0000-0000-0000F8080000}"/>
    <cellStyle name="Comma 35 3 3 2" xfId="5060" xr:uid="{00000000-0005-0000-0000-0000F9080000}"/>
    <cellStyle name="Comma 35 3 4" xfId="3552" xr:uid="{00000000-0005-0000-0000-0000FA080000}"/>
    <cellStyle name="Comma 35 4" xfId="1627" xr:uid="{00000000-0005-0000-0000-0000FB080000}"/>
    <cellStyle name="Comma 35 4 2" xfId="3871" xr:uid="{00000000-0005-0000-0000-0000FC080000}"/>
    <cellStyle name="Comma 35 5" xfId="2351" xr:uid="{00000000-0005-0000-0000-0000FD080000}"/>
    <cellStyle name="Comma 35 5 2" xfId="4595" xr:uid="{00000000-0005-0000-0000-0000FE080000}"/>
    <cellStyle name="Comma 35 6" xfId="3085" xr:uid="{00000000-0005-0000-0000-0000FF080000}"/>
    <cellStyle name="Comma 36" xfId="24" xr:uid="{00000000-0005-0000-0000-000000090000}"/>
    <cellStyle name="Comma 36 10" xfId="5090" xr:uid="{00000000-0005-0000-0000-000001090000}"/>
    <cellStyle name="Comma 36 2" xfId="27" xr:uid="{00000000-0005-0000-0000-000002090000}"/>
    <cellStyle name="Comma 36 2 2" xfId="872" xr:uid="{00000000-0005-0000-0000-000003090000}"/>
    <cellStyle name="Comma 36 2 2 2" xfId="1660" xr:uid="{00000000-0005-0000-0000-000004090000}"/>
    <cellStyle name="Comma 36 2 2 2 2" xfId="3904" xr:uid="{00000000-0005-0000-0000-000005090000}"/>
    <cellStyle name="Comma 36 2 2 3" xfId="2384" xr:uid="{00000000-0005-0000-0000-000006090000}"/>
    <cellStyle name="Comma 36 2 2 3 2" xfId="4628" xr:uid="{00000000-0005-0000-0000-000007090000}"/>
    <cellStyle name="Comma 36 2 2 4" xfId="3118" xr:uid="{00000000-0005-0000-0000-000008090000}"/>
    <cellStyle name="Comma 36 2 3" xfId="1080" xr:uid="{00000000-0005-0000-0000-000009090000}"/>
    <cellStyle name="Comma 36 2 3 2" xfId="1867" xr:uid="{00000000-0005-0000-0000-00000A090000}"/>
    <cellStyle name="Comma 36 2 3 2 2" xfId="4111" xr:uid="{00000000-0005-0000-0000-00000B090000}"/>
    <cellStyle name="Comma 36 2 3 3" xfId="2591" xr:uid="{00000000-0005-0000-0000-00000C090000}"/>
    <cellStyle name="Comma 36 2 3 3 2" xfId="4835" xr:uid="{00000000-0005-0000-0000-00000D090000}"/>
    <cellStyle name="Comma 36 2 3 4" xfId="3325" xr:uid="{00000000-0005-0000-0000-00000E090000}"/>
    <cellStyle name="Comma 36 2 4" xfId="1102" xr:uid="{00000000-0005-0000-0000-00000F090000}"/>
    <cellStyle name="Comma 36 2 4 2" xfId="1889" xr:uid="{00000000-0005-0000-0000-000010090000}"/>
    <cellStyle name="Comma 36 2 4 2 2" xfId="4133" xr:uid="{00000000-0005-0000-0000-000011090000}"/>
    <cellStyle name="Comma 36 2 4 3" xfId="2613" xr:uid="{00000000-0005-0000-0000-000012090000}"/>
    <cellStyle name="Comma 36 2 4 3 2" xfId="4857" xr:uid="{00000000-0005-0000-0000-000013090000}"/>
    <cellStyle name="Comma 36 2 4 4" xfId="3347" xr:uid="{00000000-0005-0000-0000-000014090000}"/>
    <cellStyle name="Comma 36 2 5" xfId="1124" xr:uid="{00000000-0005-0000-0000-000015090000}"/>
    <cellStyle name="Comma 36 2 5 2" xfId="1911" xr:uid="{00000000-0005-0000-0000-000016090000}"/>
    <cellStyle name="Comma 36 2 5 2 2" xfId="4155" xr:uid="{00000000-0005-0000-0000-000017090000}"/>
    <cellStyle name="Comma 36 2 5 3" xfId="2635" xr:uid="{00000000-0005-0000-0000-000018090000}"/>
    <cellStyle name="Comma 36 2 5 3 2" xfId="4879" xr:uid="{00000000-0005-0000-0000-000019090000}"/>
    <cellStyle name="Comma 36 2 5 4" xfId="3369" xr:uid="{00000000-0005-0000-0000-00001A090000}"/>
    <cellStyle name="Comma 36 2 6" xfId="1340" xr:uid="{00000000-0005-0000-0000-00001B090000}"/>
    <cellStyle name="Comma 36 2 6 2" xfId="3584" xr:uid="{00000000-0005-0000-0000-00001C090000}"/>
    <cellStyle name="Comma 36 2 7" xfId="2126" xr:uid="{00000000-0005-0000-0000-00001D090000}"/>
    <cellStyle name="Comma 36 2 7 2" xfId="4370" xr:uid="{00000000-0005-0000-0000-00001E090000}"/>
    <cellStyle name="Comma 36 2 8" xfId="2850" xr:uid="{00000000-0005-0000-0000-00001F090000}"/>
    <cellStyle name="Comma 36 2 9" xfId="5092" xr:uid="{00000000-0005-0000-0000-000020090000}"/>
    <cellStyle name="Comma 36 3" xfId="870" xr:uid="{00000000-0005-0000-0000-000021090000}"/>
    <cellStyle name="Comma 36 3 2" xfId="1658" xr:uid="{00000000-0005-0000-0000-000022090000}"/>
    <cellStyle name="Comma 36 3 2 2" xfId="3902" xr:uid="{00000000-0005-0000-0000-000023090000}"/>
    <cellStyle name="Comma 36 3 3" xfId="2382" xr:uid="{00000000-0005-0000-0000-000024090000}"/>
    <cellStyle name="Comma 36 3 3 2" xfId="4626" xr:uid="{00000000-0005-0000-0000-000025090000}"/>
    <cellStyle name="Comma 36 3 4" xfId="3116" xr:uid="{00000000-0005-0000-0000-000026090000}"/>
    <cellStyle name="Comma 36 4" xfId="1078" xr:uid="{00000000-0005-0000-0000-000027090000}"/>
    <cellStyle name="Comma 36 4 2" xfId="1865" xr:uid="{00000000-0005-0000-0000-000028090000}"/>
    <cellStyle name="Comma 36 4 2 2" xfId="4109" xr:uid="{00000000-0005-0000-0000-000029090000}"/>
    <cellStyle name="Comma 36 4 3" xfId="2589" xr:uid="{00000000-0005-0000-0000-00002A090000}"/>
    <cellStyle name="Comma 36 4 3 2" xfId="4833" xr:uid="{00000000-0005-0000-0000-00002B090000}"/>
    <cellStyle name="Comma 36 4 4" xfId="3323" xr:uid="{00000000-0005-0000-0000-00002C090000}"/>
    <cellStyle name="Comma 36 5" xfId="1100" xr:uid="{00000000-0005-0000-0000-00002D090000}"/>
    <cellStyle name="Comma 36 5 2" xfId="1887" xr:uid="{00000000-0005-0000-0000-00002E090000}"/>
    <cellStyle name="Comma 36 5 2 2" xfId="4131" xr:uid="{00000000-0005-0000-0000-00002F090000}"/>
    <cellStyle name="Comma 36 5 3" xfId="2611" xr:uid="{00000000-0005-0000-0000-000030090000}"/>
    <cellStyle name="Comma 36 5 3 2" xfId="4855" xr:uid="{00000000-0005-0000-0000-000031090000}"/>
    <cellStyle name="Comma 36 5 4" xfId="3345" xr:uid="{00000000-0005-0000-0000-000032090000}"/>
    <cellStyle name="Comma 36 6" xfId="1122" xr:uid="{00000000-0005-0000-0000-000033090000}"/>
    <cellStyle name="Comma 36 6 2" xfId="1909" xr:uid="{00000000-0005-0000-0000-000034090000}"/>
    <cellStyle name="Comma 36 6 2 2" xfId="4153" xr:uid="{00000000-0005-0000-0000-000035090000}"/>
    <cellStyle name="Comma 36 6 3" xfId="2633" xr:uid="{00000000-0005-0000-0000-000036090000}"/>
    <cellStyle name="Comma 36 6 3 2" xfId="4877" xr:uid="{00000000-0005-0000-0000-000037090000}"/>
    <cellStyle name="Comma 36 6 4" xfId="3367" xr:uid="{00000000-0005-0000-0000-000038090000}"/>
    <cellStyle name="Comma 36 7" xfId="1338" xr:uid="{00000000-0005-0000-0000-000039090000}"/>
    <cellStyle name="Comma 36 7 2" xfId="3582" xr:uid="{00000000-0005-0000-0000-00003A090000}"/>
    <cellStyle name="Comma 36 8" xfId="2124" xr:uid="{00000000-0005-0000-0000-00003B090000}"/>
    <cellStyle name="Comma 36 8 2" xfId="4368" xr:uid="{00000000-0005-0000-0000-00003C090000}"/>
    <cellStyle name="Comma 36 9" xfId="2848" xr:uid="{00000000-0005-0000-0000-00003D090000}"/>
    <cellStyle name="Comma 37" xfId="727" xr:uid="{00000000-0005-0000-0000-00003E090000}"/>
    <cellStyle name="Comma 37 2" xfId="1040" xr:uid="{00000000-0005-0000-0000-00003F090000}"/>
    <cellStyle name="Comma 37 2 2" xfId="1828" xr:uid="{00000000-0005-0000-0000-000040090000}"/>
    <cellStyle name="Comma 37 2 2 2" xfId="4072" xr:uid="{00000000-0005-0000-0000-000041090000}"/>
    <cellStyle name="Comma 37 2 3" xfId="2552" xr:uid="{00000000-0005-0000-0000-000042090000}"/>
    <cellStyle name="Comma 37 2 3 2" xfId="4796" xr:uid="{00000000-0005-0000-0000-000043090000}"/>
    <cellStyle name="Comma 37 2 4" xfId="3286" xr:uid="{00000000-0005-0000-0000-000044090000}"/>
    <cellStyle name="Comma 37 3" xfId="1293" xr:uid="{00000000-0005-0000-0000-000045090000}"/>
    <cellStyle name="Comma 37 3 2" xfId="2080" xr:uid="{00000000-0005-0000-0000-000046090000}"/>
    <cellStyle name="Comma 37 3 2 2" xfId="4324" xr:uid="{00000000-0005-0000-0000-000047090000}"/>
    <cellStyle name="Comma 37 3 3" xfId="2803" xr:uid="{00000000-0005-0000-0000-000048090000}"/>
    <cellStyle name="Comma 37 3 3 2" xfId="5047" xr:uid="{00000000-0005-0000-0000-000049090000}"/>
    <cellStyle name="Comma 37 3 4" xfId="3538" xr:uid="{00000000-0005-0000-0000-00004A090000}"/>
    <cellStyle name="Comma 37 4" xfId="1560" xr:uid="{00000000-0005-0000-0000-00004B090000}"/>
    <cellStyle name="Comma 37 4 2" xfId="3804" xr:uid="{00000000-0005-0000-0000-00004C090000}"/>
    <cellStyle name="Comma 37 5" xfId="2338" xr:uid="{00000000-0005-0000-0000-00004D090000}"/>
    <cellStyle name="Comma 37 5 2" xfId="4582" xr:uid="{00000000-0005-0000-0000-00004E090000}"/>
    <cellStyle name="Comma 37 6" xfId="3018" xr:uid="{00000000-0005-0000-0000-00004F090000}"/>
    <cellStyle name="Comma 38" xfId="826" xr:uid="{00000000-0005-0000-0000-000050090000}"/>
    <cellStyle name="Comma 38 2" xfId="1055" xr:uid="{00000000-0005-0000-0000-000051090000}"/>
    <cellStyle name="Comma 38 2 2" xfId="1843" xr:uid="{00000000-0005-0000-0000-000052090000}"/>
    <cellStyle name="Comma 38 2 2 2" xfId="4087" xr:uid="{00000000-0005-0000-0000-000053090000}"/>
    <cellStyle name="Comma 38 2 3" xfId="2567" xr:uid="{00000000-0005-0000-0000-000054090000}"/>
    <cellStyle name="Comma 38 2 3 2" xfId="4811" xr:uid="{00000000-0005-0000-0000-000055090000}"/>
    <cellStyle name="Comma 38 2 4" xfId="3301" xr:uid="{00000000-0005-0000-0000-000056090000}"/>
    <cellStyle name="Comma 38 3" xfId="1309" xr:uid="{00000000-0005-0000-0000-000057090000}"/>
    <cellStyle name="Comma 38 3 2" xfId="2096" xr:uid="{00000000-0005-0000-0000-000058090000}"/>
    <cellStyle name="Comma 38 3 2 2" xfId="4340" xr:uid="{00000000-0005-0000-0000-000059090000}"/>
    <cellStyle name="Comma 38 3 3" xfId="2818" xr:uid="{00000000-0005-0000-0000-00005A090000}"/>
    <cellStyle name="Comma 38 3 3 2" xfId="5062" xr:uid="{00000000-0005-0000-0000-00005B090000}"/>
    <cellStyle name="Comma 38 3 4" xfId="3554" xr:uid="{00000000-0005-0000-0000-00005C090000}"/>
    <cellStyle name="Comma 38 4" xfId="1629" xr:uid="{00000000-0005-0000-0000-00005D090000}"/>
    <cellStyle name="Comma 38 4 2" xfId="3873" xr:uid="{00000000-0005-0000-0000-00005E090000}"/>
    <cellStyle name="Comma 38 5" xfId="2353" xr:uid="{00000000-0005-0000-0000-00005F090000}"/>
    <cellStyle name="Comma 38 5 2" xfId="4597" xr:uid="{00000000-0005-0000-0000-000060090000}"/>
    <cellStyle name="Comma 38 6" xfId="3087" xr:uid="{00000000-0005-0000-0000-000061090000}"/>
    <cellStyle name="Comma 39" xfId="730" xr:uid="{00000000-0005-0000-0000-000062090000}"/>
    <cellStyle name="Comma 39 2" xfId="1043" xr:uid="{00000000-0005-0000-0000-000063090000}"/>
    <cellStyle name="Comma 39 2 2" xfId="1831" xr:uid="{00000000-0005-0000-0000-000064090000}"/>
    <cellStyle name="Comma 39 2 2 2" xfId="4075" xr:uid="{00000000-0005-0000-0000-000065090000}"/>
    <cellStyle name="Comma 39 2 3" xfId="2555" xr:uid="{00000000-0005-0000-0000-000066090000}"/>
    <cellStyle name="Comma 39 2 3 2" xfId="4799" xr:uid="{00000000-0005-0000-0000-000067090000}"/>
    <cellStyle name="Comma 39 2 4" xfId="3289" xr:uid="{00000000-0005-0000-0000-000068090000}"/>
    <cellStyle name="Comma 39 3" xfId="1296" xr:uid="{00000000-0005-0000-0000-000069090000}"/>
    <cellStyle name="Comma 39 3 2" xfId="2083" xr:uid="{00000000-0005-0000-0000-00006A090000}"/>
    <cellStyle name="Comma 39 3 2 2" xfId="4327" xr:uid="{00000000-0005-0000-0000-00006B090000}"/>
    <cellStyle name="Comma 39 3 3" xfId="2806" xr:uid="{00000000-0005-0000-0000-00006C090000}"/>
    <cellStyle name="Comma 39 3 3 2" xfId="5050" xr:uid="{00000000-0005-0000-0000-00006D090000}"/>
    <cellStyle name="Comma 39 3 4" xfId="3541" xr:uid="{00000000-0005-0000-0000-00006E090000}"/>
    <cellStyle name="Comma 39 4" xfId="1563" xr:uid="{00000000-0005-0000-0000-00006F090000}"/>
    <cellStyle name="Comma 39 4 2" xfId="3807" xr:uid="{00000000-0005-0000-0000-000070090000}"/>
    <cellStyle name="Comma 39 5" xfId="2341" xr:uid="{00000000-0005-0000-0000-000071090000}"/>
    <cellStyle name="Comma 39 5 2" xfId="4585" xr:uid="{00000000-0005-0000-0000-000072090000}"/>
    <cellStyle name="Comma 39 6" xfId="3021" xr:uid="{00000000-0005-0000-0000-000073090000}"/>
    <cellStyle name="Comma 4" xfId="14" xr:uid="{00000000-0005-0000-0000-000074090000}"/>
    <cellStyle name="Comma 4 10" xfId="5081" xr:uid="{00000000-0005-0000-0000-000075090000}"/>
    <cellStyle name="Comma 4 2" xfId="156" xr:uid="{00000000-0005-0000-0000-000076090000}"/>
    <cellStyle name="Comma 4 2 2" xfId="968" xr:uid="{00000000-0005-0000-0000-000077090000}"/>
    <cellStyle name="Comma 4 2 2 2" xfId="1756" xr:uid="{00000000-0005-0000-0000-000078090000}"/>
    <cellStyle name="Comma 4 2 2 2 2" xfId="4000" xr:uid="{00000000-0005-0000-0000-000079090000}"/>
    <cellStyle name="Comma 4 2 2 3" xfId="2480" xr:uid="{00000000-0005-0000-0000-00007A090000}"/>
    <cellStyle name="Comma 4 2 2 3 2" xfId="4724" xr:uid="{00000000-0005-0000-0000-00007B090000}"/>
    <cellStyle name="Comma 4 2 2 4" xfId="3214" xr:uid="{00000000-0005-0000-0000-00007C090000}"/>
    <cellStyle name="Comma 4 2 3" xfId="1221" xr:uid="{00000000-0005-0000-0000-00007D090000}"/>
    <cellStyle name="Comma 4 2 3 2" xfId="2008" xr:uid="{00000000-0005-0000-0000-00007E090000}"/>
    <cellStyle name="Comma 4 2 3 2 2" xfId="4252" xr:uid="{00000000-0005-0000-0000-00007F090000}"/>
    <cellStyle name="Comma 4 2 3 3" xfId="2732" xr:uid="{00000000-0005-0000-0000-000080090000}"/>
    <cellStyle name="Comma 4 2 3 3 2" xfId="4976" xr:uid="{00000000-0005-0000-0000-000081090000}"/>
    <cellStyle name="Comma 4 2 3 4" xfId="3466" xr:uid="{00000000-0005-0000-0000-000082090000}"/>
    <cellStyle name="Comma 4 2 4" xfId="1436" xr:uid="{00000000-0005-0000-0000-000083090000}"/>
    <cellStyle name="Comma 4 2 4 2" xfId="3680" xr:uid="{00000000-0005-0000-0000-000084090000}"/>
    <cellStyle name="Comma 4 2 5" xfId="2222" xr:uid="{00000000-0005-0000-0000-000085090000}"/>
    <cellStyle name="Comma 4 2 5 2" xfId="4466" xr:uid="{00000000-0005-0000-0000-000086090000}"/>
    <cellStyle name="Comma 4 2 6" xfId="2946" xr:uid="{00000000-0005-0000-0000-000087090000}"/>
    <cellStyle name="Comma 4 3" xfId="155" xr:uid="{00000000-0005-0000-0000-000088090000}"/>
    <cellStyle name="Comma 4 3 2" xfId="967" xr:uid="{00000000-0005-0000-0000-000089090000}"/>
    <cellStyle name="Comma 4 3 2 2" xfId="1755" xr:uid="{00000000-0005-0000-0000-00008A090000}"/>
    <cellStyle name="Comma 4 3 2 2 2" xfId="3999" xr:uid="{00000000-0005-0000-0000-00008B090000}"/>
    <cellStyle name="Comma 4 3 2 3" xfId="2479" xr:uid="{00000000-0005-0000-0000-00008C090000}"/>
    <cellStyle name="Comma 4 3 2 3 2" xfId="4723" xr:uid="{00000000-0005-0000-0000-00008D090000}"/>
    <cellStyle name="Comma 4 3 2 4" xfId="3213" xr:uid="{00000000-0005-0000-0000-00008E090000}"/>
    <cellStyle name="Comma 4 3 3" xfId="1220" xr:uid="{00000000-0005-0000-0000-00008F090000}"/>
    <cellStyle name="Comma 4 3 3 2" xfId="2007" xr:uid="{00000000-0005-0000-0000-000090090000}"/>
    <cellStyle name="Comma 4 3 3 2 2" xfId="4251" xr:uid="{00000000-0005-0000-0000-000091090000}"/>
    <cellStyle name="Comma 4 3 3 3" xfId="2731" xr:uid="{00000000-0005-0000-0000-000092090000}"/>
    <cellStyle name="Comma 4 3 3 3 2" xfId="4975" xr:uid="{00000000-0005-0000-0000-000093090000}"/>
    <cellStyle name="Comma 4 3 3 4" xfId="3465" xr:uid="{00000000-0005-0000-0000-000094090000}"/>
    <cellStyle name="Comma 4 3 4" xfId="1435" xr:uid="{00000000-0005-0000-0000-000095090000}"/>
    <cellStyle name="Comma 4 3 4 2" xfId="3679" xr:uid="{00000000-0005-0000-0000-000096090000}"/>
    <cellStyle name="Comma 4 3 5" xfId="2221" xr:uid="{00000000-0005-0000-0000-000097090000}"/>
    <cellStyle name="Comma 4 3 5 2" xfId="4465" xr:uid="{00000000-0005-0000-0000-000098090000}"/>
    <cellStyle name="Comma 4 3 6" xfId="2945" xr:uid="{00000000-0005-0000-0000-000099090000}"/>
    <cellStyle name="Comma 4 4" xfId="861" xr:uid="{00000000-0005-0000-0000-00009A090000}"/>
    <cellStyle name="Comma 4 4 2" xfId="1649" xr:uid="{00000000-0005-0000-0000-00009B090000}"/>
    <cellStyle name="Comma 4 4 2 2" xfId="3893" xr:uid="{00000000-0005-0000-0000-00009C090000}"/>
    <cellStyle name="Comma 4 4 3" xfId="2373" xr:uid="{00000000-0005-0000-0000-00009D090000}"/>
    <cellStyle name="Comma 4 4 3 2" xfId="4617" xr:uid="{00000000-0005-0000-0000-00009E090000}"/>
    <cellStyle name="Comma 4 4 4" xfId="3107" xr:uid="{00000000-0005-0000-0000-00009F090000}"/>
    <cellStyle name="Comma 4 5" xfId="1091" xr:uid="{00000000-0005-0000-0000-0000A0090000}"/>
    <cellStyle name="Comma 4 5 2" xfId="1878" xr:uid="{00000000-0005-0000-0000-0000A1090000}"/>
    <cellStyle name="Comma 4 5 2 2" xfId="4122" xr:uid="{00000000-0005-0000-0000-0000A2090000}"/>
    <cellStyle name="Comma 4 5 3" xfId="2602" xr:uid="{00000000-0005-0000-0000-0000A3090000}"/>
    <cellStyle name="Comma 4 5 3 2" xfId="4846" xr:uid="{00000000-0005-0000-0000-0000A4090000}"/>
    <cellStyle name="Comma 4 5 4" xfId="3336" xr:uid="{00000000-0005-0000-0000-0000A5090000}"/>
    <cellStyle name="Comma 4 6" xfId="1113" xr:uid="{00000000-0005-0000-0000-0000A6090000}"/>
    <cellStyle name="Comma 4 6 2" xfId="1900" xr:uid="{00000000-0005-0000-0000-0000A7090000}"/>
    <cellStyle name="Comma 4 6 2 2" xfId="4144" xr:uid="{00000000-0005-0000-0000-0000A8090000}"/>
    <cellStyle name="Comma 4 6 3" xfId="2624" xr:uid="{00000000-0005-0000-0000-0000A9090000}"/>
    <cellStyle name="Comma 4 6 3 2" xfId="4868" xr:uid="{00000000-0005-0000-0000-0000AA090000}"/>
    <cellStyle name="Comma 4 6 4" xfId="3358" xr:uid="{00000000-0005-0000-0000-0000AB090000}"/>
    <cellStyle name="Comma 4 7" xfId="1329" xr:uid="{00000000-0005-0000-0000-0000AC090000}"/>
    <cellStyle name="Comma 4 7 2" xfId="3573" xr:uid="{00000000-0005-0000-0000-0000AD090000}"/>
    <cellStyle name="Comma 4 8" xfId="2115" xr:uid="{00000000-0005-0000-0000-0000AE090000}"/>
    <cellStyle name="Comma 4 8 2" xfId="4359" xr:uid="{00000000-0005-0000-0000-0000AF090000}"/>
    <cellStyle name="Comma 4 9" xfId="2839" xr:uid="{00000000-0005-0000-0000-0000B0090000}"/>
    <cellStyle name="Comma 40" xfId="827" xr:uid="{00000000-0005-0000-0000-0000B1090000}"/>
    <cellStyle name="Comma 40 2" xfId="1056" xr:uid="{00000000-0005-0000-0000-0000B2090000}"/>
    <cellStyle name="Comma 40 2 2" xfId="1844" xr:uid="{00000000-0005-0000-0000-0000B3090000}"/>
    <cellStyle name="Comma 40 2 2 2" xfId="4088" xr:uid="{00000000-0005-0000-0000-0000B4090000}"/>
    <cellStyle name="Comma 40 2 3" xfId="2568" xr:uid="{00000000-0005-0000-0000-0000B5090000}"/>
    <cellStyle name="Comma 40 2 3 2" xfId="4812" xr:uid="{00000000-0005-0000-0000-0000B6090000}"/>
    <cellStyle name="Comma 40 2 4" xfId="3302" xr:uid="{00000000-0005-0000-0000-0000B7090000}"/>
    <cellStyle name="Comma 40 3" xfId="1310" xr:uid="{00000000-0005-0000-0000-0000B8090000}"/>
    <cellStyle name="Comma 40 3 2" xfId="2097" xr:uid="{00000000-0005-0000-0000-0000B9090000}"/>
    <cellStyle name="Comma 40 3 2 2" xfId="4341" xr:uid="{00000000-0005-0000-0000-0000BA090000}"/>
    <cellStyle name="Comma 40 3 3" xfId="2819" xr:uid="{00000000-0005-0000-0000-0000BB090000}"/>
    <cellStyle name="Comma 40 3 3 2" xfId="5063" xr:uid="{00000000-0005-0000-0000-0000BC090000}"/>
    <cellStyle name="Comma 40 3 4" xfId="3555" xr:uid="{00000000-0005-0000-0000-0000BD090000}"/>
    <cellStyle name="Comma 40 4" xfId="1630" xr:uid="{00000000-0005-0000-0000-0000BE090000}"/>
    <cellStyle name="Comma 40 4 2" xfId="3874" xr:uid="{00000000-0005-0000-0000-0000BF090000}"/>
    <cellStyle name="Comma 40 5" xfId="2354" xr:uid="{00000000-0005-0000-0000-0000C0090000}"/>
    <cellStyle name="Comma 40 5 2" xfId="4598" xr:uid="{00000000-0005-0000-0000-0000C1090000}"/>
    <cellStyle name="Comma 40 6" xfId="3088" xr:uid="{00000000-0005-0000-0000-0000C2090000}"/>
    <cellStyle name="Comma 41" xfId="729" xr:uid="{00000000-0005-0000-0000-0000C3090000}"/>
    <cellStyle name="Comma 41 2" xfId="1042" xr:uid="{00000000-0005-0000-0000-0000C4090000}"/>
    <cellStyle name="Comma 41 2 2" xfId="1830" xr:uid="{00000000-0005-0000-0000-0000C5090000}"/>
    <cellStyle name="Comma 41 2 2 2" xfId="4074" xr:uid="{00000000-0005-0000-0000-0000C6090000}"/>
    <cellStyle name="Comma 41 2 3" xfId="2554" xr:uid="{00000000-0005-0000-0000-0000C7090000}"/>
    <cellStyle name="Comma 41 2 3 2" xfId="4798" xr:uid="{00000000-0005-0000-0000-0000C8090000}"/>
    <cellStyle name="Comma 41 2 4" xfId="3288" xr:uid="{00000000-0005-0000-0000-0000C9090000}"/>
    <cellStyle name="Comma 41 3" xfId="1295" xr:uid="{00000000-0005-0000-0000-0000CA090000}"/>
    <cellStyle name="Comma 41 3 2" xfId="2082" xr:uid="{00000000-0005-0000-0000-0000CB090000}"/>
    <cellStyle name="Comma 41 3 2 2" xfId="4326" xr:uid="{00000000-0005-0000-0000-0000CC090000}"/>
    <cellStyle name="Comma 41 3 3" xfId="2805" xr:uid="{00000000-0005-0000-0000-0000CD090000}"/>
    <cellStyle name="Comma 41 3 3 2" xfId="5049" xr:uid="{00000000-0005-0000-0000-0000CE090000}"/>
    <cellStyle name="Comma 41 3 4" xfId="3540" xr:uid="{00000000-0005-0000-0000-0000CF090000}"/>
    <cellStyle name="Comma 41 4" xfId="1562" xr:uid="{00000000-0005-0000-0000-0000D0090000}"/>
    <cellStyle name="Comma 41 4 2" xfId="3806" xr:uid="{00000000-0005-0000-0000-0000D1090000}"/>
    <cellStyle name="Comma 41 5" xfId="2340" xr:uid="{00000000-0005-0000-0000-0000D2090000}"/>
    <cellStyle name="Comma 41 5 2" xfId="4584" xr:uid="{00000000-0005-0000-0000-0000D3090000}"/>
    <cellStyle name="Comma 41 6" xfId="3020" xr:uid="{00000000-0005-0000-0000-0000D4090000}"/>
    <cellStyle name="Comma 42" xfId="828" xr:uid="{00000000-0005-0000-0000-0000D5090000}"/>
    <cellStyle name="Comma 42 2" xfId="1057" xr:uid="{00000000-0005-0000-0000-0000D6090000}"/>
    <cellStyle name="Comma 42 2 2" xfId="1845" xr:uid="{00000000-0005-0000-0000-0000D7090000}"/>
    <cellStyle name="Comma 42 2 2 2" xfId="4089" xr:uid="{00000000-0005-0000-0000-0000D8090000}"/>
    <cellStyle name="Comma 42 2 3" xfId="2569" xr:uid="{00000000-0005-0000-0000-0000D9090000}"/>
    <cellStyle name="Comma 42 2 3 2" xfId="4813" xr:uid="{00000000-0005-0000-0000-0000DA090000}"/>
    <cellStyle name="Comma 42 2 4" xfId="3303" xr:uid="{00000000-0005-0000-0000-0000DB090000}"/>
    <cellStyle name="Comma 42 3" xfId="1311" xr:uid="{00000000-0005-0000-0000-0000DC090000}"/>
    <cellStyle name="Comma 42 3 2" xfId="2098" xr:uid="{00000000-0005-0000-0000-0000DD090000}"/>
    <cellStyle name="Comma 42 3 2 2" xfId="4342" xr:uid="{00000000-0005-0000-0000-0000DE090000}"/>
    <cellStyle name="Comma 42 3 3" xfId="2820" xr:uid="{00000000-0005-0000-0000-0000DF090000}"/>
    <cellStyle name="Comma 42 3 3 2" xfId="5064" xr:uid="{00000000-0005-0000-0000-0000E0090000}"/>
    <cellStyle name="Comma 42 3 4" xfId="3556" xr:uid="{00000000-0005-0000-0000-0000E1090000}"/>
    <cellStyle name="Comma 42 4" xfId="1631" xr:uid="{00000000-0005-0000-0000-0000E2090000}"/>
    <cellStyle name="Comma 42 4 2" xfId="3875" xr:uid="{00000000-0005-0000-0000-0000E3090000}"/>
    <cellStyle name="Comma 42 5" xfId="2355" xr:uid="{00000000-0005-0000-0000-0000E4090000}"/>
    <cellStyle name="Comma 42 5 2" xfId="4599" xr:uid="{00000000-0005-0000-0000-0000E5090000}"/>
    <cellStyle name="Comma 42 6" xfId="3089" xr:uid="{00000000-0005-0000-0000-0000E6090000}"/>
    <cellStyle name="Comma 43" xfId="732" xr:uid="{00000000-0005-0000-0000-0000E7090000}"/>
    <cellStyle name="Comma 43 2" xfId="1045" xr:uid="{00000000-0005-0000-0000-0000E8090000}"/>
    <cellStyle name="Comma 43 2 2" xfId="1833" xr:uid="{00000000-0005-0000-0000-0000E9090000}"/>
    <cellStyle name="Comma 43 2 2 2" xfId="4077" xr:uid="{00000000-0005-0000-0000-0000EA090000}"/>
    <cellStyle name="Comma 43 2 3" xfId="2557" xr:uid="{00000000-0005-0000-0000-0000EB090000}"/>
    <cellStyle name="Comma 43 2 3 2" xfId="4801" xr:uid="{00000000-0005-0000-0000-0000EC090000}"/>
    <cellStyle name="Comma 43 2 4" xfId="3291" xr:uid="{00000000-0005-0000-0000-0000ED090000}"/>
    <cellStyle name="Comma 43 3" xfId="1298" xr:uid="{00000000-0005-0000-0000-0000EE090000}"/>
    <cellStyle name="Comma 43 3 2" xfId="2085" xr:uid="{00000000-0005-0000-0000-0000EF090000}"/>
    <cellStyle name="Comma 43 3 2 2" xfId="4329" xr:uid="{00000000-0005-0000-0000-0000F0090000}"/>
    <cellStyle name="Comma 43 3 3" xfId="2808" xr:uid="{00000000-0005-0000-0000-0000F1090000}"/>
    <cellStyle name="Comma 43 3 3 2" xfId="5052" xr:uid="{00000000-0005-0000-0000-0000F2090000}"/>
    <cellStyle name="Comma 43 3 4" xfId="3543" xr:uid="{00000000-0005-0000-0000-0000F3090000}"/>
    <cellStyle name="Comma 43 4" xfId="1565" xr:uid="{00000000-0005-0000-0000-0000F4090000}"/>
    <cellStyle name="Comma 43 4 2" xfId="3809" xr:uid="{00000000-0005-0000-0000-0000F5090000}"/>
    <cellStyle name="Comma 43 5" xfId="2343" xr:uid="{00000000-0005-0000-0000-0000F6090000}"/>
    <cellStyle name="Comma 43 5 2" xfId="4587" xr:uid="{00000000-0005-0000-0000-0000F7090000}"/>
    <cellStyle name="Comma 43 6" xfId="3023" xr:uid="{00000000-0005-0000-0000-0000F8090000}"/>
    <cellStyle name="Comma 44" xfId="157" xr:uid="{00000000-0005-0000-0000-0000F9090000}"/>
    <cellStyle name="Comma 44 2" xfId="969" xr:uid="{00000000-0005-0000-0000-0000FA090000}"/>
    <cellStyle name="Comma 44 2 2" xfId="1757" xr:uid="{00000000-0005-0000-0000-0000FB090000}"/>
    <cellStyle name="Comma 44 2 2 2" xfId="4001" xr:uid="{00000000-0005-0000-0000-0000FC090000}"/>
    <cellStyle name="Comma 44 2 3" xfId="2481" xr:uid="{00000000-0005-0000-0000-0000FD090000}"/>
    <cellStyle name="Comma 44 2 3 2" xfId="4725" xr:uid="{00000000-0005-0000-0000-0000FE090000}"/>
    <cellStyle name="Comma 44 2 4" xfId="3215" xr:uid="{00000000-0005-0000-0000-0000FF090000}"/>
    <cellStyle name="Comma 44 3" xfId="1222" xr:uid="{00000000-0005-0000-0000-0000000A0000}"/>
    <cellStyle name="Comma 44 3 2" xfId="2009" xr:uid="{00000000-0005-0000-0000-0000010A0000}"/>
    <cellStyle name="Comma 44 3 2 2" xfId="4253" xr:uid="{00000000-0005-0000-0000-0000020A0000}"/>
    <cellStyle name="Comma 44 3 3" xfId="2733" xr:uid="{00000000-0005-0000-0000-0000030A0000}"/>
    <cellStyle name="Comma 44 3 3 2" xfId="4977" xr:uid="{00000000-0005-0000-0000-0000040A0000}"/>
    <cellStyle name="Comma 44 3 4" xfId="3467" xr:uid="{00000000-0005-0000-0000-0000050A0000}"/>
    <cellStyle name="Comma 44 4" xfId="1437" xr:uid="{00000000-0005-0000-0000-0000060A0000}"/>
    <cellStyle name="Comma 44 4 2" xfId="3681" xr:uid="{00000000-0005-0000-0000-0000070A0000}"/>
    <cellStyle name="Comma 44 5" xfId="2223" xr:uid="{00000000-0005-0000-0000-0000080A0000}"/>
    <cellStyle name="Comma 44 5 2" xfId="4467" xr:uid="{00000000-0005-0000-0000-0000090A0000}"/>
    <cellStyle name="Comma 44 6" xfId="2947" xr:uid="{00000000-0005-0000-0000-00000A0A0000}"/>
    <cellStyle name="Comma 45" xfId="829" xr:uid="{00000000-0005-0000-0000-00000B0A0000}"/>
    <cellStyle name="Comma 45 2" xfId="1058" xr:uid="{00000000-0005-0000-0000-00000C0A0000}"/>
    <cellStyle name="Comma 45 2 2" xfId="1846" xr:uid="{00000000-0005-0000-0000-00000D0A0000}"/>
    <cellStyle name="Comma 45 2 2 2" xfId="4090" xr:uid="{00000000-0005-0000-0000-00000E0A0000}"/>
    <cellStyle name="Comma 45 2 3" xfId="2570" xr:uid="{00000000-0005-0000-0000-00000F0A0000}"/>
    <cellStyle name="Comma 45 2 3 2" xfId="4814" xr:uid="{00000000-0005-0000-0000-0000100A0000}"/>
    <cellStyle name="Comma 45 2 4" xfId="3304" xr:uid="{00000000-0005-0000-0000-0000110A0000}"/>
    <cellStyle name="Comma 45 3" xfId="1312" xr:uid="{00000000-0005-0000-0000-0000120A0000}"/>
    <cellStyle name="Comma 45 3 2" xfId="2099" xr:uid="{00000000-0005-0000-0000-0000130A0000}"/>
    <cellStyle name="Comma 45 3 2 2" xfId="4343" xr:uid="{00000000-0005-0000-0000-0000140A0000}"/>
    <cellStyle name="Comma 45 3 3" xfId="2821" xr:uid="{00000000-0005-0000-0000-0000150A0000}"/>
    <cellStyle name="Comma 45 3 3 2" xfId="5065" xr:uid="{00000000-0005-0000-0000-0000160A0000}"/>
    <cellStyle name="Comma 45 3 4" xfId="3557" xr:uid="{00000000-0005-0000-0000-0000170A0000}"/>
    <cellStyle name="Comma 45 4" xfId="1632" xr:uid="{00000000-0005-0000-0000-0000180A0000}"/>
    <cellStyle name="Comma 45 4 2" xfId="3876" xr:uid="{00000000-0005-0000-0000-0000190A0000}"/>
    <cellStyle name="Comma 45 5" xfId="2356" xr:uid="{00000000-0005-0000-0000-00001A0A0000}"/>
    <cellStyle name="Comma 45 5 2" xfId="4600" xr:uid="{00000000-0005-0000-0000-00001B0A0000}"/>
    <cellStyle name="Comma 45 6" xfId="3090" xr:uid="{00000000-0005-0000-0000-00001C0A0000}"/>
    <cellStyle name="Comma 46" xfId="841" xr:uid="{00000000-0005-0000-0000-00001D0A0000}"/>
    <cellStyle name="Comma 46 2" xfId="1060" xr:uid="{00000000-0005-0000-0000-00001E0A0000}"/>
    <cellStyle name="Comma 46 2 2" xfId="1848" xr:uid="{00000000-0005-0000-0000-00001F0A0000}"/>
    <cellStyle name="Comma 46 2 2 2" xfId="4092" xr:uid="{00000000-0005-0000-0000-0000200A0000}"/>
    <cellStyle name="Comma 46 2 3" xfId="2572" xr:uid="{00000000-0005-0000-0000-0000210A0000}"/>
    <cellStyle name="Comma 46 2 3 2" xfId="4816" xr:uid="{00000000-0005-0000-0000-0000220A0000}"/>
    <cellStyle name="Comma 46 2 4" xfId="3306" xr:uid="{00000000-0005-0000-0000-0000230A0000}"/>
    <cellStyle name="Comma 46 3" xfId="1314" xr:uid="{00000000-0005-0000-0000-0000240A0000}"/>
    <cellStyle name="Comma 46 3 2" xfId="2101" xr:uid="{00000000-0005-0000-0000-0000250A0000}"/>
    <cellStyle name="Comma 46 3 2 2" xfId="4345" xr:uid="{00000000-0005-0000-0000-0000260A0000}"/>
    <cellStyle name="Comma 46 3 3" xfId="2823" xr:uid="{00000000-0005-0000-0000-0000270A0000}"/>
    <cellStyle name="Comma 46 3 3 2" xfId="5067" xr:uid="{00000000-0005-0000-0000-0000280A0000}"/>
    <cellStyle name="Comma 46 3 4" xfId="3559" xr:uid="{00000000-0005-0000-0000-0000290A0000}"/>
    <cellStyle name="Comma 46 4" xfId="1634" xr:uid="{00000000-0005-0000-0000-00002A0A0000}"/>
    <cellStyle name="Comma 46 4 2" xfId="3878" xr:uid="{00000000-0005-0000-0000-00002B0A0000}"/>
    <cellStyle name="Comma 46 5" xfId="2358" xr:uid="{00000000-0005-0000-0000-00002C0A0000}"/>
    <cellStyle name="Comma 46 5 2" xfId="4602" xr:uid="{00000000-0005-0000-0000-00002D0A0000}"/>
    <cellStyle name="Comma 46 6" xfId="3092" xr:uid="{00000000-0005-0000-0000-00002E0A0000}"/>
    <cellStyle name="Comma 47" xfId="842" xr:uid="{00000000-0005-0000-0000-00002F0A0000}"/>
    <cellStyle name="Comma 47 2" xfId="1061" xr:uid="{00000000-0005-0000-0000-0000300A0000}"/>
    <cellStyle name="Comma 47 2 2" xfId="1849" xr:uid="{00000000-0005-0000-0000-0000310A0000}"/>
    <cellStyle name="Comma 47 2 2 2" xfId="4093" xr:uid="{00000000-0005-0000-0000-0000320A0000}"/>
    <cellStyle name="Comma 47 2 3" xfId="2573" xr:uid="{00000000-0005-0000-0000-0000330A0000}"/>
    <cellStyle name="Comma 47 2 3 2" xfId="4817" xr:uid="{00000000-0005-0000-0000-0000340A0000}"/>
    <cellStyle name="Comma 47 2 4" xfId="3307" xr:uid="{00000000-0005-0000-0000-0000350A0000}"/>
    <cellStyle name="Comma 47 3" xfId="1315" xr:uid="{00000000-0005-0000-0000-0000360A0000}"/>
    <cellStyle name="Comma 47 3 2" xfId="2102" xr:uid="{00000000-0005-0000-0000-0000370A0000}"/>
    <cellStyle name="Comma 47 3 2 2" xfId="4346" xr:uid="{00000000-0005-0000-0000-0000380A0000}"/>
    <cellStyle name="Comma 47 3 3" xfId="2824" xr:uid="{00000000-0005-0000-0000-0000390A0000}"/>
    <cellStyle name="Comma 47 3 3 2" xfId="5068" xr:uid="{00000000-0005-0000-0000-00003A0A0000}"/>
    <cellStyle name="Comma 47 3 4" xfId="3560" xr:uid="{00000000-0005-0000-0000-00003B0A0000}"/>
    <cellStyle name="Comma 47 4" xfId="1635" xr:uid="{00000000-0005-0000-0000-00003C0A0000}"/>
    <cellStyle name="Comma 47 4 2" xfId="3879" xr:uid="{00000000-0005-0000-0000-00003D0A0000}"/>
    <cellStyle name="Comma 47 5" xfId="2359" xr:uid="{00000000-0005-0000-0000-00003E0A0000}"/>
    <cellStyle name="Comma 47 5 2" xfId="4603" xr:uid="{00000000-0005-0000-0000-00003F0A0000}"/>
    <cellStyle name="Comma 47 6" xfId="3093" xr:uid="{00000000-0005-0000-0000-0000400A0000}"/>
    <cellStyle name="Comma 48" xfId="158" xr:uid="{00000000-0005-0000-0000-0000410A0000}"/>
    <cellStyle name="Comma 48 2" xfId="970" xr:uid="{00000000-0005-0000-0000-0000420A0000}"/>
    <cellStyle name="Comma 48 2 2" xfId="1758" xr:uid="{00000000-0005-0000-0000-0000430A0000}"/>
    <cellStyle name="Comma 48 2 2 2" xfId="4002" xr:uid="{00000000-0005-0000-0000-0000440A0000}"/>
    <cellStyle name="Comma 48 2 3" xfId="2482" xr:uid="{00000000-0005-0000-0000-0000450A0000}"/>
    <cellStyle name="Comma 48 2 3 2" xfId="4726" xr:uid="{00000000-0005-0000-0000-0000460A0000}"/>
    <cellStyle name="Comma 48 2 4" xfId="3216" xr:uid="{00000000-0005-0000-0000-0000470A0000}"/>
    <cellStyle name="Comma 48 3" xfId="1223" xr:uid="{00000000-0005-0000-0000-0000480A0000}"/>
    <cellStyle name="Comma 48 3 2" xfId="2010" xr:uid="{00000000-0005-0000-0000-0000490A0000}"/>
    <cellStyle name="Comma 48 3 2 2" xfId="4254" xr:uid="{00000000-0005-0000-0000-00004A0A0000}"/>
    <cellStyle name="Comma 48 3 3" xfId="2734" xr:uid="{00000000-0005-0000-0000-00004B0A0000}"/>
    <cellStyle name="Comma 48 3 3 2" xfId="4978" xr:uid="{00000000-0005-0000-0000-00004C0A0000}"/>
    <cellStyle name="Comma 48 3 4" xfId="3468" xr:uid="{00000000-0005-0000-0000-00004D0A0000}"/>
    <cellStyle name="Comma 48 4" xfId="1438" xr:uid="{00000000-0005-0000-0000-00004E0A0000}"/>
    <cellStyle name="Comma 48 4 2" xfId="3682" xr:uid="{00000000-0005-0000-0000-00004F0A0000}"/>
    <cellStyle name="Comma 48 5" xfId="2224" xr:uid="{00000000-0005-0000-0000-0000500A0000}"/>
    <cellStyle name="Comma 48 5 2" xfId="4468" xr:uid="{00000000-0005-0000-0000-0000510A0000}"/>
    <cellStyle name="Comma 48 6" xfId="2948" xr:uid="{00000000-0005-0000-0000-0000520A0000}"/>
    <cellStyle name="Comma 49" xfId="736" xr:uid="{00000000-0005-0000-0000-0000530A0000}"/>
    <cellStyle name="Comma 49 2" xfId="1048" xr:uid="{00000000-0005-0000-0000-0000540A0000}"/>
    <cellStyle name="Comma 49 2 2" xfId="1836" xr:uid="{00000000-0005-0000-0000-0000550A0000}"/>
    <cellStyle name="Comma 49 2 2 2" xfId="4080" xr:uid="{00000000-0005-0000-0000-0000560A0000}"/>
    <cellStyle name="Comma 49 2 3" xfId="2560" xr:uid="{00000000-0005-0000-0000-0000570A0000}"/>
    <cellStyle name="Comma 49 2 3 2" xfId="4804" xr:uid="{00000000-0005-0000-0000-0000580A0000}"/>
    <cellStyle name="Comma 49 2 4" xfId="3294" xr:uid="{00000000-0005-0000-0000-0000590A0000}"/>
    <cellStyle name="Comma 49 3" xfId="1301" xr:uid="{00000000-0005-0000-0000-00005A0A0000}"/>
    <cellStyle name="Comma 49 3 2" xfId="2088" xr:uid="{00000000-0005-0000-0000-00005B0A0000}"/>
    <cellStyle name="Comma 49 3 2 2" xfId="4332" xr:uid="{00000000-0005-0000-0000-00005C0A0000}"/>
    <cellStyle name="Comma 49 3 3" xfId="2811" xr:uid="{00000000-0005-0000-0000-00005D0A0000}"/>
    <cellStyle name="Comma 49 3 3 2" xfId="5055" xr:uid="{00000000-0005-0000-0000-00005E0A0000}"/>
    <cellStyle name="Comma 49 3 4" xfId="3546" xr:uid="{00000000-0005-0000-0000-00005F0A0000}"/>
    <cellStyle name="Comma 49 4" xfId="1568" xr:uid="{00000000-0005-0000-0000-0000600A0000}"/>
    <cellStyle name="Comma 49 4 2" xfId="3812" xr:uid="{00000000-0005-0000-0000-0000610A0000}"/>
    <cellStyle name="Comma 49 5" xfId="2346" xr:uid="{00000000-0005-0000-0000-0000620A0000}"/>
    <cellStyle name="Comma 49 5 2" xfId="4590" xr:uid="{00000000-0005-0000-0000-0000630A0000}"/>
    <cellStyle name="Comma 49 6" xfId="3026" xr:uid="{00000000-0005-0000-0000-0000640A0000}"/>
    <cellStyle name="Comma 5" xfId="159" xr:uid="{00000000-0005-0000-0000-0000650A0000}"/>
    <cellStyle name="Comma 5 10" xfId="160" xr:uid="{00000000-0005-0000-0000-0000660A0000}"/>
    <cellStyle name="Comma 5 2" xfId="161" xr:uid="{00000000-0005-0000-0000-0000670A0000}"/>
    <cellStyle name="Comma 5 3" xfId="162" xr:uid="{00000000-0005-0000-0000-0000680A0000}"/>
    <cellStyle name="Comma 5 3 2" xfId="972" xr:uid="{00000000-0005-0000-0000-0000690A0000}"/>
    <cellStyle name="Comma 5 3 2 2" xfId="1760" xr:uid="{00000000-0005-0000-0000-00006A0A0000}"/>
    <cellStyle name="Comma 5 3 2 2 2" xfId="4004" xr:uid="{00000000-0005-0000-0000-00006B0A0000}"/>
    <cellStyle name="Comma 5 3 2 3" xfId="2484" xr:uid="{00000000-0005-0000-0000-00006C0A0000}"/>
    <cellStyle name="Comma 5 3 2 3 2" xfId="4728" xr:uid="{00000000-0005-0000-0000-00006D0A0000}"/>
    <cellStyle name="Comma 5 3 2 4" xfId="3218" xr:uid="{00000000-0005-0000-0000-00006E0A0000}"/>
    <cellStyle name="Comma 5 3 3" xfId="1225" xr:uid="{00000000-0005-0000-0000-00006F0A0000}"/>
    <cellStyle name="Comma 5 3 3 2" xfId="2012" xr:uid="{00000000-0005-0000-0000-0000700A0000}"/>
    <cellStyle name="Comma 5 3 3 2 2" xfId="4256" xr:uid="{00000000-0005-0000-0000-0000710A0000}"/>
    <cellStyle name="Comma 5 3 3 3" xfId="2736" xr:uid="{00000000-0005-0000-0000-0000720A0000}"/>
    <cellStyle name="Comma 5 3 3 3 2" xfId="4980" xr:uid="{00000000-0005-0000-0000-0000730A0000}"/>
    <cellStyle name="Comma 5 3 3 4" xfId="3470" xr:uid="{00000000-0005-0000-0000-0000740A0000}"/>
    <cellStyle name="Comma 5 3 4" xfId="1440" xr:uid="{00000000-0005-0000-0000-0000750A0000}"/>
    <cellStyle name="Comma 5 3 4 2" xfId="3684" xr:uid="{00000000-0005-0000-0000-0000760A0000}"/>
    <cellStyle name="Comma 5 3 5" xfId="2226" xr:uid="{00000000-0005-0000-0000-0000770A0000}"/>
    <cellStyle name="Comma 5 3 5 2" xfId="4470" xr:uid="{00000000-0005-0000-0000-0000780A0000}"/>
    <cellStyle name="Comma 5 3 6" xfId="2950" xr:uid="{00000000-0005-0000-0000-0000790A0000}"/>
    <cellStyle name="Comma 5 4" xfId="971" xr:uid="{00000000-0005-0000-0000-00007A0A0000}"/>
    <cellStyle name="Comma 5 4 2" xfId="1759" xr:uid="{00000000-0005-0000-0000-00007B0A0000}"/>
    <cellStyle name="Comma 5 4 2 2" xfId="4003" xr:uid="{00000000-0005-0000-0000-00007C0A0000}"/>
    <cellStyle name="Comma 5 4 3" xfId="2483" xr:uid="{00000000-0005-0000-0000-00007D0A0000}"/>
    <cellStyle name="Comma 5 4 3 2" xfId="4727" xr:uid="{00000000-0005-0000-0000-00007E0A0000}"/>
    <cellStyle name="Comma 5 4 4" xfId="3217" xr:uid="{00000000-0005-0000-0000-00007F0A0000}"/>
    <cellStyle name="Comma 5 5" xfId="1224" xr:uid="{00000000-0005-0000-0000-0000800A0000}"/>
    <cellStyle name="Comma 5 5 2" xfId="2011" xr:uid="{00000000-0005-0000-0000-0000810A0000}"/>
    <cellStyle name="Comma 5 5 2 2" xfId="4255" xr:uid="{00000000-0005-0000-0000-0000820A0000}"/>
    <cellStyle name="Comma 5 5 3" xfId="2735" xr:uid="{00000000-0005-0000-0000-0000830A0000}"/>
    <cellStyle name="Comma 5 5 3 2" xfId="4979" xr:uid="{00000000-0005-0000-0000-0000840A0000}"/>
    <cellStyle name="Comma 5 5 4" xfId="3469" xr:uid="{00000000-0005-0000-0000-0000850A0000}"/>
    <cellStyle name="Comma 5 6" xfId="1439" xr:uid="{00000000-0005-0000-0000-0000860A0000}"/>
    <cellStyle name="Comma 5 6 2" xfId="3683" xr:uid="{00000000-0005-0000-0000-0000870A0000}"/>
    <cellStyle name="Comma 5 7" xfId="2225" xr:uid="{00000000-0005-0000-0000-0000880A0000}"/>
    <cellStyle name="Comma 5 7 2" xfId="4469" xr:uid="{00000000-0005-0000-0000-0000890A0000}"/>
    <cellStyle name="Comma 5 8" xfId="2949" xr:uid="{00000000-0005-0000-0000-00008A0A0000}"/>
    <cellStyle name="Comma 50" xfId="844" xr:uid="{00000000-0005-0000-0000-00008B0A0000}"/>
    <cellStyle name="Comma 50 2" xfId="1062" xr:uid="{00000000-0005-0000-0000-00008C0A0000}"/>
    <cellStyle name="Comma 50 2 2" xfId="1850" xr:uid="{00000000-0005-0000-0000-00008D0A0000}"/>
    <cellStyle name="Comma 50 2 2 2" xfId="4094" xr:uid="{00000000-0005-0000-0000-00008E0A0000}"/>
    <cellStyle name="Comma 50 2 3" xfId="2574" xr:uid="{00000000-0005-0000-0000-00008F0A0000}"/>
    <cellStyle name="Comma 50 2 3 2" xfId="4818" xr:uid="{00000000-0005-0000-0000-0000900A0000}"/>
    <cellStyle name="Comma 50 2 4" xfId="3308" xr:uid="{00000000-0005-0000-0000-0000910A0000}"/>
    <cellStyle name="Comma 50 3" xfId="1316" xr:uid="{00000000-0005-0000-0000-0000920A0000}"/>
    <cellStyle name="Comma 50 3 2" xfId="2103" xr:uid="{00000000-0005-0000-0000-0000930A0000}"/>
    <cellStyle name="Comma 50 3 2 2" xfId="4347" xr:uid="{00000000-0005-0000-0000-0000940A0000}"/>
    <cellStyle name="Comma 50 3 3" xfId="2825" xr:uid="{00000000-0005-0000-0000-0000950A0000}"/>
    <cellStyle name="Comma 50 3 3 2" xfId="5069" xr:uid="{00000000-0005-0000-0000-0000960A0000}"/>
    <cellStyle name="Comma 50 3 4" xfId="3561" xr:uid="{00000000-0005-0000-0000-0000970A0000}"/>
    <cellStyle name="Comma 50 4" xfId="1636" xr:uid="{00000000-0005-0000-0000-0000980A0000}"/>
    <cellStyle name="Comma 50 4 2" xfId="3880" xr:uid="{00000000-0005-0000-0000-0000990A0000}"/>
    <cellStyle name="Comma 50 5" xfId="2360" xr:uid="{00000000-0005-0000-0000-00009A0A0000}"/>
    <cellStyle name="Comma 50 5 2" xfId="4604" xr:uid="{00000000-0005-0000-0000-00009B0A0000}"/>
    <cellStyle name="Comma 50 6" xfId="3094" xr:uid="{00000000-0005-0000-0000-00009C0A0000}"/>
    <cellStyle name="Comma 51" xfId="836" xr:uid="{00000000-0005-0000-0000-00009D0A0000}"/>
    <cellStyle name="Comma 51 2" xfId="1059" xr:uid="{00000000-0005-0000-0000-00009E0A0000}"/>
    <cellStyle name="Comma 51 2 2" xfId="1847" xr:uid="{00000000-0005-0000-0000-00009F0A0000}"/>
    <cellStyle name="Comma 51 2 2 2" xfId="4091" xr:uid="{00000000-0005-0000-0000-0000A00A0000}"/>
    <cellStyle name="Comma 51 2 3" xfId="2571" xr:uid="{00000000-0005-0000-0000-0000A10A0000}"/>
    <cellStyle name="Comma 51 2 3 2" xfId="4815" xr:uid="{00000000-0005-0000-0000-0000A20A0000}"/>
    <cellStyle name="Comma 51 2 4" xfId="3305" xr:uid="{00000000-0005-0000-0000-0000A30A0000}"/>
    <cellStyle name="Comma 51 3" xfId="1313" xr:uid="{00000000-0005-0000-0000-0000A40A0000}"/>
    <cellStyle name="Comma 51 3 2" xfId="2100" xr:uid="{00000000-0005-0000-0000-0000A50A0000}"/>
    <cellStyle name="Comma 51 3 2 2" xfId="4344" xr:uid="{00000000-0005-0000-0000-0000A60A0000}"/>
    <cellStyle name="Comma 51 3 3" xfId="2822" xr:uid="{00000000-0005-0000-0000-0000A70A0000}"/>
    <cellStyle name="Comma 51 3 3 2" xfId="5066" xr:uid="{00000000-0005-0000-0000-0000A80A0000}"/>
    <cellStyle name="Comma 51 3 4" xfId="3558" xr:uid="{00000000-0005-0000-0000-0000A90A0000}"/>
    <cellStyle name="Comma 51 4" xfId="1633" xr:uid="{00000000-0005-0000-0000-0000AA0A0000}"/>
    <cellStyle name="Comma 51 4 2" xfId="3877" xr:uid="{00000000-0005-0000-0000-0000AB0A0000}"/>
    <cellStyle name="Comma 51 5" xfId="2357" xr:uid="{00000000-0005-0000-0000-0000AC0A0000}"/>
    <cellStyle name="Comma 51 5 2" xfId="4601" xr:uid="{00000000-0005-0000-0000-0000AD0A0000}"/>
    <cellStyle name="Comma 51 6" xfId="3091" xr:uid="{00000000-0005-0000-0000-0000AE0A0000}"/>
    <cellStyle name="Comma 52" xfId="846" xr:uid="{00000000-0005-0000-0000-0000AF0A0000}"/>
    <cellStyle name="Comma 52 2" xfId="1063" xr:uid="{00000000-0005-0000-0000-0000B00A0000}"/>
    <cellStyle name="Comma 52 2 2" xfId="1851" xr:uid="{00000000-0005-0000-0000-0000B10A0000}"/>
    <cellStyle name="Comma 52 2 2 2" xfId="4095" xr:uid="{00000000-0005-0000-0000-0000B20A0000}"/>
    <cellStyle name="Comma 52 2 3" xfId="2575" xr:uid="{00000000-0005-0000-0000-0000B30A0000}"/>
    <cellStyle name="Comma 52 2 3 2" xfId="4819" xr:uid="{00000000-0005-0000-0000-0000B40A0000}"/>
    <cellStyle name="Comma 52 2 4" xfId="3309" xr:uid="{00000000-0005-0000-0000-0000B50A0000}"/>
    <cellStyle name="Comma 52 3" xfId="1317" xr:uid="{00000000-0005-0000-0000-0000B60A0000}"/>
    <cellStyle name="Comma 52 3 2" xfId="2104" xr:uid="{00000000-0005-0000-0000-0000B70A0000}"/>
    <cellStyle name="Comma 52 3 2 2" xfId="4348" xr:uid="{00000000-0005-0000-0000-0000B80A0000}"/>
    <cellStyle name="Comma 52 3 3" xfId="2826" xr:uid="{00000000-0005-0000-0000-0000B90A0000}"/>
    <cellStyle name="Comma 52 3 3 2" xfId="5070" xr:uid="{00000000-0005-0000-0000-0000BA0A0000}"/>
    <cellStyle name="Comma 52 3 4" xfId="3562" xr:uid="{00000000-0005-0000-0000-0000BB0A0000}"/>
    <cellStyle name="Comma 52 4" xfId="1637" xr:uid="{00000000-0005-0000-0000-0000BC0A0000}"/>
    <cellStyle name="Comma 52 4 2" xfId="3881" xr:uid="{00000000-0005-0000-0000-0000BD0A0000}"/>
    <cellStyle name="Comma 52 5" xfId="2361" xr:uid="{00000000-0005-0000-0000-0000BE0A0000}"/>
    <cellStyle name="Comma 52 5 2" xfId="4605" xr:uid="{00000000-0005-0000-0000-0000BF0A0000}"/>
    <cellStyle name="Comma 52 6" xfId="3095" xr:uid="{00000000-0005-0000-0000-0000C00A0000}"/>
    <cellStyle name="Comma 53" xfId="163" xr:uid="{00000000-0005-0000-0000-0000C10A0000}"/>
    <cellStyle name="Comma 53 2" xfId="973" xr:uid="{00000000-0005-0000-0000-0000C20A0000}"/>
    <cellStyle name="Comma 53 2 2" xfId="1761" xr:uid="{00000000-0005-0000-0000-0000C30A0000}"/>
    <cellStyle name="Comma 53 2 2 2" xfId="4005" xr:uid="{00000000-0005-0000-0000-0000C40A0000}"/>
    <cellStyle name="Comma 53 2 3" xfId="2485" xr:uid="{00000000-0005-0000-0000-0000C50A0000}"/>
    <cellStyle name="Comma 53 2 3 2" xfId="4729" xr:uid="{00000000-0005-0000-0000-0000C60A0000}"/>
    <cellStyle name="Comma 53 2 4" xfId="3219" xr:uid="{00000000-0005-0000-0000-0000C70A0000}"/>
    <cellStyle name="Comma 53 3" xfId="1226" xr:uid="{00000000-0005-0000-0000-0000C80A0000}"/>
    <cellStyle name="Comma 53 3 2" xfId="2013" xr:uid="{00000000-0005-0000-0000-0000C90A0000}"/>
    <cellStyle name="Comma 53 3 2 2" xfId="4257" xr:uid="{00000000-0005-0000-0000-0000CA0A0000}"/>
    <cellStyle name="Comma 53 3 3" xfId="2737" xr:uid="{00000000-0005-0000-0000-0000CB0A0000}"/>
    <cellStyle name="Comma 53 3 3 2" xfId="4981" xr:uid="{00000000-0005-0000-0000-0000CC0A0000}"/>
    <cellStyle name="Comma 53 3 4" xfId="3471" xr:uid="{00000000-0005-0000-0000-0000CD0A0000}"/>
    <cellStyle name="Comma 53 4" xfId="1441" xr:uid="{00000000-0005-0000-0000-0000CE0A0000}"/>
    <cellStyle name="Comma 53 4 2" xfId="3685" xr:uid="{00000000-0005-0000-0000-0000CF0A0000}"/>
    <cellStyle name="Comma 53 5" xfId="2227" xr:uid="{00000000-0005-0000-0000-0000D00A0000}"/>
    <cellStyle name="Comma 53 5 2" xfId="4471" xr:uid="{00000000-0005-0000-0000-0000D10A0000}"/>
    <cellStyle name="Comma 53 6" xfId="2951" xr:uid="{00000000-0005-0000-0000-0000D20A0000}"/>
    <cellStyle name="Comma 54" xfId="735" xr:uid="{00000000-0005-0000-0000-0000D30A0000}"/>
    <cellStyle name="Comma 54 2" xfId="1047" xr:uid="{00000000-0005-0000-0000-0000D40A0000}"/>
    <cellStyle name="Comma 54 2 2" xfId="1835" xr:uid="{00000000-0005-0000-0000-0000D50A0000}"/>
    <cellStyle name="Comma 54 2 2 2" xfId="4079" xr:uid="{00000000-0005-0000-0000-0000D60A0000}"/>
    <cellStyle name="Comma 54 2 3" xfId="2559" xr:uid="{00000000-0005-0000-0000-0000D70A0000}"/>
    <cellStyle name="Comma 54 2 3 2" xfId="4803" xr:uid="{00000000-0005-0000-0000-0000D80A0000}"/>
    <cellStyle name="Comma 54 2 4" xfId="3293" xr:uid="{00000000-0005-0000-0000-0000D90A0000}"/>
    <cellStyle name="Comma 54 3" xfId="1300" xr:uid="{00000000-0005-0000-0000-0000DA0A0000}"/>
    <cellStyle name="Comma 54 3 2" xfId="2087" xr:uid="{00000000-0005-0000-0000-0000DB0A0000}"/>
    <cellStyle name="Comma 54 3 2 2" xfId="4331" xr:uid="{00000000-0005-0000-0000-0000DC0A0000}"/>
    <cellStyle name="Comma 54 3 3" xfId="2810" xr:uid="{00000000-0005-0000-0000-0000DD0A0000}"/>
    <cellStyle name="Comma 54 3 3 2" xfId="5054" xr:uid="{00000000-0005-0000-0000-0000DE0A0000}"/>
    <cellStyle name="Comma 54 3 4" xfId="3545" xr:uid="{00000000-0005-0000-0000-0000DF0A0000}"/>
    <cellStyle name="Comma 54 4" xfId="1567" xr:uid="{00000000-0005-0000-0000-0000E00A0000}"/>
    <cellStyle name="Comma 54 4 2" xfId="3811" xr:uid="{00000000-0005-0000-0000-0000E10A0000}"/>
    <cellStyle name="Comma 54 5" xfId="2345" xr:uid="{00000000-0005-0000-0000-0000E20A0000}"/>
    <cellStyle name="Comma 54 5 2" xfId="4589" xr:uid="{00000000-0005-0000-0000-0000E30A0000}"/>
    <cellStyle name="Comma 54 6" xfId="3025" xr:uid="{00000000-0005-0000-0000-0000E40A0000}"/>
    <cellStyle name="Comma 55" xfId="848" xr:uid="{00000000-0005-0000-0000-0000E50A0000}"/>
    <cellStyle name="Comma 55 2" xfId="1065" xr:uid="{00000000-0005-0000-0000-0000E60A0000}"/>
    <cellStyle name="Comma 55 2 2" xfId="1853" xr:uid="{00000000-0005-0000-0000-0000E70A0000}"/>
    <cellStyle name="Comma 55 2 2 2" xfId="4097" xr:uid="{00000000-0005-0000-0000-0000E80A0000}"/>
    <cellStyle name="Comma 55 2 3" xfId="2577" xr:uid="{00000000-0005-0000-0000-0000E90A0000}"/>
    <cellStyle name="Comma 55 2 3 2" xfId="4821" xr:uid="{00000000-0005-0000-0000-0000EA0A0000}"/>
    <cellStyle name="Comma 55 2 4" xfId="3311" xr:uid="{00000000-0005-0000-0000-0000EB0A0000}"/>
    <cellStyle name="Comma 55 3" xfId="1319" xr:uid="{00000000-0005-0000-0000-0000EC0A0000}"/>
    <cellStyle name="Comma 55 3 2" xfId="2106" xr:uid="{00000000-0005-0000-0000-0000ED0A0000}"/>
    <cellStyle name="Comma 55 3 2 2" xfId="4350" xr:uid="{00000000-0005-0000-0000-0000EE0A0000}"/>
    <cellStyle name="Comma 55 3 3" xfId="2828" xr:uid="{00000000-0005-0000-0000-0000EF0A0000}"/>
    <cellStyle name="Comma 55 3 3 2" xfId="5072" xr:uid="{00000000-0005-0000-0000-0000F00A0000}"/>
    <cellStyle name="Comma 55 3 4" xfId="3564" xr:uid="{00000000-0005-0000-0000-0000F10A0000}"/>
    <cellStyle name="Comma 55 4" xfId="1639" xr:uid="{00000000-0005-0000-0000-0000F20A0000}"/>
    <cellStyle name="Comma 55 4 2" xfId="3883" xr:uid="{00000000-0005-0000-0000-0000F30A0000}"/>
    <cellStyle name="Comma 55 5" xfId="2363" xr:uid="{00000000-0005-0000-0000-0000F40A0000}"/>
    <cellStyle name="Comma 55 5 2" xfId="4607" xr:uid="{00000000-0005-0000-0000-0000F50A0000}"/>
    <cellStyle name="Comma 55 6" xfId="3097" xr:uid="{00000000-0005-0000-0000-0000F60A0000}"/>
    <cellStyle name="Comma 56" xfId="734" xr:uid="{00000000-0005-0000-0000-0000F70A0000}"/>
    <cellStyle name="Comma 56 2" xfId="1046" xr:uid="{00000000-0005-0000-0000-0000F80A0000}"/>
    <cellStyle name="Comma 56 2 2" xfId="1834" xr:uid="{00000000-0005-0000-0000-0000F90A0000}"/>
    <cellStyle name="Comma 56 2 2 2" xfId="4078" xr:uid="{00000000-0005-0000-0000-0000FA0A0000}"/>
    <cellStyle name="Comma 56 2 3" xfId="2558" xr:uid="{00000000-0005-0000-0000-0000FB0A0000}"/>
    <cellStyle name="Comma 56 2 3 2" xfId="4802" xr:uid="{00000000-0005-0000-0000-0000FC0A0000}"/>
    <cellStyle name="Comma 56 2 4" xfId="3292" xr:uid="{00000000-0005-0000-0000-0000FD0A0000}"/>
    <cellStyle name="Comma 56 3" xfId="1299" xr:uid="{00000000-0005-0000-0000-0000FE0A0000}"/>
    <cellStyle name="Comma 56 3 2" xfId="2086" xr:uid="{00000000-0005-0000-0000-0000FF0A0000}"/>
    <cellStyle name="Comma 56 3 2 2" xfId="4330" xr:uid="{00000000-0005-0000-0000-0000000B0000}"/>
    <cellStyle name="Comma 56 3 3" xfId="2809" xr:uid="{00000000-0005-0000-0000-0000010B0000}"/>
    <cellStyle name="Comma 56 3 3 2" xfId="5053" xr:uid="{00000000-0005-0000-0000-0000020B0000}"/>
    <cellStyle name="Comma 56 3 4" xfId="3544" xr:uid="{00000000-0005-0000-0000-0000030B0000}"/>
    <cellStyle name="Comma 56 4" xfId="1566" xr:uid="{00000000-0005-0000-0000-0000040B0000}"/>
    <cellStyle name="Comma 56 4 2" xfId="3810" xr:uid="{00000000-0005-0000-0000-0000050B0000}"/>
    <cellStyle name="Comma 56 5" xfId="2344" xr:uid="{00000000-0005-0000-0000-0000060B0000}"/>
    <cellStyle name="Comma 56 5 2" xfId="4588" xr:uid="{00000000-0005-0000-0000-0000070B0000}"/>
    <cellStyle name="Comma 56 6" xfId="3024" xr:uid="{00000000-0005-0000-0000-0000080B0000}"/>
    <cellStyle name="Comma 57" xfId="847" xr:uid="{00000000-0005-0000-0000-0000090B0000}"/>
    <cellStyle name="Comma 57 2" xfId="1064" xr:uid="{00000000-0005-0000-0000-00000A0B0000}"/>
    <cellStyle name="Comma 57 2 2" xfId="1852" xr:uid="{00000000-0005-0000-0000-00000B0B0000}"/>
    <cellStyle name="Comma 57 2 2 2" xfId="4096" xr:uid="{00000000-0005-0000-0000-00000C0B0000}"/>
    <cellStyle name="Comma 57 2 3" xfId="2576" xr:uid="{00000000-0005-0000-0000-00000D0B0000}"/>
    <cellStyle name="Comma 57 2 3 2" xfId="4820" xr:uid="{00000000-0005-0000-0000-00000E0B0000}"/>
    <cellStyle name="Comma 57 2 4" xfId="3310" xr:uid="{00000000-0005-0000-0000-00000F0B0000}"/>
    <cellStyle name="Comma 57 3" xfId="1318" xr:uid="{00000000-0005-0000-0000-0000100B0000}"/>
    <cellStyle name="Comma 57 3 2" xfId="2105" xr:uid="{00000000-0005-0000-0000-0000110B0000}"/>
    <cellStyle name="Comma 57 3 2 2" xfId="4349" xr:uid="{00000000-0005-0000-0000-0000120B0000}"/>
    <cellStyle name="Comma 57 3 3" xfId="2827" xr:uid="{00000000-0005-0000-0000-0000130B0000}"/>
    <cellStyle name="Comma 57 3 3 2" xfId="5071" xr:uid="{00000000-0005-0000-0000-0000140B0000}"/>
    <cellStyle name="Comma 57 3 4" xfId="3563" xr:uid="{00000000-0005-0000-0000-0000150B0000}"/>
    <cellStyle name="Comma 57 4" xfId="1638" xr:uid="{00000000-0005-0000-0000-0000160B0000}"/>
    <cellStyle name="Comma 57 4 2" xfId="3882" xr:uid="{00000000-0005-0000-0000-0000170B0000}"/>
    <cellStyle name="Comma 57 5" xfId="2362" xr:uid="{00000000-0005-0000-0000-0000180B0000}"/>
    <cellStyle name="Comma 57 5 2" xfId="4606" xr:uid="{00000000-0005-0000-0000-0000190B0000}"/>
    <cellStyle name="Comma 57 6" xfId="3096" xr:uid="{00000000-0005-0000-0000-00001A0B0000}"/>
    <cellStyle name="Comma 58" xfId="164" xr:uid="{00000000-0005-0000-0000-00001B0B0000}"/>
    <cellStyle name="Comma 58 2" xfId="974" xr:uid="{00000000-0005-0000-0000-00001C0B0000}"/>
    <cellStyle name="Comma 58 2 2" xfId="1762" xr:uid="{00000000-0005-0000-0000-00001D0B0000}"/>
    <cellStyle name="Comma 58 2 2 2" xfId="4006" xr:uid="{00000000-0005-0000-0000-00001E0B0000}"/>
    <cellStyle name="Comma 58 2 3" xfId="2486" xr:uid="{00000000-0005-0000-0000-00001F0B0000}"/>
    <cellStyle name="Comma 58 2 3 2" xfId="4730" xr:uid="{00000000-0005-0000-0000-0000200B0000}"/>
    <cellStyle name="Comma 58 2 4" xfId="3220" xr:uid="{00000000-0005-0000-0000-0000210B0000}"/>
    <cellStyle name="Comma 58 3" xfId="1227" xr:uid="{00000000-0005-0000-0000-0000220B0000}"/>
    <cellStyle name="Comma 58 3 2" xfId="2014" xr:uid="{00000000-0005-0000-0000-0000230B0000}"/>
    <cellStyle name="Comma 58 3 2 2" xfId="4258" xr:uid="{00000000-0005-0000-0000-0000240B0000}"/>
    <cellStyle name="Comma 58 3 3" xfId="2738" xr:uid="{00000000-0005-0000-0000-0000250B0000}"/>
    <cellStyle name="Comma 58 3 3 2" xfId="4982" xr:uid="{00000000-0005-0000-0000-0000260B0000}"/>
    <cellStyle name="Comma 58 3 4" xfId="3472" xr:uid="{00000000-0005-0000-0000-0000270B0000}"/>
    <cellStyle name="Comma 58 4" xfId="1442" xr:uid="{00000000-0005-0000-0000-0000280B0000}"/>
    <cellStyle name="Comma 58 4 2" xfId="3686" xr:uid="{00000000-0005-0000-0000-0000290B0000}"/>
    <cellStyle name="Comma 58 5" xfId="2228" xr:uid="{00000000-0005-0000-0000-00002A0B0000}"/>
    <cellStyle name="Comma 58 5 2" xfId="4472" xr:uid="{00000000-0005-0000-0000-00002B0B0000}"/>
    <cellStyle name="Comma 58 6" xfId="2952" xr:uid="{00000000-0005-0000-0000-00002C0B0000}"/>
    <cellStyle name="Comma 59" xfId="852" xr:uid="{00000000-0005-0000-0000-00002D0B0000}"/>
    <cellStyle name="Comma 59 2" xfId="1640" xr:uid="{00000000-0005-0000-0000-00002E0B0000}"/>
    <cellStyle name="Comma 59 2 2" xfId="3884" xr:uid="{00000000-0005-0000-0000-00002F0B0000}"/>
    <cellStyle name="Comma 59 3" xfId="2364" xr:uid="{00000000-0005-0000-0000-0000300B0000}"/>
    <cellStyle name="Comma 59 3 2" xfId="4608" xr:uid="{00000000-0005-0000-0000-0000310B0000}"/>
    <cellStyle name="Comma 59 4" xfId="3098" xr:uid="{00000000-0005-0000-0000-0000320B0000}"/>
    <cellStyle name="Comma 6" xfId="165" xr:uid="{00000000-0005-0000-0000-0000330B0000}"/>
    <cellStyle name="Comma 6 10" xfId="166" xr:uid="{00000000-0005-0000-0000-0000340B0000}"/>
    <cellStyle name="Comma 6 10 2" xfId="976" xr:uid="{00000000-0005-0000-0000-0000350B0000}"/>
    <cellStyle name="Comma 6 10 2 2" xfId="1764" xr:uid="{00000000-0005-0000-0000-0000360B0000}"/>
    <cellStyle name="Comma 6 10 2 2 2" xfId="4008" xr:uid="{00000000-0005-0000-0000-0000370B0000}"/>
    <cellStyle name="Comma 6 10 2 3" xfId="2488" xr:uid="{00000000-0005-0000-0000-0000380B0000}"/>
    <cellStyle name="Comma 6 10 2 3 2" xfId="4732" xr:uid="{00000000-0005-0000-0000-0000390B0000}"/>
    <cellStyle name="Comma 6 10 2 4" xfId="3222" xr:uid="{00000000-0005-0000-0000-00003A0B0000}"/>
    <cellStyle name="Comma 6 10 3" xfId="1229" xr:uid="{00000000-0005-0000-0000-00003B0B0000}"/>
    <cellStyle name="Comma 6 10 3 2" xfId="2016" xr:uid="{00000000-0005-0000-0000-00003C0B0000}"/>
    <cellStyle name="Comma 6 10 3 2 2" xfId="4260" xr:uid="{00000000-0005-0000-0000-00003D0B0000}"/>
    <cellStyle name="Comma 6 10 3 3" xfId="2740" xr:uid="{00000000-0005-0000-0000-00003E0B0000}"/>
    <cellStyle name="Comma 6 10 3 3 2" xfId="4984" xr:uid="{00000000-0005-0000-0000-00003F0B0000}"/>
    <cellStyle name="Comma 6 10 3 4" xfId="3474" xr:uid="{00000000-0005-0000-0000-0000400B0000}"/>
    <cellStyle name="Comma 6 10 4" xfId="1444" xr:uid="{00000000-0005-0000-0000-0000410B0000}"/>
    <cellStyle name="Comma 6 10 4 2" xfId="3688" xr:uid="{00000000-0005-0000-0000-0000420B0000}"/>
    <cellStyle name="Comma 6 10 5" xfId="2230" xr:uid="{00000000-0005-0000-0000-0000430B0000}"/>
    <cellStyle name="Comma 6 10 5 2" xfId="4474" xr:uid="{00000000-0005-0000-0000-0000440B0000}"/>
    <cellStyle name="Comma 6 10 6" xfId="2954" xr:uid="{00000000-0005-0000-0000-0000450B0000}"/>
    <cellStyle name="Comma 6 11" xfId="167" xr:uid="{00000000-0005-0000-0000-0000460B0000}"/>
    <cellStyle name="Comma 6 11 2" xfId="977" xr:uid="{00000000-0005-0000-0000-0000470B0000}"/>
    <cellStyle name="Comma 6 11 2 2" xfId="1765" xr:uid="{00000000-0005-0000-0000-0000480B0000}"/>
    <cellStyle name="Comma 6 11 2 2 2" xfId="4009" xr:uid="{00000000-0005-0000-0000-0000490B0000}"/>
    <cellStyle name="Comma 6 11 2 3" xfId="2489" xr:uid="{00000000-0005-0000-0000-00004A0B0000}"/>
    <cellStyle name="Comma 6 11 2 3 2" xfId="4733" xr:uid="{00000000-0005-0000-0000-00004B0B0000}"/>
    <cellStyle name="Comma 6 11 2 4" xfId="3223" xr:uid="{00000000-0005-0000-0000-00004C0B0000}"/>
    <cellStyle name="Comma 6 11 3" xfId="1230" xr:uid="{00000000-0005-0000-0000-00004D0B0000}"/>
    <cellStyle name="Comma 6 11 3 2" xfId="2017" xr:uid="{00000000-0005-0000-0000-00004E0B0000}"/>
    <cellStyle name="Comma 6 11 3 2 2" xfId="4261" xr:uid="{00000000-0005-0000-0000-00004F0B0000}"/>
    <cellStyle name="Comma 6 11 3 3" xfId="2741" xr:uid="{00000000-0005-0000-0000-0000500B0000}"/>
    <cellStyle name="Comma 6 11 3 3 2" xfId="4985" xr:uid="{00000000-0005-0000-0000-0000510B0000}"/>
    <cellStyle name="Comma 6 11 3 4" xfId="3475" xr:uid="{00000000-0005-0000-0000-0000520B0000}"/>
    <cellStyle name="Comma 6 11 4" xfId="1445" xr:uid="{00000000-0005-0000-0000-0000530B0000}"/>
    <cellStyle name="Comma 6 11 4 2" xfId="3689" xr:uid="{00000000-0005-0000-0000-0000540B0000}"/>
    <cellStyle name="Comma 6 11 5" xfId="2231" xr:uid="{00000000-0005-0000-0000-0000550B0000}"/>
    <cellStyle name="Comma 6 11 5 2" xfId="4475" xr:uid="{00000000-0005-0000-0000-0000560B0000}"/>
    <cellStyle name="Comma 6 11 6" xfId="2955" xr:uid="{00000000-0005-0000-0000-0000570B0000}"/>
    <cellStyle name="Comma 6 12" xfId="168" xr:uid="{00000000-0005-0000-0000-0000580B0000}"/>
    <cellStyle name="Comma 6 12 2" xfId="978" xr:uid="{00000000-0005-0000-0000-0000590B0000}"/>
    <cellStyle name="Comma 6 12 2 2" xfId="1766" xr:uid="{00000000-0005-0000-0000-00005A0B0000}"/>
    <cellStyle name="Comma 6 12 2 2 2" xfId="4010" xr:uid="{00000000-0005-0000-0000-00005B0B0000}"/>
    <cellStyle name="Comma 6 12 2 3" xfId="2490" xr:uid="{00000000-0005-0000-0000-00005C0B0000}"/>
    <cellStyle name="Comma 6 12 2 3 2" xfId="4734" xr:uid="{00000000-0005-0000-0000-00005D0B0000}"/>
    <cellStyle name="Comma 6 12 2 4" xfId="3224" xr:uid="{00000000-0005-0000-0000-00005E0B0000}"/>
    <cellStyle name="Comma 6 12 3" xfId="1231" xr:uid="{00000000-0005-0000-0000-00005F0B0000}"/>
    <cellStyle name="Comma 6 12 3 2" xfId="2018" xr:uid="{00000000-0005-0000-0000-0000600B0000}"/>
    <cellStyle name="Comma 6 12 3 2 2" xfId="4262" xr:uid="{00000000-0005-0000-0000-0000610B0000}"/>
    <cellStyle name="Comma 6 12 3 3" xfId="2742" xr:uid="{00000000-0005-0000-0000-0000620B0000}"/>
    <cellStyle name="Comma 6 12 3 3 2" xfId="4986" xr:uid="{00000000-0005-0000-0000-0000630B0000}"/>
    <cellStyle name="Comma 6 12 3 4" xfId="3476" xr:uid="{00000000-0005-0000-0000-0000640B0000}"/>
    <cellStyle name="Comma 6 12 4" xfId="1446" xr:uid="{00000000-0005-0000-0000-0000650B0000}"/>
    <cellStyle name="Comma 6 12 4 2" xfId="3690" xr:uid="{00000000-0005-0000-0000-0000660B0000}"/>
    <cellStyle name="Comma 6 12 5" xfId="2232" xr:uid="{00000000-0005-0000-0000-0000670B0000}"/>
    <cellStyle name="Comma 6 12 5 2" xfId="4476" xr:uid="{00000000-0005-0000-0000-0000680B0000}"/>
    <cellStyle name="Comma 6 12 6" xfId="2956" xr:uid="{00000000-0005-0000-0000-0000690B0000}"/>
    <cellStyle name="Comma 6 13" xfId="169" xr:uid="{00000000-0005-0000-0000-00006A0B0000}"/>
    <cellStyle name="Comma 6 13 2" xfId="979" xr:uid="{00000000-0005-0000-0000-00006B0B0000}"/>
    <cellStyle name="Comma 6 13 2 2" xfId="1767" xr:uid="{00000000-0005-0000-0000-00006C0B0000}"/>
    <cellStyle name="Comma 6 13 2 2 2" xfId="4011" xr:uid="{00000000-0005-0000-0000-00006D0B0000}"/>
    <cellStyle name="Comma 6 13 2 3" xfId="2491" xr:uid="{00000000-0005-0000-0000-00006E0B0000}"/>
    <cellStyle name="Comma 6 13 2 3 2" xfId="4735" xr:uid="{00000000-0005-0000-0000-00006F0B0000}"/>
    <cellStyle name="Comma 6 13 2 4" xfId="3225" xr:uid="{00000000-0005-0000-0000-0000700B0000}"/>
    <cellStyle name="Comma 6 13 3" xfId="1232" xr:uid="{00000000-0005-0000-0000-0000710B0000}"/>
    <cellStyle name="Comma 6 13 3 2" xfId="2019" xr:uid="{00000000-0005-0000-0000-0000720B0000}"/>
    <cellStyle name="Comma 6 13 3 2 2" xfId="4263" xr:uid="{00000000-0005-0000-0000-0000730B0000}"/>
    <cellStyle name="Comma 6 13 3 3" xfId="2743" xr:uid="{00000000-0005-0000-0000-0000740B0000}"/>
    <cellStyle name="Comma 6 13 3 3 2" xfId="4987" xr:uid="{00000000-0005-0000-0000-0000750B0000}"/>
    <cellStyle name="Comma 6 13 3 4" xfId="3477" xr:uid="{00000000-0005-0000-0000-0000760B0000}"/>
    <cellStyle name="Comma 6 13 4" xfId="1447" xr:uid="{00000000-0005-0000-0000-0000770B0000}"/>
    <cellStyle name="Comma 6 13 4 2" xfId="3691" xr:uid="{00000000-0005-0000-0000-0000780B0000}"/>
    <cellStyle name="Comma 6 13 5" xfId="2233" xr:uid="{00000000-0005-0000-0000-0000790B0000}"/>
    <cellStyle name="Comma 6 13 5 2" xfId="4477" xr:uid="{00000000-0005-0000-0000-00007A0B0000}"/>
    <cellStyle name="Comma 6 13 6" xfId="2957" xr:uid="{00000000-0005-0000-0000-00007B0B0000}"/>
    <cellStyle name="Comma 6 14" xfId="170" xr:uid="{00000000-0005-0000-0000-00007C0B0000}"/>
    <cellStyle name="Comma 6 14 2" xfId="980" xr:uid="{00000000-0005-0000-0000-00007D0B0000}"/>
    <cellStyle name="Comma 6 14 2 2" xfId="1768" xr:uid="{00000000-0005-0000-0000-00007E0B0000}"/>
    <cellStyle name="Comma 6 14 2 2 2" xfId="4012" xr:uid="{00000000-0005-0000-0000-00007F0B0000}"/>
    <cellStyle name="Comma 6 14 2 3" xfId="2492" xr:uid="{00000000-0005-0000-0000-0000800B0000}"/>
    <cellStyle name="Comma 6 14 2 3 2" xfId="4736" xr:uid="{00000000-0005-0000-0000-0000810B0000}"/>
    <cellStyle name="Comma 6 14 2 4" xfId="3226" xr:uid="{00000000-0005-0000-0000-0000820B0000}"/>
    <cellStyle name="Comma 6 14 3" xfId="1233" xr:uid="{00000000-0005-0000-0000-0000830B0000}"/>
    <cellStyle name="Comma 6 14 3 2" xfId="2020" xr:uid="{00000000-0005-0000-0000-0000840B0000}"/>
    <cellStyle name="Comma 6 14 3 2 2" xfId="4264" xr:uid="{00000000-0005-0000-0000-0000850B0000}"/>
    <cellStyle name="Comma 6 14 3 3" xfId="2744" xr:uid="{00000000-0005-0000-0000-0000860B0000}"/>
    <cellStyle name="Comma 6 14 3 3 2" xfId="4988" xr:uid="{00000000-0005-0000-0000-0000870B0000}"/>
    <cellStyle name="Comma 6 14 3 4" xfId="3478" xr:uid="{00000000-0005-0000-0000-0000880B0000}"/>
    <cellStyle name="Comma 6 14 4" xfId="1448" xr:uid="{00000000-0005-0000-0000-0000890B0000}"/>
    <cellStyle name="Comma 6 14 4 2" xfId="3692" xr:uid="{00000000-0005-0000-0000-00008A0B0000}"/>
    <cellStyle name="Comma 6 14 5" xfId="2234" xr:uid="{00000000-0005-0000-0000-00008B0B0000}"/>
    <cellStyle name="Comma 6 14 5 2" xfId="4478" xr:uid="{00000000-0005-0000-0000-00008C0B0000}"/>
    <cellStyle name="Comma 6 14 6" xfId="2958" xr:uid="{00000000-0005-0000-0000-00008D0B0000}"/>
    <cellStyle name="Comma 6 15" xfId="171" xr:uid="{00000000-0005-0000-0000-00008E0B0000}"/>
    <cellStyle name="Comma 6 15 2" xfId="981" xr:uid="{00000000-0005-0000-0000-00008F0B0000}"/>
    <cellStyle name="Comma 6 15 2 2" xfId="1769" xr:uid="{00000000-0005-0000-0000-0000900B0000}"/>
    <cellStyle name="Comma 6 15 2 2 2" xfId="4013" xr:uid="{00000000-0005-0000-0000-0000910B0000}"/>
    <cellStyle name="Comma 6 15 2 3" xfId="2493" xr:uid="{00000000-0005-0000-0000-0000920B0000}"/>
    <cellStyle name="Comma 6 15 2 3 2" xfId="4737" xr:uid="{00000000-0005-0000-0000-0000930B0000}"/>
    <cellStyle name="Comma 6 15 2 4" xfId="3227" xr:uid="{00000000-0005-0000-0000-0000940B0000}"/>
    <cellStyle name="Comma 6 15 3" xfId="1234" xr:uid="{00000000-0005-0000-0000-0000950B0000}"/>
    <cellStyle name="Comma 6 15 3 2" xfId="2021" xr:uid="{00000000-0005-0000-0000-0000960B0000}"/>
    <cellStyle name="Comma 6 15 3 2 2" xfId="4265" xr:uid="{00000000-0005-0000-0000-0000970B0000}"/>
    <cellStyle name="Comma 6 15 3 3" xfId="2745" xr:uid="{00000000-0005-0000-0000-0000980B0000}"/>
    <cellStyle name="Comma 6 15 3 3 2" xfId="4989" xr:uid="{00000000-0005-0000-0000-0000990B0000}"/>
    <cellStyle name="Comma 6 15 3 4" xfId="3479" xr:uid="{00000000-0005-0000-0000-00009A0B0000}"/>
    <cellStyle name="Comma 6 15 4" xfId="1449" xr:uid="{00000000-0005-0000-0000-00009B0B0000}"/>
    <cellStyle name="Comma 6 15 4 2" xfId="3693" xr:uid="{00000000-0005-0000-0000-00009C0B0000}"/>
    <cellStyle name="Comma 6 15 5" xfId="2235" xr:uid="{00000000-0005-0000-0000-00009D0B0000}"/>
    <cellStyle name="Comma 6 15 5 2" xfId="4479" xr:uid="{00000000-0005-0000-0000-00009E0B0000}"/>
    <cellStyle name="Comma 6 15 6" xfId="2959" xr:uid="{00000000-0005-0000-0000-00009F0B0000}"/>
    <cellStyle name="Comma 6 16" xfId="172" xr:uid="{00000000-0005-0000-0000-0000A00B0000}"/>
    <cellStyle name="Comma 6 16 2" xfId="982" xr:uid="{00000000-0005-0000-0000-0000A10B0000}"/>
    <cellStyle name="Comma 6 16 2 2" xfId="1770" xr:uid="{00000000-0005-0000-0000-0000A20B0000}"/>
    <cellStyle name="Comma 6 16 2 2 2" xfId="4014" xr:uid="{00000000-0005-0000-0000-0000A30B0000}"/>
    <cellStyle name="Comma 6 16 2 3" xfId="2494" xr:uid="{00000000-0005-0000-0000-0000A40B0000}"/>
    <cellStyle name="Comma 6 16 2 3 2" xfId="4738" xr:uid="{00000000-0005-0000-0000-0000A50B0000}"/>
    <cellStyle name="Comma 6 16 2 4" xfId="3228" xr:uid="{00000000-0005-0000-0000-0000A60B0000}"/>
    <cellStyle name="Comma 6 16 3" xfId="1235" xr:uid="{00000000-0005-0000-0000-0000A70B0000}"/>
    <cellStyle name="Comma 6 16 3 2" xfId="2022" xr:uid="{00000000-0005-0000-0000-0000A80B0000}"/>
    <cellStyle name="Comma 6 16 3 2 2" xfId="4266" xr:uid="{00000000-0005-0000-0000-0000A90B0000}"/>
    <cellStyle name="Comma 6 16 3 3" xfId="2746" xr:uid="{00000000-0005-0000-0000-0000AA0B0000}"/>
    <cellStyle name="Comma 6 16 3 3 2" xfId="4990" xr:uid="{00000000-0005-0000-0000-0000AB0B0000}"/>
    <cellStyle name="Comma 6 16 3 4" xfId="3480" xr:uid="{00000000-0005-0000-0000-0000AC0B0000}"/>
    <cellStyle name="Comma 6 16 4" xfId="1450" xr:uid="{00000000-0005-0000-0000-0000AD0B0000}"/>
    <cellStyle name="Comma 6 16 4 2" xfId="3694" xr:uid="{00000000-0005-0000-0000-0000AE0B0000}"/>
    <cellStyle name="Comma 6 16 5" xfId="2236" xr:uid="{00000000-0005-0000-0000-0000AF0B0000}"/>
    <cellStyle name="Comma 6 16 5 2" xfId="4480" xr:uid="{00000000-0005-0000-0000-0000B00B0000}"/>
    <cellStyle name="Comma 6 16 6" xfId="2960" xr:uid="{00000000-0005-0000-0000-0000B10B0000}"/>
    <cellStyle name="Comma 6 17" xfId="173" xr:uid="{00000000-0005-0000-0000-0000B20B0000}"/>
    <cellStyle name="Comma 6 17 2" xfId="983" xr:uid="{00000000-0005-0000-0000-0000B30B0000}"/>
    <cellStyle name="Comma 6 17 2 2" xfId="1771" xr:uid="{00000000-0005-0000-0000-0000B40B0000}"/>
    <cellStyle name="Comma 6 17 2 2 2" xfId="4015" xr:uid="{00000000-0005-0000-0000-0000B50B0000}"/>
    <cellStyle name="Comma 6 17 2 3" xfId="2495" xr:uid="{00000000-0005-0000-0000-0000B60B0000}"/>
    <cellStyle name="Comma 6 17 2 3 2" xfId="4739" xr:uid="{00000000-0005-0000-0000-0000B70B0000}"/>
    <cellStyle name="Comma 6 17 2 4" xfId="3229" xr:uid="{00000000-0005-0000-0000-0000B80B0000}"/>
    <cellStyle name="Comma 6 17 3" xfId="1236" xr:uid="{00000000-0005-0000-0000-0000B90B0000}"/>
    <cellStyle name="Comma 6 17 3 2" xfId="2023" xr:uid="{00000000-0005-0000-0000-0000BA0B0000}"/>
    <cellStyle name="Comma 6 17 3 2 2" xfId="4267" xr:uid="{00000000-0005-0000-0000-0000BB0B0000}"/>
    <cellStyle name="Comma 6 17 3 3" xfId="2747" xr:uid="{00000000-0005-0000-0000-0000BC0B0000}"/>
    <cellStyle name="Comma 6 17 3 3 2" xfId="4991" xr:uid="{00000000-0005-0000-0000-0000BD0B0000}"/>
    <cellStyle name="Comma 6 17 3 4" xfId="3481" xr:uid="{00000000-0005-0000-0000-0000BE0B0000}"/>
    <cellStyle name="Comma 6 17 4" xfId="1451" xr:uid="{00000000-0005-0000-0000-0000BF0B0000}"/>
    <cellStyle name="Comma 6 17 4 2" xfId="3695" xr:uid="{00000000-0005-0000-0000-0000C00B0000}"/>
    <cellStyle name="Comma 6 17 5" xfId="2237" xr:uid="{00000000-0005-0000-0000-0000C10B0000}"/>
    <cellStyle name="Comma 6 17 5 2" xfId="4481" xr:uid="{00000000-0005-0000-0000-0000C20B0000}"/>
    <cellStyle name="Comma 6 17 6" xfId="2961" xr:uid="{00000000-0005-0000-0000-0000C30B0000}"/>
    <cellStyle name="Comma 6 18" xfId="174" xr:uid="{00000000-0005-0000-0000-0000C40B0000}"/>
    <cellStyle name="Comma 6 18 2" xfId="984" xr:uid="{00000000-0005-0000-0000-0000C50B0000}"/>
    <cellStyle name="Comma 6 18 2 2" xfId="1772" xr:uid="{00000000-0005-0000-0000-0000C60B0000}"/>
    <cellStyle name="Comma 6 18 2 2 2" xfId="4016" xr:uid="{00000000-0005-0000-0000-0000C70B0000}"/>
    <cellStyle name="Comma 6 18 2 3" xfId="2496" xr:uid="{00000000-0005-0000-0000-0000C80B0000}"/>
    <cellStyle name="Comma 6 18 2 3 2" xfId="4740" xr:uid="{00000000-0005-0000-0000-0000C90B0000}"/>
    <cellStyle name="Comma 6 18 2 4" xfId="3230" xr:uid="{00000000-0005-0000-0000-0000CA0B0000}"/>
    <cellStyle name="Comma 6 18 3" xfId="1237" xr:uid="{00000000-0005-0000-0000-0000CB0B0000}"/>
    <cellStyle name="Comma 6 18 3 2" xfId="2024" xr:uid="{00000000-0005-0000-0000-0000CC0B0000}"/>
    <cellStyle name="Comma 6 18 3 2 2" xfId="4268" xr:uid="{00000000-0005-0000-0000-0000CD0B0000}"/>
    <cellStyle name="Comma 6 18 3 3" xfId="2748" xr:uid="{00000000-0005-0000-0000-0000CE0B0000}"/>
    <cellStyle name="Comma 6 18 3 3 2" xfId="4992" xr:uid="{00000000-0005-0000-0000-0000CF0B0000}"/>
    <cellStyle name="Comma 6 18 3 4" xfId="3482" xr:uid="{00000000-0005-0000-0000-0000D00B0000}"/>
    <cellStyle name="Comma 6 18 4" xfId="1452" xr:uid="{00000000-0005-0000-0000-0000D10B0000}"/>
    <cellStyle name="Comma 6 18 4 2" xfId="3696" xr:uid="{00000000-0005-0000-0000-0000D20B0000}"/>
    <cellStyle name="Comma 6 18 5" xfId="2238" xr:uid="{00000000-0005-0000-0000-0000D30B0000}"/>
    <cellStyle name="Comma 6 18 5 2" xfId="4482" xr:uid="{00000000-0005-0000-0000-0000D40B0000}"/>
    <cellStyle name="Comma 6 18 6" xfId="2962" xr:uid="{00000000-0005-0000-0000-0000D50B0000}"/>
    <cellStyle name="Comma 6 19" xfId="175" xr:uid="{00000000-0005-0000-0000-0000D60B0000}"/>
    <cellStyle name="Comma 6 19 2" xfId="985" xr:uid="{00000000-0005-0000-0000-0000D70B0000}"/>
    <cellStyle name="Comma 6 19 2 2" xfId="1773" xr:uid="{00000000-0005-0000-0000-0000D80B0000}"/>
    <cellStyle name="Comma 6 19 2 2 2" xfId="4017" xr:uid="{00000000-0005-0000-0000-0000D90B0000}"/>
    <cellStyle name="Comma 6 19 2 3" xfId="2497" xr:uid="{00000000-0005-0000-0000-0000DA0B0000}"/>
    <cellStyle name="Comma 6 19 2 3 2" xfId="4741" xr:uid="{00000000-0005-0000-0000-0000DB0B0000}"/>
    <cellStyle name="Comma 6 19 2 4" xfId="3231" xr:uid="{00000000-0005-0000-0000-0000DC0B0000}"/>
    <cellStyle name="Comma 6 19 3" xfId="1238" xr:uid="{00000000-0005-0000-0000-0000DD0B0000}"/>
    <cellStyle name="Comma 6 19 3 2" xfId="2025" xr:uid="{00000000-0005-0000-0000-0000DE0B0000}"/>
    <cellStyle name="Comma 6 19 3 2 2" xfId="4269" xr:uid="{00000000-0005-0000-0000-0000DF0B0000}"/>
    <cellStyle name="Comma 6 19 3 3" xfId="2749" xr:uid="{00000000-0005-0000-0000-0000E00B0000}"/>
    <cellStyle name="Comma 6 19 3 3 2" xfId="4993" xr:uid="{00000000-0005-0000-0000-0000E10B0000}"/>
    <cellStyle name="Comma 6 19 3 4" xfId="3483" xr:uid="{00000000-0005-0000-0000-0000E20B0000}"/>
    <cellStyle name="Comma 6 19 4" xfId="1453" xr:uid="{00000000-0005-0000-0000-0000E30B0000}"/>
    <cellStyle name="Comma 6 19 4 2" xfId="3697" xr:uid="{00000000-0005-0000-0000-0000E40B0000}"/>
    <cellStyle name="Comma 6 19 5" xfId="2239" xr:uid="{00000000-0005-0000-0000-0000E50B0000}"/>
    <cellStyle name="Comma 6 19 5 2" xfId="4483" xr:uid="{00000000-0005-0000-0000-0000E60B0000}"/>
    <cellStyle name="Comma 6 19 6" xfId="2963" xr:uid="{00000000-0005-0000-0000-0000E70B0000}"/>
    <cellStyle name="Comma 6 2" xfId="176" xr:uid="{00000000-0005-0000-0000-0000E80B0000}"/>
    <cellStyle name="Comma 6 2 2" xfId="986" xr:uid="{00000000-0005-0000-0000-0000E90B0000}"/>
    <cellStyle name="Comma 6 2 2 2" xfId="1774" xr:uid="{00000000-0005-0000-0000-0000EA0B0000}"/>
    <cellStyle name="Comma 6 2 2 2 2" xfId="4018" xr:uid="{00000000-0005-0000-0000-0000EB0B0000}"/>
    <cellStyle name="Comma 6 2 2 3" xfId="2498" xr:uid="{00000000-0005-0000-0000-0000EC0B0000}"/>
    <cellStyle name="Comma 6 2 2 3 2" xfId="4742" xr:uid="{00000000-0005-0000-0000-0000ED0B0000}"/>
    <cellStyle name="Comma 6 2 2 4" xfId="3232" xr:uid="{00000000-0005-0000-0000-0000EE0B0000}"/>
    <cellStyle name="Comma 6 2 3" xfId="1239" xr:uid="{00000000-0005-0000-0000-0000EF0B0000}"/>
    <cellStyle name="Comma 6 2 3 2" xfId="2026" xr:uid="{00000000-0005-0000-0000-0000F00B0000}"/>
    <cellStyle name="Comma 6 2 3 2 2" xfId="4270" xr:uid="{00000000-0005-0000-0000-0000F10B0000}"/>
    <cellStyle name="Comma 6 2 3 3" xfId="2750" xr:uid="{00000000-0005-0000-0000-0000F20B0000}"/>
    <cellStyle name="Comma 6 2 3 3 2" xfId="4994" xr:uid="{00000000-0005-0000-0000-0000F30B0000}"/>
    <cellStyle name="Comma 6 2 3 4" xfId="3484" xr:uid="{00000000-0005-0000-0000-0000F40B0000}"/>
    <cellStyle name="Comma 6 2 4" xfId="1454" xr:uid="{00000000-0005-0000-0000-0000F50B0000}"/>
    <cellStyle name="Comma 6 2 4 2" xfId="3698" xr:uid="{00000000-0005-0000-0000-0000F60B0000}"/>
    <cellStyle name="Comma 6 2 5" xfId="2240" xr:uid="{00000000-0005-0000-0000-0000F70B0000}"/>
    <cellStyle name="Comma 6 2 5 2" xfId="4484" xr:uid="{00000000-0005-0000-0000-0000F80B0000}"/>
    <cellStyle name="Comma 6 2 6" xfId="2964" xr:uid="{00000000-0005-0000-0000-0000F90B0000}"/>
    <cellStyle name="Comma 6 20" xfId="177" xr:uid="{00000000-0005-0000-0000-0000FA0B0000}"/>
    <cellStyle name="Comma 6 20 2" xfId="987" xr:uid="{00000000-0005-0000-0000-0000FB0B0000}"/>
    <cellStyle name="Comma 6 20 2 2" xfId="1775" xr:uid="{00000000-0005-0000-0000-0000FC0B0000}"/>
    <cellStyle name="Comma 6 20 2 2 2" xfId="4019" xr:uid="{00000000-0005-0000-0000-0000FD0B0000}"/>
    <cellStyle name="Comma 6 20 2 3" xfId="2499" xr:uid="{00000000-0005-0000-0000-0000FE0B0000}"/>
    <cellStyle name="Comma 6 20 2 3 2" xfId="4743" xr:uid="{00000000-0005-0000-0000-0000FF0B0000}"/>
    <cellStyle name="Comma 6 20 2 4" xfId="3233" xr:uid="{00000000-0005-0000-0000-0000000C0000}"/>
    <cellStyle name="Comma 6 20 3" xfId="1240" xr:uid="{00000000-0005-0000-0000-0000010C0000}"/>
    <cellStyle name="Comma 6 20 3 2" xfId="2027" xr:uid="{00000000-0005-0000-0000-0000020C0000}"/>
    <cellStyle name="Comma 6 20 3 2 2" xfId="4271" xr:uid="{00000000-0005-0000-0000-0000030C0000}"/>
    <cellStyle name="Comma 6 20 3 3" xfId="2751" xr:uid="{00000000-0005-0000-0000-0000040C0000}"/>
    <cellStyle name="Comma 6 20 3 3 2" xfId="4995" xr:uid="{00000000-0005-0000-0000-0000050C0000}"/>
    <cellStyle name="Comma 6 20 3 4" xfId="3485" xr:uid="{00000000-0005-0000-0000-0000060C0000}"/>
    <cellStyle name="Comma 6 20 4" xfId="1455" xr:uid="{00000000-0005-0000-0000-0000070C0000}"/>
    <cellStyle name="Comma 6 20 4 2" xfId="3699" xr:uid="{00000000-0005-0000-0000-0000080C0000}"/>
    <cellStyle name="Comma 6 20 5" xfId="2241" xr:uid="{00000000-0005-0000-0000-0000090C0000}"/>
    <cellStyle name="Comma 6 20 5 2" xfId="4485" xr:uid="{00000000-0005-0000-0000-00000A0C0000}"/>
    <cellStyle name="Comma 6 20 6" xfId="2965" xr:uid="{00000000-0005-0000-0000-00000B0C0000}"/>
    <cellStyle name="Comma 6 21" xfId="178" xr:uid="{00000000-0005-0000-0000-00000C0C0000}"/>
    <cellStyle name="Comma 6 21 2" xfId="988" xr:uid="{00000000-0005-0000-0000-00000D0C0000}"/>
    <cellStyle name="Comma 6 21 2 2" xfId="1776" xr:uid="{00000000-0005-0000-0000-00000E0C0000}"/>
    <cellStyle name="Comma 6 21 2 2 2" xfId="4020" xr:uid="{00000000-0005-0000-0000-00000F0C0000}"/>
    <cellStyle name="Comma 6 21 2 3" xfId="2500" xr:uid="{00000000-0005-0000-0000-0000100C0000}"/>
    <cellStyle name="Comma 6 21 2 3 2" xfId="4744" xr:uid="{00000000-0005-0000-0000-0000110C0000}"/>
    <cellStyle name="Comma 6 21 2 4" xfId="3234" xr:uid="{00000000-0005-0000-0000-0000120C0000}"/>
    <cellStyle name="Comma 6 21 3" xfId="1241" xr:uid="{00000000-0005-0000-0000-0000130C0000}"/>
    <cellStyle name="Comma 6 21 3 2" xfId="2028" xr:uid="{00000000-0005-0000-0000-0000140C0000}"/>
    <cellStyle name="Comma 6 21 3 2 2" xfId="4272" xr:uid="{00000000-0005-0000-0000-0000150C0000}"/>
    <cellStyle name="Comma 6 21 3 3" xfId="2752" xr:uid="{00000000-0005-0000-0000-0000160C0000}"/>
    <cellStyle name="Comma 6 21 3 3 2" xfId="4996" xr:uid="{00000000-0005-0000-0000-0000170C0000}"/>
    <cellStyle name="Comma 6 21 3 4" xfId="3486" xr:uid="{00000000-0005-0000-0000-0000180C0000}"/>
    <cellStyle name="Comma 6 21 4" xfId="1456" xr:uid="{00000000-0005-0000-0000-0000190C0000}"/>
    <cellStyle name="Comma 6 21 4 2" xfId="3700" xr:uid="{00000000-0005-0000-0000-00001A0C0000}"/>
    <cellStyle name="Comma 6 21 5" xfId="2242" xr:uid="{00000000-0005-0000-0000-00001B0C0000}"/>
    <cellStyle name="Comma 6 21 5 2" xfId="4486" xr:uid="{00000000-0005-0000-0000-00001C0C0000}"/>
    <cellStyle name="Comma 6 21 6" xfId="2966" xr:uid="{00000000-0005-0000-0000-00001D0C0000}"/>
    <cellStyle name="Comma 6 22" xfId="179" xr:uid="{00000000-0005-0000-0000-00001E0C0000}"/>
    <cellStyle name="Comma 6 22 2" xfId="989" xr:uid="{00000000-0005-0000-0000-00001F0C0000}"/>
    <cellStyle name="Comma 6 22 2 2" xfId="1777" xr:uid="{00000000-0005-0000-0000-0000200C0000}"/>
    <cellStyle name="Comma 6 22 2 2 2" xfId="4021" xr:uid="{00000000-0005-0000-0000-0000210C0000}"/>
    <cellStyle name="Comma 6 22 2 3" xfId="2501" xr:uid="{00000000-0005-0000-0000-0000220C0000}"/>
    <cellStyle name="Comma 6 22 2 3 2" xfId="4745" xr:uid="{00000000-0005-0000-0000-0000230C0000}"/>
    <cellStyle name="Comma 6 22 2 4" xfId="3235" xr:uid="{00000000-0005-0000-0000-0000240C0000}"/>
    <cellStyle name="Comma 6 22 3" xfId="1242" xr:uid="{00000000-0005-0000-0000-0000250C0000}"/>
    <cellStyle name="Comma 6 22 3 2" xfId="2029" xr:uid="{00000000-0005-0000-0000-0000260C0000}"/>
    <cellStyle name="Comma 6 22 3 2 2" xfId="4273" xr:uid="{00000000-0005-0000-0000-0000270C0000}"/>
    <cellStyle name="Comma 6 22 3 3" xfId="2753" xr:uid="{00000000-0005-0000-0000-0000280C0000}"/>
    <cellStyle name="Comma 6 22 3 3 2" xfId="4997" xr:uid="{00000000-0005-0000-0000-0000290C0000}"/>
    <cellStyle name="Comma 6 22 3 4" xfId="3487" xr:uid="{00000000-0005-0000-0000-00002A0C0000}"/>
    <cellStyle name="Comma 6 22 4" xfId="1457" xr:uid="{00000000-0005-0000-0000-00002B0C0000}"/>
    <cellStyle name="Comma 6 22 4 2" xfId="3701" xr:uid="{00000000-0005-0000-0000-00002C0C0000}"/>
    <cellStyle name="Comma 6 22 5" xfId="2243" xr:uid="{00000000-0005-0000-0000-00002D0C0000}"/>
    <cellStyle name="Comma 6 22 5 2" xfId="4487" xr:uid="{00000000-0005-0000-0000-00002E0C0000}"/>
    <cellStyle name="Comma 6 22 6" xfId="2967" xr:uid="{00000000-0005-0000-0000-00002F0C0000}"/>
    <cellStyle name="Comma 6 23" xfId="180" xr:uid="{00000000-0005-0000-0000-0000300C0000}"/>
    <cellStyle name="Comma 6 23 2" xfId="990" xr:uid="{00000000-0005-0000-0000-0000310C0000}"/>
    <cellStyle name="Comma 6 23 2 2" xfId="1778" xr:uid="{00000000-0005-0000-0000-0000320C0000}"/>
    <cellStyle name="Comma 6 23 2 2 2" xfId="4022" xr:uid="{00000000-0005-0000-0000-0000330C0000}"/>
    <cellStyle name="Comma 6 23 2 3" xfId="2502" xr:uid="{00000000-0005-0000-0000-0000340C0000}"/>
    <cellStyle name="Comma 6 23 2 3 2" xfId="4746" xr:uid="{00000000-0005-0000-0000-0000350C0000}"/>
    <cellStyle name="Comma 6 23 2 4" xfId="3236" xr:uid="{00000000-0005-0000-0000-0000360C0000}"/>
    <cellStyle name="Comma 6 23 3" xfId="1243" xr:uid="{00000000-0005-0000-0000-0000370C0000}"/>
    <cellStyle name="Comma 6 23 3 2" xfId="2030" xr:uid="{00000000-0005-0000-0000-0000380C0000}"/>
    <cellStyle name="Comma 6 23 3 2 2" xfId="4274" xr:uid="{00000000-0005-0000-0000-0000390C0000}"/>
    <cellStyle name="Comma 6 23 3 3" xfId="2754" xr:uid="{00000000-0005-0000-0000-00003A0C0000}"/>
    <cellStyle name="Comma 6 23 3 3 2" xfId="4998" xr:uid="{00000000-0005-0000-0000-00003B0C0000}"/>
    <cellStyle name="Comma 6 23 3 4" xfId="3488" xr:uid="{00000000-0005-0000-0000-00003C0C0000}"/>
    <cellStyle name="Comma 6 23 4" xfId="1458" xr:uid="{00000000-0005-0000-0000-00003D0C0000}"/>
    <cellStyle name="Comma 6 23 4 2" xfId="3702" xr:uid="{00000000-0005-0000-0000-00003E0C0000}"/>
    <cellStyle name="Comma 6 23 5" xfId="2244" xr:uid="{00000000-0005-0000-0000-00003F0C0000}"/>
    <cellStyle name="Comma 6 23 5 2" xfId="4488" xr:uid="{00000000-0005-0000-0000-0000400C0000}"/>
    <cellStyle name="Comma 6 23 6" xfId="2968" xr:uid="{00000000-0005-0000-0000-0000410C0000}"/>
    <cellStyle name="Comma 6 24" xfId="181" xr:uid="{00000000-0005-0000-0000-0000420C0000}"/>
    <cellStyle name="Comma 6 24 2" xfId="991" xr:uid="{00000000-0005-0000-0000-0000430C0000}"/>
    <cellStyle name="Comma 6 24 2 2" xfId="1779" xr:uid="{00000000-0005-0000-0000-0000440C0000}"/>
    <cellStyle name="Comma 6 24 2 2 2" xfId="4023" xr:uid="{00000000-0005-0000-0000-0000450C0000}"/>
    <cellStyle name="Comma 6 24 2 3" xfId="2503" xr:uid="{00000000-0005-0000-0000-0000460C0000}"/>
    <cellStyle name="Comma 6 24 2 3 2" xfId="4747" xr:uid="{00000000-0005-0000-0000-0000470C0000}"/>
    <cellStyle name="Comma 6 24 2 4" xfId="3237" xr:uid="{00000000-0005-0000-0000-0000480C0000}"/>
    <cellStyle name="Comma 6 24 3" xfId="1244" xr:uid="{00000000-0005-0000-0000-0000490C0000}"/>
    <cellStyle name="Comma 6 24 3 2" xfId="2031" xr:uid="{00000000-0005-0000-0000-00004A0C0000}"/>
    <cellStyle name="Comma 6 24 3 2 2" xfId="4275" xr:uid="{00000000-0005-0000-0000-00004B0C0000}"/>
    <cellStyle name="Comma 6 24 3 3" xfId="2755" xr:uid="{00000000-0005-0000-0000-00004C0C0000}"/>
    <cellStyle name="Comma 6 24 3 3 2" xfId="4999" xr:uid="{00000000-0005-0000-0000-00004D0C0000}"/>
    <cellStyle name="Comma 6 24 3 4" xfId="3489" xr:uid="{00000000-0005-0000-0000-00004E0C0000}"/>
    <cellStyle name="Comma 6 24 4" xfId="1459" xr:uid="{00000000-0005-0000-0000-00004F0C0000}"/>
    <cellStyle name="Comma 6 24 4 2" xfId="3703" xr:uid="{00000000-0005-0000-0000-0000500C0000}"/>
    <cellStyle name="Comma 6 24 5" xfId="2245" xr:uid="{00000000-0005-0000-0000-0000510C0000}"/>
    <cellStyle name="Comma 6 24 5 2" xfId="4489" xr:uid="{00000000-0005-0000-0000-0000520C0000}"/>
    <cellStyle name="Comma 6 24 6" xfId="2969" xr:uid="{00000000-0005-0000-0000-0000530C0000}"/>
    <cellStyle name="Comma 6 25" xfId="182" xr:uid="{00000000-0005-0000-0000-0000540C0000}"/>
    <cellStyle name="Comma 6 25 2" xfId="992" xr:uid="{00000000-0005-0000-0000-0000550C0000}"/>
    <cellStyle name="Comma 6 25 2 2" xfId="1780" xr:uid="{00000000-0005-0000-0000-0000560C0000}"/>
    <cellStyle name="Comma 6 25 2 2 2" xfId="4024" xr:uid="{00000000-0005-0000-0000-0000570C0000}"/>
    <cellStyle name="Comma 6 25 2 3" xfId="2504" xr:uid="{00000000-0005-0000-0000-0000580C0000}"/>
    <cellStyle name="Comma 6 25 2 3 2" xfId="4748" xr:uid="{00000000-0005-0000-0000-0000590C0000}"/>
    <cellStyle name="Comma 6 25 2 4" xfId="3238" xr:uid="{00000000-0005-0000-0000-00005A0C0000}"/>
    <cellStyle name="Comma 6 25 3" xfId="1245" xr:uid="{00000000-0005-0000-0000-00005B0C0000}"/>
    <cellStyle name="Comma 6 25 3 2" xfId="2032" xr:uid="{00000000-0005-0000-0000-00005C0C0000}"/>
    <cellStyle name="Comma 6 25 3 2 2" xfId="4276" xr:uid="{00000000-0005-0000-0000-00005D0C0000}"/>
    <cellStyle name="Comma 6 25 3 3" xfId="2756" xr:uid="{00000000-0005-0000-0000-00005E0C0000}"/>
    <cellStyle name="Comma 6 25 3 3 2" xfId="5000" xr:uid="{00000000-0005-0000-0000-00005F0C0000}"/>
    <cellStyle name="Comma 6 25 3 4" xfId="3490" xr:uid="{00000000-0005-0000-0000-0000600C0000}"/>
    <cellStyle name="Comma 6 25 4" xfId="1460" xr:uid="{00000000-0005-0000-0000-0000610C0000}"/>
    <cellStyle name="Comma 6 25 4 2" xfId="3704" xr:uid="{00000000-0005-0000-0000-0000620C0000}"/>
    <cellStyle name="Comma 6 25 5" xfId="2246" xr:uid="{00000000-0005-0000-0000-0000630C0000}"/>
    <cellStyle name="Comma 6 25 5 2" xfId="4490" xr:uid="{00000000-0005-0000-0000-0000640C0000}"/>
    <cellStyle name="Comma 6 25 6" xfId="2970" xr:uid="{00000000-0005-0000-0000-0000650C0000}"/>
    <cellStyle name="Comma 6 26" xfId="183" xr:uid="{00000000-0005-0000-0000-0000660C0000}"/>
    <cellStyle name="Comma 6 26 2" xfId="993" xr:uid="{00000000-0005-0000-0000-0000670C0000}"/>
    <cellStyle name="Comma 6 26 2 2" xfId="1781" xr:uid="{00000000-0005-0000-0000-0000680C0000}"/>
    <cellStyle name="Comma 6 26 2 2 2" xfId="4025" xr:uid="{00000000-0005-0000-0000-0000690C0000}"/>
    <cellStyle name="Comma 6 26 2 3" xfId="2505" xr:uid="{00000000-0005-0000-0000-00006A0C0000}"/>
    <cellStyle name="Comma 6 26 2 3 2" xfId="4749" xr:uid="{00000000-0005-0000-0000-00006B0C0000}"/>
    <cellStyle name="Comma 6 26 2 4" xfId="3239" xr:uid="{00000000-0005-0000-0000-00006C0C0000}"/>
    <cellStyle name="Comma 6 26 3" xfId="1246" xr:uid="{00000000-0005-0000-0000-00006D0C0000}"/>
    <cellStyle name="Comma 6 26 3 2" xfId="2033" xr:uid="{00000000-0005-0000-0000-00006E0C0000}"/>
    <cellStyle name="Comma 6 26 3 2 2" xfId="4277" xr:uid="{00000000-0005-0000-0000-00006F0C0000}"/>
    <cellStyle name="Comma 6 26 3 3" xfId="2757" xr:uid="{00000000-0005-0000-0000-0000700C0000}"/>
    <cellStyle name="Comma 6 26 3 3 2" xfId="5001" xr:uid="{00000000-0005-0000-0000-0000710C0000}"/>
    <cellStyle name="Comma 6 26 3 4" xfId="3491" xr:uid="{00000000-0005-0000-0000-0000720C0000}"/>
    <cellStyle name="Comma 6 26 4" xfId="1461" xr:uid="{00000000-0005-0000-0000-0000730C0000}"/>
    <cellStyle name="Comma 6 26 4 2" xfId="3705" xr:uid="{00000000-0005-0000-0000-0000740C0000}"/>
    <cellStyle name="Comma 6 26 5" xfId="2247" xr:uid="{00000000-0005-0000-0000-0000750C0000}"/>
    <cellStyle name="Comma 6 26 5 2" xfId="4491" xr:uid="{00000000-0005-0000-0000-0000760C0000}"/>
    <cellStyle name="Comma 6 26 6" xfId="2971" xr:uid="{00000000-0005-0000-0000-0000770C0000}"/>
    <cellStyle name="Comma 6 27" xfId="184" xr:uid="{00000000-0005-0000-0000-0000780C0000}"/>
    <cellStyle name="Comma 6 27 2" xfId="994" xr:uid="{00000000-0005-0000-0000-0000790C0000}"/>
    <cellStyle name="Comma 6 27 2 2" xfId="1782" xr:uid="{00000000-0005-0000-0000-00007A0C0000}"/>
    <cellStyle name="Comma 6 27 2 2 2" xfId="4026" xr:uid="{00000000-0005-0000-0000-00007B0C0000}"/>
    <cellStyle name="Comma 6 27 2 3" xfId="2506" xr:uid="{00000000-0005-0000-0000-00007C0C0000}"/>
    <cellStyle name="Comma 6 27 2 3 2" xfId="4750" xr:uid="{00000000-0005-0000-0000-00007D0C0000}"/>
    <cellStyle name="Comma 6 27 2 4" xfId="3240" xr:uid="{00000000-0005-0000-0000-00007E0C0000}"/>
    <cellStyle name="Comma 6 27 3" xfId="1247" xr:uid="{00000000-0005-0000-0000-00007F0C0000}"/>
    <cellStyle name="Comma 6 27 3 2" xfId="2034" xr:uid="{00000000-0005-0000-0000-0000800C0000}"/>
    <cellStyle name="Comma 6 27 3 2 2" xfId="4278" xr:uid="{00000000-0005-0000-0000-0000810C0000}"/>
    <cellStyle name="Comma 6 27 3 3" xfId="2758" xr:uid="{00000000-0005-0000-0000-0000820C0000}"/>
    <cellStyle name="Comma 6 27 3 3 2" xfId="5002" xr:uid="{00000000-0005-0000-0000-0000830C0000}"/>
    <cellStyle name="Comma 6 27 3 4" xfId="3492" xr:uid="{00000000-0005-0000-0000-0000840C0000}"/>
    <cellStyle name="Comma 6 27 4" xfId="1462" xr:uid="{00000000-0005-0000-0000-0000850C0000}"/>
    <cellStyle name="Comma 6 27 4 2" xfId="3706" xr:uid="{00000000-0005-0000-0000-0000860C0000}"/>
    <cellStyle name="Comma 6 27 5" xfId="2248" xr:uid="{00000000-0005-0000-0000-0000870C0000}"/>
    <cellStyle name="Comma 6 27 5 2" xfId="4492" xr:uid="{00000000-0005-0000-0000-0000880C0000}"/>
    <cellStyle name="Comma 6 27 6" xfId="2972" xr:uid="{00000000-0005-0000-0000-0000890C0000}"/>
    <cellStyle name="Comma 6 28" xfId="185" xr:uid="{00000000-0005-0000-0000-00008A0C0000}"/>
    <cellStyle name="Comma 6 28 2" xfId="995" xr:uid="{00000000-0005-0000-0000-00008B0C0000}"/>
    <cellStyle name="Comma 6 28 2 2" xfId="1783" xr:uid="{00000000-0005-0000-0000-00008C0C0000}"/>
    <cellStyle name="Comma 6 28 2 2 2" xfId="4027" xr:uid="{00000000-0005-0000-0000-00008D0C0000}"/>
    <cellStyle name="Comma 6 28 2 3" xfId="2507" xr:uid="{00000000-0005-0000-0000-00008E0C0000}"/>
    <cellStyle name="Comma 6 28 2 3 2" xfId="4751" xr:uid="{00000000-0005-0000-0000-00008F0C0000}"/>
    <cellStyle name="Comma 6 28 2 4" xfId="3241" xr:uid="{00000000-0005-0000-0000-0000900C0000}"/>
    <cellStyle name="Comma 6 28 3" xfId="1248" xr:uid="{00000000-0005-0000-0000-0000910C0000}"/>
    <cellStyle name="Comma 6 28 3 2" xfId="2035" xr:uid="{00000000-0005-0000-0000-0000920C0000}"/>
    <cellStyle name="Comma 6 28 3 2 2" xfId="4279" xr:uid="{00000000-0005-0000-0000-0000930C0000}"/>
    <cellStyle name="Comma 6 28 3 3" xfId="2759" xr:uid="{00000000-0005-0000-0000-0000940C0000}"/>
    <cellStyle name="Comma 6 28 3 3 2" xfId="5003" xr:uid="{00000000-0005-0000-0000-0000950C0000}"/>
    <cellStyle name="Comma 6 28 3 4" xfId="3493" xr:uid="{00000000-0005-0000-0000-0000960C0000}"/>
    <cellStyle name="Comma 6 28 4" xfId="1463" xr:uid="{00000000-0005-0000-0000-0000970C0000}"/>
    <cellStyle name="Comma 6 28 4 2" xfId="3707" xr:uid="{00000000-0005-0000-0000-0000980C0000}"/>
    <cellStyle name="Comma 6 28 5" xfId="2249" xr:uid="{00000000-0005-0000-0000-0000990C0000}"/>
    <cellStyle name="Comma 6 28 5 2" xfId="4493" xr:uid="{00000000-0005-0000-0000-00009A0C0000}"/>
    <cellStyle name="Comma 6 28 6" xfId="2973" xr:uid="{00000000-0005-0000-0000-00009B0C0000}"/>
    <cellStyle name="Comma 6 29" xfId="186" xr:uid="{00000000-0005-0000-0000-00009C0C0000}"/>
    <cellStyle name="Comma 6 29 2" xfId="996" xr:uid="{00000000-0005-0000-0000-00009D0C0000}"/>
    <cellStyle name="Comma 6 29 2 2" xfId="1784" xr:uid="{00000000-0005-0000-0000-00009E0C0000}"/>
    <cellStyle name="Comma 6 29 2 2 2" xfId="4028" xr:uid="{00000000-0005-0000-0000-00009F0C0000}"/>
    <cellStyle name="Comma 6 29 2 3" xfId="2508" xr:uid="{00000000-0005-0000-0000-0000A00C0000}"/>
    <cellStyle name="Comma 6 29 2 3 2" xfId="4752" xr:uid="{00000000-0005-0000-0000-0000A10C0000}"/>
    <cellStyle name="Comma 6 29 2 4" xfId="3242" xr:uid="{00000000-0005-0000-0000-0000A20C0000}"/>
    <cellStyle name="Comma 6 29 3" xfId="1249" xr:uid="{00000000-0005-0000-0000-0000A30C0000}"/>
    <cellStyle name="Comma 6 29 3 2" xfId="2036" xr:uid="{00000000-0005-0000-0000-0000A40C0000}"/>
    <cellStyle name="Comma 6 29 3 2 2" xfId="4280" xr:uid="{00000000-0005-0000-0000-0000A50C0000}"/>
    <cellStyle name="Comma 6 29 3 3" xfId="2760" xr:uid="{00000000-0005-0000-0000-0000A60C0000}"/>
    <cellStyle name="Comma 6 29 3 3 2" xfId="5004" xr:uid="{00000000-0005-0000-0000-0000A70C0000}"/>
    <cellStyle name="Comma 6 29 3 4" xfId="3494" xr:uid="{00000000-0005-0000-0000-0000A80C0000}"/>
    <cellStyle name="Comma 6 29 4" xfId="1464" xr:uid="{00000000-0005-0000-0000-0000A90C0000}"/>
    <cellStyle name="Comma 6 29 4 2" xfId="3708" xr:uid="{00000000-0005-0000-0000-0000AA0C0000}"/>
    <cellStyle name="Comma 6 29 5" xfId="2250" xr:uid="{00000000-0005-0000-0000-0000AB0C0000}"/>
    <cellStyle name="Comma 6 29 5 2" xfId="4494" xr:uid="{00000000-0005-0000-0000-0000AC0C0000}"/>
    <cellStyle name="Comma 6 29 6" xfId="2974" xr:uid="{00000000-0005-0000-0000-0000AD0C0000}"/>
    <cellStyle name="Comma 6 3" xfId="187" xr:uid="{00000000-0005-0000-0000-0000AE0C0000}"/>
    <cellStyle name="Comma 6 3 2" xfId="997" xr:uid="{00000000-0005-0000-0000-0000AF0C0000}"/>
    <cellStyle name="Comma 6 3 2 2" xfId="1785" xr:uid="{00000000-0005-0000-0000-0000B00C0000}"/>
    <cellStyle name="Comma 6 3 2 2 2" xfId="4029" xr:uid="{00000000-0005-0000-0000-0000B10C0000}"/>
    <cellStyle name="Comma 6 3 2 3" xfId="2509" xr:uid="{00000000-0005-0000-0000-0000B20C0000}"/>
    <cellStyle name="Comma 6 3 2 3 2" xfId="4753" xr:uid="{00000000-0005-0000-0000-0000B30C0000}"/>
    <cellStyle name="Comma 6 3 2 4" xfId="3243" xr:uid="{00000000-0005-0000-0000-0000B40C0000}"/>
    <cellStyle name="Comma 6 3 3" xfId="1250" xr:uid="{00000000-0005-0000-0000-0000B50C0000}"/>
    <cellStyle name="Comma 6 3 3 2" xfId="2037" xr:uid="{00000000-0005-0000-0000-0000B60C0000}"/>
    <cellStyle name="Comma 6 3 3 2 2" xfId="4281" xr:uid="{00000000-0005-0000-0000-0000B70C0000}"/>
    <cellStyle name="Comma 6 3 3 3" xfId="2761" xr:uid="{00000000-0005-0000-0000-0000B80C0000}"/>
    <cellStyle name="Comma 6 3 3 3 2" xfId="5005" xr:uid="{00000000-0005-0000-0000-0000B90C0000}"/>
    <cellStyle name="Comma 6 3 3 4" xfId="3495" xr:uid="{00000000-0005-0000-0000-0000BA0C0000}"/>
    <cellStyle name="Comma 6 3 4" xfId="1465" xr:uid="{00000000-0005-0000-0000-0000BB0C0000}"/>
    <cellStyle name="Comma 6 3 4 2" xfId="3709" xr:uid="{00000000-0005-0000-0000-0000BC0C0000}"/>
    <cellStyle name="Comma 6 3 5" xfId="2251" xr:uid="{00000000-0005-0000-0000-0000BD0C0000}"/>
    <cellStyle name="Comma 6 3 5 2" xfId="4495" xr:uid="{00000000-0005-0000-0000-0000BE0C0000}"/>
    <cellStyle name="Comma 6 3 6" xfId="2975" xr:uid="{00000000-0005-0000-0000-0000BF0C0000}"/>
    <cellStyle name="Comma 6 30" xfId="188" xr:uid="{00000000-0005-0000-0000-0000C00C0000}"/>
    <cellStyle name="Comma 6 30 2" xfId="998" xr:uid="{00000000-0005-0000-0000-0000C10C0000}"/>
    <cellStyle name="Comma 6 30 2 2" xfId="1786" xr:uid="{00000000-0005-0000-0000-0000C20C0000}"/>
    <cellStyle name="Comma 6 30 2 2 2" xfId="4030" xr:uid="{00000000-0005-0000-0000-0000C30C0000}"/>
    <cellStyle name="Comma 6 30 2 3" xfId="2510" xr:uid="{00000000-0005-0000-0000-0000C40C0000}"/>
    <cellStyle name="Comma 6 30 2 3 2" xfId="4754" xr:uid="{00000000-0005-0000-0000-0000C50C0000}"/>
    <cellStyle name="Comma 6 30 2 4" xfId="3244" xr:uid="{00000000-0005-0000-0000-0000C60C0000}"/>
    <cellStyle name="Comma 6 30 3" xfId="1251" xr:uid="{00000000-0005-0000-0000-0000C70C0000}"/>
    <cellStyle name="Comma 6 30 3 2" xfId="2038" xr:uid="{00000000-0005-0000-0000-0000C80C0000}"/>
    <cellStyle name="Comma 6 30 3 2 2" xfId="4282" xr:uid="{00000000-0005-0000-0000-0000C90C0000}"/>
    <cellStyle name="Comma 6 30 3 3" xfId="2762" xr:uid="{00000000-0005-0000-0000-0000CA0C0000}"/>
    <cellStyle name="Comma 6 30 3 3 2" xfId="5006" xr:uid="{00000000-0005-0000-0000-0000CB0C0000}"/>
    <cellStyle name="Comma 6 30 3 4" xfId="3496" xr:uid="{00000000-0005-0000-0000-0000CC0C0000}"/>
    <cellStyle name="Comma 6 30 4" xfId="1466" xr:uid="{00000000-0005-0000-0000-0000CD0C0000}"/>
    <cellStyle name="Comma 6 30 4 2" xfId="3710" xr:uid="{00000000-0005-0000-0000-0000CE0C0000}"/>
    <cellStyle name="Comma 6 30 5" xfId="2252" xr:uid="{00000000-0005-0000-0000-0000CF0C0000}"/>
    <cellStyle name="Comma 6 30 5 2" xfId="4496" xr:uid="{00000000-0005-0000-0000-0000D00C0000}"/>
    <cellStyle name="Comma 6 30 6" xfId="2976" xr:uid="{00000000-0005-0000-0000-0000D10C0000}"/>
    <cellStyle name="Comma 6 31" xfId="189" xr:uid="{00000000-0005-0000-0000-0000D20C0000}"/>
    <cellStyle name="Comma 6 31 2" xfId="999" xr:uid="{00000000-0005-0000-0000-0000D30C0000}"/>
    <cellStyle name="Comma 6 31 2 2" xfId="1787" xr:uid="{00000000-0005-0000-0000-0000D40C0000}"/>
    <cellStyle name="Comma 6 31 2 2 2" xfId="4031" xr:uid="{00000000-0005-0000-0000-0000D50C0000}"/>
    <cellStyle name="Comma 6 31 2 3" xfId="2511" xr:uid="{00000000-0005-0000-0000-0000D60C0000}"/>
    <cellStyle name="Comma 6 31 2 3 2" xfId="4755" xr:uid="{00000000-0005-0000-0000-0000D70C0000}"/>
    <cellStyle name="Comma 6 31 2 4" xfId="3245" xr:uid="{00000000-0005-0000-0000-0000D80C0000}"/>
    <cellStyle name="Comma 6 31 3" xfId="1252" xr:uid="{00000000-0005-0000-0000-0000D90C0000}"/>
    <cellStyle name="Comma 6 31 3 2" xfId="2039" xr:uid="{00000000-0005-0000-0000-0000DA0C0000}"/>
    <cellStyle name="Comma 6 31 3 2 2" xfId="4283" xr:uid="{00000000-0005-0000-0000-0000DB0C0000}"/>
    <cellStyle name="Comma 6 31 3 3" xfId="2763" xr:uid="{00000000-0005-0000-0000-0000DC0C0000}"/>
    <cellStyle name="Comma 6 31 3 3 2" xfId="5007" xr:uid="{00000000-0005-0000-0000-0000DD0C0000}"/>
    <cellStyle name="Comma 6 31 3 4" xfId="3497" xr:uid="{00000000-0005-0000-0000-0000DE0C0000}"/>
    <cellStyle name="Comma 6 31 4" xfId="1467" xr:uid="{00000000-0005-0000-0000-0000DF0C0000}"/>
    <cellStyle name="Comma 6 31 4 2" xfId="3711" xr:uid="{00000000-0005-0000-0000-0000E00C0000}"/>
    <cellStyle name="Comma 6 31 5" xfId="2253" xr:uid="{00000000-0005-0000-0000-0000E10C0000}"/>
    <cellStyle name="Comma 6 31 5 2" xfId="4497" xr:uid="{00000000-0005-0000-0000-0000E20C0000}"/>
    <cellStyle name="Comma 6 31 6" xfId="2977" xr:uid="{00000000-0005-0000-0000-0000E30C0000}"/>
    <cellStyle name="Comma 6 32" xfId="190" xr:uid="{00000000-0005-0000-0000-0000E40C0000}"/>
    <cellStyle name="Comma 6 32 2" xfId="1000" xr:uid="{00000000-0005-0000-0000-0000E50C0000}"/>
    <cellStyle name="Comma 6 32 2 2" xfId="1788" xr:uid="{00000000-0005-0000-0000-0000E60C0000}"/>
    <cellStyle name="Comma 6 32 2 2 2" xfId="4032" xr:uid="{00000000-0005-0000-0000-0000E70C0000}"/>
    <cellStyle name="Comma 6 32 2 3" xfId="2512" xr:uid="{00000000-0005-0000-0000-0000E80C0000}"/>
    <cellStyle name="Comma 6 32 2 3 2" xfId="4756" xr:uid="{00000000-0005-0000-0000-0000E90C0000}"/>
    <cellStyle name="Comma 6 32 2 4" xfId="3246" xr:uid="{00000000-0005-0000-0000-0000EA0C0000}"/>
    <cellStyle name="Comma 6 32 3" xfId="1253" xr:uid="{00000000-0005-0000-0000-0000EB0C0000}"/>
    <cellStyle name="Comma 6 32 3 2" xfId="2040" xr:uid="{00000000-0005-0000-0000-0000EC0C0000}"/>
    <cellStyle name="Comma 6 32 3 2 2" xfId="4284" xr:uid="{00000000-0005-0000-0000-0000ED0C0000}"/>
    <cellStyle name="Comma 6 32 3 3" xfId="2764" xr:uid="{00000000-0005-0000-0000-0000EE0C0000}"/>
    <cellStyle name="Comma 6 32 3 3 2" xfId="5008" xr:uid="{00000000-0005-0000-0000-0000EF0C0000}"/>
    <cellStyle name="Comma 6 32 3 4" xfId="3498" xr:uid="{00000000-0005-0000-0000-0000F00C0000}"/>
    <cellStyle name="Comma 6 32 4" xfId="1468" xr:uid="{00000000-0005-0000-0000-0000F10C0000}"/>
    <cellStyle name="Comma 6 32 4 2" xfId="3712" xr:uid="{00000000-0005-0000-0000-0000F20C0000}"/>
    <cellStyle name="Comma 6 32 5" xfId="2254" xr:uid="{00000000-0005-0000-0000-0000F30C0000}"/>
    <cellStyle name="Comma 6 32 5 2" xfId="4498" xr:uid="{00000000-0005-0000-0000-0000F40C0000}"/>
    <cellStyle name="Comma 6 32 6" xfId="2978" xr:uid="{00000000-0005-0000-0000-0000F50C0000}"/>
    <cellStyle name="Comma 6 33" xfId="191" xr:uid="{00000000-0005-0000-0000-0000F60C0000}"/>
    <cellStyle name="Comma 6 33 2" xfId="1001" xr:uid="{00000000-0005-0000-0000-0000F70C0000}"/>
    <cellStyle name="Comma 6 33 2 2" xfId="1789" xr:uid="{00000000-0005-0000-0000-0000F80C0000}"/>
    <cellStyle name="Comma 6 33 2 2 2" xfId="4033" xr:uid="{00000000-0005-0000-0000-0000F90C0000}"/>
    <cellStyle name="Comma 6 33 2 3" xfId="2513" xr:uid="{00000000-0005-0000-0000-0000FA0C0000}"/>
    <cellStyle name="Comma 6 33 2 3 2" xfId="4757" xr:uid="{00000000-0005-0000-0000-0000FB0C0000}"/>
    <cellStyle name="Comma 6 33 2 4" xfId="3247" xr:uid="{00000000-0005-0000-0000-0000FC0C0000}"/>
    <cellStyle name="Comma 6 33 3" xfId="1254" xr:uid="{00000000-0005-0000-0000-0000FD0C0000}"/>
    <cellStyle name="Comma 6 33 3 2" xfId="2041" xr:uid="{00000000-0005-0000-0000-0000FE0C0000}"/>
    <cellStyle name="Comma 6 33 3 2 2" xfId="4285" xr:uid="{00000000-0005-0000-0000-0000FF0C0000}"/>
    <cellStyle name="Comma 6 33 3 3" xfId="2765" xr:uid="{00000000-0005-0000-0000-0000000D0000}"/>
    <cellStyle name="Comma 6 33 3 3 2" xfId="5009" xr:uid="{00000000-0005-0000-0000-0000010D0000}"/>
    <cellStyle name="Comma 6 33 3 4" xfId="3499" xr:uid="{00000000-0005-0000-0000-0000020D0000}"/>
    <cellStyle name="Comma 6 33 4" xfId="1469" xr:uid="{00000000-0005-0000-0000-0000030D0000}"/>
    <cellStyle name="Comma 6 33 4 2" xfId="3713" xr:uid="{00000000-0005-0000-0000-0000040D0000}"/>
    <cellStyle name="Comma 6 33 5" xfId="2255" xr:uid="{00000000-0005-0000-0000-0000050D0000}"/>
    <cellStyle name="Comma 6 33 5 2" xfId="4499" xr:uid="{00000000-0005-0000-0000-0000060D0000}"/>
    <cellStyle name="Comma 6 33 6" xfId="2979" xr:uid="{00000000-0005-0000-0000-0000070D0000}"/>
    <cellStyle name="Comma 6 34" xfId="192" xr:uid="{00000000-0005-0000-0000-0000080D0000}"/>
    <cellStyle name="Comma 6 34 2" xfId="1002" xr:uid="{00000000-0005-0000-0000-0000090D0000}"/>
    <cellStyle name="Comma 6 34 2 2" xfId="1790" xr:uid="{00000000-0005-0000-0000-00000A0D0000}"/>
    <cellStyle name="Comma 6 34 2 2 2" xfId="4034" xr:uid="{00000000-0005-0000-0000-00000B0D0000}"/>
    <cellStyle name="Comma 6 34 2 3" xfId="2514" xr:uid="{00000000-0005-0000-0000-00000C0D0000}"/>
    <cellStyle name="Comma 6 34 2 3 2" xfId="4758" xr:uid="{00000000-0005-0000-0000-00000D0D0000}"/>
    <cellStyle name="Comma 6 34 2 4" xfId="3248" xr:uid="{00000000-0005-0000-0000-00000E0D0000}"/>
    <cellStyle name="Comma 6 34 3" xfId="1255" xr:uid="{00000000-0005-0000-0000-00000F0D0000}"/>
    <cellStyle name="Comma 6 34 3 2" xfId="2042" xr:uid="{00000000-0005-0000-0000-0000100D0000}"/>
    <cellStyle name="Comma 6 34 3 2 2" xfId="4286" xr:uid="{00000000-0005-0000-0000-0000110D0000}"/>
    <cellStyle name="Comma 6 34 3 3" xfId="2766" xr:uid="{00000000-0005-0000-0000-0000120D0000}"/>
    <cellStyle name="Comma 6 34 3 3 2" xfId="5010" xr:uid="{00000000-0005-0000-0000-0000130D0000}"/>
    <cellStyle name="Comma 6 34 3 4" xfId="3500" xr:uid="{00000000-0005-0000-0000-0000140D0000}"/>
    <cellStyle name="Comma 6 34 4" xfId="1470" xr:uid="{00000000-0005-0000-0000-0000150D0000}"/>
    <cellStyle name="Comma 6 34 4 2" xfId="3714" xr:uid="{00000000-0005-0000-0000-0000160D0000}"/>
    <cellStyle name="Comma 6 34 5" xfId="2256" xr:uid="{00000000-0005-0000-0000-0000170D0000}"/>
    <cellStyle name="Comma 6 34 5 2" xfId="4500" xr:uid="{00000000-0005-0000-0000-0000180D0000}"/>
    <cellStyle name="Comma 6 34 6" xfId="2980" xr:uid="{00000000-0005-0000-0000-0000190D0000}"/>
    <cellStyle name="Comma 6 35" xfId="193" xr:uid="{00000000-0005-0000-0000-00001A0D0000}"/>
    <cellStyle name="Comma 6 35 2" xfId="1003" xr:uid="{00000000-0005-0000-0000-00001B0D0000}"/>
    <cellStyle name="Comma 6 35 2 2" xfId="1791" xr:uid="{00000000-0005-0000-0000-00001C0D0000}"/>
    <cellStyle name="Comma 6 35 2 2 2" xfId="4035" xr:uid="{00000000-0005-0000-0000-00001D0D0000}"/>
    <cellStyle name="Comma 6 35 2 3" xfId="2515" xr:uid="{00000000-0005-0000-0000-00001E0D0000}"/>
    <cellStyle name="Comma 6 35 2 3 2" xfId="4759" xr:uid="{00000000-0005-0000-0000-00001F0D0000}"/>
    <cellStyle name="Comma 6 35 2 4" xfId="3249" xr:uid="{00000000-0005-0000-0000-0000200D0000}"/>
    <cellStyle name="Comma 6 35 3" xfId="1256" xr:uid="{00000000-0005-0000-0000-0000210D0000}"/>
    <cellStyle name="Comma 6 35 3 2" xfId="2043" xr:uid="{00000000-0005-0000-0000-0000220D0000}"/>
    <cellStyle name="Comma 6 35 3 2 2" xfId="4287" xr:uid="{00000000-0005-0000-0000-0000230D0000}"/>
    <cellStyle name="Comma 6 35 3 3" xfId="2767" xr:uid="{00000000-0005-0000-0000-0000240D0000}"/>
    <cellStyle name="Comma 6 35 3 3 2" xfId="5011" xr:uid="{00000000-0005-0000-0000-0000250D0000}"/>
    <cellStyle name="Comma 6 35 3 4" xfId="3501" xr:uid="{00000000-0005-0000-0000-0000260D0000}"/>
    <cellStyle name="Comma 6 35 4" xfId="1471" xr:uid="{00000000-0005-0000-0000-0000270D0000}"/>
    <cellStyle name="Comma 6 35 4 2" xfId="3715" xr:uid="{00000000-0005-0000-0000-0000280D0000}"/>
    <cellStyle name="Comma 6 35 5" xfId="2257" xr:uid="{00000000-0005-0000-0000-0000290D0000}"/>
    <cellStyle name="Comma 6 35 5 2" xfId="4501" xr:uid="{00000000-0005-0000-0000-00002A0D0000}"/>
    <cellStyle name="Comma 6 35 6" xfId="2981" xr:uid="{00000000-0005-0000-0000-00002B0D0000}"/>
    <cellStyle name="Comma 6 36" xfId="194" xr:uid="{00000000-0005-0000-0000-00002C0D0000}"/>
    <cellStyle name="Comma 6 36 2" xfId="1004" xr:uid="{00000000-0005-0000-0000-00002D0D0000}"/>
    <cellStyle name="Comma 6 36 2 2" xfId="1792" xr:uid="{00000000-0005-0000-0000-00002E0D0000}"/>
    <cellStyle name="Comma 6 36 2 2 2" xfId="4036" xr:uid="{00000000-0005-0000-0000-00002F0D0000}"/>
    <cellStyle name="Comma 6 36 2 3" xfId="2516" xr:uid="{00000000-0005-0000-0000-0000300D0000}"/>
    <cellStyle name="Comma 6 36 2 3 2" xfId="4760" xr:uid="{00000000-0005-0000-0000-0000310D0000}"/>
    <cellStyle name="Comma 6 36 2 4" xfId="3250" xr:uid="{00000000-0005-0000-0000-0000320D0000}"/>
    <cellStyle name="Comma 6 36 3" xfId="1257" xr:uid="{00000000-0005-0000-0000-0000330D0000}"/>
    <cellStyle name="Comma 6 36 3 2" xfId="2044" xr:uid="{00000000-0005-0000-0000-0000340D0000}"/>
    <cellStyle name="Comma 6 36 3 2 2" xfId="4288" xr:uid="{00000000-0005-0000-0000-0000350D0000}"/>
    <cellStyle name="Comma 6 36 3 3" xfId="2768" xr:uid="{00000000-0005-0000-0000-0000360D0000}"/>
    <cellStyle name="Comma 6 36 3 3 2" xfId="5012" xr:uid="{00000000-0005-0000-0000-0000370D0000}"/>
    <cellStyle name="Comma 6 36 3 4" xfId="3502" xr:uid="{00000000-0005-0000-0000-0000380D0000}"/>
    <cellStyle name="Comma 6 36 4" xfId="1472" xr:uid="{00000000-0005-0000-0000-0000390D0000}"/>
    <cellStyle name="Comma 6 36 4 2" xfId="3716" xr:uid="{00000000-0005-0000-0000-00003A0D0000}"/>
    <cellStyle name="Comma 6 36 5" xfId="2258" xr:uid="{00000000-0005-0000-0000-00003B0D0000}"/>
    <cellStyle name="Comma 6 36 5 2" xfId="4502" xr:uid="{00000000-0005-0000-0000-00003C0D0000}"/>
    <cellStyle name="Comma 6 36 6" xfId="2982" xr:uid="{00000000-0005-0000-0000-00003D0D0000}"/>
    <cellStyle name="Comma 6 37" xfId="195" xr:uid="{00000000-0005-0000-0000-00003E0D0000}"/>
    <cellStyle name="Comma 6 37 2" xfId="1005" xr:uid="{00000000-0005-0000-0000-00003F0D0000}"/>
    <cellStyle name="Comma 6 37 2 2" xfId="1793" xr:uid="{00000000-0005-0000-0000-0000400D0000}"/>
    <cellStyle name="Comma 6 37 2 2 2" xfId="4037" xr:uid="{00000000-0005-0000-0000-0000410D0000}"/>
    <cellStyle name="Comma 6 37 2 3" xfId="2517" xr:uid="{00000000-0005-0000-0000-0000420D0000}"/>
    <cellStyle name="Comma 6 37 2 3 2" xfId="4761" xr:uid="{00000000-0005-0000-0000-0000430D0000}"/>
    <cellStyle name="Comma 6 37 2 4" xfId="3251" xr:uid="{00000000-0005-0000-0000-0000440D0000}"/>
    <cellStyle name="Comma 6 37 3" xfId="1258" xr:uid="{00000000-0005-0000-0000-0000450D0000}"/>
    <cellStyle name="Comma 6 37 3 2" xfId="2045" xr:uid="{00000000-0005-0000-0000-0000460D0000}"/>
    <cellStyle name="Comma 6 37 3 2 2" xfId="4289" xr:uid="{00000000-0005-0000-0000-0000470D0000}"/>
    <cellStyle name="Comma 6 37 3 3" xfId="2769" xr:uid="{00000000-0005-0000-0000-0000480D0000}"/>
    <cellStyle name="Comma 6 37 3 3 2" xfId="5013" xr:uid="{00000000-0005-0000-0000-0000490D0000}"/>
    <cellStyle name="Comma 6 37 3 4" xfId="3503" xr:uid="{00000000-0005-0000-0000-00004A0D0000}"/>
    <cellStyle name="Comma 6 37 4" xfId="1473" xr:uid="{00000000-0005-0000-0000-00004B0D0000}"/>
    <cellStyle name="Comma 6 37 4 2" xfId="3717" xr:uid="{00000000-0005-0000-0000-00004C0D0000}"/>
    <cellStyle name="Comma 6 37 5" xfId="2259" xr:uid="{00000000-0005-0000-0000-00004D0D0000}"/>
    <cellStyle name="Comma 6 37 5 2" xfId="4503" xr:uid="{00000000-0005-0000-0000-00004E0D0000}"/>
    <cellStyle name="Comma 6 37 6" xfId="2983" xr:uid="{00000000-0005-0000-0000-00004F0D0000}"/>
    <cellStyle name="Comma 6 38" xfId="975" xr:uid="{00000000-0005-0000-0000-0000500D0000}"/>
    <cellStyle name="Comma 6 38 2" xfId="1763" xr:uid="{00000000-0005-0000-0000-0000510D0000}"/>
    <cellStyle name="Comma 6 38 2 2" xfId="4007" xr:uid="{00000000-0005-0000-0000-0000520D0000}"/>
    <cellStyle name="Comma 6 38 3" xfId="2487" xr:uid="{00000000-0005-0000-0000-0000530D0000}"/>
    <cellStyle name="Comma 6 38 3 2" xfId="4731" xr:uid="{00000000-0005-0000-0000-0000540D0000}"/>
    <cellStyle name="Comma 6 38 4" xfId="3221" xr:uid="{00000000-0005-0000-0000-0000550D0000}"/>
    <cellStyle name="Comma 6 39" xfId="1228" xr:uid="{00000000-0005-0000-0000-0000560D0000}"/>
    <cellStyle name="Comma 6 39 2" xfId="2015" xr:uid="{00000000-0005-0000-0000-0000570D0000}"/>
    <cellStyle name="Comma 6 39 2 2" xfId="4259" xr:uid="{00000000-0005-0000-0000-0000580D0000}"/>
    <cellStyle name="Comma 6 39 3" xfId="2739" xr:uid="{00000000-0005-0000-0000-0000590D0000}"/>
    <cellStyle name="Comma 6 39 3 2" xfId="4983" xr:uid="{00000000-0005-0000-0000-00005A0D0000}"/>
    <cellStyle name="Comma 6 39 4" xfId="3473" xr:uid="{00000000-0005-0000-0000-00005B0D0000}"/>
    <cellStyle name="Comma 6 4" xfId="196" xr:uid="{00000000-0005-0000-0000-00005C0D0000}"/>
    <cellStyle name="Comma 6 4 2" xfId="1006" xr:uid="{00000000-0005-0000-0000-00005D0D0000}"/>
    <cellStyle name="Comma 6 4 2 2" xfId="1794" xr:uid="{00000000-0005-0000-0000-00005E0D0000}"/>
    <cellStyle name="Comma 6 4 2 2 2" xfId="4038" xr:uid="{00000000-0005-0000-0000-00005F0D0000}"/>
    <cellStyle name="Comma 6 4 2 3" xfId="2518" xr:uid="{00000000-0005-0000-0000-0000600D0000}"/>
    <cellStyle name="Comma 6 4 2 3 2" xfId="4762" xr:uid="{00000000-0005-0000-0000-0000610D0000}"/>
    <cellStyle name="Comma 6 4 2 4" xfId="3252" xr:uid="{00000000-0005-0000-0000-0000620D0000}"/>
    <cellStyle name="Comma 6 4 3" xfId="1259" xr:uid="{00000000-0005-0000-0000-0000630D0000}"/>
    <cellStyle name="Comma 6 4 3 2" xfId="2046" xr:uid="{00000000-0005-0000-0000-0000640D0000}"/>
    <cellStyle name="Comma 6 4 3 2 2" xfId="4290" xr:uid="{00000000-0005-0000-0000-0000650D0000}"/>
    <cellStyle name="Comma 6 4 3 3" xfId="2770" xr:uid="{00000000-0005-0000-0000-0000660D0000}"/>
    <cellStyle name="Comma 6 4 3 3 2" xfId="5014" xr:uid="{00000000-0005-0000-0000-0000670D0000}"/>
    <cellStyle name="Comma 6 4 3 4" xfId="3504" xr:uid="{00000000-0005-0000-0000-0000680D0000}"/>
    <cellStyle name="Comma 6 4 4" xfId="1474" xr:uid="{00000000-0005-0000-0000-0000690D0000}"/>
    <cellStyle name="Comma 6 4 4 2" xfId="3718" xr:uid="{00000000-0005-0000-0000-00006A0D0000}"/>
    <cellStyle name="Comma 6 4 5" xfId="2260" xr:uid="{00000000-0005-0000-0000-00006B0D0000}"/>
    <cellStyle name="Comma 6 4 5 2" xfId="4504" xr:uid="{00000000-0005-0000-0000-00006C0D0000}"/>
    <cellStyle name="Comma 6 4 6" xfId="2984" xr:uid="{00000000-0005-0000-0000-00006D0D0000}"/>
    <cellStyle name="Comma 6 40" xfId="1443" xr:uid="{00000000-0005-0000-0000-00006E0D0000}"/>
    <cellStyle name="Comma 6 40 2" xfId="3687" xr:uid="{00000000-0005-0000-0000-00006F0D0000}"/>
    <cellStyle name="Comma 6 41" xfId="2229" xr:uid="{00000000-0005-0000-0000-0000700D0000}"/>
    <cellStyle name="Comma 6 41 2" xfId="4473" xr:uid="{00000000-0005-0000-0000-0000710D0000}"/>
    <cellStyle name="Comma 6 42" xfId="2953" xr:uid="{00000000-0005-0000-0000-0000720D0000}"/>
    <cellStyle name="Comma 6 5" xfId="197" xr:uid="{00000000-0005-0000-0000-0000730D0000}"/>
    <cellStyle name="Comma 6 5 2" xfId="1007" xr:uid="{00000000-0005-0000-0000-0000740D0000}"/>
    <cellStyle name="Comma 6 5 2 2" xfId="1795" xr:uid="{00000000-0005-0000-0000-0000750D0000}"/>
    <cellStyle name="Comma 6 5 2 2 2" xfId="4039" xr:uid="{00000000-0005-0000-0000-0000760D0000}"/>
    <cellStyle name="Comma 6 5 2 3" xfId="2519" xr:uid="{00000000-0005-0000-0000-0000770D0000}"/>
    <cellStyle name="Comma 6 5 2 3 2" xfId="4763" xr:uid="{00000000-0005-0000-0000-0000780D0000}"/>
    <cellStyle name="Comma 6 5 2 4" xfId="3253" xr:uid="{00000000-0005-0000-0000-0000790D0000}"/>
    <cellStyle name="Comma 6 5 3" xfId="1260" xr:uid="{00000000-0005-0000-0000-00007A0D0000}"/>
    <cellStyle name="Comma 6 5 3 2" xfId="2047" xr:uid="{00000000-0005-0000-0000-00007B0D0000}"/>
    <cellStyle name="Comma 6 5 3 2 2" xfId="4291" xr:uid="{00000000-0005-0000-0000-00007C0D0000}"/>
    <cellStyle name="Comma 6 5 3 3" xfId="2771" xr:uid="{00000000-0005-0000-0000-00007D0D0000}"/>
    <cellStyle name="Comma 6 5 3 3 2" xfId="5015" xr:uid="{00000000-0005-0000-0000-00007E0D0000}"/>
    <cellStyle name="Comma 6 5 3 4" xfId="3505" xr:uid="{00000000-0005-0000-0000-00007F0D0000}"/>
    <cellStyle name="Comma 6 5 4" xfId="1475" xr:uid="{00000000-0005-0000-0000-0000800D0000}"/>
    <cellStyle name="Comma 6 5 4 2" xfId="3719" xr:uid="{00000000-0005-0000-0000-0000810D0000}"/>
    <cellStyle name="Comma 6 5 5" xfId="2261" xr:uid="{00000000-0005-0000-0000-0000820D0000}"/>
    <cellStyle name="Comma 6 5 5 2" xfId="4505" xr:uid="{00000000-0005-0000-0000-0000830D0000}"/>
    <cellStyle name="Comma 6 5 6" xfId="2985" xr:uid="{00000000-0005-0000-0000-0000840D0000}"/>
    <cellStyle name="Comma 6 6" xfId="198" xr:uid="{00000000-0005-0000-0000-0000850D0000}"/>
    <cellStyle name="Comma 6 6 2" xfId="1008" xr:uid="{00000000-0005-0000-0000-0000860D0000}"/>
    <cellStyle name="Comma 6 6 2 2" xfId="1796" xr:uid="{00000000-0005-0000-0000-0000870D0000}"/>
    <cellStyle name="Comma 6 6 2 2 2" xfId="4040" xr:uid="{00000000-0005-0000-0000-0000880D0000}"/>
    <cellStyle name="Comma 6 6 2 3" xfId="2520" xr:uid="{00000000-0005-0000-0000-0000890D0000}"/>
    <cellStyle name="Comma 6 6 2 3 2" xfId="4764" xr:uid="{00000000-0005-0000-0000-00008A0D0000}"/>
    <cellStyle name="Comma 6 6 2 4" xfId="3254" xr:uid="{00000000-0005-0000-0000-00008B0D0000}"/>
    <cellStyle name="Comma 6 6 3" xfId="1261" xr:uid="{00000000-0005-0000-0000-00008C0D0000}"/>
    <cellStyle name="Comma 6 6 3 2" xfId="2048" xr:uid="{00000000-0005-0000-0000-00008D0D0000}"/>
    <cellStyle name="Comma 6 6 3 2 2" xfId="4292" xr:uid="{00000000-0005-0000-0000-00008E0D0000}"/>
    <cellStyle name="Comma 6 6 3 3" xfId="2772" xr:uid="{00000000-0005-0000-0000-00008F0D0000}"/>
    <cellStyle name="Comma 6 6 3 3 2" xfId="5016" xr:uid="{00000000-0005-0000-0000-0000900D0000}"/>
    <cellStyle name="Comma 6 6 3 4" xfId="3506" xr:uid="{00000000-0005-0000-0000-0000910D0000}"/>
    <cellStyle name="Comma 6 6 4" xfId="1476" xr:uid="{00000000-0005-0000-0000-0000920D0000}"/>
    <cellStyle name="Comma 6 6 4 2" xfId="3720" xr:uid="{00000000-0005-0000-0000-0000930D0000}"/>
    <cellStyle name="Comma 6 6 5" xfId="2262" xr:uid="{00000000-0005-0000-0000-0000940D0000}"/>
    <cellStyle name="Comma 6 6 5 2" xfId="4506" xr:uid="{00000000-0005-0000-0000-0000950D0000}"/>
    <cellStyle name="Comma 6 6 6" xfId="2986" xr:uid="{00000000-0005-0000-0000-0000960D0000}"/>
    <cellStyle name="Comma 6 7" xfId="199" xr:uid="{00000000-0005-0000-0000-0000970D0000}"/>
    <cellStyle name="Comma 6 7 2" xfId="1009" xr:uid="{00000000-0005-0000-0000-0000980D0000}"/>
    <cellStyle name="Comma 6 7 2 2" xfId="1797" xr:uid="{00000000-0005-0000-0000-0000990D0000}"/>
    <cellStyle name="Comma 6 7 2 2 2" xfId="4041" xr:uid="{00000000-0005-0000-0000-00009A0D0000}"/>
    <cellStyle name="Comma 6 7 2 3" xfId="2521" xr:uid="{00000000-0005-0000-0000-00009B0D0000}"/>
    <cellStyle name="Comma 6 7 2 3 2" xfId="4765" xr:uid="{00000000-0005-0000-0000-00009C0D0000}"/>
    <cellStyle name="Comma 6 7 2 4" xfId="3255" xr:uid="{00000000-0005-0000-0000-00009D0D0000}"/>
    <cellStyle name="Comma 6 7 3" xfId="1262" xr:uid="{00000000-0005-0000-0000-00009E0D0000}"/>
    <cellStyle name="Comma 6 7 3 2" xfId="2049" xr:uid="{00000000-0005-0000-0000-00009F0D0000}"/>
    <cellStyle name="Comma 6 7 3 2 2" xfId="4293" xr:uid="{00000000-0005-0000-0000-0000A00D0000}"/>
    <cellStyle name="Comma 6 7 3 3" xfId="2773" xr:uid="{00000000-0005-0000-0000-0000A10D0000}"/>
    <cellStyle name="Comma 6 7 3 3 2" xfId="5017" xr:uid="{00000000-0005-0000-0000-0000A20D0000}"/>
    <cellStyle name="Comma 6 7 3 4" xfId="3507" xr:uid="{00000000-0005-0000-0000-0000A30D0000}"/>
    <cellStyle name="Comma 6 7 4" xfId="1477" xr:uid="{00000000-0005-0000-0000-0000A40D0000}"/>
    <cellStyle name="Comma 6 7 4 2" xfId="3721" xr:uid="{00000000-0005-0000-0000-0000A50D0000}"/>
    <cellStyle name="Comma 6 7 5" xfId="2263" xr:uid="{00000000-0005-0000-0000-0000A60D0000}"/>
    <cellStyle name="Comma 6 7 5 2" xfId="4507" xr:uid="{00000000-0005-0000-0000-0000A70D0000}"/>
    <cellStyle name="Comma 6 7 6" xfId="2987" xr:uid="{00000000-0005-0000-0000-0000A80D0000}"/>
    <cellStyle name="Comma 6 8" xfId="200" xr:uid="{00000000-0005-0000-0000-0000A90D0000}"/>
    <cellStyle name="Comma 6 8 2" xfId="1010" xr:uid="{00000000-0005-0000-0000-0000AA0D0000}"/>
    <cellStyle name="Comma 6 8 2 2" xfId="1798" xr:uid="{00000000-0005-0000-0000-0000AB0D0000}"/>
    <cellStyle name="Comma 6 8 2 2 2" xfId="4042" xr:uid="{00000000-0005-0000-0000-0000AC0D0000}"/>
    <cellStyle name="Comma 6 8 2 3" xfId="2522" xr:uid="{00000000-0005-0000-0000-0000AD0D0000}"/>
    <cellStyle name="Comma 6 8 2 3 2" xfId="4766" xr:uid="{00000000-0005-0000-0000-0000AE0D0000}"/>
    <cellStyle name="Comma 6 8 2 4" xfId="3256" xr:uid="{00000000-0005-0000-0000-0000AF0D0000}"/>
    <cellStyle name="Comma 6 8 3" xfId="1263" xr:uid="{00000000-0005-0000-0000-0000B00D0000}"/>
    <cellStyle name="Comma 6 8 3 2" xfId="2050" xr:uid="{00000000-0005-0000-0000-0000B10D0000}"/>
    <cellStyle name="Comma 6 8 3 2 2" xfId="4294" xr:uid="{00000000-0005-0000-0000-0000B20D0000}"/>
    <cellStyle name="Comma 6 8 3 3" xfId="2774" xr:uid="{00000000-0005-0000-0000-0000B30D0000}"/>
    <cellStyle name="Comma 6 8 3 3 2" xfId="5018" xr:uid="{00000000-0005-0000-0000-0000B40D0000}"/>
    <cellStyle name="Comma 6 8 3 4" xfId="3508" xr:uid="{00000000-0005-0000-0000-0000B50D0000}"/>
    <cellStyle name="Comma 6 8 4" xfId="1478" xr:uid="{00000000-0005-0000-0000-0000B60D0000}"/>
    <cellStyle name="Comma 6 8 4 2" xfId="3722" xr:uid="{00000000-0005-0000-0000-0000B70D0000}"/>
    <cellStyle name="Comma 6 8 5" xfId="2264" xr:uid="{00000000-0005-0000-0000-0000B80D0000}"/>
    <cellStyle name="Comma 6 8 5 2" xfId="4508" xr:uid="{00000000-0005-0000-0000-0000B90D0000}"/>
    <cellStyle name="Comma 6 8 6" xfId="2988" xr:uid="{00000000-0005-0000-0000-0000BA0D0000}"/>
    <cellStyle name="Comma 6 9" xfId="201" xr:uid="{00000000-0005-0000-0000-0000BB0D0000}"/>
    <cellStyle name="Comma 6 9 2" xfId="1011" xr:uid="{00000000-0005-0000-0000-0000BC0D0000}"/>
    <cellStyle name="Comma 6 9 2 2" xfId="1799" xr:uid="{00000000-0005-0000-0000-0000BD0D0000}"/>
    <cellStyle name="Comma 6 9 2 2 2" xfId="4043" xr:uid="{00000000-0005-0000-0000-0000BE0D0000}"/>
    <cellStyle name="Comma 6 9 2 3" xfId="2523" xr:uid="{00000000-0005-0000-0000-0000BF0D0000}"/>
    <cellStyle name="Comma 6 9 2 3 2" xfId="4767" xr:uid="{00000000-0005-0000-0000-0000C00D0000}"/>
    <cellStyle name="Comma 6 9 2 4" xfId="3257" xr:uid="{00000000-0005-0000-0000-0000C10D0000}"/>
    <cellStyle name="Comma 6 9 3" xfId="1264" xr:uid="{00000000-0005-0000-0000-0000C20D0000}"/>
    <cellStyle name="Comma 6 9 3 2" xfId="2051" xr:uid="{00000000-0005-0000-0000-0000C30D0000}"/>
    <cellStyle name="Comma 6 9 3 2 2" xfId="4295" xr:uid="{00000000-0005-0000-0000-0000C40D0000}"/>
    <cellStyle name="Comma 6 9 3 3" xfId="2775" xr:uid="{00000000-0005-0000-0000-0000C50D0000}"/>
    <cellStyle name="Comma 6 9 3 3 2" xfId="5019" xr:uid="{00000000-0005-0000-0000-0000C60D0000}"/>
    <cellStyle name="Comma 6 9 3 4" xfId="3509" xr:uid="{00000000-0005-0000-0000-0000C70D0000}"/>
    <cellStyle name="Comma 6 9 4" xfId="1479" xr:uid="{00000000-0005-0000-0000-0000C80D0000}"/>
    <cellStyle name="Comma 6 9 4 2" xfId="3723" xr:uid="{00000000-0005-0000-0000-0000C90D0000}"/>
    <cellStyle name="Comma 6 9 5" xfId="2265" xr:uid="{00000000-0005-0000-0000-0000CA0D0000}"/>
    <cellStyle name="Comma 6 9 5 2" xfId="4509" xr:uid="{00000000-0005-0000-0000-0000CB0D0000}"/>
    <cellStyle name="Comma 6 9 6" xfId="2989" xr:uid="{00000000-0005-0000-0000-0000CC0D0000}"/>
    <cellStyle name="Comma 60" xfId="1033" xr:uid="{00000000-0005-0000-0000-0000CD0D0000}"/>
    <cellStyle name="Comma 60 2" xfId="1821" xr:uid="{00000000-0005-0000-0000-0000CE0D0000}"/>
    <cellStyle name="Comma 60 2 2" xfId="4065" xr:uid="{00000000-0005-0000-0000-0000CF0D0000}"/>
    <cellStyle name="Comma 60 3" xfId="2545" xr:uid="{00000000-0005-0000-0000-0000D00D0000}"/>
    <cellStyle name="Comma 60 3 2" xfId="4789" xr:uid="{00000000-0005-0000-0000-0000D10D0000}"/>
    <cellStyle name="Comma 60 4" xfId="3279" xr:uid="{00000000-0005-0000-0000-0000D20D0000}"/>
    <cellStyle name="Comma 61" xfId="1067" xr:uid="{00000000-0005-0000-0000-0000D30D0000}"/>
    <cellStyle name="Comma 61 2" xfId="1854" xr:uid="{00000000-0005-0000-0000-0000D40D0000}"/>
    <cellStyle name="Comma 61 2 2" xfId="4098" xr:uid="{00000000-0005-0000-0000-0000D50D0000}"/>
    <cellStyle name="Comma 61 3" xfId="2578" xr:uid="{00000000-0005-0000-0000-0000D60D0000}"/>
    <cellStyle name="Comma 61 3 2" xfId="4822" xr:uid="{00000000-0005-0000-0000-0000D70D0000}"/>
    <cellStyle name="Comma 61 4" xfId="3312" xr:uid="{00000000-0005-0000-0000-0000D80D0000}"/>
    <cellStyle name="Comma 62" xfId="1069" xr:uid="{00000000-0005-0000-0000-0000D90D0000}"/>
    <cellStyle name="Comma 62 2" xfId="1856" xr:uid="{00000000-0005-0000-0000-0000DA0D0000}"/>
    <cellStyle name="Comma 62 2 2" xfId="4100" xr:uid="{00000000-0005-0000-0000-0000DB0D0000}"/>
    <cellStyle name="Comma 62 3" xfId="2580" xr:uid="{00000000-0005-0000-0000-0000DC0D0000}"/>
    <cellStyle name="Comma 62 3 2" xfId="4824" xr:uid="{00000000-0005-0000-0000-0000DD0D0000}"/>
    <cellStyle name="Comma 62 4" xfId="3314" xr:uid="{00000000-0005-0000-0000-0000DE0D0000}"/>
    <cellStyle name="Comma 63" xfId="1082" xr:uid="{00000000-0005-0000-0000-0000DF0D0000}"/>
    <cellStyle name="Comma 63 2" xfId="1869" xr:uid="{00000000-0005-0000-0000-0000E00D0000}"/>
    <cellStyle name="Comma 63 2 2" xfId="4113" xr:uid="{00000000-0005-0000-0000-0000E10D0000}"/>
    <cellStyle name="Comma 63 3" xfId="2593" xr:uid="{00000000-0005-0000-0000-0000E20D0000}"/>
    <cellStyle name="Comma 63 3 2" xfId="4837" xr:uid="{00000000-0005-0000-0000-0000E30D0000}"/>
    <cellStyle name="Comma 63 4" xfId="3327" xr:uid="{00000000-0005-0000-0000-0000E40D0000}"/>
    <cellStyle name="Comma 64" xfId="1084" xr:uid="{00000000-0005-0000-0000-0000E50D0000}"/>
    <cellStyle name="Comma 64 2" xfId="1871" xr:uid="{00000000-0005-0000-0000-0000E60D0000}"/>
    <cellStyle name="Comma 64 2 2" xfId="4115" xr:uid="{00000000-0005-0000-0000-0000E70D0000}"/>
    <cellStyle name="Comma 64 3" xfId="2595" xr:uid="{00000000-0005-0000-0000-0000E80D0000}"/>
    <cellStyle name="Comma 64 3 2" xfId="4839" xr:uid="{00000000-0005-0000-0000-0000E90D0000}"/>
    <cellStyle name="Comma 64 4" xfId="3329" xr:uid="{00000000-0005-0000-0000-0000EA0D0000}"/>
    <cellStyle name="Comma 65" xfId="1103" xr:uid="{00000000-0005-0000-0000-0000EB0D0000}"/>
    <cellStyle name="Comma 65 2" xfId="1890" xr:uid="{00000000-0005-0000-0000-0000EC0D0000}"/>
    <cellStyle name="Comma 65 2 2" xfId="4134" xr:uid="{00000000-0005-0000-0000-0000ED0D0000}"/>
    <cellStyle name="Comma 65 3" xfId="2614" xr:uid="{00000000-0005-0000-0000-0000EE0D0000}"/>
    <cellStyle name="Comma 65 3 2" xfId="4858" xr:uid="{00000000-0005-0000-0000-0000EF0D0000}"/>
    <cellStyle name="Comma 65 4" xfId="3348" xr:uid="{00000000-0005-0000-0000-0000F00D0000}"/>
    <cellStyle name="Comma 66" xfId="1105" xr:uid="{00000000-0005-0000-0000-0000F10D0000}"/>
    <cellStyle name="Comma 66 2" xfId="1892" xr:uid="{00000000-0005-0000-0000-0000F20D0000}"/>
    <cellStyle name="Comma 66 2 2" xfId="4136" xr:uid="{00000000-0005-0000-0000-0000F30D0000}"/>
    <cellStyle name="Comma 66 3" xfId="2616" xr:uid="{00000000-0005-0000-0000-0000F40D0000}"/>
    <cellStyle name="Comma 66 3 2" xfId="4860" xr:uid="{00000000-0005-0000-0000-0000F50D0000}"/>
    <cellStyle name="Comma 66 4" xfId="3350" xr:uid="{00000000-0005-0000-0000-0000F60D0000}"/>
    <cellStyle name="Comma 67" xfId="1111" xr:uid="{00000000-0005-0000-0000-0000F70D0000}"/>
    <cellStyle name="Comma 67 2" xfId="1898" xr:uid="{00000000-0005-0000-0000-0000F80D0000}"/>
    <cellStyle name="Comma 67 2 2" xfId="4142" xr:uid="{00000000-0005-0000-0000-0000F90D0000}"/>
    <cellStyle name="Comma 67 3" xfId="2622" xr:uid="{00000000-0005-0000-0000-0000FA0D0000}"/>
    <cellStyle name="Comma 67 3 2" xfId="4866" xr:uid="{00000000-0005-0000-0000-0000FB0D0000}"/>
    <cellStyle name="Comma 67 4" xfId="3356" xr:uid="{00000000-0005-0000-0000-0000FC0D0000}"/>
    <cellStyle name="Comma 68" xfId="1125" xr:uid="{00000000-0005-0000-0000-0000FD0D0000}"/>
    <cellStyle name="Comma 68 2" xfId="1912" xr:uid="{00000000-0005-0000-0000-0000FE0D0000}"/>
    <cellStyle name="Comma 68 2 2" xfId="4156" xr:uid="{00000000-0005-0000-0000-0000FF0D0000}"/>
    <cellStyle name="Comma 68 3" xfId="2636" xr:uid="{00000000-0005-0000-0000-0000000E0000}"/>
    <cellStyle name="Comma 68 3 2" xfId="4880" xr:uid="{00000000-0005-0000-0000-0000010E0000}"/>
    <cellStyle name="Comma 68 4" xfId="3370" xr:uid="{00000000-0005-0000-0000-0000020E0000}"/>
    <cellStyle name="Comma 69" xfId="1321" xr:uid="{00000000-0005-0000-0000-0000030E0000}"/>
    <cellStyle name="Comma 69 2" xfId="3565" xr:uid="{00000000-0005-0000-0000-0000040E0000}"/>
    <cellStyle name="Comma 7" xfId="202" xr:uid="{00000000-0005-0000-0000-0000050E0000}"/>
    <cellStyle name="Comma 7 10" xfId="203" xr:uid="{00000000-0005-0000-0000-0000060E0000}"/>
    <cellStyle name="Comma 7 10 2" xfId="1013" xr:uid="{00000000-0005-0000-0000-0000070E0000}"/>
    <cellStyle name="Comma 7 10 2 2" xfId="1801" xr:uid="{00000000-0005-0000-0000-0000080E0000}"/>
    <cellStyle name="Comma 7 10 2 2 2" xfId="4045" xr:uid="{00000000-0005-0000-0000-0000090E0000}"/>
    <cellStyle name="Comma 7 10 2 3" xfId="2525" xr:uid="{00000000-0005-0000-0000-00000A0E0000}"/>
    <cellStyle name="Comma 7 10 2 3 2" xfId="4769" xr:uid="{00000000-0005-0000-0000-00000B0E0000}"/>
    <cellStyle name="Comma 7 10 2 4" xfId="3259" xr:uid="{00000000-0005-0000-0000-00000C0E0000}"/>
    <cellStyle name="Comma 7 10 3" xfId="1266" xr:uid="{00000000-0005-0000-0000-00000D0E0000}"/>
    <cellStyle name="Comma 7 10 3 2" xfId="2053" xr:uid="{00000000-0005-0000-0000-00000E0E0000}"/>
    <cellStyle name="Comma 7 10 3 2 2" xfId="4297" xr:uid="{00000000-0005-0000-0000-00000F0E0000}"/>
    <cellStyle name="Comma 7 10 3 3" xfId="2777" xr:uid="{00000000-0005-0000-0000-0000100E0000}"/>
    <cellStyle name="Comma 7 10 3 3 2" xfId="5021" xr:uid="{00000000-0005-0000-0000-0000110E0000}"/>
    <cellStyle name="Comma 7 10 3 4" xfId="3511" xr:uid="{00000000-0005-0000-0000-0000120E0000}"/>
    <cellStyle name="Comma 7 10 4" xfId="1481" xr:uid="{00000000-0005-0000-0000-0000130E0000}"/>
    <cellStyle name="Comma 7 10 4 2" xfId="3725" xr:uid="{00000000-0005-0000-0000-0000140E0000}"/>
    <cellStyle name="Comma 7 10 5" xfId="2267" xr:uid="{00000000-0005-0000-0000-0000150E0000}"/>
    <cellStyle name="Comma 7 10 5 2" xfId="4511" xr:uid="{00000000-0005-0000-0000-0000160E0000}"/>
    <cellStyle name="Comma 7 10 6" xfId="2991" xr:uid="{00000000-0005-0000-0000-0000170E0000}"/>
    <cellStyle name="Comma 7 11" xfId="204" xr:uid="{00000000-0005-0000-0000-0000180E0000}"/>
    <cellStyle name="Comma 7 11 2" xfId="1014" xr:uid="{00000000-0005-0000-0000-0000190E0000}"/>
    <cellStyle name="Comma 7 11 2 2" xfId="1802" xr:uid="{00000000-0005-0000-0000-00001A0E0000}"/>
    <cellStyle name="Comma 7 11 2 2 2" xfId="4046" xr:uid="{00000000-0005-0000-0000-00001B0E0000}"/>
    <cellStyle name="Comma 7 11 2 3" xfId="2526" xr:uid="{00000000-0005-0000-0000-00001C0E0000}"/>
    <cellStyle name="Comma 7 11 2 3 2" xfId="4770" xr:uid="{00000000-0005-0000-0000-00001D0E0000}"/>
    <cellStyle name="Comma 7 11 2 4" xfId="3260" xr:uid="{00000000-0005-0000-0000-00001E0E0000}"/>
    <cellStyle name="Comma 7 11 3" xfId="1267" xr:uid="{00000000-0005-0000-0000-00001F0E0000}"/>
    <cellStyle name="Comma 7 11 3 2" xfId="2054" xr:uid="{00000000-0005-0000-0000-0000200E0000}"/>
    <cellStyle name="Comma 7 11 3 2 2" xfId="4298" xr:uid="{00000000-0005-0000-0000-0000210E0000}"/>
    <cellStyle name="Comma 7 11 3 3" xfId="2778" xr:uid="{00000000-0005-0000-0000-0000220E0000}"/>
    <cellStyle name="Comma 7 11 3 3 2" xfId="5022" xr:uid="{00000000-0005-0000-0000-0000230E0000}"/>
    <cellStyle name="Comma 7 11 3 4" xfId="3512" xr:uid="{00000000-0005-0000-0000-0000240E0000}"/>
    <cellStyle name="Comma 7 11 4" xfId="1482" xr:uid="{00000000-0005-0000-0000-0000250E0000}"/>
    <cellStyle name="Comma 7 11 4 2" xfId="3726" xr:uid="{00000000-0005-0000-0000-0000260E0000}"/>
    <cellStyle name="Comma 7 11 5" xfId="2268" xr:uid="{00000000-0005-0000-0000-0000270E0000}"/>
    <cellStyle name="Comma 7 11 5 2" xfId="4512" xr:uid="{00000000-0005-0000-0000-0000280E0000}"/>
    <cellStyle name="Comma 7 11 6" xfId="2992" xr:uid="{00000000-0005-0000-0000-0000290E0000}"/>
    <cellStyle name="Comma 7 12" xfId="205" xr:uid="{00000000-0005-0000-0000-00002A0E0000}"/>
    <cellStyle name="Comma 7 12 2" xfId="1015" xr:uid="{00000000-0005-0000-0000-00002B0E0000}"/>
    <cellStyle name="Comma 7 12 2 2" xfId="1803" xr:uid="{00000000-0005-0000-0000-00002C0E0000}"/>
    <cellStyle name="Comma 7 12 2 2 2" xfId="4047" xr:uid="{00000000-0005-0000-0000-00002D0E0000}"/>
    <cellStyle name="Comma 7 12 2 3" xfId="2527" xr:uid="{00000000-0005-0000-0000-00002E0E0000}"/>
    <cellStyle name="Comma 7 12 2 3 2" xfId="4771" xr:uid="{00000000-0005-0000-0000-00002F0E0000}"/>
    <cellStyle name="Comma 7 12 2 4" xfId="3261" xr:uid="{00000000-0005-0000-0000-0000300E0000}"/>
    <cellStyle name="Comma 7 12 3" xfId="1268" xr:uid="{00000000-0005-0000-0000-0000310E0000}"/>
    <cellStyle name="Comma 7 12 3 2" xfId="2055" xr:uid="{00000000-0005-0000-0000-0000320E0000}"/>
    <cellStyle name="Comma 7 12 3 2 2" xfId="4299" xr:uid="{00000000-0005-0000-0000-0000330E0000}"/>
    <cellStyle name="Comma 7 12 3 3" xfId="2779" xr:uid="{00000000-0005-0000-0000-0000340E0000}"/>
    <cellStyle name="Comma 7 12 3 3 2" xfId="5023" xr:uid="{00000000-0005-0000-0000-0000350E0000}"/>
    <cellStyle name="Comma 7 12 3 4" xfId="3513" xr:uid="{00000000-0005-0000-0000-0000360E0000}"/>
    <cellStyle name="Comma 7 12 4" xfId="1483" xr:uid="{00000000-0005-0000-0000-0000370E0000}"/>
    <cellStyle name="Comma 7 12 4 2" xfId="3727" xr:uid="{00000000-0005-0000-0000-0000380E0000}"/>
    <cellStyle name="Comma 7 12 5" xfId="2269" xr:uid="{00000000-0005-0000-0000-0000390E0000}"/>
    <cellStyle name="Comma 7 12 5 2" xfId="4513" xr:uid="{00000000-0005-0000-0000-00003A0E0000}"/>
    <cellStyle name="Comma 7 12 6" xfId="2993" xr:uid="{00000000-0005-0000-0000-00003B0E0000}"/>
    <cellStyle name="Comma 7 13" xfId="206" xr:uid="{00000000-0005-0000-0000-00003C0E0000}"/>
    <cellStyle name="Comma 7 13 2" xfId="1016" xr:uid="{00000000-0005-0000-0000-00003D0E0000}"/>
    <cellStyle name="Comma 7 13 2 2" xfId="1804" xr:uid="{00000000-0005-0000-0000-00003E0E0000}"/>
    <cellStyle name="Comma 7 13 2 2 2" xfId="4048" xr:uid="{00000000-0005-0000-0000-00003F0E0000}"/>
    <cellStyle name="Comma 7 13 2 3" xfId="2528" xr:uid="{00000000-0005-0000-0000-0000400E0000}"/>
    <cellStyle name="Comma 7 13 2 3 2" xfId="4772" xr:uid="{00000000-0005-0000-0000-0000410E0000}"/>
    <cellStyle name="Comma 7 13 2 4" xfId="3262" xr:uid="{00000000-0005-0000-0000-0000420E0000}"/>
    <cellStyle name="Comma 7 13 3" xfId="1269" xr:uid="{00000000-0005-0000-0000-0000430E0000}"/>
    <cellStyle name="Comma 7 13 3 2" xfId="2056" xr:uid="{00000000-0005-0000-0000-0000440E0000}"/>
    <cellStyle name="Comma 7 13 3 2 2" xfId="4300" xr:uid="{00000000-0005-0000-0000-0000450E0000}"/>
    <cellStyle name="Comma 7 13 3 3" xfId="2780" xr:uid="{00000000-0005-0000-0000-0000460E0000}"/>
    <cellStyle name="Comma 7 13 3 3 2" xfId="5024" xr:uid="{00000000-0005-0000-0000-0000470E0000}"/>
    <cellStyle name="Comma 7 13 3 4" xfId="3514" xr:uid="{00000000-0005-0000-0000-0000480E0000}"/>
    <cellStyle name="Comma 7 13 4" xfId="1484" xr:uid="{00000000-0005-0000-0000-0000490E0000}"/>
    <cellStyle name="Comma 7 13 4 2" xfId="3728" xr:uid="{00000000-0005-0000-0000-00004A0E0000}"/>
    <cellStyle name="Comma 7 13 5" xfId="2270" xr:uid="{00000000-0005-0000-0000-00004B0E0000}"/>
    <cellStyle name="Comma 7 13 5 2" xfId="4514" xr:uid="{00000000-0005-0000-0000-00004C0E0000}"/>
    <cellStyle name="Comma 7 13 6" xfId="2994" xr:uid="{00000000-0005-0000-0000-00004D0E0000}"/>
    <cellStyle name="Comma 7 14" xfId="207" xr:uid="{00000000-0005-0000-0000-00004E0E0000}"/>
    <cellStyle name="Comma 7 14 2" xfId="1017" xr:uid="{00000000-0005-0000-0000-00004F0E0000}"/>
    <cellStyle name="Comma 7 14 2 2" xfId="1805" xr:uid="{00000000-0005-0000-0000-0000500E0000}"/>
    <cellStyle name="Comma 7 14 2 2 2" xfId="4049" xr:uid="{00000000-0005-0000-0000-0000510E0000}"/>
    <cellStyle name="Comma 7 14 2 3" xfId="2529" xr:uid="{00000000-0005-0000-0000-0000520E0000}"/>
    <cellStyle name="Comma 7 14 2 3 2" xfId="4773" xr:uid="{00000000-0005-0000-0000-0000530E0000}"/>
    <cellStyle name="Comma 7 14 2 4" xfId="3263" xr:uid="{00000000-0005-0000-0000-0000540E0000}"/>
    <cellStyle name="Comma 7 14 3" xfId="1270" xr:uid="{00000000-0005-0000-0000-0000550E0000}"/>
    <cellStyle name="Comma 7 14 3 2" xfId="2057" xr:uid="{00000000-0005-0000-0000-0000560E0000}"/>
    <cellStyle name="Comma 7 14 3 2 2" xfId="4301" xr:uid="{00000000-0005-0000-0000-0000570E0000}"/>
    <cellStyle name="Comma 7 14 3 3" xfId="2781" xr:uid="{00000000-0005-0000-0000-0000580E0000}"/>
    <cellStyle name="Comma 7 14 3 3 2" xfId="5025" xr:uid="{00000000-0005-0000-0000-0000590E0000}"/>
    <cellStyle name="Comma 7 14 3 4" xfId="3515" xr:uid="{00000000-0005-0000-0000-00005A0E0000}"/>
    <cellStyle name="Comma 7 14 4" xfId="1485" xr:uid="{00000000-0005-0000-0000-00005B0E0000}"/>
    <cellStyle name="Comma 7 14 4 2" xfId="3729" xr:uid="{00000000-0005-0000-0000-00005C0E0000}"/>
    <cellStyle name="Comma 7 14 5" xfId="2271" xr:uid="{00000000-0005-0000-0000-00005D0E0000}"/>
    <cellStyle name="Comma 7 14 5 2" xfId="4515" xr:uid="{00000000-0005-0000-0000-00005E0E0000}"/>
    <cellStyle name="Comma 7 14 6" xfId="2995" xr:uid="{00000000-0005-0000-0000-00005F0E0000}"/>
    <cellStyle name="Comma 7 15" xfId="208" xr:uid="{00000000-0005-0000-0000-0000600E0000}"/>
    <cellStyle name="Comma 7 15 2" xfId="1018" xr:uid="{00000000-0005-0000-0000-0000610E0000}"/>
    <cellStyle name="Comma 7 15 2 2" xfId="1806" xr:uid="{00000000-0005-0000-0000-0000620E0000}"/>
    <cellStyle name="Comma 7 15 2 2 2" xfId="4050" xr:uid="{00000000-0005-0000-0000-0000630E0000}"/>
    <cellStyle name="Comma 7 15 2 3" xfId="2530" xr:uid="{00000000-0005-0000-0000-0000640E0000}"/>
    <cellStyle name="Comma 7 15 2 3 2" xfId="4774" xr:uid="{00000000-0005-0000-0000-0000650E0000}"/>
    <cellStyle name="Comma 7 15 2 4" xfId="3264" xr:uid="{00000000-0005-0000-0000-0000660E0000}"/>
    <cellStyle name="Comma 7 15 3" xfId="1271" xr:uid="{00000000-0005-0000-0000-0000670E0000}"/>
    <cellStyle name="Comma 7 15 3 2" xfId="2058" xr:uid="{00000000-0005-0000-0000-0000680E0000}"/>
    <cellStyle name="Comma 7 15 3 2 2" xfId="4302" xr:uid="{00000000-0005-0000-0000-0000690E0000}"/>
    <cellStyle name="Comma 7 15 3 3" xfId="2782" xr:uid="{00000000-0005-0000-0000-00006A0E0000}"/>
    <cellStyle name="Comma 7 15 3 3 2" xfId="5026" xr:uid="{00000000-0005-0000-0000-00006B0E0000}"/>
    <cellStyle name="Comma 7 15 3 4" xfId="3516" xr:uid="{00000000-0005-0000-0000-00006C0E0000}"/>
    <cellStyle name="Comma 7 15 4" xfId="1486" xr:uid="{00000000-0005-0000-0000-00006D0E0000}"/>
    <cellStyle name="Comma 7 15 4 2" xfId="3730" xr:uid="{00000000-0005-0000-0000-00006E0E0000}"/>
    <cellStyle name="Comma 7 15 5" xfId="2272" xr:uid="{00000000-0005-0000-0000-00006F0E0000}"/>
    <cellStyle name="Comma 7 15 5 2" xfId="4516" xr:uid="{00000000-0005-0000-0000-0000700E0000}"/>
    <cellStyle name="Comma 7 15 6" xfId="2996" xr:uid="{00000000-0005-0000-0000-0000710E0000}"/>
    <cellStyle name="Comma 7 16" xfId="1012" xr:uid="{00000000-0005-0000-0000-0000720E0000}"/>
    <cellStyle name="Comma 7 16 2" xfId="1800" xr:uid="{00000000-0005-0000-0000-0000730E0000}"/>
    <cellStyle name="Comma 7 16 2 2" xfId="4044" xr:uid="{00000000-0005-0000-0000-0000740E0000}"/>
    <cellStyle name="Comma 7 16 3" xfId="2524" xr:uid="{00000000-0005-0000-0000-0000750E0000}"/>
    <cellStyle name="Comma 7 16 3 2" xfId="4768" xr:uid="{00000000-0005-0000-0000-0000760E0000}"/>
    <cellStyle name="Comma 7 16 4" xfId="3258" xr:uid="{00000000-0005-0000-0000-0000770E0000}"/>
    <cellStyle name="Comma 7 17" xfId="1265" xr:uid="{00000000-0005-0000-0000-0000780E0000}"/>
    <cellStyle name="Comma 7 17 2" xfId="2052" xr:uid="{00000000-0005-0000-0000-0000790E0000}"/>
    <cellStyle name="Comma 7 17 2 2" xfId="4296" xr:uid="{00000000-0005-0000-0000-00007A0E0000}"/>
    <cellStyle name="Comma 7 17 3" xfId="2776" xr:uid="{00000000-0005-0000-0000-00007B0E0000}"/>
    <cellStyle name="Comma 7 17 3 2" xfId="5020" xr:uid="{00000000-0005-0000-0000-00007C0E0000}"/>
    <cellStyle name="Comma 7 17 4" xfId="3510" xr:uid="{00000000-0005-0000-0000-00007D0E0000}"/>
    <cellStyle name="Comma 7 18" xfId="1480" xr:uid="{00000000-0005-0000-0000-00007E0E0000}"/>
    <cellStyle name="Comma 7 18 2" xfId="3724" xr:uid="{00000000-0005-0000-0000-00007F0E0000}"/>
    <cellStyle name="Comma 7 19" xfId="2266" xr:uid="{00000000-0005-0000-0000-0000800E0000}"/>
    <cellStyle name="Comma 7 19 2" xfId="4510" xr:uid="{00000000-0005-0000-0000-0000810E0000}"/>
    <cellStyle name="Comma 7 2" xfId="209" xr:uid="{00000000-0005-0000-0000-0000820E0000}"/>
    <cellStyle name="Comma 7 2 2" xfId="1019" xr:uid="{00000000-0005-0000-0000-0000830E0000}"/>
    <cellStyle name="Comma 7 2 2 2" xfId="1807" xr:uid="{00000000-0005-0000-0000-0000840E0000}"/>
    <cellStyle name="Comma 7 2 2 2 2" xfId="4051" xr:uid="{00000000-0005-0000-0000-0000850E0000}"/>
    <cellStyle name="Comma 7 2 2 3" xfId="2531" xr:uid="{00000000-0005-0000-0000-0000860E0000}"/>
    <cellStyle name="Comma 7 2 2 3 2" xfId="4775" xr:uid="{00000000-0005-0000-0000-0000870E0000}"/>
    <cellStyle name="Comma 7 2 2 4" xfId="3265" xr:uid="{00000000-0005-0000-0000-0000880E0000}"/>
    <cellStyle name="Comma 7 2 3" xfId="1272" xr:uid="{00000000-0005-0000-0000-0000890E0000}"/>
    <cellStyle name="Comma 7 2 3 2" xfId="2059" xr:uid="{00000000-0005-0000-0000-00008A0E0000}"/>
    <cellStyle name="Comma 7 2 3 2 2" xfId="4303" xr:uid="{00000000-0005-0000-0000-00008B0E0000}"/>
    <cellStyle name="Comma 7 2 3 3" xfId="2783" xr:uid="{00000000-0005-0000-0000-00008C0E0000}"/>
    <cellStyle name="Comma 7 2 3 3 2" xfId="5027" xr:uid="{00000000-0005-0000-0000-00008D0E0000}"/>
    <cellStyle name="Comma 7 2 3 4" xfId="3517" xr:uid="{00000000-0005-0000-0000-00008E0E0000}"/>
    <cellStyle name="Comma 7 2 4" xfId="1487" xr:uid="{00000000-0005-0000-0000-00008F0E0000}"/>
    <cellStyle name="Comma 7 2 4 2" xfId="3731" xr:uid="{00000000-0005-0000-0000-0000900E0000}"/>
    <cellStyle name="Comma 7 2 5" xfId="2273" xr:uid="{00000000-0005-0000-0000-0000910E0000}"/>
    <cellStyle name="Comma 7 2 5 2" xfId="4517" xr:uid="{00000000-0005-0000-0000-0000920E0000}"/>
    <cellStyle name="Comma 7 2 6" xfId="2997" xr:uid="{00000000-0005-0000-0000-0000930E0000}"/>
    <cellStyle name="Comma 7 20" xfId="2990" xr:uid="{00000000-0005-0000-0000-0000940E0000}"/>
    <cellStyle name="Comma 7 3" xfId="210" xr:uid="{00000000-0005-0000-0000-0000950E0000}"/>
    <cellStyle name="Comma 7 3 2" xfId="1020" xr:uid="{00000000-0005-0000-0000-0000960E0000}"/>
    <cellStyle name="Comma 7 3 2 2" xfId="1808" xr:uid="{00000000-0005-0000-0000-0000970E0000}"/>
    <cellStyle name="Comma 7 3 2 2 2" xfId="4052" xr:uid="{00000000-0005-0000-0000-0000980E0000}"/>
    <cellStyle name="Comma 7 3 2 3" xfId="2532" xr:uid="{00000000-0005-0000-0000-0000990E0000}"/>
    <cellStyle name="Comma 7 3 2 3 2" xfId="4776" xr:uid="{00000000-0005-0000-0000-00009A0E0000}"/>
    <cellStyle name="Comma 7 3 2 4" xfId="3266" xr:uid="{00000000-0005-0000-0000-00009B0E0000}"/>
    <cellStyle name="Comma 7 3 3" xfId="1273" xr:uid="{00000000-0005-0000-0000-00009C0E0000}"/>
    <cellStyle name="Comma 7 3 3 2" xfId="2060" xr:uid="{00000000-0005-0000-0000-00009D0E0000}"/>
    <cellStyle name="Comma 7 3 3 2 2" xfId="4304" xr:uid="{00000000-0005-0000-0000-00009E0E0000}"/>
    <cellStyle name="Comma 7 3 3 3" xfId="2784" xr:uid="{00000000-0005-0000-0000-00009F0E0000}"/>
    <cellStyle name="Comma 7 3 3 3 2" xfId="5028" xr:uid="{00000000-0005-0000-0000-0000A00E0000}"/>
    <cellStyle name="Comma 7 3 3 4" xfId="3518" xr:uid="{00000000-0005-0000-0000-0000A10E0000}"/>
    <cellStyle name="Comma 7 3 4" xfId="1488" xr:uid="{00000000-0005-0000-0000-0000A20E0000}"/>
    <cellStyle name="Comma 7 3 4 2" xfId="3732" xr:uid="{00000000-0005-0000-0000-0000A30E0000}"/>
    <cellStyle name="Comma 7 3 5" xfId="2274" xr:uid="{00000000-0005-0000-0000-0000A40E0000}"/>
    <cellStyle name="Comma 7 3 5 2" xfId="4518" xr:uid="{00000000-0005-0000-0000-0000A50E0000}"/>
    <cellStyle name="Comma 7 3 6" xfId="2998" xr:uid="{00000000-0005-0000-0000-0000A60E0000}"/>
    <cellStyle name="Comma 7 4" xfId="211" xr:uid="{00000000-0005-0000-0000-0000A70E0000}"/>
    <cellStyle name="Comma 7 4 2" xfId="1021" xr:uid="{00000000-0005-0000-0000-0000A80E0000}"/>
    <cellStyle name="Comma 7 4 2 2" xfId="1809" xr:uid="{00000000-0005-0000-0000-0000A90E0000}"/>
    <cellStyle name="Comma 7 4 2 2 2" xfId="4053" xr:uid="{00000000-0005-0000-0000-0000AA0E0000}"/>
    <cellStyle name="Comma 7 4 2 3" xfId="2533" xr:uid="{00000000-0005-0000-0000-0000AB0E0000}"/>
    <cellStyle name="Comma 7 4 2 3 2" xfId="4777" xr:uid="{00000000-0005-0000-0000-0000AC0E0000}"/>
    <cellStyle name="Comma 7 4 2 4" xfId="3267" xr:uid="{00000000-0005-0000-0000-0000AD0E0000}"/>
    <cellStyle name="Comma 7 4 3" xfId="1274" xr:uid="{00000000-0005-0000-0000-0000AE0E0000}"/>
    <cellStyle name="Comma 7 4 3 2" xfId="2061" xr:uid="{00000000-0005-0000-0000-0000AF0E0000}"/>
    <cellStyle name="Comma 7 4 3 2 2" xfId="4305" xr:uid="{00000000-0005-0000-0000-0000B00E0000}"/>
    <cellStyle name="Comma 7 4 3 3" xfId="2785" xr:uid="{00000000-0005-0000-0000-0000B10E0000}"/>
    <cellStyle name="Comma 7 4 3 3 2" xfId="5029" xr:uid="{00000000-0005-0000-0000-0000B20E0000}"/>
    <cellStyle name="Comma 7 4 3 4" xfId="3519" xr:uid="{00000000-0005-0000-0000-0000B30E0000}"/>
    <cellStyle name="Comma 7 4 4" xfId="1489" xr:uid="{00000000-0005-0000-0000-0000B40E0000}"/>
    <cellStyle name="Comma 7 4 4 2" xfId="3733" xr:uid="{00000000-0005-0000-0000-0000B50E0000}"/>
    <cellStyle name="Comma 7 4 5" xfId="2275" xr:uid="{00000000-0005-0000-0000-0000B60E0000}"/>
    <cellStyle name="Comma 7 4 5 2" xfId="4519" xr:uid="{00000000-0005-0000-0000-0000B70E0000}"/>
    <cellStyle name="Comma 7 4 6" xfId="2999" xr:uid="{00000000-0005-0000-0000-0000B80E0000}"/>
    <cellStyle name="Comma 7 5" xfId="212" xr:uid="{00000000-0005-0000-0000-0000B90E0000}"/>
    <cellStyle name="Comma 7 5 2" xfId="1022" xr:uid="{00000000-0005-0000-0000-0000BA0E0000}"/>
    <cellStyle name="Comma 7 5 2 2" xfId="1810" xr:uid="{00000000-0005-0000-0000-0000BB0E0000}"/>
    <cellStyle name="Comma 7 5 2 2 2" xfId="4054" xr:uid="{00000000-0005-0000-0000-0000BC0E0000}"/>
    <cellStyle name="Comma 7 5 2 3" xfId="2534" xr:uid="{00000000-0005-0000-0000-0000BD0E0000}"/>
    <cellStyle name="Comma 7 5 2 3 2" xfId="4778" xr:uid="{00000000-0005-0000-0000-0000BE0E0000}"/>
    <cellStyle name="Comma 7 5 2 4" xfId="3268" xr:uid="{00000000-0005-0000-0000-0000BF0E0000}"/>
    <cellStyle name="Comma 7 5 3" xfId="1275" xr:uid="{00000000-0005-0000-0000-0000C00E0000}"/>
    <cellStyle name="Comma 7 5 3 2" xfId="2062" xr:uid="{00000000-0005-0000-0000-0000C10E0000}"/>
    <cellStyle name="Comma 7 5 3 2 2" xfId="4306" xr:uid="{00000000-0005-0000-0000-0000C20E0000}"/>
    <cellStyle name="Comma 7 5 3 3" xfId="2786" xr:uid="{00000000-0005-0000-0000-0000C30E0000}"/>
    <cellStyle name="Comma 7 5 3 3 2" xfId="5030" xr:uid="{00000000-0005-0000-0000-0000C40E0000}"/>
    <cellStyle name="Comma 7 5 3 4" xfId="3520" xr:uid="{00000000-0005-0000-0000-0000C50E0000}"/>
    <cellStyle name="Comma 7 5 4" xfId="1490" xr:uid="{00000000-0005-0000-0000-0000C60E0000}"/>
    <cellStyle name="Comma 7 5 4 2" xfId="3734" xr:uid="{00000000-0005-0000-0000-0000C70E0000}"/>
    <cellStyle name="Comma 7 5 5" xfId="2276" xr:uid="{00000000-0005-0000-0000-0000C80E0000}"/>
    <cellStyle name="Comma 7 5 5 2" xfId="4520" xr:uid="{00000000-0005-0000-0000-0000C90E0000}"/>
    <cellStyle name="Comma 7 5 6" xfId="3000" xr:uid="{00000000-0005-0000-0000-0000CA0E0000}"/>
    <cellStyle name="Comma 7 6" xfId="213" xr:uid="{00000000-0005-0000-0000-0000CB0E0000}"/>
    <cellStyle name="Comma 7 6 2" xfId="1023" xr:uid="{00000000-0005-0000-0000-0000CC0E0000}"/>
    <cellStyle name="Comma 7 6 2 2" xfId="1811" xr:uid="{00000000-0005-0000-0000-0000CD0E0000}"/>
    <cellStyle name="Comma 7 6 2 2 2" xfId="4055" xr:uid="{00000000-0005-0000-0000-0000CE0E0000}"/>
    <cellStyle name="Comma 7 6 2 3" xfId="2535" xr:uid="{00000000-0005-0000-0000-0000CF0E0000}"/>
    <cellStyle name="Comma 7 6 2 3 2" xfId="4779" xr:uid="{00000000-0005-0000-0000-0000D00E0000}"/>
    <cellStyle name="Comma 7 6 2 4" xfId="3269" xr:uid="{00000000-0005-0000-0000-0000D10E0000}"/>
    <cellStyle name="Comma 7 6 3" xfId="1276" xr:uid="{00000000-0005-0000-0000-0000D20E0000}"/>
    <cellStyle name="Comma 7 6 3 2" xfId="2063" xr:uid="{00000000-0005-0000-0000-0000D30E0000}"/>
    <cellStyle name="Comma 7 6 3 2 2" xfId="4307" xr:uid="{00000000-0005-0000-0000-0000D40E0000}"/>
    <cellStyle name="Comma 7 6 3 3" xfId="2787" xr:uid="{00000000-0005-0000-0000-0000D50E0000}"/>
    <cellStyle name="Comma 7 6 3 3 2" xfId="5031" xr:uid="{00000000-0005-0000-0000-0000D60E0000}"/>
    <cellStyle name="Comma 7 6 3 4" xfId="3521" xr:uid="{00000000-0005-0000-0000-0000D70E0000}"/>
    <cellStyle name="Comma 7 6 4" xfId="1491" xr:uid="{00000000-0005-0000-0000-0000D80E0000}"/>
    <cellStyle name="Comma 7 6 4 2" xfId="3735" xr:uid="{00000000-0005-0000-0000-0000D90E0000}"/>
    <cellStyle name="Comma 7 6 5" xfId="2277" xr:uid="{00000000-0005-0000-0000-0000DA0E0000}"/>
    <cellStyle name="Comma 7 6 5 2" xfId="4521" xr:uid="{00000000-0005-0000-0000-0000DB0E0000}"/>
    <cellStyle name="Comma 7 6 6" xfId="3001" xr:uid="{00000000-0005-0000-0000-0000DC0E0000}"/>
    <cellStyle name="Comma 7 7" xfId="214" xr:uid="{00000000-0005-0000-0000-0000DD0E0000}"/>
    <cellStyle name="Comma 7 7 2" xfId="1024" xr:uid="{00000000-0005-0000-0000-0000DE0E0000}"/>
    <cellStyle name="Comma 7 7 2 2" xfId="1812" xr:uid="{00000000-0005-0000-0000-0000DF0E0000}"/>
    <cellStyle name="Comma 7 7 2 2 2" xfId="4056" xr:uid="{00000000-0005-0000-0000-0000E00E0000}"/>
    <cellStyle name="Comma 7 7 2 3" xfId="2536" xr:uid="{00000000-0005-0000-0000-0000E10E0000}"/>
    <cellStyle name="Comma 7 7 2 3 2" xfId="4780" xr:uid="{00000000-0005-0000-0000-0000E20E0000}"/>
    <cellStyle name="Comma 7 7 2 4" xfId="3270" xr:uid="{00000000-0005-0000-0000-0000E30E0000}"/>
    <cellStyle name="Comma 7 7 3" xfId="1277" xr:uid="{00000000-0005-0000-0000-0000E40E0000}"/>
    <cellStyle name="Comma 7 7 3 2" xfId="2064" xr:uid="{00000000-0005-0000-0000-0000E50E0000}"/>
    <cellStyle name="Comma 7 7 3 2 2" xfId="4308" xr:uid="{00000000-0005-0000-0000-0000E60E0000}"/>
    <cellStyle name="Comma 7 7 3 3" xfId="2788" xr:uid="{00000000-0005-0000-0000-0000E70E0000}"/>
    <cellStyle name="Comma 7 7 3 3 2" xfId="5032" xr:uid="{00000000-0005-0000-0000-0000E80E0000}"/>
    <cellStyle name="Comma 7 7 3 4" xfId="3522" xr:uid="{00000000-0005-0000-0000-0000E90E0000}"/>
    <cellStyle name="Comma 7 7 4" xfId="1492" xr:uid="{00000000-0005-0000-0000-0000EA0E0000}"/>
    <cellStyle name="Comma 7 7 4 2" xfId="3736" xr:uid="{00000000-0005-0000-0000-0000EB0E0000}"/>
    <cellStyle name="Comma 7 7 5" xfId="2278" xr:uid="{00000000-0005-0000-0000-0000EC0E0000}"/>
    <cellStyle name="Comma 7 7 5 2" xfId="4522" xr:uid="{00000000-0005-0000-0000-0000ED0E0000}"/>
    <cellStyle name="Comma 7 7 6" xfId="3002" xr:uid="{00000000-0005-0000-0000-0000EE0E0000}"/>
    <cellStyle name="Comma 7 8" xfId="215" xr:uid="{00000000-0005-0000-0000-0000EF0E0000}"/>
    <cellStyle name="Comma 7 8 2" xfId="1025" xr:uid="{00000000-0005-0000-0000-0000F00E0000}"/>
    <cellStyle name="Comma 7 8 2 2" xfId="1813" xr:uid="{00000000-0005-0000-0000-0000F10E0000}"/>
    <cellStyle name="Comma 7 8 2 2 2" xfId="4057" xr:uid="{00000000-0005-0000-0000-0000F20E0000}"/>
    <cellStyle name="Comma 7 8 2 3" xfId="2537" xr:uid="{00000000-0005-0000-0000-0000F30E0000}"/>
    <cellStyle name="Comma 7 8 2 3 2" xfId="4781" xr:uid="{00000000-0005-0000-0000-0000F40E0000}"/>
    <cellStyle name="Comma 7 8 2 4" xfId="3271" xr:uid="{00000000-0005-0000-0000-0000F50E0000}"/>
    <cellStyle name="Comma 7 8 3" xfId="1278" xr:uid="{00000000-0005-0000-0000-0000F60E0000}"/>
    <cellStyle name="Comma 7 8 3 2" xfId="2065" xr:uid="{00000000-0005-0000-0000-0000F70E0000}"/>
    <cellStyle name="Comma 7 8 3 2 2" xfId="4309" xr:uid="{00000000-0005-0000-0000-0000F80E0000}"/>
    <cellStyle name="Comma 7 8 3 3" xfId="2789" xr:uid="{00000000-0005-0000-0000-0000F90E0000}"/>
    <cellStyle name="Comma 7 8 3 3 2" xfId="5033" xr:uid="{00000000-0005-0000-0000-0000FA0E0000}"/>
    <cellStyle name="Comma 7 8 3 4" xfId="3523" xr:uid="{00000000-0005-0000-0000-0000FB0E0000}"/>
    <cellStyle name="Comma 7 8 4" xfId="1493" xr:uid="{00000000-0005-0000-0000-0000FC0E0000}"/>
    <cellStyle name="Comma 7 8 4 2" xfId="3737" xr:uid="{00000000-0005-0000-0000-0000FD0E0000}"/>
    <cellStyle name="Comma 7 8 5" xfId="2279" xr:uid="{00000000-0005-0000-0000-0000FE0E0000}"/>
    <cellStyle name="Comma 7 8 5 2" xfId="4523" xr:uid="{00000000-0005-0000-0000-0000FF0E0000}"/>
    <cellStyle name="Comma 7 8 6" xfId="3003" xr:uid="{00000000-0005-0000-0000-0000000F0000}"/>
    <cellStyle name="Comma 7 9" xfId="216" xr:uid="{00000000-0005-0000-0000-0000010F0000}"/>
    <cellStyle name="Comma 7 9 2" xfId="1026" xr:uid="{00000000-0005-0000-0000-0000020F0000}"/>
    <cellStyle name="Comma 7 9 2 2" xfId="1814" xr:uid="{00000000-0005-0000-0000-0000030F0000}"/>
    <cellStyle name="Comma 7 9 2 2 2" xfId="4058" xr:uid="{00000000-0005-0000-0000-0000040F0000}"/>
    <cellStyle name="Comma 7 9 2 3" xfId="2538" xr:uid="{00000000-0005-0000-0000-0000050F0000}"/>
    <cellStyle name="Comma 7 9 2 3 2" xfId="4782" xr:uid="{00000000-0005-0000-0000-0000060F0000}"/>
    <cellStyle name="Comma 7 9 2 4" xfId="3272" xr:uid="{00000000-0005-0000-0000-0000070F0000}"/>
    <cellStyle name="Comma 7 9 3" xfId="1279" xr:uid="{00000000-0005-0000-0000-0000080F0000}"/>
    <cellStyle name="Comma 7 9 3 2" xfId="2066" xr:uid="{00000000-0005-0000-0000-0000090F0000}"/>
    <cellStyle name="Comma 7 9 3 2 2" xfId="4310" xr:uid="{00000000-0005-0000-0000-00000A0F0000}"/>
    <cellStyle name="Comma 7 9 3 3" xfId="2790" xr:uid="{00000000-0005-0000-0000-00000B0F0000}"/>
    <cellStyle name="Comma 7 9 3 3 2" xfId="5034" xr:uid="{00000000-0005-0000-0000-00000C0F0000}"/>
    <cellStyle name="Comma 7 9 3 4" xfId="3524" xr:uid="{00000000-0005-0000-0000-00000D0F0000}"/>
    <cellStyle name="Comma 7 9 4" xfId="1494" xr:uid="{00000000-0005-0000-0000-00000E0F0000}"/>
    <cellStyle name="Comma 7 9 4 2" xfId="3738" xr:uid="{00000000-0005-0000-0000-00000F0F0000}"/>
    <cellStyle name="Comma 7 9 5" xfId="2280" xr:uid="{00000000-0005-0000-0000-0000100F0000}"/>
    <cellStyle name="Comma 7 9 5 2" xfId="4524" xr:uid="{00000000-0005-0000-0000-0000110F0000}"/>
    <cellStyle name="Comma 7 9 6" xfId="3004" xr:uid="{00000000-0005-0000-0000-0000120F0000}"/>
    <cellStyle name="Comma 70" xfId="2107" xr:uid="{00000000-0005-0000-0000-0000130F0000}"/>
    <cellStyle name="Comma 70 2" xfId="4351" xr:uid="{00000000-0005-0000-0000-0000140F0000}"/>
    <cellStyle name="Comma 71" xfId="2831" xr:uid="{00000000-0005-0000-0000-0000150F0000}"/>
    <cellStyle name="Comma 72" xfId="3007" xr:uid="{00000000-0005-0000-0000-0000160F0000}"/>
    <cellStyle name="Comma 73" xfId="5073" xr:uid="{00000000-0005-0000-0000-0000170F0000}"/>
    <cellStyle name="Comma 74" xfId="5094" xr:uid="{00000000-0005-0000-0000-0000180F0000}"/>
    <cellStyle name="Comma 75" xfId="5104" xr:uid="{9AA7F319-9145-4BF1-BAEA-5CE05A8C0BCA}"/>
    <cellStyle name="Comma 8" xfId="217" xr:uid="{00000000-0005-0000-0000-0000190F0000}"/>
    <cellStyle name="Comma 8 2" xfId="218" xr:uid="{00000000-0005-0000-0000-00001A0F0000}"/>
    <cellStyle name="Comma 8 2 2" xfId="1028" xr:uid="{00000000-0005-0000-0000-00001B0F0000}"/>
    <cellStyle name="Comma 8 2 2 2" xfId="1816" xr:uid="{00000000-0005-0000-0000-00001C0F0000}"/>
    <cellStyle name="Comma 8 2 2 2 2" xfId="4060" xr:uid="{00000000-0005-0000-0000-00001D0F0000}"/>
    <cellStyle name="Comma 8 2 2 3" xfId="2540" xr:uid="{00000000-0005-0000-0000-00001E0F0000}"/>
    <cellStyle name="Comma 8 2 2 3 2" xfId="4784" xr:uid="{00000000-0005-0000-0000-00001F0F0000}"/>
    <cellStyle name="Comma 8 2 2 4" xfId="3274" xr:uid="{00000000-0005-0000-0000-0000200F0000}"/>
    <cellStyle name="Comma 8 2 3" xfId="1281" xr:uid="{00000000-0005-0000-0000-0000210F0000}"/>
    <cellStyle name="Comma 8 2 3 2" xfId="2068" xr:uid="{00000000-0005-0000-0000-0000220F0000}"/>
    <cellStyle name="Comma 8 2 3 2 2" xfId="4312" xr:uid="{00000000-0005-0000-0000-0000230F0000}"/>
    <cellStyle name="Comma 8 2 3 3" xfId="2792" xr:uid="{00000000-0005-0000-0000-0000240F0000}"/>
    <cellStyle name="Comma 8 2 3 3 2" xfId="5036" xr:uid="{00000000-0005-0000-0000-0000250F0000}"/>
    <cellStyle name="Comma 8 2 3 4" xfId="3526" xr:uid="{00000000-0005-0000-0000-0000260F0000}"/>
    <cellStyle name="Comma 8 2 4" xfId="1496" xr:uid="{00000000-0005-0000-0000-0000270F0000}"/>
    <cellStyle name="Comma 8 2 4 2" xfId="3740" xr:uid="{00000000-0005-0000-0000-0000280F0000}"/>
    <cellStyle name="Comma 8 2 5" xfId="2282" xr:uid="{00000000-0005-0000-0000-0000290F0000}"/>
    <cellStyle name="Comma 8 2 5 2" xfId="4526" xr:uid="{00000000-0005-0000-0000-00002A0F0000}"/>
    <cellStyle name="Comma 8 2 6" xfId="3006" xr:uid="{00000000-0005-0000-0000-00002B0F0000}"/>
    <cellStyle name="Comma 8 3" xfId="1027" xr:uid="{00000000-0005-0000-0000-00002C0F0000}"/>
    <cellStyle name="Comma 8 3 2" xfId="1815" xr:uid="{00000000-0005-0000-0000-00002D0F0000}"/>
    <cellStyle name="Comma 8 3 2 2" xfId="4059" xr:uid="{00000000-0005-0000-0000-00002E0F0000}"/>
    <cellStyle name="Comma 8 3 3" xfId="2539" xr:uid="{00000000-0005-0000-0000-00002F0F0000}"/>
    <cellStyle name="Comma 8 3 3 2" xfId="4783" xr:uid="{00000000-0005-0000-0000-0000300F0000}"/>
    <cellStyle name="Comma 8 3 4" xfId="3273" xr:uid="{00000000-0005-0000-0000-0000310F0000}"/>
    <cellStyle name="Comma 8 4" xfId="1280" xr:uid="{00000000-0005-0000-0000-0000320F0000}"/>
    <cellStyle name="Comma 8 4 2" xfId="2067" xr:uid="{00000000-0005-0000-0000-0000330F0000}"/>
    <cellStyle name="Comma 8 4 2 2" xfId="4311" xr:uid="{00000000-0005-0000-0000-0000340F0000}"/>
    <cellStyle name="Comma 8 4 3" xfId="2791" xr:uid="{00000000-0005-0000-0000-0000350F0000}"/>
    <cellStyle name="Comma 8 4 3 2" xfId="5035" xr:uid="{00000000-0005-0000-0000-0000360F0000}"/>
    <cellStyle name="Comma 8 4 4" xfId="3525" xr:uid="{00000000-0005-0000-0000-0000370F0000}"/>
    <cellStyle name="Comma 8 5" xfId="1495" xr:uid="{00000000-0005-0000-0000-0000380F0000}"/>
    <cellStyle name="Comma 8 5 2" xfId="3739" xr:uid="{00000000-0005-0000-0000-0000390F0000}"/>
    <cellStyle name="Comma 8 6" xfId="2281" xr:uid="{00000000-0005-0000-0000-00003A0F0000}"/>
    <cellStyle name="Comma 8 6 2" xfId="4525" xr:uid="{00000000-0005-0000-0000-00003B0F0000}"/>
    <cellStyle name="Comma 8 7" xfId="3005" xr:uid="{00000000-0005-0000-0000-00003C0F0000}"/>
    <cellStyle name="Comma 9" xfId="56" xr:uid="{00000000-0005-0000-0000-00003D0F0000}"/>
    <cellStyle name="Comma 9 2" xfId="873" xr:uid="{00000000-0005-0000-0000-00003E0F0000}"/>
    <cellStyle name="Comma 9 2 2" xfId="1661" xr:uid="{00000000-0005-0000-0000-00003F0F0000}"/>
    <cellStyle name="Comma 9 2 2 2" xfId="3905" xr:uid="{00000000-0005-0000-0000-0000400F0000}"/>
    <cellStyle name="Comma 9 2 3" xfId="2385" xr:uid="{00000000-0005-0000-0000-0000410F0000}"/>
    <cellStyle name="Comma 9 2 3 2" xfId="4629" xr:uid="{00000000-0005-0000-0000-0000420F0000}"/>
    <cellStyle name="Comma 9 2 4" xfId="3119" xr:uid="{00000000-0005-0000-0000-0000430F0000}"/>
    <cellStyle name="Comma 9 3" xfId="1126" xr:uid="{00000000-0005-0000-0000-0000440F0000}"/>
    <cellStyle name="Comma 9 3 2" xfId="1913" xr:uid="{00000000-0005-0000-0000-0000450F0000}"/>
    <cellStyle name="Comma 9 3 2 2" xfId="4157" xr:uid="{00000000-0005-0000-0000-0000460F0000}"/>
    <cellStyle name="Comma 9 3 3" xfId="2637" xr:uid="{00000000-0005-0000-0000-0000470F0000}"/>
    <cellStyle name="Comma 9 3 3 2" xfId="4881" xr:uid="{00000000-0005-0000-0000-0000480F0000}"/>
    <cellStyle name="Comma 9 3 4" xfId="3371" xr:uid="{00000000-0005-0000-0000-0000490F0000}"/>
    <cellStyle name="Comma 9 4" xfId="1341" xr:uid="{00000000-0005-0000-0000-00004A0F0000}"/>
    <cellStyle name="Comma 9 4 2" xfId="3585" xr:uid="{00000000-0005-0000-0000-00004B0F0000}"/>
    <cellStyle name="Comma 9 5" xfId="2127" xr:uid="{00000000-0005-0000-0000-00004C0F0000}"/>
    <cellStyle name="Comma 9 5 2" xfId="4371" xr:uid="{00000000-0005-0000-0000-00004D0F0000}"/>
    <cellStyle name="Comma 9 6" xfId="2851" xr:uid="{00000000-0005-0000-0000-00004E0F0000}"/>
    <cellStyle name="Copied" xfId="219" xr:uid="{00000000-0005-0000-0000-00004F0F0000}"/>
    <cellStyle name="Currency [00]" xfId="221" xr:uid="{00000000-0005-0000-0000-0000500F0000}"/>
    <cellStyle name="Currency 10" xfId="805" xr:uid="{00000000-0005-0000-0000-0000510F0000}"/>
    <cellStyle name="Currency 11" xfId="741" xr:uid="{00000000-0005-0000-0000-0000520F0000}"/>
    <cellStyle name="Currency 12" xfId="807" xr:uid="{00000000-0005-0000-0000-0000530F0000}"/>
    <cellStyle name="Currency 13" xfId="743" xr:uid="{00000000-0005-0000-0000-0000540F0000}"/>
    <cellStyle name="Currency 14" xfId="806" xr:uid="{00000000-0005-0000-0000-0000550F0000}"/>
    <cellStyle name="Currency 15" xfId="740" xr:uid="{00000000-0005-0000-0000-0000560F0000}"/>
    <cellStyle name="Currency 16" xfId="808" xr:uid="{00000000-0005-0000-0000-0000570F0000}"/>
    <cellStyle name="Currency 17" xfId="744" xr:uid="{00000000-0005-0000-0000-0000580F0000}"/>
    <cellStyle name="Currency 18" xfId="809" xr:uid="{00000000-0005-0000-0000-0000590F0000}"/>
    <cellStyle name="Currency 19" xfId="742" xr:uid="{00000000-0005-0000-0000-00005A0F0000}"/>
    <cellStyle name="Currency 2" xfId="6" xr:uid="{00000000-0005-0000-0000-00005B0F0000}"/>
    <cellStyle name="Currency 2 2" xfId="222" xr:uid="{00000000-0005-0000-0000-00005C0F0000}"/>
    <cellStyle name="Currency 20" xfId="810" xr:uid="{00000000-0005-0000-0000-00005D0F0000}"/>
    <cellStyle name="Currency 21" xfId="745" xr:uid="{00000000-0005-0000-0000-00005E0F0000}"/>
    <cellStyle name="Currency 22" xfId="811" xr:uid="{00000000-0005-0000-0000-00005F0F0000}"/>
    <cellStyle name="Currency 23" xfId="802" xr:uid="{00000000-0005-0000-0000-0000600F0000}"/>
    <cellStyle name="Currency 24" xfId="812" xr:uid="{00000000-0005-0000-0000-0000610F0000}"/>
    <cellStyle name="Currency 25" xfId="801" xr:uid="{00000000-0005-0000-0000-0000620F0000}"/>
    <cellStyle name="Currency 26" xfId="814" xr:uid="{00000000-0005-0000-0000-0000630F0000}"/>
    <cellStyle name="Currency 27" xfId="800" xr:uid="{00000000-0005-0000-0000-0000640F0000}"/>
    <cellStyle name="Currency 28" xfId="813" xr:uid="{00000000-0005-0000-0000-0000650F0000}"/>
    <cellStyle name="Currency 3" xfId="9" xr:uid="{00000000-0005-0000-0000-0000660F0000}"/>
    <cellStyle name="Currency 3 10" xfId="2836" xr:uid="{00000000-0005-0000-0000-0000670F0000}"/>
    <cellStyle name="Currency 3 11" xfId="5078" xr:uid="{00000000-0005-0000-0000-0000680F0000}"/>
    <cellStyle name="Currency 3 2" xfId="19" xr:uid="{00000000-0005-0000-0000-0000690F0000}"/>
    <cellStyle name="Currency 3 2 2" xfId="866" xr:uid="{00000000-0005-0000-0000-00006A0F0000}"/>
    <cellStyle name="Currency 3 2 2 2" xfId="1654" xr:uid="{00000000-0005-0000-0000-00006B0F0000}"/>
    <cellStyle name="Currency 3 2 2 2 2" xfId="3898" xr:uid="{00000000-0005-0000-0000-00006C0F0000}"/>
    <cellStyle name="Currency 3 2 2 3" xfId="2378" xr:uid="{00000000-0005-0000-0000-00006D0F0000}"/>
    <cellStyle name="Currency 3 2 2 3 2" xfId="4622" xr:uid="{00000000-0005-0000-0000-00006E0F0000}"/>
    <cellStyle name="Currency 3 2 2 4" xfId="3112" xr:uid="{00000000-0005-0000-0000-00006F0F0000}"/>
    <cellStyle name="Currency 3 2 3" xfId="1096" xr:uid="{00000000-0005-0000-0000-0000700F0000}"/>
    <cellStyle name="Currency 3 2 3 2" xfId="1883" xr:uid="{00000000-0005-0000-0000-0000710F0000}"/>
    <cellStyle name="Currency 3 2 3 2 2" xfId="4127" xr:uid="{00000000-0005-0000-0000-0000720F0000}"/>
    <cellStyle name="Currency 3 2 3 3" xfId="2607" xr:uid="{00000000-0005-0000-0000-0000730F0000}"/>
    <cellStyle name="Currency 3 2 3 3 2" xfId="4851" xr:uid="{00000000-0005-0000-0000-0000740F0000}"/>
    <cellStyle name="Currency 3 2 3 4" xfId="3341" xr:uid="{00000000-0005-0000-0000-0000750F0000}"/>
    <cellStyle name="Currency 3 2 4" xfId="1118" xr:uid="{00000000-0005-0000-0000-0000760F0000}"/>
    <cellStyle name="Currency 3 2 4 2" xfId="1905" xr:uid="{00000000-0005-0000-0000-0000770F0000}"/>
    <cellStyle name="Currency 3 2 4 2 2" xfId="4149" xr:uid="{00000000-0005-0000-0000-0000780F0000}"/>
    <cellStyle name="Currency 3 2 4 3" xfId="2629" xr:uid="{00000000-0005-0000-0000-0000790F0000}"/>
    <cellStyle name="Currency 3 2 4 3 2" xfId="4873" xr:uid="{00000000-0005-0000-0000-00007A0F0000}"/>
    <cellStyle name="Currency 3 2 4 4" xfId="3363" xr:uid="{00000000-0005-0000-0000-00007B0F0000}"/>
    <cellStyle name="Currency 3 2 5" xfId="1334" xr:uid="{00000000-0005-0000-0000-00007C0F0000}"/>
    <cellStyle name="Currency 3 2 5 2" xfId="3578" xr:uid="{00000000-0005-0000-0000-00007D0F0000}"/>
    <cellStyle name="Currency 3 2 6" xfId="2120" xr:uid="{00000000-0005-0000-0000-00007E0F0000}"/>
    <cellStyle name="Currency 3 2 6 2" xfId="4364" xr:uid="{00000000-0005-0000-0000-00007F0F0000}"/>
    <cellStyle name="Currency 3 2 7" xfId="2844" xr:uid="{00000000-0005-0000-0000-0000800F0000}"/>
    <cellStyle name="Currency 3 2 8" xfId="5086" xr:uid="{00000000-0005-0000-0000-0000810F0000}"/>
    <cellStyle name="Currency 3 3" xfId="223" xr:uid="{00000000-0005-0000-0000-0000820F0000}"/>
    <cellStyle name="Currency 3 4" xfId="857" xr:uid="{00000000-0005-0000-0000-0000830F0000}"/>
    <cellStyle name="Currency 3 4 2" xfId="1645" xr:uid="{00000000-0005-0000-0000-0000840F0000}"/>
    <cellStyle name="Currency 3 4 2 2" xfId="3889" xr:uid="{00000000-0005-0000-0000-0000850F0000}"/>
    <cellStyle name="Currency 3 4 3" xfId="2369" xr:uid="{00000000-0005-0000-0000-0000860F0000}"/>
    <cellStyle name="Currency 3 4 3 2" xfId="4613" xr:uid="{00000000-0005-0000-0000-0000870F0000}"/>
    <cellStyle name="Currency 3 4 4" xfId="3103" xr:uid="{00000000-0005-0000-0000-0000880F0000}"/>
    <cellStyle name="Currency 3 5" xfId="1074" xr:uid="{00000000-0005-0000-0000-0000890F0000}"/>
    <cellStyle name="Currency 3 5 2" xfId="1861" xr:uid="{00000000-0005-0000-0000-00008A0F0000}"/>
    <cellStyle name="Currency 3 5 2 2" xfId="4105" xr:uid="{00000000-0005-0000-0000-00008B0F0000}"/>
    <cellStyle name="Currency 3 5 3" xfId="2585" xr:uid="{00000000-0005-0000-0000-00008C0F0000}"/>
    <cellStyle name="Currency 3 5 3 2" xfId="4829" xr:uid="{00000000-0005-0000-0000-00008D0F0000}"/>
    <cellStyle name="Currency 3 5 4" xfId="3319" xr:uid="{00000000-0005-0000-0000-00008E0F0000}"/>
    <cellStyle name="Currency 3 6" xfId="1088" xr:uid="{00000000-0005-0000-0000-00008F0F0000}"/>
    <cellStyle name="Currency 3 6 2" xfId="1875" xr:uid="{00000000-0005-0000-0000-0000900F0000}"/>
    <cellStyle name="Currency 3 6 2 2" xfId="4119" xr:uid="{00000000-0005-0000-0000-0000910F0000}"/>
    <cellStyle name="Currency 3 6 3" xfId="2599" xr:uid="{00000000-0005-0000-0000-0000920F0000}"/>
    <cellStyle name="Currency 3 6 3 2" xfId="4843" xr:uid="{00000000-0005-0000-0000-0000930F0000}"/>
    <cellStyle name="Currency 3 6 4" xfId="3333" xr:uid="{00000000-0005-0000-0000-0000940F0000}"/>
    <cellStyle name="Currency 3 7" xfId="1109" xr:uid="{00000000-0005-0000-0000-0000950F0000}"/>
    <cellStyle name="Currency 3 7 2" xfId="1896" xr:uid="{00000000-0005-0000-0000-0000960F0000}"/>
    <cellStyle name="Currency 3 7 2 2" xfId="4140" xr:uid="{00000000-0005-0000-0000-0000970F0000}"/>
    <cellStyle name="Currency 3 7 3" xfId="2620" xr:uid="{00000000-0005-0000-0000-0000980F0000}"/>
    <cellStyle name="Currency 3 7 3 2" xfId="4864" xr:uid="{00000000-0005-0000-0000-0000990F0000}"/>
    <cellStyle name="Currency 3 7 4" xfId="3354" xr:uid="{00000000-0005-0000-0000-00009A0F0000}"/>
    <cellStyle name="Currency 3 8" xfId="1326" xr:uid="{00000000-0005-0000-0000-00009B0F0000}"/>
    <cellStyle name="Currency 3 8 2" xfId="3570" xr:uid="{00000000-0005-0000-0000-00009C0F0000}"/>
    <cellStyle name="Currency 3 9" xfId="2112" xr:uid="{00000000-0005-0000-0000-00009D0F0000}"/>
    <cellStyle name="Currency 3 9 2" xfId="4356" xr:uid="{00000000-0005-0000-0000-00009E0F0000}"/>
    <cellStyle name="Currency 4" xfId="220" xr:uid="{00000000-0005-0000-0000-00009F0F0000}"/>
    <cellStyle name="Currency 5" xfId="738" xr:uid="{00000000-0005-0000-0000-0000A00F0000}"/>
    <cellStyle name="Currency 6" xfId="803" xr:uid="{00000000-0005-0000-0000-0000A10F0000}"/>
    <cellStyle name="Currency 7" xfId="739" xr:uid="{00000000-0005-0000-0000-0000A20F0000}"/>
    <cellStyle name="Currency 8" xfId="804" xr:uid="{00000000-0005-0000-0000-0000A30F0000}"/>
    <cellStyle name="Currency 9" xfId="737" xr:uid="{00000000-0005-0000-0000-0000A40F0000}"/>
    <cellStyle name="Date Short" xfId="224" xr:uid="{00000000-0005-0000-0000-0000A50F0000}"/>
    <cellStyle name="DELTA" xfId="225" xr:uid="{00000000-0005-0000-0000-0000A60F0000}"/>
    <cellStyle name="Dezimal [0]_NEGS" xfId="226" xr:uid="{00000000-0005-0000-0000-0000A70F0000}"/>
    <cellStyle name="Dezimal_NEGS" xfId="227" xr:uid="{00000000-0005-0000-0000-0000A80F0000}"/>
    <cellStyle name="Enter Currency (0)" xfId="228" xr:uid="{00000000-0005-0000-0000-0000A90F0000}"/>
    <cellStyle name="Enter Currency (2)" xfId="229" xr:uid="{00000000-0005-0000-0000-0000AA0F0000}"/>
    <cellStyle name="Enter Units (0)" xfId="230" xr:uid="{00000000-0005-0000-0000-0000AB0F0000}"/>
    <cellStyle name="Enter Units (1)" xfId="231" xr:uid="{00000000-0005-0000-0000-0000AC0F0000}"/>
    <cellStyle name="Enter Units (2)" xfId="232" xr:uid="{00000000-0005-0000-0000-0000AD0F0000}"/>
    <cellStyle name="Entered" xfId="233" xr:uid="{00000000-0005-0000-0000-0000AE0F0000}"/>
    <cellStyle name="Euro" xfId="234" xr:uid="{00000000-0005-0000-0000-0000AF0F0000}"/>
    <cellStyle name="Excel Built-in Normal 1 3" xfId="1066" xr:uid="{00000000-0005-0000-0000-0000B00F0000}"/>
    <cellStyle name="Grey" xfId="235" xr:uid="{00000000-0005-0000-0000-0000B10F0000}"/>
    <cellStyle name="Grey 10" xfId="236" xr:uid="{00000000-0005-0000-0000-0000B20F0000}"/>
    <cellStyle name="Grey 11" xfId="237" xr:uid="{00000000-0005-0000-0000-0000B30F0000}"/>
    <cellStyle name="Grey 12" xfId="238" xr:uid="{00000000-0005-0000-0000-0000B40F0000}"/>
    <cellStyle name="Grey 13" xfId="239" xr:uid="{00000000-0005-0000-0000-0000B50F0000}"/>
    <cellStyle name="Grey 14" xfId="240" xr:uid="{00000000-0005-0000-0000-0000B60F0000}"/>
    <cellStyle name="Grey 15" xfId="241" xr:uid="{00000000-0005-0000-0000-0000B70F0000}"/>
    <cellStyle name="Grey 16" xfId="242" xr:uid="{00000000-0005-0000-0000-0000B80F0000}"/>
    <cellStyle name="Grey 17" xfId="243" xr:uid="{00000000-0005-0000-0000-0000B90F0000}"/>
    <cellStyle name="Grey 18" xfId="244" xr:uid="{00000000-0005-0000-0000-0000BA0F0000}"/>
    <cellStyle name="Grey 19" xfId="245" xr:uid="{00000000-0005-0000-0000-0000BB0F0000}"/>
    <cellStyle name="Grey 2" xfId="246" xr:uid="{00000000-0005-0000-0000-0000BC0F0000}"/>
    <cellStyle name="Grey 2 2" xfId="247" xr:uid="{00000000-0005-0000-0000-0000BD0F0000}"/>
    <cellStyle name="Grey 20" xfId="248" xr:uid="{00000000-0005-0000-0000-0000BE0F0000}"/>
    <cellStyle name="Grey 21" xfId="249" xr:uid="{00000000-0005-0000-0000-0000BF0F0000}"/>
    <cellStyle name="Grey 22" xfId="250" xr:uid="{00000000-0005-0000-0000-0000C00F0000}"/>
    <cellStyle name="Grey 23" xfId="251" xr:uid="{00000000-0005-0000-0000-0000C10F0000}"/>
    <cellStyle name="Grey 24" xfId="252" xr:uid="{00000000-0005-0000-0000-0000C20F0000}"/>
    <cellStyle name="Grey 25" xfId="253" xr:uid="{00000000-0005-0000-0000-0000C30F0000}"/>
    <cellStyle name="Grey 26" xfId="254" xr:uid="{00000000-0005-0000-0000-0000C40F0000}"/>
    <cellStyle name="Grey 27" xfId="255" xr:uid="{00000000-0005-0000-0000-0000C50F0000}"/>
    <cellStyle name="Grey 28" xfId="256" xr:uid="{00000000-0005-0000-0000-0000C60F0000}"/>
    <cellStyle name="Grey 29" xfId="257" xr:uid="{00000000-0005-0000-0000-0000C70F0000}"/>
    <cellStyle name="Grey 3" xfId="258" xr:uid="{00000000-0005-0000-0000-0000C80F0000}"/>
    <cellStyle name="Grey 30" xfId="259" xr:uid="{00000000-0005-0000-0000-0000C90F0000}"/>
    <cellStyle name="Grey 31" xfId="260" xr:uid="{00000000-0005-0000-0000-0000CA0F0000}"/>
    <cellStyle name="Grey 32" xfId="261" xr:uid="{00000000-0005-0000-0000-0000CB0F0000}"/>
    <cellStyle name="Grey 33" xfId="262" xr:uid="{00000000-0005-0000-0000-0000CC0F0000}"/>
    <cellStyle name="Grey 34" xfId="263" xr:uid="{00000000-0005-0000-0000-0000CD0F0000}"/>
    <cellStyle name="Grey 35" xfId="264" xr:uid="{00000000-0005-0000-0000-0000CE0F0000}"/>
    <cellStyle name="Grey 36" xfId="265" xr:uid="{00000000-0005-0000-0000-0000CF0F0000}"/>
    <cellStyle name="Grey 37" xfId="266" xr:uid="{00000000-0005-0000-0000-0000D00F0000}"/>
    <cellStyle name="Grey 38" xfId="267" xr:uid="{00000000-0005-0000-0000-0000D10F0000}"/>
    <cellStyle name="Grey 39" xfId="268" xr:uid="{00000000-0005-0000-0000-0000D20F0000}"/>
    <cellStyle name="Grey 4" xfId="269" xr:uid="{00000000-0005-0000-0000-0000D30F0000}"/>
    <cellStyle name="Grey 40" xfId="270" xr:uid="{00000000-0005-0000-0000-0000D40F0000}"/>
    <cellStyle name="Grey 41" xfId="271" xr:uid="{00000000-0005-0000-0000-0000D50F0000}"/>
    <cellStyle name="Grey 42" xfId="272" xr:uid="{00000000-0005-0000-0000-0000D60F0000}"/>
    <cellStyle name="Grey 43" xfId="273" xr:uid="{00000000-0005-0000-0000-0000D70F0000}"/>
    <cellStyle name="Grey 44" xfId="274" xr:uid="{00000000-0005-0000-0000-0000D80F0000}"/>
    <cellStyle name="Grey 45" xfId="275" xr:uid="{00000000-0005-0000-0000-0000D90F0000}"/>
    <cellStyle name="Grey 46" xfId="276" xr:uid="{00000000-0005-0000-0000-0000DA0F0000}"/>
    <cellStyle name="Grey 47" xfId="277" xr:uid="{00000000-0005-0000-0000-0000DB0F0000}"/>
    <cellStyle name="Grey 48" xfId="278" xr:uid="{00000000-0005-0000-0000-0000DC0F0000}"/>
    <cellStyle name="Grey 49" xfId="279" xr:uid="{00000000-0005-0000-0000-0000DD0F0000}"/>
    <cellStyle name="Grey 5" xfId="280" xr:uid="{00000000-0005-0000-0000-0000DE0F0000}"/>
    <cellStyle name="Grey 50" xfId="281" xr:uid="{00000000-0005-0000-0000-0000DF0F0000}"/>
    <cellStyle name="Grey 51" xfId="282" xr:uid="{00000000-0005-0000-0000-0000E00F0000}"/>
    <cellStyle name="Grey 52" xfId="283" xr:uid="{00000000-0005-0000-0000-0000E10F0000}"/>
    <cellStyle name="Grey 53" xfId="284" xr:uid="{00000000-0005-0000-0000-0000E20F0000}"/>
    <cellStyle name="Grey 6" xfId="285" xr:uid="{00000000-0005-0000-0000-0000E30F0000}"/>
    <cellStyle name="Grey 7" xfId="286" xr:uid="{00000000-0005-0000-0000-0000E40F0000}"/>
    <cellStyle name="Grey 8" xfId="287" xr:uid="{00000000-0005-0000-0000-0000E50F0000}"/>
    <cellStyle name="Grey 9" xfId="288" xr:uid="{00000000-0005-0000-0000-0000E60F0000}"/>
    <cellStyle name="HEADER" xfId="289" xr:uid="{00000000-0005-0000-0000-0000E70F0000}"/>
    <cellStyle name="HEADER 2" xfId="290" xr:uid="{00000000-0005-0000-0000-0000E80F0000}"/>
    <cellStyle name="Header1" xfId="291" xr:uid="{00000000-0005-0000-0000-0000E90F0000}"/>
    <cellStyle name="Header2" xfId="292" xr:uid="{00000000-0005-0000-0000-0000EA0F0000}"/>
    <cellStyle name="Header2 2" xfId="746" xr:uid="{00000000-0005-0000-0000-0000EB0F0000}"/>
    <cellStyle name="Header2 2 2" xfId="1302" xr:uid="{00000000-0005-0000-0000-0000EC0F0000}"/>
    <cellStyle name="Header2 2 2 2" xfId="2089" xr:uid="{00000000-0005-0000-0000-0000ED0F0000}"/>
    <cellStyle name="Header2 2 2 2 2" xfId="4333" xr:uid="{00000000-0005-0000-0000-0000EE0F0000}"/>
    <cellStyle name="Header2 2 2 3" xfId="3547" xr:uid="{00000000-0005-0000-0000-0000EF0F0000}"/>
    <cellStyle name="Header2 2 3" xfId="1569" xr:uid="{00000000-0005-0000-0000-0000F00F0000}"/>
    <cellStyle name="Header2 2 3 2" xfId="3813" xr:uid="{00000000-0005-0000-0000-0000F10F0000}"/>
    <cellStyle name="Header2 2 4" xfId="3027" xr:uid="{00000000-0005-0000-0000-0000F20F0000}"/>
    <cellStyle name="Header2 3" xfId="1282" xr:uid="{00000000-0005-0000-0000-0000F30F0000}"/>
    <cellStyle name="Header2 3 2" xfId="2069" xr:uid="{00000000-0005-0000-0000-0000F40F0000}"/>
    <cellStyle name="Header2 3 2 2" xfId="4313" xr:uid="{00000000-0005-0000-0000-0000F50F0000}"/>
    <cellStyle name="Header2 3 3" xfId="3527" xr:uid="{00000000-0005-0000-0000-0000F60F0000}"/>
    <cellStyle name="Hyperlink" xfId="5100" builtinId="8"/>
    <cellStyle name="Hyperlink 2" xfId="293" xr:uid="{00000000-0005-0000-0000-0000F80F0000}"/>
    <cellStyle name="Input [yellow]" xfId="294" xr:uid="{00000000-0005-0000-0000-0000F90F0000}"/>
    <cellStyle name="Input [yellow] 10" xfId="295" xr:uid="{00000000-0005-0000-0000-0000FA0F0000}"/>
    <cellStyle name="Input [yellow] 10 2" xfId="748" xr:uid="{00000000-0005-0000-0000-0000FB0F0000}"/>
    <cellStyle name="Input [yellow] 10 2 2" xfId="1571" xr:uid="{00000000-0005-0000-0000-0000FC0F0000}"/>
    <cellStyle name="Input [yellow] 10 2 2 2" xfId="3815" xr:uid="{00000000-0005-0000-0000-0000FD0F0000}"/>
    <cellStyle name="Input [yellow] 10 2 3" xfId="3029" xr:uid="{00000000-0005-0000-0000-0000FE0F0000}"/>
    <cellStyle name="Input [yellow] 10 3" xfId="1498" xr:uid="{00000000-0005-0000-0000-0000FF0F0000}"/>
    <cellStyle name="Input [yellow] 10 3 2" xfId="3742" xr:uid="{00000000-0005-0000-0000-000000100000}"/>
    <cellStyle name="Input [yellow] 10 4" xfId="2284" xr:uid="{00000000-0005-0000-0000-000001100000}"/>
    <cellStyle name="Input [yellow] 10 4 2" xfId="4528" xr:uid="{00000000-0005-0000-0000-000002100000}"/>
    <cellStyle name="Input [yellow] 11" xfId="296" xr:uid="{00000000-0005-0000-0000-000003100000}"/>
    <cellStyle name="Input [yellow] 11 2" xfId="749" xr:uid="{00000000-0005-0000-0000-000004100000}"/>
    <cellStyle name="Input [yellow] 11 2 2" xfId="1572" xr:uid="{00000000-0005-0000-0000-000005100000}"/>
    <cellStyle name="Input [yellow] 11 2 2 2" xfId="3816" xr:uid="{00000000-0005-0000-0000-000006100000}"/>
    <cellStyle name="Input [yellow] 11 2 3" xfId="3030" xr:uid="{00000000-0005-0000-0000-000007100000}"/>
    <cellStyle name="Input [yellow] 11 3" xfId="1499" xr:uid="{00000000-0005-0000-0000-000008100000}"/>
    <cellStyle name="Input [yellow] 11 3 2" xfId="3743" xr:uid="{00000000-0005-0000-0000-000009100000}"/>
    <cellStyle name="Input [yellow] 11 4" xfId="2285" xr:uid="{00000000-0005-0000-0000-00000A100000}"/>
    <cellStyle name="Input [yellow] 11 4 2" xfId="4529" xr:uid="{00000000-0005-0000-0000-00000B100000}"/>
    <cellStyle name="Input [yellow] 12" xfId="297" xr:uid="{00000000-0005-0000-0000-00000C100000}"/>
    <cellStyle name="Input [yellow] 12 2" xfId="750" xr:uid="{00000000-0005-0000-0000-00000D100000}"/>
    <cellStyle name="Input [yellow] 12 2 2" xfId="1573" xr:uid="{00000000-0005-0000-0000-00000E100000}"/>
    <cellStyle name="Input [yellow] 12 2 2 2" xfId="3817" xr:uid="{00000000-0005-0000-0000-00000F100000}"/>
    <cellStyle name="Input [yellow] 12 2 3" xfId="3031" xr:uid="{00000000-0005-0000-0000-000010100000}"/>
    <cellStyle name="Input [yellow] 12 3" xfId="1500" xr:uid="{00000000-0005-0000-0000-000011100000}"/>
    <cellStyle name="Input [yellow] 12 3 2" xfId="3744" xr:uid="{00000000-0005-0000-0000-000012100000}"/>
    <cellStyle name="Input [yellow] 12 4" xfId="2286" xr:uid="{00000000-0005-0000-0000-000013100000}"/>
    <cellStyle name="Input [yellow] 12 4 2" xfId="4530" xr:uid="{00000000-0005-0000-0000-000014100000}"/>
    <cellStyle name="Input [yellow] 13" xfId="298" xr:uid="{00000000-0005-0000-0000-000015100000}"/>
    <cellStyle name="Input [yellow] 13 2" xfId="751" xr:uid="{00000000-0005-0000-0000-000016100000}"/>
    <cellStyle name="Input [yellow] 13 2 2" xfId="1574" xr:uid="{00000000-0005-0000-0000-000017100000}"/>
    <cellStyle name="Input [yellow] 13 2 2 2" xfId="3818" xr:uid="{00000000-0005-0000-0000-000018100000}"/>
    <cellStyle name="Input [yellow] 13 2 3" xfId="3032" xr:uid="{00000000-0005-0000-0000-000019100000}"/>
    <cellStyle name="Input [yellow] 13 3" xfId="1501" xr:uid="{00000000-0005-0000-0000-00001A100000}"/>
    <cellStyle name="Input [yellow] 13 3 2" xfId="3745" xr:uid="{00000000-0005-0000-0000-00001B100000}"/>
    <cellStyle name="Input [yellow] 13 4" xfId="2287" xr:uid="{00000000-0005-0000-0000-00001C100000}"/>
    <cellStyle name="Input [yellow] 13 4 2" xfId="4531" xr:uid="{00000000-0005-0000-0000-00001D100000}"/>
    <cellStyle name="Input [yellow] 14" xfId="299" xr:uid="{00000000-0005-0000-0000-00001E100000}"/>
    <cellStyle name="Input [yellow] 14 2" xfId="752" xr:uid="{00000000-0005-0000-0000-00001F100000}"/>
    <cellStyle name="Input [yellow] 14 2 2" xfId="1575" xr:uid="{00000000-0005-0000-0000-000020100000}"/>
    <cellStyle name="Input [yellow] 14 2 2 2" xfId="3819" xr:uid="{00000000-0005-0000-0000-000021100000}"/>
    <cellStyle name="Input [yellow] 14 2 3" xfId="3033" xr:uid="{00000000-0005-0000-0000-000022100000}"/>
    <cellStyle name="Input [yellow] 14 3" xfId="1502" xr:uid="{00000000-0005-0000-0000-000023100000}"/>
    <cellStyle name="Input [yellow] 14 3 2" xfId="3746" xr:uid="{00000000-0005-0000-0000-000024100000}"/>
    <cellStyle name="Input [yellow] 14 4" xfId="2288" xr:uid="{00000000-0005-0000-0000-000025100000}"/>
    <cellStyle name="Input [yellow] 14 4 2" xfId="4532" xr:uid="{00000000-0005-0000-0000-000026100000}"/>
    <cellStyle name="Input [yellow] 15" xfId="300" xr:uid="{00000000-0005-0000-0000-000027100000}"/>
    <cellStyle name="Input [yellow] 15 2" xfId="753" xr:uid="{00000000-0005-0000-0000-000028100000}"/>
    <cellStyle name="Input [yellow] 15 2 2" xfId="1576" xr:uid="{00000000-0005-0000-0000-000029100000}"/>
    <cellStyle name="Input [yellow] 15 2 2 2" xfId="3820" xr:uid="{00000000-0005-0000-0000-00002A100000}"/>
    <cellStyle name="Input [yellow] 15 2 3" xfId="3034" xr:uid="{00000000-0005-0000-0000-00002B100000}"/>
    <cellStyle name="Input [yellow] 15 3" xfId="1503" xr:uid="{00000000-0005-0000-0000-00002C100000}"/>
    <cellStyle name="Input [yellow] 15 3 2" xfId="3747" xr:uid="{00000000-0005-0000-0000-00002D100000}"/>
    <cellStyle name="Input [yellow] 15 4" xfId="2289" xr:uid="{00000000-0005-0000-0000-00002E100000}"/>
    <cellStyle name="Input [yellow] 15 4 2" xfId="4533" xr:uid="{00000000-0005-0000-0000-00002F100000}"/>
    <cellStyle name="Input [yellow] 16" xfId="301" xr:uid="{00000000-0005-0000-0000-000030100000}"/>
    <cellStyle name="Input [yellow] 16 2" xfId="754" xr:uid="{00000000-0005-0000-0000-000031100000}"/>
    <cellStyle name="Input [yellow] 16 2 2" xfId="1577" xr:uid="{00000000-0005-0000-0000-000032100000}"/>
    <cellStyle name="Input [yellow] 16 2 2 2" xfId="3821" xr:uid="{00000000-0005-0000-0000-000033100000}"/>
    <cellStyle name="Input [yellow] 16 2 3" xfId="3035" xr:uid="{00000000-0005-0000-0000-000034100000}"/>
    <cellStyle name="Input [yellow] 16 3" xfId="1504" xr:uid="{00000000-0005-0000-0000-000035100000}"/>
    <cellStyle name="Input [yellow] 16 3 2" xfId="3748" xr:uid="{00000000-0005-0000-0000-000036100000}"/>
    <cellStyle name="Input [yellow] 16 4" xfId="2290" xr:uid="{00000000-0005-0000-0000-000037100000}"/>
    <cellStyle name="Input [yellow] 16 4 2" xfId="4534" xr:uid="{00000000-0005-0000-0000-000038100000}"/>
    <cellStyle name="Input [yellow] 17" xfId="302" xr:uid="{00000000-0005-0000-0000-000039100000}"/>
    <cellStyle name="Input [yellow] 17 2" xfId="755" xr:uid="{00000000-0005-0000-0000-00003A100000}"/>
    <cellStyle name="Input [yellow] 17 2 2" xfId="1578" xr:uid="{00000000-0005-0000-0000-00003B100000}"/>
    <cellStyle name="Input [yellow] 17 2 2 2" xfId="3822" xr:uid="{00000000-0005-0000-0000-00003C100000}"/>
    <cellStyle name="Input [yellow] 17 2 3" xfId="3036" xr:uid="{00000000-0005-0000-0000-00003D100000}"/>
    <cellStyle name="Input [yellow] 17 3" xfId="1505" xr:uid="{00000000-0005-0000-0000-00003E100000}"/>
    <cellStyle name="Input [yellow] 17 3 2" xfId="3749" xr:uid="{00000000-0005-0000-0000-00003F100000}"/>
    <cellStyle name="Input [yellow] 17 4" xfId="2291" xr:uid="{00000000-0005-0000-0000-000040100000}"/>
    <cellStyle name="Input [yellow] 17 4 2" xfId="4535" xr:uid="{00000000-0005-0000-0000-000041100000}"/>
    <cellStyle name="Input [yellow] 18" xfId="303" xr:uid="{00000000-0005-0000-0000-000042100000}"/>
    <cellStyle name="Input [yellow] 18 2" xfId="756" xr:uid="{00000000-0005-0000-0000-000043100000}"/>
    <cellStyle name="Input [yellow] 18 2 2" xfId="1579" xr:uid="{00000000-0005-0000-0000-000044100000}"/>
    <cellStyle name="Input [yellow] 18 2 2 2" xfId="3823" xr:uid="{00000000-0005-0000-0000-000045100000}"/>
    <cellStyle name="Input [yellow] 18 2 3" xfId="3037" xr:uid="{00000000-0005-0000-0000-000046100000}"/>
    <cellStyle name="Input [yellow] 18 3" xfId="1506" xr:uid="{00000000-0005-0000-0000-000047100000}"/>
    <cellStyle name="Input [yellow] 18 3 2" xfId="3750" xr:uid="{00000000-0005-0000-0000-000048100000}"/>
    <cellStyle name="Input [yellow] 18 4" xfId="2292" xr:uid="{00000000-0005-0000-0000-000049100000}"/>
    <cellStyle name="Input [yellow] 18 4 2" xfId="4536" xr:uid="{00000000-0005-0000-0000-00004A100000}"/>
    <cellStyle name="Input [yellow] 19" xfId="304" xr:uid="{00000000-0005-0000-0000-00004B100000}"/>
    <cellStyle name="Input [yellow] 19 2" xfId="757" xr:uid="{00000000-0005-0000-0000-00004C100000}"/>
    <cellStyle name="Input [yellow] 19 2 2" xfId="1580" xr:uid="{00000000-0005-0000-0000-00004D100000}"/>
    <cellStyle name="Input [yellow] 19 2 2 2" xfId="3824" xr:uid="{00000000-0005-0000-0000-00004E100000}"/>
    <cellStyle name="Input [yellow] 19 2 3" xfId="3038" xr:uid="{00000000-0005-0000-0000-00004F100000}"/>
    <cellStyle name="Input [yellow] 19 3" xfId="1507" xr:uid="{00000000-0005-0000-0000-000050100000}"/>
    <cellStyle name="Input [yellow] 19 3 2" xfId="3751" xr:uid="{00000000-0005-0000-0000-000051100000}"/>
    <cellStyle name="Input [yellow] 19 4" xfId="2293" xr:uid="{00000000-0005-0000-0000-000052100000}"/>
    <cellStyle name="Input [yellow] 19 4 2" xfId="4537" xr:uid="{00000000-0005-0000-0000-000053100000}"/>
    <cellStyle name="Input [yellow] 2" xfId="305" xr:uid="{00000000-0005-0000-0000-000054100000}"/>
    <cellStyle name="Input [yellow] 2 2" xfId="306" xr:uid="{00000000-0005-0000-0000-000055100000}"/>
    <cellStyle name="Input [yellow] 2 2 2" xfId="759" xr:uid="{00000000-0005-0000-0000-000056100000}"/>
    <cellStyle name="Input [yellow] 2 2 2 2" xfId="1582" xr:uid="{00000000-0005-0000-0000-000057100000}"/>
    <cellStyle name="Input [yellow] 2 2 2 2 2" xfId="3826" xr:uid="{00000000-0005-0000-0000-000058100000}"/>
    <cellStyle name="Input [yellow] 2 2 2 3" xfId="3040" xr:uid="{00000000-0005-0000-0000-000059100000}"/>
    <cellStyle name="Input [yellow] 2 2 3" xfId="1509" xr:uid="{00000000-0005-0000-0000-00005A100000}"/>
    <cellStyle name="Input [yellow] 2 2 3 2" xfId="3753" xr:uid="{00000000-0005-0000-0000-00005B100000}"/>
    <cellStyle name="Input [yellow] 2 2 4" xfId="2295" xr:uid="{00000000-0005-0000-0000-00005C100000}"/>
    <cellStyle name="Input [yellow] 2 2 4 2" xfId="4539" xr:uid="{00000000-0005-0000-0000-00005D100000}"/>
    <cellStyle name="Input [yellow] 2 3" xfId="758" xr:uid="{00000000-0005-0000-0000-00005E100000}"/>
    <cellStyle name="Input [yellow] 2 3 2" xfId="1581" xr:uid="{00000000-0005-0000-0000-00005F100000}"/>
    <cellStyle name="Input [yellow] 2 3 2 2" xfId="3825" xr:uid="{00000000-0005-0000-0000-000060100000}"/>
    <cellStyle name="Input [yellow] 2 3 3" xfId="3039" xr:uid="{00000000-0005-0000-0000-000061100000}"/>
    <cellStyle name="Input [yellow] 2 4" xfId="1508" xr:uid="{00000000-0005-0000-0000-000062100000}"/>
    <cellStyle name="Input [yellow] 2 4 2" xfId="3752" xr:uid="{00000000-0005-0000-0000-000063100000}"/>
    <cellStyle name="Input [yellow] 2 5" xfId="2294" xr:uid="{00000000-0005-0000-0000-000064100000}"/>
    <cellStyle name="Input [yellow] 2 5 2" xfId="4538" xr:uid="{00000000-0005-0000-0000-000065100000}"/>
    <cellStyle name="Input [yellow] 20" xfId="307" xr:uid="{00000000-0005-0000-0000-000066100000}"/>
    <cellStyle name="Input [yellow] 20 2" xfId="760" xr:uid="{00000000-0005-0000-0000-000067100000}"/>
    <cellStyle name="Input [yellow] 20 2 2" xfId="1583" xr:uid="{00000000-0005-0000-0000-000068100000}"/>
    <cellStyle name="Input [yellow] 20 2 2 2" xfId="3827" xr:uid="{00000000-0005-0000-0000-000069100000}"/>
    <cellStyle name="Input [yellow] 20 2 3" xfId="3041" xr:uid="{00000000-0005-0000-0000-00006A100000}"/>
    <cellStyle name="Input [yellow] 20 3" xfId="1510" xr:uid="{00000000-0005-0000-0000-00006B100000}"/>
    <cellStyle name="Input [yellow] 20 3 2" xfId="3754" xr:uid="{00000000-0005-0000-0000-00006C100000}"/>
    <cellStyle name="Input [yellow] 20 4" xfId="2296" xr:uid="{00000000-0005-0000-0000-00006D100000}"/>
    <cellStyle name="Input [yellow] 20 4 2" xfId="4540" xr:uid="{00000000-0005-0000-0000-00006E100000}"/>
    <cellStyle name="Input [yellow] 21" xfId="308" xr:uid="{00000000-0005-0000-0000-00006F100000}"/>
    <cellStyle name="Input [yellow] 21 2" xfId="761" xr:uid="{00000000-0005-0000-0000-000070100000}"/>
    <cellStyle name="Input [yellow] 21 2 2" xfId="1584" xr:uid="{00000000-0005-0000-0000-000071100000}"/>
    <cellStyle name="Input [yellow] 21 2 2 2" xfId="3828" xr:uid="{00000000-0005-0000-0000-000072100000}"/>
    <cellStyle name="Input [yellow] 21 2 3" xfId="3042" xr:uid="{00000000-0005-0000-0000-000073100000}"/>
    <cellStyle name="Input [yellow] 21 3" xfId="1511" xr:uid="{00000000-0005-0000-0000-000074100000}"/>
    <cellStyle name="Input [yellow] 21 3 2" xfId="3755" xr:uid="{00000000-0005-0000-0000-000075100000}"/>
    <cellStyle name="Input [yellow] 21 4" xfId="2297" xr:uid="{00000000-0005-0000-0000-000076100000}"/>
    <cellStyle name="Input [yellow] 21 4 2" xfId="4541" xr:uid="{00000000-0005-0000-0000-000077100000}"/>
    <cellStyle name="Input [yellow] 22" xfId="309" xr:uid="{00000000-0005-0000-0000-000078100000}"/>
    <cellStyle name="Input [yellow] 22 2" xfId="762" xr:uid="{00000000-0005-0000-0000-000079100000}"/>
    <cellStyle name="Input [yellow] 22 2 2" xfId="1585" xr:uid="{00000000-0005-0000-0000-00007A100000}"/>
    <cellStyle name="Input [yellow] 22 2 2 2" xfId="3829" xr:uid="{00000000-0005-0000-0000-00007B100000}"/>
    <cellStyle name="Input [yellow] 22 2 3" xfId="3043" xr:uid="{00000000-0005-0000-0000-00007C100000}"/>
    <cellStyle name="Input [yellow] 22 3" xfId="1512" xr:uid="{00000000-0005-0000-0000-00007D100000}"/>
    <cellStyle name="Input [yellow] 22 3 2" xfId="3756" xr:uid="{00000000-0005-0000-0000-00007E100000}"/>
    <cellStyle name="Input [yellow] 22 4" xfId="2298" xr:uid="{00000000-0005-0000-0000-00007F100000}"/>
    <cellStyle name="Input [yellow] 22 4 2" xfId="4542" xr:uid="{00000000-0005-0000-0000-000080100000}"/>
    <cellStyle name="Input [yellow] 23" xfId="310" xr:uid="{00000000-0005-0000-0000-000081100000}"/>
    <cellStyle name="Input [yellow] 23 2" xfId="763" xr:uid="{00000000-0005-0000-0000-000082100000}"/>
    <cellStyle name="Input [yellow] 23 2 2" xfId="1586" xr:uid="{00000000-0005-0000-0000-000083100000}"/>
    <cellStyle name="Input [yellow] 23 2 2 2" xfId="3830" xr:uid="{00000000-0005-0000-0000-000084100000}"/>
    <cellStyle name="Input [yellow] 23 2 3" xfId="3044" xr:uid="{00000000-0005-0000-0000-000085100000}"/>
    <cellStyle name="Input [yellow] 23 3" xfId="1513" xr:uid="{00000000-0005-0000-0000-000086100000}"/>
    <cellStyle name="Input [yellow] 23 3 2" xfId="3757" xr:uid="{00000000-0005-0000-0000-000087100000}"/>
    <cellStyle name="Input [yellow] 23 4" xfId="2299" xr:uid="{00000000-0005-0000-0000-000088100000}"/>
    <cellStyle name="Input [yellow] 23 4 2" xfId="4543" xr:uid="{00000000-0005-0000-0000-000089100000}"/>
    <cellStyle name="Input [yellow] 24" xfId="311" xr:uid="{00000000-0005-0000-0000-00008A100000}"/>
    <cellStyle name="Input [yellow] 24 2" xfId="764" xr:uid="{00000000-0005-0000-0000-00008B100000}"/>
    <cellStyle name="Input [yellow] 24 2 2" xfId="1587" xr:uid="{00000000-0005-0000-0000-00008C100000}"/>
    <cellStyle name="Input [yellow] 24 2 2 2" xfId="3831" xr:uid="{00000000-0005-0000-0000-00008D100000}"/>
    <cellStyle name="Input [yellow] 24 2 3" xfId="3045" xr:uid="{00000000-0005-0000-0000-00008E100000}"/>
    <cellStyle name="Input [yellow] 24 3" xfId="1514" xr:uid="{00000000-0005-0000-0000-00008F100000}"/>
    <cellStyle name="Input [yellow] 24 3 2" xfId="3758" xr:uid="{00000000-0005-0000-0000-000090100000}"/>
    <cellStyle name="Input [yellow] 24 4" xfId="2300" xr:uid="{00000000-0005-0000-0000-000091100000}"/>
    <cellStyle name="Input [yellow] 24 4 2" xfId="4544" xr:uid="{00000000-0005-0000-0000-000092100000}"/>
    <cellStyle name="Input [yellow] 25" xfId="312" xr:uid="{00000000-0005-0000-0000-000093100000}"/>
    <cellStyle name="Input [yellow] 25 2" xfId="765" xr:uid="{00000000-0005-0000-0000-000094100000}"/>
    <cellStyle name="Input [yellow] 25 2 2" xfId="1588" xr:uid="{00000000-0005-0000-0000-000095100000}"/>
    <cellStyle name="Input [yellow] 25 2 2 2" xfId="3832" xr:uid="{00000000-0005-0000-0000-000096100000}"/>
    <cellStyle name="Input [yellow] 25 2 3" xfId="3046" xr:uid="{00000000-0005-0000-0000-000097100000}"/>
    <cellStyle name="Input [yellow] 25 3" xfId="1515" xr:uid="{00000000-0005-0000-0000-000098100000}"/>
    <cellStyle name="Input [yellow] 25 3 2" xfId="3759" xr:uid="{00000000-0005-0000-0000-000099100000}"/>
    <cellStyle name="Input [yellow] 25 4" xfId="2301" xr:uid="{00000000-0005-0000-0000-00009A100000}"/>
    <cellStyle name="Input [yellow] 25 4 2" xfId="4545" xr:uid="{00000000-0005-0000-0000-00009B100000}"/>
    <cellStyle name="Input [yellow] 26" xfId="313" xr:uid="{00000000-0005-0000-0000-00009C100000}"/>
    <cellStyle name="Input [yellow] 26 2" xfId="766" xr:uid="{00000000-0005-0000-0000-00009D100000}"/>
    <cellStyle name="Input [yellow] 26 2 2" xfId="1589" xr:uid="{00000000-0005-0000-0000-00009E100000}"/>
    <cellStyle name="Input [yellow] 26 2 2 2" xfId="3833" xr:uid="{00000000-0005-0000-0000-00009F100000}"/>
    <cellStyle name="Input [yellow] 26 2 3" xfId="3047" xr:uid="{00000000-0005-0000-0000-0000A0100000}"/>
    <cellStyle name="Input [yellow] 26 3" xfId="1516" xr:uid="{00000000-0005-0000-0000-0000A1100000}"/>
    <cellStyle name="Input [yellow] 26 3 2" xfId="3760" xr:uid="{00000000-0005-0000-0000-0000A2100000}"/>
    <cellStyle name="Input [yellow] 26 4" xfId="2302" xr:uid="{00000000-0005-0000-0000-0000A3100000}"/>
    <cellStyle name="Input [yellow] 26 4 2" xfId="4546" xr:uid="{00000000-0005-0000-0000-0000A4100000}"/>
    <cellStyle name="Input [yellow] 27" xfId="314" xr:uid="{00000000-0005-0000-0000-0000A5100000}"/>
    <cellStyle name="Input [yellow] 27 2" xfId="767" xr:uid="{00000000-0005-0000-0000-0000A6100000}"/>
    <cellStyle name="Input [yellow] 27 2 2" xfId="1590" xr:uid="{00000000-0005-0000-0000-0000A7100000}"/>
    <cellStyle name="Input [yellow] 27 2 2 2" xfId="3834" xr:uid="{00000000-0005-0000-0000-0000A8100000}"/>
    <cellStyle name="Input [yellow] 27 2 3" xfId="3048" xr:uid="{00000000-0005-0000-0000-0000A9100000}"/>
    <cellStyle name="Input [yellow] 27 3" xfId="1517" xr:uid="{00000000-0005-0000-0000-0000AA100000}"/>
    <cellStyle name="Input [yellow] 27 3 2" xfId="3761" xr:uid="{00000000-0005-0000-0000-0000AB100000}"/>
    <cellStyle name="Input [yellow] 27 4" xfId="2303" xr:uid="{00000000-0005-0000-0000-0000AC100000}"/>
    <cellStyle name="Input [yellow] 27 4 2" xfId="4547" xr:uid="{00000000-0005-0000-0000-0000AD100000}"/>
    <cellStyle name="Input [yellow] 28" xfId="315" xr:uid="{00000000-0005-0000-0000-0000AE100000}"/>
    <cellStyle name="Input [yellow] 28 2" xfId="768" xr:uid="{00000000-0005-0000-0000-0000AF100000}"/>
    <cellStyle name="Input [yellow] 28 2 2" xfId="1591" xr:uid="{00000000-0005-0000-0000-0000B0100000}"/>
    <cellStyle name="Input [yellow] 28 2 2 2" xfId="3835" xr:uid="{00000000-0005-0000-0000-0000B1100000}"/>
    <cellStyle name="Input [yellow] 28 2 3" xfId="3049" xr:uid="{00000000-0005-0000-0000-0000B2100000}"/>
    <cellStyle name="Input [yellow] 28 3" xfId="1518" xr:uid="{00000000-0005-0000-0000-0000B3100000}"/>
    <cellStyle name="Input [yellow] 28 3 2" xfId="3762" xr:uid="{00000000-0005-0000-0000-0000B4100000}"/>
    <cellStyle name="Input [yellow] 28 4" xfId="2304" xr:uid="{00000000-0005-0000-0000-0000B5100000}"/>
    <cellStyle name="Input [yellow] 28 4 2" xfId="4548" xr:uid="{00000000-0005-0000-0000-0000B6100000}"/>
    <cellStyle name="Input [yellow] 29" xfId="316" xr:uid="{00000000-0005-0000-0000-0000B7100000}"/>
    <cellStyle name="Input [yellow] 29 2" xfId="769" xr:uid="{00000000-0005-0000-0000-0000B8100000}"/>
    <cellStyle name="Input [yellow] 29 2 2" xfId="1592" xr:uid="{00000000-0005-0000-0000-0000B9100000}"/>
    <cellStyle name="Input [yellow] 29 2 2 2" xfId="3836" xr:uid="{00000000-0005-0000-0000-0000BA100000}"/>
    <cellStyle name="Input [yellow] 29 2 3" xfId="3050" xr:uid="{00000000-0005-0000-0000-0000BB100000}"/>
    <cellStyle name="Input [yellow] 29 3" xfId="1519" xr:uid="{00000000-0005-0000-0000-0000BC100000}"/>
    <cellStyle name="Input [yellow] 29 3 2" xfId="3763" xr:uid="{00000000-0005-0000-0000-0000BD100000}"/>
    <cellStyle name="Input [yellow] 29 4" xfId="2305" xr:uid="{00000000-0005-0000-0000-0000BE100000}"/>
    <cellStyle name="Input [yellow] 29 4 2" xfId="4549" xr:uid="{00000000-0005-0000-0000-0000BF100000}"/>
    <cellStyle name="Input [yellow] 3" xfId="317" xr:uid="{00000000-0005-0000-0000-0000C0100000}"/>
    <cellStyle name="Input [yellow] 3 2" xfId="770" xr:uid="{00000000-0005-0000-0000-0000C1100000}"/>
    <cellStyle name="Input [yellow] 3 2 2" xfId="1593" xr:uid="{00000000-0005-0000-0000-0000C2100000}"/>
    <cellStyle name="Input [yellow] 3 2 2 2" xfId="3837" xr:uid="{00000000-0005-0000-0000-0000C3100000}"/>
    <cellStyle name="Input [yellow] 3 2 3" xfId="3051" xr:uid="{00000000-0005-0000-0000-0000C4100000}"/>
    <cellStyle name="Input [yellow] 3 3" xfId="1520" xr:uid="{00000000-0005-0000-0000-0000C5100000}"/>
    <cellStyle name="Input [yellow] 3 3 2" xfId="3764" xr:uid="{00000000-0005-0000-0000-0000C6100000}"/>
    <cellStyle name="Input [yellow] 3 4" xfId="2306" xr:uid="{00000000-0005-0000-0000-0000C7100000}"/>
    <cellStyle name="Input [yellow] 3 4 2" xfId="4550" xr:uid="{00000000-0005-0000-0000-0000C8100000}"/>
    <cellStyle name="Input [yellow] 30" xfId="318" xr:uid="{00000000-0005-0000-0000-0000C9100000}"/>
    <cellStyle name="Input [yellow] 30 2" xfId="771" xr:uid="{00000000-0005-0000-0000-0000CA100000}"/>
    <cellStyle name="Input [yellow] 30 2 2" xfId="1594" xr:uid="{00000000-0005-0000-0000-0000CB100000}"/>
    <cellStyle name="Input [yellow] 30 2 2 2" xfId="3838" xr:uid="{00000000-0005-0000-0000-0000CC100000}"/>
    <cellStyle name="Input [yellow] 30 2 3" xfId="3052" xr:uid="{00000000-0005-0000-0000-0000CD100000}"/>
    <cellStyle name="Input [yellow] 30 3" xfId="1521" xr:uid="{00000000-0005-0000-0000-0000CE100000}"/>
    <cellStyle name="Input [yellow] 30 3 2" xfId="3765" xr:uid="{00000000-0005-0000-0000-0000CF100000}"/>
    <cellStyle name="Input [yellow] 30 4" xfId="2307" xr:uid="{00000000-0005-0000-0000-0000D0100000}"/>
    <cellStyle name="Input [yellow] 30 4 2" xfId="4551" xr:uid="{00000000-0005-0000-0000-0000D1100000}"/>
    <cellStyle name="Input [yellow] 31" xfId="319" xr:uid="{00000000-0005-0000-0000-0000D2100000}"/>
    <cellStyle name="Input [yellow] 31 2" xfId="772" xr:uid="{00000000-0005-0000-0000-0000D3100000}"/>
    <cellStyle name="Input [yellow] 31 2 2" xfId="1595" xr:uid="{00000000-0005-0000-0000-0000D4100000}"/>
    <cellStyle name="Input [yellow] 31 2 2 2" xfId="3839" xr:uid="{00000000-0005-0000-0000-0000D5100000}"/>
    <cellStyle name="Input [yellow] 31 2 3" xfId="3053" xr:uid="{00000000-0005-0000-0000-0000D6100000}"/>
    <cellStyle name="Input [yellow] 31 3" xfId="1522" xr:uid="{00000000-0005-0000-0000-0000D7100000}"/>
    <cellStyle name="Input [yellow] 31 3 2" xfId="3766" xr:uid="{00000000-0005-0000-0000-0000D8100000}"/>
    <cellStyle name="Input [yellow] 31 4" xfId="2308" xr:uid="{00000000-0005-0000-0000-0000D9100000}"/>
    <cellStyle name="Input [yellow] 31 4 2" xfId="4552" xr:uid="{00000000-0005-0000-0000-0000DA100000}"/>
    <cellStyle name="Input [yellow] 32" xfId="320" xr:uid="{00000000-0005-0000-0000-0000DB100000}"/>
    <cellStyle name="Input [yellow] 32 2" xfId="773" xr:uid="{00000000-0005-0000-0000-0000DC100000}"/>
    <cellStyle name="Input [yellow] 32 2 2" xfId="1596" xr:uid="{00000000-0005-0000-0000-0000DD100000}"/>
    <cellStyle name="Input [yellow] 32 2 2 2" xfId="3840" xr:uid="{00000000-0005-0000-0000-0000DE100000}"/>
    <cellStyle name="Input [yellow] 32 2 3" xfId="3054" xr:uid="{00000000-0005-0000-0000-0000DF100000}"/>
    <cellStyle name="Input [yellow] 32 3" xfId="1523" xr:uid="{00000000-0005-0000-0000-0000E0100000}"/>
    <cellStyle name="Input [yellow] 32 3 2" xfId="3767" xr:uid="{00000000-0005-0000-0000-0000E1100000}"/>
    <cellStyle name="Input [yellow] 32 4" xfId="2309" xr:uid="{00000000-0005-0000-0000-0000E2100000}"/>
    <cellStyle name="Input [yellow] 32 4 2" xfId="4553" xr:uid="{00000000-0005-0000-0000-0000E3100000}"/>
    <cellStyle name="Input [yellow] 33" xfId="321" xr:uid="{00000000-0005-0000-0000-0000E4100000}"/>
    <cellStyle name="Input [yellow] 33 2" xfId="774" xr:uid="{00000000-0005-0000-0000-0000E5100000}"/>
    <cellStyle name="Input [yellow] 33 2 2" xfId="1597" xr:uid="{00000000-0005-0000-0000-0000E6100000}"/>
    <cellStyle name="Input [yellow] 33 2 2 2" xfId="3841" xr:uid="{00000000-0005-0000-0000-0000E7100000}"/>
    <cellStyle name="Input [yellow] 33 2 3" xfId="3055" xr:uid="{00000000-0005-0000-0000-0000E8100000}"/>
    <cellStyle name="Input [yellow] 33 3" xfId="1524" xr:uid="{00000000-0005-0000-0000-0000E9100000}"/>
    <cellStyle name="Input [yellow] 33 3 2" xfId="3768" xr:uid="{00000000-0005-0000-0000-0000EA100000}"/>
    <cellStyle name="Input [yellow] 33 4" xfId="2310" xr:uid="{00000000-0005-0000-0000-0000EB100000}"/>
    <cellStyle name="Input [yellow] 33 4 2" xfId="4554" xr:uid="{00000000-0005-0000-0000-0000EC100000}"/>
    <cellStyle name="Input [yellow] 34" xfId="322" xr:uid="{00000000-0005-0000-0000-0000ED100000}"/>
    <cellStyle name="Input [yellow] 34 2" xfId="775" xr:uid="{00000000-0005-0000-0000-0000EE100000}"/>
    <cellStyle name="Input [yellow] 34 2 2" xfId="1598" xr:uid="{00000000-0005-0000-0000-0000EF100000}"/>
    <cellStyle name="Input [yellow] 34 2 2 2" xfId="3842" xr:uid="{00000000-0005-0000-0000-0000F0100000}"/>
    <cellStyle name="Input [yellow] 34 2 3" xfId="3056" xr:uid="{00000000-0005-0000-0000-0000F1100000}"/>
    <cellStyle name="Input [yellow] 34 3" xfId="1525" xr:uid="{00000000-0005-0000-0000-0000F2100000}"/>
    <cellStyle name="Input [yellow] 34 3 2" xfId="3769" xr:uid="{00000000-0005-0000-0000-0000F3100000}"/>
    <cellStyle name="Input [yellow] 34 4" xfId="2311" xr:uid="{00000000-0005-0000-0000-0000F4100000}"/>
    <cellStyle name="Input [yellow] 34 4 2" xfId="4555" xr:uid="{00000000-0005-0000-0000-0000F5100000}"/>
    <cellStyle name="Input [yellow] 35" xfId="323" xr:uid="{00000000-0005-0000-0000-0000F6100000}"/>
    <cellStyle name="Input [yellow] 35 2" xfId="776" xr:uid="{00000000-0005-0000-0000-0000F7100000}"/>
    <cellStyle name="Input [yellow] 35 2 2" xfId="1599" xr:uid="{00000000-0005-0000-0000-0000F8100000}"/>
    <cellStyle name="Input [yellow] 35 2 2 2" xfId="3843" xr:uid="{00000000-0005-0000-0000-0000F9100000}"/>
    <cellStyle name="Input [yellow] 35 2 3" xfId="3057" xr:uid="{00000000-0005-0000-0000-0000FA100000}"/>
    <cellStyle name="Input [yellow] 35 3" xfId="1526" xr:uid="{00000000-0005-0000-0000-0000FB100000}"/>
    <cellStyle name="Input [yellow] 35 3 2" xfId="3770" xr:uid="{00000000-0005-0000-0000-0000FC100000}"/>
    <cellStyle name="Input [yellow] 35 4" xfId="2312" xr:uid="{00000000-0005-0000-0000-0000FD100000}"/>
    <cellStyle name="Input [yellow] 35 4 2" xfId="4556" xr:uid="{00000000-0005-0000-0000-0000FE100000}"/>
    <cellStyle name="Input [yellow] 36" xfId="324" xr:uid="{00000000-0005-0000-0000-0000FF100000}"/>
    <cellStyle name="Input [yellow] 36 2" xfId="777" xr:uid="{00000000-0005-0000-0000-000000110000}"/>
    <cellStyle name="Input [yellow] 36 2 2" xfId="1600" xr:uid="{00000000-0005-0000-0000-000001110000}"/>
    <cellStyle name="Input [yellow] 36 2 2 2" xfId="3844" xr:uid="{00000000-0005-0000-0000-000002110000}"/>
    <cellStyle name="Input [yellow] 36 2 3" xfId="3058" xr:uid="{00000000-0005-0000-0000-000003110000}"/>
    <cellStyle name="Input [yellow] 36 3" xfId="1527" xr:uid="{00000000-0005-0000-0000-000004110000}"/>
    <cellStyle name="Input [yellow] 36 3 2" xfId="3771" xr:uid="{00000000-0005-0000-0000-000005110000}"/>
    <cellStyle name="Input [yellow] 36 4" xfId="2313" xr:uid="{00000000-0005-0000-0000-000006110000}"/>
    <cellStyle name="Input [yellow] 36 4 2" xfId="4557" xr:uid="{00000000-0005-0000-0000-000007110000}"/>
    <cellStyle name="Input [yellow] 37" xfId="325" xr:uid="{00000000-0005-0000-0000-000008110000}"/>
    <cellStyle name="Input [yellow] 37 2" xfId="778" xr:uid="{00000000-0005-0000-0000-000009110000}"/>
    <cellStyle name="Input [yellow] 37 2 2" xfId="1601" xr:uid="{00000000-0005-0000-0000-00000A110000}"/>
    <cellStyle name="Input [yellow] 37 2 2 2" xfId="3845" xr:uid="{00000000-0005-0000-0000-00000B110000}"/>
    <cellStyle name="Input [yellow] 37 2 3" xfId="3059" xr:uid="{00000000-0005-0000-0000-00000C110000}"/>
    <cellStyle name="Input [yellow] 37 3" xfId="1528" xr:uid="{00000000-0005-0000-0000-00000D110000}"/>
    <cellStyle name="Input [yellow] 37 3 2" xfId="3772" xr:uid="{00000000-0005-0000-0000-00000E110000}"/>
    <cellStyle name="Input [yellow] 37 4" xfId="2314" xr:uid="{00000000-0005-0000-0000-00000F110000}"/>
    <cellStyle name="Input [yellow] 37 4 2" xfId="4558" xr:uid="{00000000-0005-0000-0000-000010110000}"/>
    <cellStyle name="Input [yellow] 38" xfId="326" xr:uid="{00000000-0005-0000-0000-000011110000}"/>
    <cellStyle name="Input [yellow] 38 2" xfId="779" xr:uid="{00000000-0005-0000-0000-000012110000}"/>
    <cellStyle name="Input [yellow] 38 2 2" xfId="1602" xr:uid="{00000000-0005-0000-0000-000013110000}"/>
    <cellStyle name="Input [yellow] 38 2 2 2" xfId="3846" xr:uid="{00000000-0005-0000-0000-000014110000}"/>
    <cellStyle name="Input [yellow] 38 2 3" xfId="3060" xr:uid="{00000000-0005-0000-0000-000015110000}"/>
    <cellStyle name="Input [yellow] 38 3" xfId="1529" xr:uid="{00000000-0005-0000-0000-000016110000}"/>
    <cellStyle name="Input [yellow] 38 3 2" xfId="3773" xr:uid="{00000000-0005-0000-0000-000017110000}"/>
    <cellStyle name="Input [yellow] 38 4" xfId="2315" xr:uid="{00000000-0005-0000-0000-000018110000}"/>
    <cellStyle name="Input [yellow] 38 4 2" xfId="4559" xr:uid="{00000000-0005-0000-0000-000019110000}"/>
    <cellStyle name="Input [yellow] 39" xfId="327" xr:uid="{00000000-0005-0000-0000-00001A110000}"/>
    <cellStyle name="Input [yellow] 39 2" xfId="780" xr:uid="{00000000-0005-0000-0000-00001B110000}"/>
    <cellStyle name="Input [yellow] 39 2 2" xfId="1603" xr:uid="{00000000-0005-0000-0000-00001C110000}"/>
    <cellStyle name="Input [yellow] 39 2 2 2" xfId="3847" xr:uid="{00000000-0005-0000-0000-00001D110000}"/>
    <cellStyle name="Input [yellow] 39 2 3" xfId="3061" xr:uid="{00000000-0005-0000-0000-00001E110000}"/>
    <cellStyle name="Input [yellow] 39 3" xfId="1530" xr:uid="{00000000-0005-0000-0000-00001F110000}"/>
    <cellStyle name="Input [yellow] 39 3 2" xfId="3774" xr:uid="{00000000-0005-0000-0000-000020110000}"/>
    <cellStyle name="Input [yellow] 39 4" xfId="2316" xr:uid="{00000000-0005-0000-0000-000021110000}"/>
    <cellStyle name="Input [yellow] 39 4 2" xfId="4560" xr:uid="{00000000-0005-0000-0000-000022110000}"/>
    <cellStyle name="Input [yellow] 4" xfId="328" xr:uid="{00000000-0005-0000-0000-000023110000}"/>
    <cellStyle name="Input [yellow] 4 2" xfId="781" xr:uid="{00000000-0005-0000-0000-000024110000}"/>
    <cellStyle name="Input [yellow] 4 2 2" xfId="1604" xr:uid="{00000000-0005-0000-0000-000025110000}"/>
    <cellStyle name="Input [yellow] 4 2 2 2" xfId="3848" xr:uid="{00000000-0005-0000-0000-000026110000}"/>
    <cellStyle name="Input [yellow] 4 2 3" xfId="3062" xr:uid="{00000000-0005-0000-0000-000027110000}"/>
    <cellStyle name="Input [yellow] 4 3" xfId="1531" xr:uid="{00000000-0005-0000-0000-000028110000}"/>
    <cellStyle name="Input [yellow] 4 3 2" xfId="3775" xr:uid="{00000000-0005-0000-0000-000029110000}"/>
    <cellStyle name="Input [yellow] 4 4" xfId="2317" xr:uid="{00000000-0005-0000-0000-00002A110000}"/>
    <cellStyle name="Input [yellow] 4 4 2" xfId="4561" xr:uid="{00000000-0005-0000-0000-00002B110000}"/>
    <cellStyle name="Input [yellow] 40" xfId="329" xr:uid="{00000000-0005-0000-0000-00002C110000}"/>
    <cellStyle name="Input [yellow] 40 2" xfId="782" xr:uid="{00000000-0005-0000-0000-00002D110000}"/>
    <cellStyle name="Input [yellow] 40 2 2" xfId="1605" xr:uid="{00000000-0005-0000-0000-00002E110000}"/>
    <cellStyle name="Input [yellow] 40 2 2 2" xfId="3849" xr:uid="{00000000-0005-0000-0000-00002F110000}"/>
    <cellStyle name="Input [yellow] 40 2 3" xfId="3063" xr:uid="{00000000-0005-0000-0000-000030110000}"/>
    <cellStyle name="Input [yellow] 40 3" xfId="1532" xr:uid="{00000000-0005-0000-0000-000031110000}"/>
    <cellStyle name="Input [yellow] 40 3 2" xfId="3776" xr:uid="{00000000-0005-0000-0000-000032110000}"/>
    <cellStyle name="Input [yellow] 40 4" xfId="2318" xr:uid="{00000000-0005-0000-0000-000033110000}"/>
    <cellStyle name="Input [yellow] 40 4 2" xfId="4562" xr:uid="{00000000-0005-0000-0000-000034110000}"/>
    <cellStyle name="Input [yellow] 41" xfId="330" xr:uid="{00000000-0005-0000-0000-000035110000}"/>
    <cellStyle name="Input [yellow] 41 2" xfId="783" xr:uid="{00000000-0005-0000-0000-000036110000}"/>
    <cellStyle name="Input [yellow] 41 2 2" xfId="1606" xr:uid="{00000000-0005-0000-0000-000037110000}"/>
    <cellStyle name="Input [yellow] 41 2 2 2" xfId="3850" xr:uid="{00000000-0005-0000-0000-000038110000}"/>
    <cellStyle name="Input [yellow] 41 2 3" xfId="3064" xr:uid="{00000000-0005-0000-0000-000039110000}"/>
    <cellStyle name="Input [yellow] 41 3" xfId="1533" xr:uid="{00000000-0005-0000-0000-00003A110000}"/>
    <cellStyle name="Input [yellow] 41 3 2" xfId="3777" xr:uid="{00000000-0005-0000-0000-00003B110000}"/>
    <cellStyle name="Input [yellow] 41 4" xfId="2319" xr:uid="{00000000-0005-0000-0000-00003C110000}"/>
    <cellStyle name="Input [yellow] 41 4 2" xfId="4563" xr:uid="{00000000-0005-0000-0000-00003D110000}"/>
    <cellStyle name="Input [yellow] 42" xfId="331" xr:uid="{00000000-0005-0000-0000-00003E110000}"/>
    <cellStyle name="Input [yellow] 42 2" xfId="784" xr:uid="{00000000-0005-0000-0000-00003F110000}"/>
    <cellStyle name="Input [yellow] 42 2 2" xfId="1607" xr:uid="{00000000-0005-0000-0000-000040110000}"/>
    <cellStyle name="Input [yellow] 42 2 2 2" xfId="3851" xr:uid="{00000000-0005-0000-0000-000041110000}"/>
    <cellStyle name="Input [yellow] 42 2 3" xfId="3065" xr:uid="{00000000-0005-0000-0000-000042110000}"/>
    <cellStyle name="Input [yellow] 42 3" xfId="1534" xr:uid="{00000000-0005-0000-0000-000043110000}"/>
    <cellStyle name="Input [yellow] 42 3 2" xfId="3778" xr:uid="{00000000-0005-0000-0000-000044110000}"/>
    <cellStyle name="Input [yellow] 42 4" xfId="2320" xr:uid="{00000000-0005-0000-0000-000045110000}"/>
    <cellStyle name="Input [yellow] 42 4 2" xfId="4564" xr:uid="{00000000-0005-0000-0000-000046110000}"/>
    <cellStyle name="Input [yellow] 43" xfId="332" xr:uid="{00000000-0005-0000-0000-000047110000}"/>
    <cellStyle name="Input [yellow] 43 2" xfId="785" xr:uid="{00000000-0005-0000-0000-000048110000}"/>
    <cellStyle name="Input [yellow] 43 2 2" xfId="1608" xr:uid="{00000000-0005-0000-0000-000049110000}"/>
    <cellStyle name="Input [yellow] 43 2 2 2" xfId="3852" xr:uid="{00000000-0005-0000-0000-00004A110000}"/>
    <cellStyle name="Input [yellow] 43 2 3" xfId="3066" xr:uid="{00000000-0005-0000-0000-00004B110000}"/>
    <cellStyle name="Input [yellow] 43 3" xfId="1535" xr:uid="{00000000-0005-0000-0000-00004C110000}"/>
    <cellStyle name="Input [yellow] 43 3 2" xfId="3779" xr:uid="{00000000-0005-0000-0000-00004D110000}"/>
    <cellStyle name="Input [yellow] 43 4" xfId="2321" xr:uid="{00000000-0005-0000-0000-00004E110000}"/>
    <cellStyle name="Input [yellow] 43 4 2" xfId="4565" xr:uid="{00000000-0005-0000-0000-00004F110000}"/>
    <cellStyle name="Input [yellow] 44" xfId="333" xr:uid="{00000000-0005-0000-0000-000050110000}"/>
    <cellStyle name="Input [yellow] 44 2" xfId="786" xr:uid="{00000000-0005-0000-0000-000051110000}"/>
    <cellStyle name="Input [yellow] 44 2 2" xfId="1609" xr:uid="{00000000-0005-0000-0000-000052110000}"/>
    <cellStyle name="Input [yellow] 44 2 2 2" xfId="3853" xr:uid="{00000000-0005-0000-0000-000053110000}"/>
    <cellStyle name="Input [yellow] 44 2 3" xfId="3067" xr:uid="{00000000-0005-0000-0000-000054110000}"/>
    <cellStyle name="Input [yellow] 44 3" xfId="1536" xr:uid="{00000000-0005-0000-0000-000055110000}"/>
    <cellStyle name="Input [yellow] 44 3 2" xfId="3780" xr:uid="{00000000-0005-0000-0000-000056110000}"/>
    <cellStyle name="Input [yellow] 44 4" xfId="2322" xr:uid="{00000000-0005-0000-0000-000057110000}"/>
    <cellStyle name="Input [yellow] 44 4 2" xfId="4566" xr:uid="{00000000-0005-0000-0000-000058110000}"/>
    <cellStyle name="Input [yellow] 45" xfId="334" xr:uid="{00000000-0005-0000-0000-000059110000}"/>
    <cellStyle name="Input [yellow] 45 2" xfId="787" xr:uid="{00000000-0005-0000-0000-00005A110000}"/>
    <cellStyle name="Input [yellow] 45 2 2" xfId="1610" xr:uid="{00000000-0005-0000-0000-00005B110000}"/>
    <cellStyle name="Input [yellow] 45 2 2 2" xfId="3854" xr:uid="{00000000-0005-0000-0000-00005C110000}"/>
    <cellStyle name="Input [yellow] 45 2 3" xfId="3068" xr:uid="{00000000-0005-0000-0000-00005D110000}"/>
    <cellStyle name="Input [yellow] 45 3" xfId="1537" xr:uid="{00000000-0005-0000-0000-00005E110000}"/>
    <cellStyle name="Input [yellow] 45 3 2" xfId="3781" xr:uid="{00000000-0005-0000-0000-00005F110000}"/>
    <cellStyle name="Input [yellow] 45 4" xfId="2323" xr:uid="{00000000-0005-0000-0000-000060110000}"/>
    <cellStyle name="Input [yellow] 45 4 2" xfId="4567" xr:uid="{00000000-0005-0000-0000-000061110000}"/>
    <cellStyle name="Input [yellow] 46" xfId="335" xr:uid="{00000000-0005-0000-0000-000062110000}"/>
    <cellStyle name="Input [yellow] 46 2" xfId="788" xr:uid="{00000000-0005-0000-0000-000063110000}"/>
    <cellStyle name="Input [yellow] 46 2 2" xfId="1611" xr:uid="{00000000-0005-0000-0000-000064110000}"/>
    <cellStyle name="Input [yellow] 46 2 2 2" xfId="3855" xr:uid="{00000000-0005-0000-0000-000065110000}"/>
    <cellStyle name="Input [yellow] 46 2 3" xfId="3069" xr:uid="{00000000-0005-0000-0000-000066110000}"/>
    <cellStyle name="Input [yellow] 46 3" xfId="1538" xr:uid="{00000000-0005-0000-0000-000067110000}"/>
    <cellStyle name="Input [yellow] 46 3 2" xfId="3782" xr:uid="{00000000-0005-0000-0000-000068110000}"/>
    <cellStyle name="Input [yellow] 46 4" xfId="2324" xr:uid="{00000000-0005-0000-0000-000069110000}"/>
    <cellStyle name="Input [yellow] 46 4 2" xfId="4568" xr:uid="{00000000-0005-0000-0000-00006A110000}"/>
    <cellStyle name="Input [yellow] 47" xfId="336" xr:uid="{00000000-0005-0000-0000-00006B110000}"/>
    <cellStyle name="Input [yellow] 47 2" xfId="789" xr:uid="{00000000-0005-0000-0000-00006C110000}"/>
    <cellStyle name="Input [yellow] 47 2 2" xfId="1612" xr:uid="{00000000-0005-0000-0000-00006D110000}"/>
    <cellStyle name="Input [yellow] 47 2 2 2" xfId="3856" xr:uid="{00000000-0005-0000-0000-00006E110000}"/>
    <cellStyle name="Input [yellow] 47 2 3" xfId="3070" xr:uid="{00000000-0005-0000-0000-00006F110000}"/>
    <cellStyle name="Input [yellow] 47 3" xfId="1539" xr:uid="{00000000-0005-0000-0000-000070110000}"/>
    <cellStyle name="Input [yellow] 47 3 2" xfId="3783" xr:uid="{00000000-0005-0000-0000-000071110000}"/>
    <cellStyle name="Input [yellow] 47 4" xfId="2325" xr:uid="{00000000-0005-0000-0000-000072110000}"/>
    <cellStyle name="Input [yellow] 47 4 2" xfId="4569" xr:uid="{00000000-0005-0000-0000-000073110000}"/>
    <cellStyle name="Input [yellow] 48" xfId="337" xr:uid="{00000000-0005-0000-0000-000074110000}"/>
    <cellStyle name="Input [yellow] 48 2" xfId="790" xr:uid="{00000000-0005-0000-0000-000075110000}"/>
    <cellStyle name="Input [yellow] 48 2 2" xfId="1613" xr:uid="{00000000-0005-0000-0000-000076110000}"/>
    <cellStyle name="Input [yellow] 48 2 2 2" xfId="3857" xr:uid="{00000000-0005-0000-0000-000077110000}"/>
    <cellStyle name="Input [yellow] 48 2 3" xfId="3071" xr:uid="{00000000-0005-0000-0000-000078110000}"/>
    <cellStyle name="Input [yellow] 48 3" xfId="1540" xr:uid="{00000000-0005-0000-0000-000079110000}"/>
    <cellStyle name="Input [yellow] 48 3 2" xfId="3784" xr:uid="{00000000-0005-0000-0000-00007A110000}"/>
    <cellStyle name="Input [yellow] 48 4" xfId="2326" xr:uid="{00000000-0005-0000-0000-00007B110000}"/>
    <cellStyle name="Input [yellow] 48 4 2" xfId="4570" xr:uid="{00000000-0005-0000-0000-00007C110000}"/>
    <cellStyle name="Input [yellow] 49" xfId="338" xr:uid="{00000000-0005-0000-0000-00007D110000}"/>
    <cellStyle name="Input [yellow] 49 2" xfId="791" xr:uid="{00000000-0005-0000-0000-00007E110000}"/>
    <cellStyle name="Input [yellow] 49 2 2" xfId="1614" xr:uid="{00000000-0005-0000-0000-00007F110000}"/>
    <cellStyle name="Input [yellow] 49 2 2 2" xfId="3858" xr:uid="{00000000-0005-0000-0000-000080110000}"/>
    <cellStyle name="Input [yellow] 49 2 3" xfId="3072" xr:uid="{00000000-0005-0000-0000-000081110000}"/>
    <cellStyle name="Input [yellow] 49 3" xfId="1541" xr:uid="{00000000-0005-0000-0000-000082110000}"/>
    <cellStyle name="Input [yellow] 49 3 2" xfId="3785" xr:uid="{00000000-0005-0000-0000-000083110000}"/>
    <cellStyle name="Input [yellow] 49 4" xfId="2327" xr:uid="{00000000-0005-0000-0000-000084110000}"/>
    <cellStyle name="Input [yellow] 49 4 2" xfId="4571" xr:uid="{00000000-0005-0000-0000-000085110000}"/>
    <cellStyle name="Input [yellow] 5" xfId="339" xr:uid="{00000000-0005-0000-0000-000086110000}"/>
    <cellStyle name="Input [yellow] 5 2" xfId="792" xr:uid="{00000000-0005-0000-0000-000087110000}"/>
    <cellStyle name="Input [yellow] 5 2 2" xfId="1615" xr:uid="{00000000-0005-0000-0000-000088110000}"/>
    <cellStyle name="Input [yellow] 5 2 2 2" xfId="3859" xr:uid="{00000000-0005-0000-0000-000089110000}"/>
    <cellStyle name="Input [yellow] 5 2 3" xfId="3073" xr:uid="{00000000-0005-0000-0000-00008A110000}"/>
    <cellStyle name="Input [yellow] 5 3" xfId="1542" xr:uid="{00000000-0005-0000-0000-00008B110000}"/>
    <cellStyle name="Input [yellow] 5 3 2" xfId="3786" xr:uid="{00000000-0005-0000-0000-00008C110000}"/>
    <cellStyle name="Input [yellow] 5 4" xfId="2328" xr:uid="{00000000-0005-0000-0000-00008D110000}"/>
    <cellStyle name="Input [yellow] 5 4 2" xfId="4572" xr:uid="{00000000-0005-0000-0000-00008E110000}"/>
    <cellStyle name="Input [yellow] 50" xfId="340" xr:uid="{00000000-0005-0000-0000-00008F110000}"/>
    <cellStyle name="Input [yellow] 50 2" xfId="793" xr:uid="{00000000-0005-0000-0000-000090110000}"/>
    <cellStyle name="Input [yellow] 50 2 2" xfId="1616" xr:uid="{00000000-0005-0000-0000-000091110000}"/>
    <cellStyle name="Input [yellow] 50 2 2 2" xfId="3860" xr:uid="{00000000-0005-0000-0000-000092110000}"/>
    <cellStyle name="Input [yellow] 50 2 3" xfId="3074" xr:uid="{00000000-0005-0000-0000-000093110000}"/>
    <cellStyle name="Input [yellow] 50 3" xfId="1543" xr:uid="{00000000-0005-0000-0000-000094110000}"/>
    <cellStyle name="Input [yellow] 50 3 2" xfId="3787" xr:uid="{00000000-0005-0000-0000-000095110000}"/>
    <cellStyle name="Input [yellow] 50 4" xfId="2329" xr:uid="{00000000-0005-0000-0000-000096110000}"/>
    <cellStyle name="Input [yellow] 50 4 2" xfId="4573" xr:uid="{00000000-0005-0000-0000-000097110000}"/>
    <cellStyle name="Input [yellow] 51" xfId="341" xr:uid="{00000000-0005-0000-0000-000098110000}"/>
    <cellStyle name="Input [yellow] 51 2" xfId="794" xr:uid="{00000000-0005-0000-0000-000099110000}"/>
    <cellStyle name="Input [yellow] 51 2 2" xfId="1617" xr:uid="{00000000-0005-0000-0000-00009A110000}"/>
    <cellStyle name="Input [yellow] 51 2 2 2" xfId="3861" xr:uid="{00000000-0005-0000-0000-00009B110000}"/>
    <cellStyle name="Input [yellow] 51 2 3" xfId="3075" xr:uid="{00000000-0005-0000-0000-00009C110000}"/>
    <cellStyle name="Input [yellow] 51 3" xfId="1544" xr:uid="{00000000-0005-0000-0000-00009D110000}"/>
    <cellStyle name="Input [yellow] 51 3 2" xfId="3788" xr:uid="{00000000-0005-0000-0000-00009E110000}"/>
    <cellStyle name="Input [yellow] 51 4" xfId="2330" xr:uid="{00000000-0005-0000-0000-00009F110000}"/>
    <cellStyle name="Input [yellow] 51 4 2" xfId="4574" xr:uid="{00000000-0005-0000-0000-0000A0110000}"/>
    <cellStyle name="Input [yellow] 52" xfId="342" xr:uid="{00000000-0005-0000-0000-0000A1110000}"/>
    <cellStyle name="Input [yellow] 52 2" xfId="795" xr:uid="{00000000-0005-0000-0000-0000A2110000}"/>
    <cellStyle name="Input [yellow] 52 2 2" xfId="1618" xr:uid="{00000000-0005-0000-0000-0000A3110000}"/>
    <cellStyle name="Input [yellow] 52 2 2 2" xfId="3862" xr:uid="{00000000-0005-0000-0000-0000A4110000}"/>
    <cellStyle name="Input [yellow] 52 2 3" xfId="3076" xr:uid="{00000000-0005-0000-0000-0000A5110000}"/>
    <cellStyle name="Input [yellow] 52 3" xfId="1545" xr:uid="{00000000-0005-0000-0000-0000A6110000}"/>
    <cellStyle name="Input [yellow] 52 3 2" xfId="3789" xr:uid="{00000000-0005-0000-0000-0000A7110000}"/>
    <cellStyle name="Input [yellow] 52 4" xfId="2331" xr:uid="{00000000-0005-0000-0000-0000A8110000}"/>
    <cellStyle name="Input [yellow] 52 4 2" xfId="4575" xr:uid="{00000000-0005-0000-0000-0000A9110000}"/>
    <cellStyle name="Input [yellow] 53" xfId="343" xr:uid="{00000000-0005-0000-0000-0000AA110000}"/>
    <cellStyle name="Input [yellow] 54" xfId="747" xr:uid="{00000000-0005-0000-0000-0000AB110000}"/>
    <cellStyle name="Input [yellow] 54 2" xfId="1570" xr:uid="{00000000-0005-0000-0000-0000AC110000}"/>
    <cellStyle name="Input [yellow] 54 2 2" xfId="3814" xr:uid="{00000000-0005-0000-0000-0000AD110000}"/>
    <cellStyle name="Input [yellow] 54 3" xfId="3028" xr:uid="{00000000-0005-0000-0000-0000AE110000}"/>
    <cellStyle name="Input [yellow] 55" xfId="1497" xr:uid="{00000000-0005-0000-0000-0000AF110000}"/>
    <cellStyle name="Input [yellow] 55 2" xfId="3741" xr:uid="{00000000-0005-0000-0000-0000B0110000}"/>
    <cellStyle name="Input [yellow] 56" xfId="2283" xr:uid="{00000000-0005-0000-0000-0000B1110000}"/>
    <cellStyle name="Input [yellow] 56 2" xfId="4527" xr:uid="{00000000-0005-0000-0000-0000B2110000}"/>
    <cellStyle name="Input [yellow] 6" xfId="344" xr:uid="{00000000-0005-0000-0000-0000B3110000}"/>
    <cellStyle name="Input [yellow] 6 2" xfId="796" xr:uid="{00000000-0005-0000-0000-0000B4110000}"/>
    <cellStyle name="Input [yellow] 6 2 2" xfId="1619" xr:uid="{00000000-0005-0000-0000-0000B5110000}"/>
    <cellStyle name="Input [yellow] 6 2 2 2" xfId="3863" xr:uid="{00000000-0005-0000-0000-0000B6110000}"/>
    <cellStyle name="Input [yellow] 6 2 3" xfId="3077" xr:uid="{00000000-0005-0000-0000-0000B7110000}"/>
    <cellStyle name="Input [yellow] 6 3" xfId="1546" xr:uid="{00000000-0005-0000-0000-0000B8110000}"/>
    <cellStyle name="Input [yellow] 6 3 2" xfId="3790" xr:uid="{00000000-0005-0000-0000-0000B9110000}"/>
    <cellStyle name="Input [yellow] 6 4" xfId="2332" xr:uid="{00000000-0005-0000-0000-0000BA110000}"/>
    <cellStyle name="Input [yellow] 6 4 2" xfId="4576" xr:uid="{00000000-0005-0000-0000-0000BB110000}"/>
    <cellStyle name="Input [yellow] 7" xfId="345" xr:uid="{00000000-0005-0000-0000-0000BC110000}"/>
    <cellStyle name="Input [yellow] 7 2" xfId="797" xr:uid="{00000000-0005-0000-0000-0000BD110000}"/>
    <cellStyle name="Input [yellow] 7 2 2" xfId="1620" xr:uid="{00000000-0005-0000-0000-0000BE110000}"/>
    <cellStyle name="Input [yellow] 7 2 2 2" xfId="3864" xr:uid="{00000000-0005-0000-0000-0000BF110000}"/>
    <cellStyle name="Input [yellow] 7 2 3" xfId="3078" xr:uid="{00000000-0005-0000-0000-0000C0110000}"/>
    <cellStyle name="Input [yellow] 7 3" xfId="1547" xr:uid="{00000000-0005-0000-0000-0000C1110000}"/>
    <cellStyle name="Input [yellow] 7 3 2" xfId="3791" xr:uid="{00000000-0005-0000-0000-0000C2110000}"/>
    <cellStyle name="Input [yellow] 7 4" xfId="2333" xr:uid="{00000000-0005-0000-0000-0000C3110000}"/>
    <cellStyle name="Input [yellow] 7 4 2" xfId="4577" xr:uid="{00000000-0005-0000-0000-0000C4110000}"/>
    <cellStyle name="Input [yellow] 8" xfId="346" xr:uid="{00000000-0005-0000-0000-0000C5110000}"/>
    <cellStyle name="Input [yellow] 8 2" xfId="798" xr:uid="{00000000-0005-0000-0000-0000C6110000}"/>
    <cellStyle name="Input [yellow] 8 2 2" xfId="1621" xr:uid="{00000000-0005-0000-0000-0000C7110000}"/>
    <cellStyle name="Input [yellow] 8 2 2 2" xfId="3865" xr:uid="{00000000-0005-0000-0000-0000C8110000}"/>
    <cellStyle name="Input [yellow] 8 2 3" xfId="3079" xr:uid="{00000000-0005-0000-0000-0000C9110000}"/>
    <cellStyle name="Input [yellow] 8 3" xfId="1548" xr:uid="{00000000-0005-0000-0000-0000CA110000}"/>
    <cellStyle name="Input [yellow] 8 3 2" xfId="3792" xr:uid="{00000000-0005-0000-0000-0000CB110000}"/>
    <cellStyle name="Input [yellow] 8 4" xfId="2334" xr:uid="{00000000-0005-0000-0000-0000CC110000}"/>
    <cellStyle name="Input [yellow] 8 4 2" xfId="4578" xr:uid="{00000000-0005-0000-0000-0000CD110000}"/>
    <cellStyle name="Input [yellow] 9" xfId="347" xr:uid="{00000000-0005-0000-0000-0000CE110000}"/>
    <cellStyle name="Input [yellow] 9 2" xfId="799" xr:uid="{00000000-0005-0000-0000-0000CF110000}"/>
    <cellStyle name="Input [yellow] 9 2 2" xfId="1622" xr:uid="{00000000-0005-0000-0000-0000D0110000}"/>
    <cellStyle name="Input [yellow] 9 2 2 2" xfId="3866" xr:uid="{00000000-0005-0000-0000-0000D1110000}"/>
    <cellStyle name="Input [yellow] 9 2 3" xfId="3080" xr:uid="{00000000-0005-0000-0000-0000D2110000}"/>
    <cellStyle name="Input [yellow] 9 3" xfId="1549" xr:uid="{00000000-0005-0000-0000-0000D3110000}"/>
    <cellStyle name="Input [yellow] 9 3 2" xfId="3793" xr:uid="{00000000-0005-0000-0000-0000D4110000}"/>
    <cellStyle name="Input [yellow] 9 4" xfId="2335" xr:uid="{00000000-0005-0000-0000-0000D5110000}"/>
    <cellStyle name="Input [yellow] 9 4 2" xfId="4579" xr:uid="{00000000-0005-0000-0000-0000D6110000}"/>
    <cellStyle name="Link Currency (0)" xfId="348" xr:uid="{00000000-0005-0000-0000-0000D7110000}"/>
    <cellStyle name="Link Currency (2)" xfId="349" xr:uid="{00000000-0005-0000-0000-0000D8110000}"/>
    <cellStyle name="Link Units (0)" xfId="350" xr:uid="{00000000-0005-0000-0000-0000D9110000}"/>
    <cellStyle name="Link Units (1)" xfId="351" xr:uid="{00000000-0005-0000-0000-0000DA110000}"/>
    <cellStyle name="Link Units (2)" xfId="352" xr:uid="{00000000-0005-0000-0000-0000DB110000}"/>
    <cellStyle name="Model" xfId="353" xr:uid="{00000000-0005-0000-0000-0000DC110000}"/>
    <cellStyle name="Model 2" xfId="354" xr:uid="{00000000-0005-0000-0000-0000DD110000}"/>
    <cellStyle name="no dec" xfId="355" xr:uid="{00000000-0005-0000-0000-0000DE110000}"/>
    <cellStyle name="Normal" xfId="0" builtinId="0"/>
    <cellStyle name="Normal - Style1" xfId="356" xr:uid="{00000000-0005-0000-0000-0000E0110000}"/>
    <cellStyle name="Normal - Style1 2" xfId="357" xr:uid="{00000000-0005-0000-0000-0000E1110000}"/>
    <cellStyle name="Normal 10" xfId="358" xr:uid="{00000000-0005-0000-0000-0000E2110000}"/>
    <cellStyle name="Normal 10 10" xfId="359" xr:uid="{00000000-0005-0000-0000-0000E3110000}"/>
    <cellStyle name="Normal 10 11" xfId="360" xr:uid="{00000000-0005-0000-0000-0000E4110000}"/>
    <cellStyle name="Normal 10 12" xfId="361" xr:uid="{00000000-0005-0000-0000-0000E5110000}"/>
    <cellStyle name="Normal 10 13" xfId="362" xr:uid="{00000000-0005-0000-0000-0000E6110000}"/>
    <cellStyle name="Normal 10 14" xfId="363" xr:uid="{00000000-0005-0000-0000-0000E7110000}"/>
    <cellStyle name="Normal 10 15" xfId="364" xr:uid="{00000000-0005-0000-0000-0000E8110000}"/>
    <cellStyle name="Normal 10 16" xfId="365" xr:uid="{00000000-0005-0000-0000-0000E9110000}"/>
    <cellStyle name="Normal 10 17" xfId="366" xr:uid="{00000000-0005-0000-0000-0000EA110000}"/>
    <cellStyle name="Normal 10 18" xfId="367" xr:uid="{00000000-0005-0000-0000-0000EB110000}"/>
    <cellStyle name="Normal 10 19" xfId="368" xr:uid="{00000000-0005-0000-0000-0000EC110000}"/>
    <cellStyle name="Normal 10 2" xfId="369" xr:uid="{00000000-0005-0000-0000-0000ED110000}"/>
    <cellStyle name="Normal 10 2 2" xfId="1320" xr:uid="{00000000-0005-0000-0000-0000EE110000}"/>
    <cellStyle name="Normal 10 20" xfId="370" xr:uid="{00000000-0005-0000-0000-0000EF110000}"/>
    <cellStyle name="Normal 10 21" xfId="371" xr:uid="{00000000-0005-0000-0000-0000F0110000}"/>
    <cellStyle name="Normal 10 3" xfId="372" xr:uid="{00000000-0005-0000-0000-0000F1110000}"/>
    <cellStyle name="Normal 10 4" xfId="373" xr:uid="{00000000-0005-0000-0000-0000F2110000}"/>
    <cellStyle name="Normal 10 5" xfId="374" xr:uid="{00000000-0005-0000-0000-0000F3110000}"/>
    <cellStyle name="Normal 10 6" xfId="375" xr:uid="{00000000-0005-0000-0000-0000F4110000}"/>
    <cellStyle name="Normal 10 7" xfId="376" xr:uid="{00000000-0005-0000-0000-0000F5110000}"/>
    <cellStyle name="Normal 10 8" xfId="377" xr:uid="{00000000-0005-0000-0000-0000F6110000}"/>
    <cellStyle name="Normal 10 9" xfId="378" xr:uid="{00000000-0005-0000-0000-0000F7110000}"/>
    <cellStyle name="Normal 10_BS S-Sch" xfId="379" xr:uid="{00000000-0005-0000-0000-0000F8110000}"/>
    <cellStyle name="Normal 11" xfId="380" xr:uid="{00000000-0005-0000-0000-0000F9110000}"/>
    <cellStyle name="Normal 11 10" xfId="381" xr:uid="{00000000-0005-0000-0000-0000FA110000}"/>
    <cellStyle name="Normal 11 11" xfId="382" xr:uid="{00000000-0005-0000-0000-0000FB110000}"/>
    <cellStyle name="Normal 11 12" xfId="383" xr:uid="{00000000-0005-0000-0000-0000FC110000}"/>
    <cellStyle name="Normal 11 13" xfId="384" xr:uid="{00000000-0005-0000-0000-0000FD110000}"/>
    <cellStyle name="Normal 11 14" xfId="385" xr:uid="{00000000-0005-0000-0000-0000FE110000}"/>
    <cellStyle name="Normal 11 15" xfId="386" xr:uid="{00000000-0005-0000-0000-0000FF110000}"/>
    <cellStyle name="Normal 11 16" xfId="387" xr:uid="{00000000-0005-0000-0000-000000120000}"/>
    <cellStyle name="Normal 11 17" xfId="388" xr:uid="{00000000-0005-0000-0000-000001120000}"/>
    <cellStyle name="Normal 11 18" xfId="389" xr:uid="{00000000-0005-0000-0000-000002120000}"/>
    <cellStyle name="Normal 11 19" xfId="390" xr:uid="{00000000-0005-0000-0000-000003120000}"/>
    <cellStyle name="Normal 11 2" xfId="391" xr:uid="{00000000-0005-0000-0000-000004120000}"/>
    <cellStyle name="Normal 11 20" xfId="392" xr:uid="{00000000-0005-0000-0000-000005120000}"/>
    <cellStyle name="Normal 11 21" xfId="393" xr:uid="{00000000-0005-0000-0000-000006120000}"/>
    <cellStyle name="Normal 11 3" xfId="394" xr:uid="{00000000-0005-0000-0000-000007120000}"/>
    <cellStyle name="Normal 11 4" xfId="395" xr:uid="{00000000-0005-0000-0000-000008120000}"/>
    <cellStyle name="Normal 11 5" xfId="396" xr:uid="{00000000-0005-0000-0000-000009120000}"/>
    <cellStyle name="Normal 11 6" xfId="397" xr:uid="{00000000-0005-0000-0000-00000A120000}"/>
    <cellStyle name="Normal 11 7" xfId="398" xr:uid="{00000000-0005-0000-0000-00000B120000}"/>
    <cellStyle name="Normal 11 8" xfId="399" xr:uid="{00000000-0005-0000-0000-00000C120000}"/>
    <cellStyle name="Normal 11 9" xfId="400" xr:uid="{00000000-0005-0000-0000-00000D120000}"/>
    <cellStyle name="Normal 11_BS S-Sch" xfId="401" xr:uid="{00000000-0005-0000-0000-00000E120000}"/>
    <cellStyle name="Normal 12" xfId="402" xr:uid="{00000000-0005-0000-0000-00000F120000}"/>
    <cellStyle name="Normal 13" xfId="403" xr:uid="{00000000-0005-0000-0000-000010120000}"/>
    <cellStyle name="Normal 14" xfId="404" xr:uid="{00000000-0005-0000-0000-000011120000}"/>
    <cellStyle name="Normal 15" xfId="32" xr:uid="{00000000-0005-0000-0000-000012120000}"/>
    <cellStyle name="Normal 15 2" xfId="405" xr:uid="{00000000-0005-0000-0000-000013120000}"/>
    <cellStyle name="Normal 16" xfId="406" xr:uid="{00000000-0005-0000-0000-000014120000}"/>
    <cellStyle name="Normal 17" xfId="407" xr:uid="{00000000-0005-0000-0000-000015120000}"/>
    <cellStyle name="Normal 18" xfId="408" xr:uid="{00000000-0005-0000-0000-000016120000}"/>
    <cellStyle name="Normal 18 10" xfId="409" xr:uid="{00000000-0005-0000-0000-000017120000}"/>
    <cellStyle name="Normal 18 11" xfId="410" xr:uid="{00000000-0005-0000-0000-000018120000}"/>
    <cellStyle name="Normal 18 12" xfId="411" xr:uid="{00000000-0005-0000-0000-000019120000}"/>
    <cellStyle name="Normal 18 13" xfId="412" xr:uid="{00000000-0005-0000-0000-00001A120000}"/>
    <cellStyle name="Normal 18 14" xfId="413" xr:uid="{00000000-0005-0000-0000-00001B120000}"/>
    <cellStyle name="Normal 18 15" xfId="414" xr:uid="{00000000-0005-0000-0000-00001C120000}"/>
    <cellStyle name="Normal 18 16" xfId="415" xr:uid="{00000000-0005-0000-0000-00001D120000}"/>
    <cellStyle name="Normal 18 17" xfId="416" xr:uid="{00000000-0005-0000-0000-00001E120000}"/>
    <cellStyle name="Normal 18 18" xfId="417" xr:uid="{00000000-0005-0000-0000-00001F120000}"/>
    <cellStyle name="Normal 18 19" xfId="418" xr:uid="{00000000-0005-0000-0000-000020120000}"/>
    <cellStyle name="Normal 18 2" xfId="419" xr:uid="{00000000-0005-0000-0000-000021120000}"/>
    <cellStyle name="Normal 18 20" xfId="420" xr:uid="{00000000-0005-0000-0000-000022120000}"/>
    <cellStyle name="Normal 18 21" xfId="421" xr:uid="{00000000-0005-0000-0000-000023120000}"/>
    <cellStyle name="Normal 18 3" xfId="422" xr:uid="{00000000-0005-0000-0000-000024120000}"/>
    <cellStyle name="Normal 18 4" xfId="423" xr:uid="{00000000-0005-0000-0000-000025120000}"/>
    <cellStyle name="Normal 18 5" xfId="424" xr:uid="{00000000-0005-0000-0000-000026120000}"/>
    <cellStyle name="Normal 18 6" xfId="425" xr:uid="{00000000-0005-0000-0000-000027120000}"/>
    <cellStyle name="Normal 18 7" xfId="426" xr:uid="{00000000-0005-0000-0000-000028120000}"/>
    <cellStyle name="Normal 18 8" xfId="427" xr:uid="{00000000-0005-0000-0000-000029120000}"/>
    <cellStyle name="Normal 18 9" xfId="428" xr:uid="{00000000-0005-0000-0000-00002A120000}"/>
    <cellStyle name="Normal 18_BS S-Sch" xfId="429" xr:uid="{00000000-0005-0000-0000-00002B120000}"/>
    <cellStyle name="Normal 183 2" xfId="5093" xr:uid="{00000000-0005-0000-0000-00002C120000}"/>
    <cellStyle name="Normal 19" xfId="599" xr:uid="{00000000-0005-0000-0000-00002D120000}"/>
    <cellStyle name="Normal 2" xfId="11" xr:uid="{00000000-0005-0000-0000-00002E120000}"/>
    <cellStyle name="Normal 2 10" xfId="430" xr:uid="{00000000-0005-0000-0000-00002F120000}"/>
    <cellStyle name="Normal 2 11" xfId="431" xr:uid="{00000000-0005-0000-0000-000030120000}"/>
    <cellStyle name="Normal 2 12" xfId="432" xr:uid="{00000000-0005-0000-0000-000031120000}"/>
    <cellStyle name="Normal 2 13" xfId="433" xr:uid="{00000000-0005-0000-0000-000032120000}"/>
    <cellStyle name="Normal 2 14" xfId="434" xr:uid="{00000000-0005-0000-0000-000033120000}"/>
    <cellStyle name="Normal 2 15" xfId="435" xr:uid="{00000000-0005-0000-0000-000034120000}"/>
    <cellStyle name="Normal 2 16" xfId="436" xr:uid="{00000000-0005-0000-0000-000035120000}"/>
    <cellStyle name="Normal 2 17" xfId="437" xr:uid="{00000000-0005-0000-0000-000036120000}"/>
    <cellStyle name="Normal 2 18" xfId="438" xr:uid="{00000000-0005-0000-0000-000037120000}"/>
    <cellStyle name="Normal 2 19" xfId="439" xr:uid="{00000000-0005-0000-0000-000038120000}"/>
    <cellStyle name="Normal 2 2" xfId="33" xr:uid="{00000000-0005-0000-0000-000039120000}"/>
    <cellStyle name="Normal 2 2 2" xfId="440" xr:uid="{00000000-0005-0000-0000-00003A120000}"/>
    <cellStyle name="Normal 2 20" xfId="441" xr:uid="{00000000-0005-0000-0000-00003B120000}"/>
    <cellStyle name="Normal 2 21" xfId="442" xr:uid="{00000000-0005-0000-0000-00003C120000}"/>
    <cellStyle name="Normal 2 22" xfId="443" xr:uid="{00000000-0005-0000-0000-00003D120000}"/>
    <cellStyle name="Normal 2 23" xfId="444" xr:uid="{00000000-0005-0000-0000-00003E120000}"/>
    <cellStyle name="Normal 2 24" xfId="445" xr:uid="{00000000-0005-0000-0000-00003F120000}"/>
    <cellStyle name="Normal 2 25" xfId="446" xr:uid="{00000000-0005-0000-0000-000040120000}"/>
    <cellStyle name="Normal 2 26" xfId="447" xr:uid="{00000000-0005-0000-0000-000041120000}"/>
    <cellStyle name="Normal 2 27" xfId="448" xr:uid="{00000000-0005-0000-0000-000042120000}"/>
    <cellStyle name="Normal 2 28" xfId="449" xr:uid="{00000000-0005-0000-0000-000043120000}"/>
    <cellStyle name="Normal 2 29" xfId="450" xr:uid="{00000000-0005-0000-0000-000044120000}"/>
    <cellStyle name="Normal 2 3" xfId="451" xr:uid="{00000000-0005-0000-0000-000045120000}"/>
    <cellStyle name="Normal 2 30" xfId="452" xr:uid="{00000000-0005-0000-0000-000046120000}"/>
    <cellStyle name="Normal 2 31" xfId="453" xr:uid="{00000000-0005-0000-0000-000047120000}"/>
    <cellStyle name="Normal 2 32" xfId="454" xr:uid="{00000000-0005-0000-0000-000048120000}"/>
    <cellStyle name="Normal 2 33" xfId="455" xr:uid="{00000000-0005-0000-0000-000049120000}"/>
    <cellStyle name="Normal 2 34" xfId="456" xr:uid="{00000000-0005-0000-0000-00004A120000}"/>
    <cellStyle name="Normal 2 35" xfId="457" xr:uid="{00000000-0005-0000-0000-00004B120000}"/>
    <cellStyle name="Normal 2 36" xfId="458" xr:uid="{00000000-0005-0000-0000-00004C120000}"/>
    <cellStyle name="Normal 2 37" xfId="459" xr:uid="{00000000-0005-0000-0000-00004D120000}"/>
    <cellStyle name="Normal 2 38" xfId="460" xr:uid="{00000000-0005-0000-0000-00004E120000}"/>
    <cellStyle name="Normal 2 39" xfId="461" xr:uid="{00000000-0005-0000-0000-00004F120000}"/>
    <cellStyle name="Normal 2 4" xfId="462" xr:uid="{00000000-0005-0000-0000-000050120000}"/>
    <cellStyle name="Normal 2 40" xfId="463" xr:uid="{00000000-0005-0000-0000-000051120000}"/>
    <cellStyle name="Normal 2 41" xfId="464" xr:uid="{00000000-0005-0000-0000-000052120000}"/>
    <cellStyle name="Normal 2 42" xfId="465" xr:uid="{00000000-0005-0000-0000-000053120000}"/>
    <cellStyle name="Normal 2 43" xfId="466" xr:uid="{00000000-0005-0000-0000-000054120000}"/>
    <cellStyle name="Normal 2 44" xfId="467" xr:uid="{00000000-0005-0000-0000-000055120000}"/>
    <cellStyle name="Normal 2 45" xfId="468" xr:uid="{00000000-0005-0000-0000-000056120000}"/>
    <cellStyle name="Normal 2 46" xfId="469" xr:uid="{00000000-0005-0000-0000-000057120000}"/>
    <cellStyle name="Normal 2 47" xfId="470" xr:uid="{00000000-0005-0000-0000-000058120000}"/>
    <cellStyle name="Normal 2 48" xfId="471" xr:uid="{00000000-0005-0000-0000-000059120000}"/>
    <cellStyle name="Normal 2 49" xfId="472" xr:uid="{00000000-0005-0000-0000-00005A120000}"/>
    <cellStyle name="Normal 2 5" xfId="473" xr:uid="{00000000-0005-0000-0000-00005B120000}"/>
    <cellStyle name="Normal 2 50" xfId="474" xr:uid="{00000000-0005-0000-0000-00005C120000}"/>
    <cellStyle name="Normal 2 51" xfId="475" xr:uid="{00000000-0005-0000-0000-00005D120000}"/>
    <cellStyle name="Normal 2 52" xfId="476" xr:uid="{00000000-0005-0000-0000-00005E120000}"/>
    <cellStyle name="Normal 2 53" xfId="477" xr:uid="{00000000-0005-0000-0000-00005F120000}"/>
    <cellStyle name="Normal 2 54" xfId="478" xr:uid="{00000000-0005-0000-0000-000060120000}"/>
    <cellStyle name="Normal 2 55" xfId="479" xr:uid="{00000000-0005-0000-0000-000061120000}"/>
    <cellStyle name="Normal 2 56" xfId="480" xr:uid="{00000000-0005-0000-0000-000062120000}"/>
    <cellStyle name="Normal 2 57" xfId="481" xr:uid="{00000000-0005-0000-0000-000063120000}"/>
    <cellStyle name="Normal 2 58" xfId="482" xr:uid="{00000000-0005-0000-0000-000064120000}"/>
    <cellStyle name="Normal 2 59" xfId="483" xr:uid="{00000000-0005-0000-0000-000065120000}"/>
    <cellStyle name="Normal 2 6" xfId="484" xr:uid="{00000000-0005-0000-0000-000066120000}"/>
    <cellStyle name="Normal 2 60" xfId="485" xr:uid="{00000000-0005-0000-0000-000067120000}"/>
    <cellStyle name="Normal 2 61" xfId="486" xr:uid="{00000000-0005-0000-0000-000068120000}"/>
    <cellStyle name="Normal 2 62" xfId="487" xr:uid="{00000000-0005-0000-0000-000069120000}"/>
    <cellStyle name="Normal 2 63" xfId="488" xr:uid="{00000000-0005-0000-0000-00006A120000}"/>
    <cellStyle name="Normal 2 64" xfId="489" xr:uid="{00000000-0005-0000-0000-00006B120000}"/>
    <cellStyle name="Normal 2 65" xfId="490" xr:uid="{00000000-0005-0000-0000-00006C120000}"/>
    <cellStyle name="Normal 2 66" xfId="491" xr:uid="{00000000-0005-0000-0000-00006D120000}"/>
    <cellStyle name="Normal 2 67" xfId="492" xr:uid="{00000000-0005-0000-0000-00006E120000}"/>
    <cellStyle name="Normal 2 68" xfId="493" xr:uid="{00000000-0005-0000-0000-00006F120000}"/>
    <cellStyle name="Normal 2 69" xfId="494" xr:uid="{00000000-0005-0000-0000-000070120000}"/>
    <cellStyle name="Normal 2 7" xfId="495" xr:uid="{00000000-0005-0000-0000-000071120000}"/>
    <cellStyle name="Normal 2 70" xfId="496" xr:uid="{00000000-0005-0000-0000-000072120000}"/>
    <cellStyle name="Normal 2 71" xfId="497" xr:uid="{00000000-0005-0000-0000-000073120000}"/>
    <cellStyle name="Normal 2 72" xfId="498" xr:uid="{00000000-0005-0000-0000-000074120000}"/>
    <cellStyle name="Normal 2 73" xfId="499" xr:uid="{00000000-0005-0000-0000-000075120000}"/>
    <cellStyle name="Normal 2 74" xfId="500" xr:uid="{00000000-0005-0000-0000-000076120000}"/>
    <cellStyle name="Normal 2 75" xfId="501" xr:uid="{00000000-0005-0000-0000-000077120000}"/>
    <cellStyle name="Normal 2 76" xfId="502" xr:uid="{00000000-0005-0000-0000-000078120000}"/>
    <cellStyle name="Normal 2 77" xfId="503" xr:uid="{00000000-0005-0000-0000-000079120000}"/>
    <cellStyle name="Normal 2 78" xfId="504" xr:uid="{00000000-0005-0000-0000-00007A120000}"/>
    <cellStyle name="Normal 2 79" xfId="505" xr:uid="{00000000-0005-0000-0000-00007B120000}"/>
    <cellStyle name="Normal 2 8" xfId="506" xr:uid="{00000000-0005-0000-0000-00007C120000}"/>
    <cellStyle name="Normal 2 80" xfId="507" xr:uid="{00000000-0005-0000-0000-00007D120000}"/>
    <cellStyle name="Normal 2 81" xfId="508" xr:uid="{00000000-0005-0000-0000-00007E120000}"/>
    <cellStyle name="Normal 2 82" xfId="509" xr:uid="{00000000-0005-0000-0000-00007F120000}"/>
    <cellStyle name="Normal 2 83" xfId="510" xr:uid="{00000000-0005-0000-0000-000080120000}"/>
    <cellStyle name="Normal 2 84" xfId="511" xr:uid="{00000000-0005-0000-0000-000081120000}"/>
    <cellStyle name="Normal 2 85" xfId="512" xr:uid="{00000000-0005-0000-0000-000082120000}"/>
    <cellStyle name="Normal 2 86" xfId="513" xr:uid="{00000000-0005-0000-0000-000083120000}"/>
    <cellStyle name="Normal 2 87" xfId="514" xr:uid="{00000000-0005-0000-0000-000084120000}"/>
    <cellStyle name="Normal 2 88" xfId="515" xr:uid="{00000000-0005-0000-0000-000085120000}"/>
    <cellStyle name="Normal 2 89" xfId="516" xr:uid="{00000000-0005-0000-0000-000086120000}"/>
    <cellStyle name="Normal 2 9" xfId="517" xr:uid="{00000000-0005-0000-0000-000087120000}"/>
    <cellStyle name="Normal 2 90" xfId="5096" xr:uid="{00000000-0005-0000-0000-000088120000}"/>
    <cellStyle name="Normal 2_BS S-Sch" xfId="518" xr:uid="{00000000-0005-0000-0000-000089120000}"/>
    <cellStyle name="Normal 20" xfId="519" xr:uid="{00000000-0005-0000-0000-00008A120000}"/>
    <cellStyle name="Normal 21" xfId="818" xr:uid="{00000000-0005-0000-0000-00008B120000}"/>
    <cellStyle name="Normal 22" xfId="819" xr:uid="{00000000-0005-0000-0000-00008C120000}"/>
    <cellStyle name="Normal 23" xfId="820" xr:uid="{00000000-0005-0000-0000-00008D120000}"/>
    <cellStyle name="Normal 24" xfId="822" xr:uid="{00000000-0005-0000-0000-00008E120000}"/>
    <cellStyle name="Normal 25" xfId="520" xr:uid="{00000000-0005-0000-0000-00008F120000}"/>
    <cellStyle name="Normal 26" xfId="521" xr:uid="{00000000-0005-0000-0000-000090120000}"/>
    <cellStyle name="Normal 27" xfId="823" xr:uid="{00000000-0005-0000-0000-000091120000}"/>
    <cellStyle name="Normal 28" xfId="725" xr:uid="{00000000-0005-0000-0000-000092120000}"/>
    <cellStyle name="Normal 29" xfId="830" xr:uid="{00000000-0005-0000-0000-000093120000}"/>
    <cellStyle name="Normal 3" xfId="4" xr:uid="{00000000-0005-0000-0000-000094120000}"/>
    <cellStyle name="Normal 3 10" xfId="522" xr:uid="{00000000-0005-0000-0000-000095120000}"/>
    <cellStyle name="Normal 3 11" xfId="523" xr:uid="{00000000-0005-0000-0000-000096120000}"/>
    <cellStyle name="Normal 3 12" xfId="524" xr:uid="{00000000-0005-0000-0000-000097120000}"/>
    <cellStyle name="Normal 3 13" xfId="525" xr:uid="{00000000-0005-0000-0000-000098120000}"/>
    <cellStyle name="Normal 3 14" xfId="526" xr:uid="{00000000-0005-0000-0000-000099120000}"/>
    <cellStyle name="Normal 3 15" xfId="527" xr:uid="{00000000-0005-0000-0000-00009A120000}"/>
    <cellStyle name="Normal 3 16" xfId="528" xr:uid="{00000000-0005-0000-0000-00009B120000}"/>
    <cellStyle name="Normal 3 17" xfId="529" xr:uid="{00000000-0005-0000-0000-00009C120000}"/>
    <cellStyle name="Normal 3 18" xfId="530" xr:uid="{00000000-0005-0000-0000-00009D120000}"/>
    <cellStyle name="Normal 3 19" xfId="531" xr:uid="{00000000-0005-0000-0000-00009E120000}"/>
    <cellStyle name="Normal 3 2" xfId="25" xr:uid="{00000000-0005-0000-0000-00009F120000}"/>
    <cellStyle name="Normal 3 2 2" xfId="35" xr:uid="{00000000-0005-0000-0000-0000A0120000}"/>
    <cellStyle name="Normal 3 2 3" xfId="532" xr:uid="{00000000-0005-0000-0000-0000A1120000}"/>
    <cellStyle name="Normal 3 20" xfId="533" xr:uid="{00000000-0005-0000-0000-0000A2120000}"/>
    <cellStyle name="Normal 3 21" xfId="534" xr:uid="{00000000-0005-0000-0000-0000A3120000}"/>
    <cellStyle name="Normal 3 22" xfId="535" xr:uid="{00000000-0005-0000-0000-0000A4120000}"/>
    <cellStyle name="Normal 3 23" xfId="536" xr:uid="{00000000-0005-0000-0000-0000A5120000}"/>
    <cellStyle name="Normal 3 24" xfId="537" xr:uid="{00000000-0005-0000-0000-0000A6120000}"/>
    <cellStyle name="Normal 3 25" xfId="538" xr:uid="{00000000-0005-0000-0000-0000A7120000}"/>
    <cellStyle name="Normal 3 26" xfId="539" xr:uid="{00000000-0005-0000-0000-0000A8120000}"/>
    <cellStyle name="Normal 3 27" xfId="540" xr:uid="{00000000-0005-0000-0000-0000A9120000}"/>
    <cellStyle name="Normal 3 28" xfId="541" xr:uid="{00000000-0005-0000-0000-0000AA120000}"/>
    <cellStyle name="Normal 3 29" xfId="542" xr:uid="{00000000-0005-0000-0000-0000AB120000}"/>
    <cellStyle name="Normal 3 3" xfId="34" xr:uid="{00000000-0005-0000-0000-0000AC120000}"/>
    <cellStyle name="Normal 3 3 2" xfId="543" xr:uid="{00000000-0005-0000-0000-0000AD120000}"/>
    <cellStyle name="Normal 3 30" xfId="544" xr:uid="{00000000-0005-0000-0000-0000AE120000}"/>
    <cellStyle name="Normal 3 31" xfId="545" xr:uid="{00000000-0005-0000-0000-0000AF120000}"/>
    <cellStyle name="Normal 3 32" xfId="546" xr:uid="{00000000-0005-0000-0000-0000B0120000}"/>
    <cellStyle name="Normal 3 33" xfId="547" xr:uid="{00000000-0005-0000-0000-0000B1120000}"/>
    <cellStyle name="Normal 3 34" xfId="548" xr:uid="{00000000-0005-0000-0000-0000B2120000}"/>
    <cellStyle name="Normal 3 35" xfId="549" xr:uid="{00000000-0005-0000-0000-0000B3120000}"/>
    <cellStyle name="Normal 3 36" xfId="550" xr:uid="{00000000-0005-0000-0000-0000B4120000}"/>
    <cellStyle name="Normal 3 37" xfId="551" xr:uid="{00000000-0005-0000-0000-0000B5120000}"/>
    <cellStyle name="Normal 3 38" xfId="552" xr:uid="{00000000-0005-0000-0000-0000B6120000}"/>
    <cellStyle name="Normal 3 39" xfId="553" xr:uid="{00000000-0005-0000-0000-0000B7120000}"/>
    <cellStyle name="Normal 3 4" xfId="554" xr:uid="{00000000-0005-0000-0000-0000B8120000}"/>
    <cellStyle name="Normal 3 40" xfId="555" xr:uid="{00000000-0005-0000-0000-0000B9120000}"/>
    <cellStyle name="Normal 3 41" xfId="556" xr:uid="{00000000-0005-0000-0000-0000BA120000}"/>
    <cellStyle name="Normal 3 42" xfId="557" xr:uid="{00000000-0005-0000-0000-0000BB120000}"/>
    <cellStyle name="Normal 3 43" xfId="558" xr:uid="{00000000-0005-0000-0000-0000BC120000}"/>
    <cellStyle name="Normal 3 44" xfId="559" xr:uid="{00000000-0005-0000-0000-0000BD120000}"/>
    <cellStyle name="Normal 3 45" xfId="560" xr:uid="{00000000-0005-0000-0000-0000BE120000}"/>
    <cellStyle name="Normal 3 46" xfId="561" xr:uid="{00000000-0005-0000-0000-0000BF120000}"/>
    <cellStyle name="Normal 3 47" xfId="562" xr:uid="{00000000-0005-0000-0000-0000C0120000}"/>
    <cellStyle name="Normal 3 48" xfId="563" xr:uid="{00000000-0005-0000-0000-0000C1120000}"/>
    <cellStyle name="Normal 3 49" xfId="564" xr:uid="{00000000-0005-0000-0000-0000C2120000}"/>
    <cellStyle name="Normal 3 5" xfId="565" xr:uid="{00000000-0005-0000-0000-0000C3120000}"/>
    <cellStyle name="Normal 3 50" xfId="566" xr:uid="{00000000-0005-0000-0000-0000C4120000}"/>
    <cellStyle name="Normal 3 51" xfId="567" xr:uid="{00000000-0005-0000-0000-0000C5120000}"/>
    <cellStyle name="Normal 3 52" xfId="568" xr:uid="{00000000-0005-0000-0000-0000C6120000}"/>
    <cellStyle name="Normal 3 53" xfId="569" xr:uid="{00000000-0005-0000-0000-0000C7120000}"/>
    <cellStyle name="Normal 3 54" xfId="5097" xr:uid="{00000000-0005-0000-0000-0000C8120000}"/>
    <cellStyle name="Normal 3 6" xfId="570" xr:uid="{00000000-0005-0000-0000-0000C9120000}"/>
    <cellStyle name="Normal 3 7" xfId="571" xr:uid="{00000000-0005-0000-0000-0000CA120000}"/>
    <cellStyle name="Normal 3 8" xfId="572" xr:uid="{00000000-0005-0000-0000-0000CB120000}"/>
    <cellStyle name="Normal 3 9" xfId="573" xr:uid="{00000000-0005-0000-0000-0000CC120000}"/>
    <cellStyle name="Normal 30" xfId="726" xr:uid="{00000000-0005-0000-0000-0000CD120000}"/>
    <cellStyle name="Normal 31" xfId="831" xr:uid="{00000000-0005-0000-0000-0000CE120000}"/>
    <cellStyle name="Normal 32" xfId="834" xr:uid="{00000000-0005-0000-0000-0000CF120000}"/>
    <cellStyle name="Normal 33" xfId="574" xr:uid="{00000000-0005-0000-0000-0000D0120000}"/>
    <cellStyle name="Normal 33 10" xfId="575" xr:uid="{00000000-0005-0000-0000-0000D1120000}"/>
    <cellStyle name="Normal 33 11" xfId="576" xr:uid="{00000000-0005-0000-0000-0000D2120000}"/>
    <cellStyle name="Normal 33 12" xfId="577" xr:uid="{00000000-0005-0000-0000-0000D3120000}"/>
    <cellStyle name="Normal 33 13" xfId="578" xr:uid="{00000000-0005-0000-0000-0000D4120000}"/>
    <cellStyle name="Normal 33 14" xfId="579" xr:uid="{00000000-0005-0000-0000-0000D5120000}"/>
    <cellStyle name="Normal 33 15" xfId="580" xr:uid="{00000000-0005-0000-0000-0000D6120000}"/>
    <cellStyle name="Normal 33 16" xfId="581" xr:uid="{00000000-0005-0000-0000-0000D7120000}"/>
    <cellStyle name="Normal 33 17" xfId="582" xr:uid="{00000000-0005-0000-0000-0000D8120000}"/>
    <cellStyle name="Normal 33 18" xfId="583" xr:uid="{00000000-0005-0000-0000-0000D9120000}"/>
    <cellStyle name="Normal 33 19" xfId="584" xr:uid="{00000000-0005-0000-0000-0000DA120000}"/>
    <cellStyle name="Normal 33 2" xfId="585" xr:uid="{00000000-0005-0000-0000-0000DB120000}"/>
    <cellStyle name="Normal 33 20" xfId="586" xr:uid="{00000000-0005-0000-0000-0000DC120000}"/>
    <cellStyle name="Normal 33 21" xfId="587" xr:uid="{00000000-0005-0000-0000-0000DD120000}"/>
    <cellStyle name="Normal 33 3" xfId="588" xr:uid="{00000000-0005-0000-0000-0000DE120000}"/>
    <cellStyle name="Normal 33 4" xfId="589" xr:uid="{00000000-0005-0000-0000-0000DF120000}"/>
    <cellStyle name="Normal 33 5" xfId="590" xr:uid="{00000000-0005-0000-0000-0000E0120000}"/>
    <cellStyle name="Normal 33 6" xfId="591" xr:uid="{00000000-0005-0000-0000-0000E1120000}"/>
    <cellStyle name="Normal 33 7" xfId="592" xr:uid="{00000000-0005-0000-0000-0000E2120000}"/>
    <cellStyle name="Normal 33 8" xfId="593" xr:uid="{00000000-0005-0000-0000-0000E3120000}"/>
    <cellStyle name="Normal 33 9" xfId="594" xr:uid="{00000000-0005-0000-0000-0000E4120000}"/>
    <cellStyle name="Normal 33_BS S-Sch" xfId="595" xr:uid="{00000000-0005-0000-0000-0000E5120000}"/>
    <cellStyle name="Normal 34" xfId="596" xr:uid="{00000000-0005-0000-0000-0000E6120000}"/>
    <cellStyle name="Normal 35" xfId="835" xr:uid="{00000000-0005-0000-0000-0000E7120000}"/>
    <cellStyle name="Normal 36" xfId="597" xr:uid="{00000000-0005-0000-0000-0000E8120000}"/>
    <cellStyle name="Normal 37" xfId="833" xr:uid="{00000000-0005-0000-0000-0000E9120000}"/>
    <cellStyle name="Normal 38" xfId="837" xr:uid="{00000000-0005-0000-0000-0000EA120000}"/>
    <cellStyle name="Normal 39" xfId="598" xr:uid="{00000000-0005-0000-0000-0000EB120000}"/>
    <cellStyle name="Normal 4" xfId="30" xr:uid="{00000000-0005-0000-0000-0000EC120000}"/>
    <cellStyle name="Normal 4 10" xfId="600" xr:uid="{00000000-0005-0000-0000-0000ED120000}"/>
    <cellStyle name="Normal 4 11" xfId="601" xr:uid="{00000000-0005-0000-0000-0000EE120000}"/>
    <cellStyle name="Normal 4 12" xfId="602" xr:uid="{00000000-0005-0000-0000-0000EF120000}"/>
    <cellStyle name="Normal 4 13" xfId="603" xr:uid="{00000000-0005-0000-0000-0000F0120000}"/>
    <cellStyle name="Normal 4 14" xfId="604" xr:uid="{00000000-0005-0000-0000-0000F1120000}"/>
    <cellStyle name="Normal 4 15" xfId="605" xr:uid="{00000000-0005-0000-0000-0000F2120000}"/>
    <cellStyle name="Normal 4 16" xfId="606" xr:uid="{00000000-0005-0000-0000-0000F3120000}"/>
    <cellStyle name="Normal 4 2" xfId="607" xr:uid="{00000000-0005-0000-0000-0000F4120000}"/>
    <cellStyle name="Normal 4 3" xfId="608" xr:uid="{00000000-0005-0000-0000-0000F5120000}"/>
    <cellStyle name="Normal 4 4" xfId="609" xr:uid="{00000000-0005-0000-0000-0000F6120000}"/>
    <cellStyle name="Normal 4 5" xfId="610" xr:uid="{00000000-0005-0000-0000-0000F7120000}"/>
    <cellStyle name="Normal 4 6" xfId="611" xr:uid="{00000000-0005-0000-0000-0000F8120000}"/>
    <cellStyle name="Normal 4 7" xfId="612" xr:uid="{00000000-0005-0000-0000-0000F9120000}"/>
    <cellStyle name="Normal 4 8" xfId="613" xr:uid="{00000000-0005-0000-0000-0000FA120000}"/>
    <cellStyle name="Normal 4 9" xfId="614" xr:uid="{00000000-0005-0000-0000-0000FB120000}"/>
    <cellStyle name="Normal 4_BS S-Sch" xfId="615" xr:uid="{00000000-0005-0000-0000-0000FC120000}"/>
    <cellStyle name="Normal 40" xfId="616" xr:uid="{00000000-0005-0000-0000-0000FD120000}"/>
    <cellStyle name="Normal 41" xfId="838" xr:uid="{00000000-0005-0000-0000-0000FE120000}"/>
    <cellStyle name="Normal 42" xfId="839" xr:uid="{00000000-0005-0000-0000-0000FF120000}"/>
    <cellStyle name="Normal 43" xfId="832" xr:uid="{00000000-0005-0000-0000-000000130000}"/>
    <cellStyle name="Normal 44" xfId="617" xr:uid="{00000000-0005-0000-0000-000001130000}"/>
    <cellStyle name="Normal 45" xfId="840" xr:uid="{00000000-0005-0000-0000-000002130000}"/>
    <cellStyle name="Normal 46" xfId="733" xr:uid="{00000000-0005-0000-0000-000003130000}"/>
    <cellStyle name="Normal 47" xfId="843" xr:uid="{00000000-0005-0000-0000-000004130000}"/>
    <cellStyle name="Normal 48" xfId="845" xr:uid="{00000000-0005-0000-0000-000005130000}"/>
    <cellStyle name="Normal 49" xfId="850" xr:uid="{00000000-0005-0000-0000-000006130000}"/>
    <cellStyle name="Normal 5" xfId="31" xr:uid="{00000000-0005-0000-0000-000007130000}"/>
    <cellStyle name="Normal 5 10" xfId="619" xr:uid="{00000000-0005-0000-0000-000008130000}"/>
    <cellStyle name="Normal 5 11" xfId="620" xr:uid="{00000000-0005-0000-0000-000009130000}"/>
    <cellStyle name="Normal 5 12" xfId="621" xr:uid="{00000000-0005-0000-0000-00000A130000}"/>
    <cellStyle name="Normal 5 13" xfId="622" xr:uid="{00000000-0005-0000-0000-00000B130000}"/>
    <cellStyle name="Normal 5 14" xfId="623" xr:uid="{00000000-0005-0000-0000-00000C130000}"/>
    <cellStyle name="Normal 5 15" xfId="618" xr:uid="{00000000-0005-0000-0000-00000D130000}"/>
    <cellStyle name="Normal 5 2" xfId="624" xr:uid="{00000000-0005-0000-0000-00000E130000}"/>
    <cellStyle name="Normal 5 3" xfId="625" xr:uid="{00000000-0005-0000-0000-00000F130000}"/>
    <cellStyle name="Normal 5 4" xfId="626" xr:uid="{00000000-0005-0000-0000-000010130000}"/>
    <cellStyle name="Normal 5 5" xfId="627" xr:uid="{00000000-0005-0000-0000-000011130000}"/>
    <cellStyle name="Normal 5 6" xfId="628" xr:uid="{00000000-0005-0000-0000-000012130000}"/>
    <cellStyle name="Normal 5 7" xfId="629" xr:uid="{00000000-0005-0000-0000-000013130000}"/>
    <cellStyle name="Normal 5 8" xfId="630" xr:uid="{00000000-0005-0000-0000-000014130000}"/>
    <cellStyle name="Normal 5 9" xfId="631" xr:uid="{00000000-0005-0000-0000-000015130000}"/>
    <cellStyle name="Normal 50" xfId="851" xr:uid="{00000000-0005-0000-0000-000016130000}"/>
    <cellStyle name="Normal 51" xfId="849" xr:uid="{00000000-0005-0000-0000-000017130000}"/>
    <cellStyle name="Normal 57" xfId="632" xr:uid="{00000000-0005-0000-0000-000018130000}"/>
    <cellStyle name="Normal 6" xfId="633" xr:uid="{00000000-0005-0000-0000-000019130000}"/>
    <cellStyle name="Normal 6 2" xfId="634" xr:uid="{00000000-0005-0000-0000-00001A130000}"/>
    <cellStyle name="Normal 6 3" xfId="635" xr:uid="{00000000-0005-0000-0000-00001B130000}"/>
    <cellStyle name="Normal 61" xfId="2830" xr:uid="{00000000-0005-0000-0000-00001C130000}"/>
    <cellStyle name="Normal 7" xfId="636" xr:uid="{00000000-0005-0000-0000-00001D130000}"/>
    <cellStyle name="Normal 7 2" xfId="637" xr:uid="{00000000-0005-0000-0000-00001E130000}"/>
    <cellStyle name="Normal 7 3" xfId="638" xr:uid="{00000000-0005-0000-0000-00001F130000}"/>
    <cellStyle name="Normal 7_BS S-Sch" xfId="639" xr:uid="{00000000-0005-0000-0000-000020130000}"/>
    <cellStyle name="Normal 8" xfId="640" xr:uid="{00000000-0005-0000-0000-000021130000}"/>
    <cellStyle name="Normal 8 2" xfId="641" xr:uid="{00000000-0005-0000-0000-000022130000}"/>
    <cellStyle name="Normal 8_BS S-Sch" xfId="642" xr:uid="{00000000-0005-0000-0000-000023130000}"/>
    <cellStyle name="Normal 9" xfId="643" xr:uid="{00000000-0005-0000-0000-000024130000}"/>
    <cellStyle name="Normal 9 10" xfId="644" xr:uid="{00000000-0005-0000-0000-000025130000}"/>
    <cellStyle name="Normal 9 11" xfId="645" xr:uid="{00000000-0005-0000-0000-000026130000}"/>
    <cellStyle name="Normal 9 12" xfId="646" xr:uid="{00000000-0005-0000-0000-000027130000}"/>
    <cellStyle name="Normal 9 13" xfId="647" xr:uid="{00000000-0005-0000-0000-000028130000}"/>
    <cellStyle name="Normal 9 14" xfId="648" xr:uid="{00000000-0005-0000-0000-000029130000}"/>
    <cellStyle name="Normal 9 15" xfId="649" xr:uid="{00000000-0005-0000-0000-00002A130000}"/>
    <cellStyle name="Normal 9 2" xfId="650" xr:uid="{00000000-0005-0000-0000-00002B130000}"/>
    <cellStyle name="Normal 9 3" xfId="651" xr:uid="{00000000-0005-0000-0000-00002C130000}"/>
    <cellStyle name="Normal 9 4" xfId="652" xr:uid="{00000000-0005-0000-0000-00002D130000}"/>
    <cellStyle name="Normal 9 5" xfId="653" xr:uid="{00000000-0005-0000-0000-00002E130000}"/>
    <cellStyle name="Normal 9 6" xfId="654" xr:uid="{00000000-0005-0000-0000-00002F130000}"/>
    <cellStyle name="Normal 9 7" xfId="655" xr:uid="{00000000-0005-0000-0000-000030130000}"/>
    <cellStyle name="Normal 9 8" xfId="656" xr:uid="{00000000-0005-0000-0000-000031130000}"/>
    <cellStyle name="Normal 9 9" xfId="657" xr:uid="{00000000-0005-0000-0000-000032130000}"/>
    <cellStyle name="Normal 98" xfId="5099" xr:uid="{00000000-0005-0000-0000-000033130000}"/>
    <cellStyle name="Note 2" xfId="658" xr:uid="{00000000-0005-0000-0000-000034130000}"/>
    <cellStyle name="Output Amounts" xfId="659" xr:uid="{00000000-0005-0000-0000-000035130000}"/>
    <cellStyle name="Output Column Headings" xfId="660" xr:uid="{00000000-0005-0000-0000-000036130000}"/>
    <cellStyle name="Output Line Items" xfId="661" xr:uid="{00000000-0005-0000-0000-000037130000}"/>
    <cellStyle name="Output Report Heading" xfId="662" xr:uid="{00000000-0005-0000-0000-000038130000}"/>
    <cellStyle name="Output Report Title" xfId="663" xr:uid="{00000000-0005-0000-0000-000039130000}"/>
    <cellStyle name="Percent" xfId="3" builtinId="5"/>
    <cellStyle name="Percent [0]" xfId="664" xr:uid="{00000000-0005-0000-0000-00003B130000}"/>
    <cellStyle name="Percent [00]" xfId="665" xr:uid="{00000000-0005-0000-0000-00003C130000}"/>
    <cellStyle name="Percent [2]" xfId="666" xr:uid="{00000000-0005-0000-0000-00003D130000}"/>
    <cellStyle name="Percent [2] 2" xfId="667" xr:uid="{00000000-0005-0000-0000-00003E130000}"/>
    <cellStyle name="Percent 2" xfId="668" xr:uid="{00000000-0005-0000-0000-00003F130000}"/>
    <cellStyle name="Percent 2 10" xfId="669" xr:uid="{00000000-0005-0000-0000-000040130000}"/>
    <cellStyle name="Percent 2 11" xfId="670" xr:uid="{00000000-0005-0000-0000-000041130000}"/>
    <cellStyle name="Percent 2 12" xfId="671" xr:uid="{00000000-0005-0000-0000-000042130000}"/>
    <cellStyle name="Percent 2 13" xfId="672" xr:uid="{00000000-0005-0000-0000-000043130000}"/>
    <cellStyle name="Percent 2 14" xfId="673" xr:uid="{00000000-0005-0000-0000-000044130000}"/>
    <cellStyle name="Percent 2 15" xfId="674" xr:uid="{00000000-0005-0000-0000-000045130000}"/>
    <cellStyle name="Percent 2 16" xfId="675" xr:uid="{00000000-0005-0000-0000-000046130000}"/>
    <cellStyle name="Percent 2 17" xfId="676" xr:uid="{00000000-0005-0000-0000-000047130000}"/>
    <cellStyle name="Percent 2 18" xfId="677" xr:uid="{00000000-0005-0000-0000-000048130000}"/>
    <cellStyle name="Percent 2 19" xfId="678" xr:uid="{00000000-0005-0000-0000-000049130000}"/>
    <cellStyle name="Percent 2 2" xfId="679" xr:uid="{00000000-0005-0000-0000-00004A130000}"/>
    <cellStyle name="Percent 2 20" xfId="680" xr:uid="{00000000-0005-0000-0000-00004B130000}"/>
    <cellStyle name="Percent 2 21" xfId="681" xr:uid="{00000000-0005-0000-0000-00004C130000}"/>
    <cellStyle name="Percent 2 22" xfId="682" xr:uid="{00000000-0005-0000-0000-00004D130000}"/>
    <cellStyle name="Percent 2 23" xfId="683" xr:uid="{00000000-0005-0000-0000-00004E130000}"/>
    <cellStyle name="Percent 2 24" xfId="684" xr:uid="{00000000-0005-0000-0000-00004F130000}"/>
    <cellStyle name="Percent 2 25" xfId="685" xr:uid="{00000000-0005-0000-0000-000050130000}"/>
    <cellStyle name="Percent 2 26" xfId="686" xr:uid="{00000000-0005-0000-0000-000051130000}"/>
    <cellStyle name="Percent 2 3" xfId="687" xr:uid="{00000000-0005-0000-0000-000052130000}"/>
    <cellStyle name="Percent 2 4" xfId="688" xr:uid="{00000000-0005-0000-0000-000053130000}"/>
    <cellStyle name="Percent 2 5" xfId="689" xr:uid="{00000000-0005-0000-0000-000054130000}"/>
    <cellStyle name="Percent 2 6" xfId="690" xr:uid="{00000000-0005-0000-0000-000055130000}"/>
    <cellStyle name="Percent 2 7" xfId="691" xr:uid="{00000000-0005-0000-0000-000056130000}"/>
    <cellStyle name="Percent 2 8" xfId="692" xr:uid="{00000000-0005-0000-0000-000057130000}"/>
    <cellStyle name="Percent 2 9" xfId="693" xr:uid="{00000000-0005-0000-0000-000058130000}"/>
    <cellStyle name="Percent 3" xfId="5103" xr:uid="{00000000-0005-0000-0000-000059130000}"/>
    <cellStyle name="Percent 32" xfId="29" xr:uid="{00000000-0005-0000-0000-00005A130000}"/>
    <cellStyle name="Percent 7" xfId="694" xr:uid="{00000000-0005-0000-0000-00005B130000}"/>
    <cellStyle name="PrePop Currency (0)" xfId="695" xr:uid="{00000000-0005-0000-0000-00005C130000}"/>
    <cellStyle name="PrePop Currency (2)" xfId="696" xr:uid="{00000000-0005-0000-0000-00005D130000}"/>
    <cellStyle name="PrePop Units (0)" xfId="697" xr:uid="{00000000-0005-0000-0000-00005E130000}"/>
    <cellStyle name="PrePop Units (1)" xfId="698" xr:uid="{00000000-0005-0000-0000-00005F130000}"/>
    <cellStyle name="PrePop Units (2)" xfId="699" xr:uid="{00000000-0005-0000-0000-000060130000}"/>
    <cellStyle name="RevList" xfId="700" xr:uid="{00000000-0005-0000-0000-000061130000}"/>
    <cellStyle name="SAPBEXaggItem" xfId="701" xr:uid="{00000000-0005-0000-0000-000062130000}"/>
    <cellStyle name="SAPBEXaggItem 2" xfId="722" xr:uid="{00000000-0005-0000-0000-000063130000}"/>
    <cellStyle name="SAPBEXaggItem 2 2" xfId="1037" xr:uid="{00000000-0005-0000-0000-000064130000}"/>
    <cellStyle name="SAPBEXaggItem 2 2 2" xfId="1825" xr:uid="{00000000-0005-0000-0000-000065130000}"/>
    <cellStyle name="SAPBEXaggItem 2 2 2 2" xfId="4069" xr:uid="{00000000-0005-0000-0000-000066130000}"/>
    <cellStyle name="SAPBEXaggItem 2 2 3" xfId="2549" xr:uid="{00000000-0005-0000-0000-000067130000}"/>
    <cellStyle name="SAPBEXaggItem 2 2 3 2" xfId="4793" xr:uid="{00000000-0005-0000-0000-000068130000}"/>
    <cellStyle name="SAPBEXaggItem 2 2 4" xfId="3283" xr:uid="{00000000-0005-0000-0000-000069130000}"/>
    <cellStyle name="SAPBEXaggItem 2 3" xfId="1290" xr:uid="{00000000-0005-0000-0000-00006A130000}"/>
    <cellStyle name="SAPBEXaggItem 2 3 2" xfId="2077" xr:uid="{00000000-0005-0000-0000-00006B130000}"/>
    <cellStyle name="SAPBEXaggItem 2 3 2 2" xfId="4321" xr:uid="{00000000-0005-0000-0000-00006C130000}"/>
    <cellStyle name="SAPBEXaggItem 2 3 3" xfId="2800" xr:uid="{00000000-0005-0000-0000-00006D130000}"/>
    <cellStyle name="SAPBEXaggItem 2 3 3 2" xfId="5044" xr:uid="{00000000-0005-0000-0000-00006E130000}"/>
    <cellStyle name="SAPBEXaggItem 2 3 4" xfId="3535" xr:uid="{00000000-0005-0000-0000-00006F130000}"/>
    <cellStyle name="SAPBEXaggItem 2 4" xfId="1557" xr:uid="{00000000-0005-0000-0000-000070130000}"/>
    <cellStyle name="SAPBEXaggItem 2 4 2" xfId="3801" xr:uid="{00000000-0005-0000-0000-000071130000}"/>
    <cellStyle name="SAPBEXaggItem 2 5" xfId="3015" xr:uid="{00000000-0005-0000-0000-000072130000}"/>
    <cellStyle name="SAPBEXaggItem 3" xfId="1029" xr:uid="{00000000-0005-0000-0000-000073130000}"/>
    <cellStyle name="SAPBEXaggItem 3 2" xfId="1817" xr:uid="{00000000-0005-0000-0000-000074130000}"/>
    <cellStyle name="SAPBEXaggItem 3 2 2" xfId="4061" xr:uid="{00000000-0005-0000-0000-000075130000}"/>
    <cellStyle name="SAPBEXaggItem 3 3" xfId="2541" xr:uid="{00000000-0005-0000-0000-000076130000}"/>
    <cellStyle name="SAPBEXaggItem 3 3 2" xfId="4785" xr:uid="{00000000-0005-0000-0000-000077130000}"/>
    <cellStyle name="SAPBEXaggItem 3 4" xfId="3275" xr:uid="{00000000-0005-0000-0000-000078130000}"/>
    <cellStyle name="SAPBEXaggItem 4" xfId="1283" xr:uid="{00000000-0005-0000-0000-000079130000}"/>
    <cellStyle name="SAPBEXaggItem 4 2" xfId="2070" xr:uid="{00000000-0005-0000-0000-00007A130000}"/>
    <cellStyle name="SAPBEXaggItem 4 2 2" xfId="4314" xr:uid="{00000000-0005-0000-0000-00007B130000}"/>
    <cellStyle name="SAPBEXaggItem 4 3" xfId="2793" xr:uid="{00000000-0005-0000-0000-00007C130000}"/>
    <cellStyle name="SAPBEXaggItem 4 3 2" xfId="5037" xr:uid="{00000000-0005-0000-0000-00007D130000}"/>
    <cellStyle name="SAPBEXaggItem 4 4" xfId="3528" xr:uid="{00000000-0005-0000-0000-00007E130000}"/>
    <cellStyle name="SAPBEXaggItem 5" xfId="1550" xr:uid="{00000000-0005-0000-0000-00007F130000}"/>
    <cellStyle name="SAPBEXaggItem 5 2" xfId="3794" xr:uid="{00000000-0005-0000-0000-000080130000}"/>
    <cellStyle name="SAPBEXaggItem 6" xfId="3008" xr:uid="{00000000-0005-0000-0000-000081130000}"/>
    <cellStyle name="SAPBEXchaText" xfId="702" xr:uid="{00000000-0005-0000-0000-000082130000}"/>
    <cellStyle name="SAPBEXstdData" xfId="703" xr:uid="{00000000-0005-0000-0000-000083130000}"/>
    <cellStyle name="SAPBEXstdData 2" xfId="721" xr:uid="{00000000-0005-0000-0000-000084130000}"/>
    <cellStyle name="SAPBEXstdData 2 2" xfId="1036" xr:uid="{00000000-0005-0000-0000-000085130000}"/>
    <cellStyle name="SAPBEXstdData 2 2 2" xfId="1824" xr:uid="{00000000-0005-0000-0000-000086130000}"/>
    <cellStyle name="SAPBEXstdData 2 2 2 2" xfId="4068" xr:uid="{00000000-0005-0000-0000-000087130000}"/>
    <cellStyle name="SAPBEXstdData 2 2 3" xfId="2548" xr:uid="{00000000-0005-0000-0000-000088130000}"/>
    <cellStyle name="SAPBEXstdData 2 2 3 2" xfId="4792" xr:uid="{00000000-0005-0000-0000-000089130000}"/>
    <cellStyle name="SAPBEXstdData 2 2 4" xfId="3282" xr:uid="{00000000-0005-0000-0000-00008A130000}"/>
    <cellStyle name="SAPBEXstdData 2 3" xfId="1289" xr:uid="{00000000-0005-0000-0000-00008B130000}"/>
    <cellStyle name="SAPBEXstdData 2 3 2" xfId="2076" xr:uid="{00000000-0005-0000-0000-00008C130000}"/>
    <cellStyle name="SAPBEXstdData 2 3 2 2" xfId="4320" xr:uid="{00000000-0005-0000-0000-00008D130000}"/>
    <cellStyle name="SAPBEXstdData 2 3 3" xfId="2799" xr:uid="{00000000-0005-0000-0000-00008E130000}"/>
    <cellStyle name="SAPBEXstdData 2 3 3 2" xfId="5043" xr:uid="{00000000-0005-0000-0000-00008F130000}"/>
    <cellStyle name="SAPBEXstdData 2 3 4" xfId="3534" xr:uid="{00000000-0005-0000-0000-000090130000}"/>
    <cellStyle name="SAPBEXstdData 2 4" xfId="1556" xr:uid="{00000000-0005-0000-0000-000091130000}"/>
    <cellStyle name="SAPBEXstdData 2 4 2" xfId="3800" xr:uid="{00000000-0005-0000-0000-000092130000}"/>
    <cellStyle name="SAPBEXstdData 2 5" xfId="3014" xr:uid="{00000000-0005-0000-0000-000093130000}"/>
    <cellStyle name="SAPBEXstdData 3" xfId="1030" xr:uid="{00000000-0005-0000-0000-000094130000}"/>
    <cellStyle name="SAPBEXstdData 3 2" xfId="1818" xr:uid="{00000000-0005-0000-0000-000095130000}"/>
    <cellStyle name="SAPBEXstdData 3 2 2" xfId="4062" xr:uid="{00000000-0005-0000-0000-000096130000}"/>
    <cellStyle name="SAPBEXstdData 3 3" xfId="2542" xr:uid="{00000000-0005-0000-0000-000097130000}"/>
    <cellStyle name="SAPBEXstdData 3 3 2" xfId="4786" xr:uid="{00000000-0005-0000-0000-000098130000}"/>
    <cellStyle name="SAPBEXstdData 3 4" xfId="3276" xr:uid="{00000000-0005-0000-0000-000099130000}"/>
    <cellStyle name="SAPBEXstdData 4" xfId="1284" xr:uid="{00000000-0005-0000-0000-00009A130000}"/>
    <cellStyle name="SAPBEXstdData 4 2" xfId="2071" xr:uid="{00000000-0005-0000-0000-00009B130000}"/>
    <cellStyle name="SAPBEXstdData 4 2 2" xfId="4315" xr:uid="{00000000-0005-0000-0000-00009C130000}"/>
    <cellStyle name="SAPBEXstdData 4 3" xfId="2794" xr:uid="{00000000-0005-0000-0000-00009D130000}"/>
    <cellStyle name="SAPBEXstdData 4 3 2" xfId="5038" xr:uid="{00000000-0005-0000-0000-00009E130000}"/>
    <cellStyle name="SAPBEXstdData 4 4" xfId="3529" xr:uid="{00000000-0005-0000-0000-00009F130000}"/>
    <cellStyle name="SAPBEXstdData 5" xfId="1551" xr:uid="{00000000-0005-0000-0000-0000A0130000}"/>
    <cellStyle name="SAPBEXstdData 5 2" xfId="3795" xr:uid="{00000000-0005-0000-0000-0000A1130000}"/>
    <cellStyle name="SAPBEXstdData 6" xfId="3009" xr:uid="{00000000-0005-0000-0000-0000A2130000}"/>
    <cellStyle name="SAPBEXstdItem" xfId="704" xr:uid="{00000000-0005-0000-0000-0000A3130000}"/>
    <cellStyle name="SAPBEXstdItem 2" xfId="720" xr:uid="{00000000-0005-0000-0000-0000A4130000}"/>
    <cellStyle name="SAPBEXstdItem 2 2" xfId="1035" xr:uid="{00000000-0005-0000-0000-0000A5130000}"/>
    <cellStyle name="SAPBEXstdItem 2 2 2" xfId="1823" xr:uid="{00000000-0005-0000-0000-0000A6130000}"/>
    <cellStyle name="SAPBEXstdItem 2 2 2 2" xfId="4067" xr:uid="{00000000-0005-0000-0000-0000A7130000}"/>
    <cellStyle name="SAPBEXstdItem 2 2 3" xfId="2547" xr:uid="{00000000-0005-0000-0000-0000A8130000}"/>
    <cellStyle name="SAPBEXstdItem 2 2 3 2" xfId="4791" xr:uid="{00000000-0005-0000-0000-0000A9130000}"/>
    <cellStyle name="SAPBEXstdItem 2 2 4" xfId="3281" xr:uid="{00000000-0005-0000-0000-0000AA130000}"/>
    <cellStyle name="SAPBEXstdItem 2 3" xfId="1288" xr:uid="{00000000-0005-0000-0000-0000AB130000}"/>
    <cellStyle name="SAPBEXstdItem 2 3 2" xfId="2075" xr:uid="{00000000-0005-0000-0000-0000AC130000}"/>
    <cellStyle name="SAPBEXstdItem 2 3 2 2" xfId="4319" xr:uid="{00000000-0005-0000-0000-0000AD130000}"/>
    <cellStyle name="SAPBEXstdItem 2 3 3" xfId="2798" xr:uid="{00000000-0005-0000-0000-0000AE130000}"/>
    <cellStyle name="SAPBEXstdItem 2 3 3 2" xfId="5042" xr:uid="{00000000-0005-0000-0000-0000AF130000}"/>
    <cellStyle name="SAPBEXstdItem 2 3 4" xfId="3533" xr:uid="{00000000-0005-0000-0000-0000B0130000}"/>
    <cellStyle name="SAPBEXstdItem 2 4" xfId="1555" xr:uid="{00000000-0005-0000-0000-0000B1130000}"/>
    <cellStyle name="SAPBEXstdItem 2 4 2" xfId="3799" xr:uid="{00000000-0005-0000-0000-0000B2130000}"/>
    <cellStyle name="SAPBEXstdItem 2 5" xfId="3013" xr:uid="{00000000-0005-0000-0000-0000B3130000}"/>
    <cellStyle name="SAPBEXstdItem 3" xfId="1031" xr:uid="{00000000-0005-0000-0000-0000B4130000}"/>
    <cellStyle name="SAPBEXstdItem 3 2" xfId="1819" xr:uid="{00000000-0005-0000-0000-0000B5130000}"/>
    <cellStyle name="SAPBEXstdItem 3 2 2" xfId="4063" xr:uid="{00000000-0005-0000-0000-0000B6130000}"/>
    <cellStyle name="SAPBEXstdItem 3 3" xfId="2543" xr:uid="{00000000-0005-0000-0000-0000B7130000}"/>
    <cellStyle name="SAPBEXstdItem 3 3 2" xfId="4787" xr:uid="{00000000-0005-0000-0000-0000B8130000}"/>
    <cellStyle name="SAPBEXstdItem 3 4" xfId="3277" xr:uid="{00000000-0005-0000-0000-0000B9130000}"/>
    <cellStyle name="SAPBEXstdItem 4" xfId="1285" xr:uid="{00000000-0005-0000-0000-0000BA130000}"/>
    <cellStyle name="SAPBEXstdItem 4 2" xfId="2072" xr:uid="{00000000-0005-0000-0000-0000BB130000}"/>
    <cellStyle name="SAPBEXstdItem 4 2 2" xfId="4316" xr:uid="{00000000-0005-0000-0000-0000BC130000}"/>
    <cellStyle name="SAPBEXstdItem 4 3" xfId="2795" xr:uid="{00000000-0005-0000-0000-0000BD130000}"/>
    <cellStyle name="SAPBEXstdItem 4 3 2" xfId="5039" xr:uid="{00000000-0005-0000-0000-0000BE130000}"/>
    <cellStyle name="SAPBEXstdItem 4 4" xfId="3530" xr:uid="{00000000-0005-0000-0000-0000BF130000}"/>
    <cellStyle name="SAPBEXstdItem 5" xfId="1552" xr:uid="{00000000-0005-0000-0000-0000C0130000}"/>
    <cellStyle name="SAPBEXstdItem 5 2" xfId="3796" xr:uid="{00000000-0005-0000-0000-0000C1130000}"/>
    <cellStyle name="SAPBEXstdItem 6" xfId="3010" xr:uid="{00000000-0005-0000-0000-0000C2130000}"/>
    <cellStyle name="SAPBEXstdItemX" xfId="705" xr:uid="{00000000-0005-0000-0000-0000C3130000}"/>
    <cellStyle name="SAPBEXstdItemX 2" xfId="719" xr:uid="{00000000-0005-0000-0000-0000C4130000}"/>
    <cellStyle name="SAPBEXstdItemX 2 2" xfId="1034" xr:uid="{00000000-0005-0000-0000-0000C5130000}"/>
    <cellStyle name="SAPBEXstdItemX 2 2 2" xfId="1822" xr:uid="{00000000-0005-0000-0000-0000C6130000}"/>
    <cellStyle name="SAPBEXstdItemX 2 2 2 2" xfId="4066" xr:uid="{00000000-0005-0000-0000-0000C7130000}"/>
    <cellStyle name="SAPBEXstdItemX 2 2 3" xfId="2546" xr:uid="{00000000-0005-0000-0000-0000C8130000}"/>
    <cellStyle name="SAPBEXstdItemX 2 2 3 2" xfId="4790" xr:uid="{00000000-0005-0000-0000-0000C9130000}"/>
    <cellStyle name="SAPBEXstdItemX 2 2 4" xfId="3280" xr:uid="{00000000-0005-0000-0000-0000CA130000}"/>
    <cellStyle name="SAPBEXstdItemX 2 3" xfId="1287" xr:uid="{00000000-0005-0000-0000-0000CB130000}"/>
    <cellStyle name="SAPBEXstdItemX 2 3 2" xfId="2074" xr:uid="{00000000-0005-0000-0000-0000CC130000}"/>
    <cellStyle name="SAPBEXstdItemX 2 3 2 2" xfId="4318" xr:uid="{00000000-0005-0000-0000-0000CD130000}"/>
    <cellStyle name="SAPBEXstdItemX 2 3 3" xfId="2797" xr:uid="{00000000-0005-0000-0000-0000CE130000}"/>
    <cellStyle name="SAPBEXstdItemX 2 3 3 2" xfId="5041" xr:uid="{00000000-0005-0000-0000-0000CF130000}"/>
    <cellStyle name="SAPBEXstdItemX 2 3 4" xfId="3532" xr:uid="{00000000-0005-0000-0000-0000D0130000}"/>
    <cellStyle name="SAPBEXstdItemX 2 4" xfId="1554" xr:uid="{00000000-0005-0000-0000-0000D1130000}"/>
    <cellStyle name="SAPBEXstdItemX 2 4 2" xfId="3798" xr:uid="{00000000-0005-0000-0000-0000D2130000}"/>
    <cellStyle name="SAPBEXstdItemX 2 5" xfId="3012" xr:uid="{00000000-0005-0000-0000-0000D3130000}"/>
    <cellStyle name="SAPBEXstdItemX 3" xfId="1032" xr:uid="{00000000-0005-0000-0000-0000D4130000}"/>
    <cellStyle name="SAPBEXstdItemX 3 2" xfId="1820" xr:uid="{00000000-0005-0000-0000-0000D5130000}"/>
    <cellStyle name="SAPBEXstdItemX 3 2 2" xfId="4064" xr:uid="{00000000-0005-0000-0000-0000D6130000}"/>
    <cellStyle name="SAPBEXstdItemX 3 3" xfId="2544" xr:uid="{00000000-0005-0000-0000-0000D7130000}"/>
    <cellStyle name="SAPBEXstdItemX 3 3 2" xfId="4788" xr:uid="{00000000-0005-0000-0000-0000D8130000}"/>
    <cellStyle name="SAPBEXstdItemX 3 4" xfId="3278" xr:uid="{00000000-0005-0000-0000-0000D9130000}"/>
    <cellStyle name="SAPBEXstdItemX 4" xfId="1286" xr:uid="{00000000-0005-0000-0000-0000DA130000}"/>
    <cellStyle name="SAPBEXstdItemX 4 2" xfId="2073" xr:uid="{00000000-0005-0000-0000-0000DB130000}"/>
    <cellStyle name="SAPBEXstdItemX 4 2 2" xfId="4317" xr:uid="{00000000-0005-0000-0000-0000DC130000}"/>
    <cellStyle name="SAPBEXstdItemX 4 3" xfId="2796" xr:uid="{00000000-0005-0000-0000-0000DD130000}"/>
    <cellStyle name="SAPBEXstdItemX 4 3 2" xfId="5040" xr:uid="{00000000-0005-0000-0000-0000DE130000}"/>
    <cellStyle name="SAPBEXstdItemX 4 4" xfId="3531" xr:uid="{00000000-0005-0000-0000-0000DF130000}"/>
    <cellStyle name="SAPBEXstdItemX 5" xfId="1553" xr:uid="{00000000-0005-0000-0000-0000E0130000}"/>
    <cellStyle name="SAPBEXstdItemX 5 2" xfId="3797" xr:uid="{00000000-0005-0000-0000-0000E1130000}"/>
    <cellStyle name="SAPBEXstdItemX 6" xfId="3011" xr:uid="{00000000-0005-0000-0000-0000E2130000}"/>
    <cellStyle name="Standard_NEGS" xfId="706" xr:uid="{00000000-0005-0000-0000-0000E3130000}"/>
    <cellStyle name="Style 1" xfId="707" xr:uid="{00000000-0005-0000-0000-0000E4130000}"/>
    <cellStyle name="subhead" xfId="708" xr:uid="{00000000-0005-0000-0000-0000E5130000}"/>
    <cellStyle name="subhead 2" xfId="709" xr:uid="{00000000-0005-0000-0000-0000E6130000}"/>
    <cellStyle name="Subtotal" xfId="710" xr:uid="{00000000-0005-0000-0000-0000E7130000}"/>
    <cellStyle name="Text Indent A" xfId="711" xr:uid="{00000000-0005-0000-0000-0000E8130000}"/>
    <cellStyle name="Text Indent B" xfId="712" xr:uid="{00000000-0005-0000-0000-0000E9130000}"/>
    <cellStyle name="Text Indent C" xfId="713" xr:uid="{00000000-0005-0000-0000-0000EA130000}"/>
    <cellStyle name="Times New Roman" xfId="714" xr:uid="{00000000-0005-0000-0000-0000EB130000}"/>
    <cellStyle name="Tusental (0)_pldt" xfId="715" xr:uid="{00000000-0005-0000-0000-0000EC130000}"/>
    <cellStyle name="Tusental_pldt" xfId="716" xr:uid="{00000000-0005-0000-0000-0000ED130000}"/>
    <cellStyle name="Valuta (0)_pldt" xfId="717" xr:uid="{00000000-0005-0000-0000-0000EE130000}"/>
    <cellStyle name="Valuta_pldt" xfId="718" xr:uid="{00000000-0005-0000-0000-0000EF13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5.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elcome/Desktop/IL&amp;FS/RK%20Working/Provision-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RK%20Associates%20File\Valuation%20sheet%20for%20SFA%20Meenakshi.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welcome\Desktop\IL&amp;FS\RK%20Working\Final%20files\Arbitration%20Claims%20-%202023.xlsx" TargetMode="External"/><Relationship Id="rId1" Type="http://schemas.openxmlformats.org/officeDocument/2006/relationships/externalLinkPath" Target="Arbitration%20Claims%20-%202023.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welcome\Desktop\IL&amp;FS\RK%20Working\Final%20files\IL&amp;FS%20current%20assets%20Valuation-%202018.xlsx" TargetMode="External"/><Relationship Id="rId1" Type="http://schemas.openxmlformats.org/officeDocument/2006/relationships/externalLinkPath" Target="IL&amp;FS%20current%20assets%20Valuation-%202018.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welcome\Desktop\IL&amp;FS\RK%20Working\Final%20files\Arbitration%20Claims%20-%202018.xlsx" TargetMode="External"/><Relationship Id="rId1" Type="http://schemas.openxmlformats.org/officeDocument/2006/relationships/externalLinkPath" Target="Arbitration%20Claims%20-%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rovisions TR 2023"/>
      <sheetName val="Provision ICD &amp; Others Loan"/>
      <sheetName val="Provision RPT. Loan"/>
    </sheetNames>
    <sheetDataSet>
      <sheetData sheetId="0"/>
      <sheetData sheetId="1">
        <row r="4">
          <cell r="L4">
            <v>261.36419721795426</v>
          </cell>
          <cell r="M4">
            <v>143.27985291488253</v>
          </cell>
        </row>
        <row r="31">
          <cell r="M31">
            <v>99.753717544970158</v>
          </cell>
        </row>
      </sheetData>
      <sheetData sheetId="2">
        <row r="21">
          <cell r="C21">
            <v>378.27929265400007</v>
          </cell>
        </row>
      </sheetData>
      <sheetData sheetId="3">
        <row r="19">
          <cell r="C19">
            <v>192.91485704100003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SUMMARY"/>
      <sheetName val="Intangible Asset- I"/>
      <sheetName val="Non-Current Investment- V"/>
      <sheetName val="LT L&amp;A- II"/>
      <sheetName val="ONCFA- III"/>
      <sheetName val="ONCA- IV"/>
      <sheetName val="Anx. to ONCA- IV(i)"/>
      <sheetName val="Inventory- V"/>
      <sheetName val="Trade Receivables- VI"/>
      <sheetName val="Cash &amp; Cash Equivalents- VII"/>
      <sheetName val="ST L&amp;A- VIII"/>
      <sheetName val="OCFA- IX"/>
      <sheetName val="CTA- X"/>
      <sheetName val="OCA- XI"/>
      <sheetName val="MSEDCL Assets"/>
      <sheetName val="SECL Assets"/>
      <sheetName val="WCL Assets"/>
      <sheetName val="Sheet4"/>
    </sheetNames>
    <sheetDataSet>
      <sheetData sheetId="0" refreshError="1"/>
      <sheetData sheetId="1" refreshError="1">
        <row r="5">
          <cell r="B5" t="str">
            <v>Figures in INR Lakhs</v>
          </cell>
        </row>
        <row r="16">
          <cell r="B16" t="str">
            <v>REMARKS &amp; NOTES:-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ward Summary-2023 "/>
      <sheetName val="Nagaland"/>
      <sheetName val="HEL"/>
      <sheetName val="CEL"/>
      <sheetName val="PTTL"/>
      <sheetName val="BETL"/>
      <sheetName val="Brindavan"/>
      <sheetName val="DDPL"/>
      <sheetName val="BAPL"/>
      <sheetName val="IECCL"/>
      <sheetName val="Awards summary"/>
      <sheetName val="SPVs"/>
      <sheetName val="VSV II Summary"/>
      <sheetName val="Workings"/>
    </sheetNames>
    <sheetDataSet>
      <sheetData sheetId="0"/>
      <sheetData sheetId="1">
        <row r="12">
          <cell r="C12">
            <v>382.9059863581009</v>
          </cell>
        </row>
      </sheetData>
      <sheetData sheetId="2">
        <row r="11">
          <cell r="C11">
            <v>15.505625979166666</v>
          </cell>
        </row>
      </sheetData>
      <sheetData sheetId="3">
        <row r="11">
          <cell r="C11">
            <v>109.45434097916666</v>
          </cell>
        </row>
      </sheetData>
      <sheetData sheetId="4">
        <row r="12">
          <cell r="C12">
            <v>88.245156562500014</v>
          </cell>
        </row>
      </sheetData>
      <sheetData sheetId="5">
        <row r="12">
          <cell r="C12">
            <v>160.39837582404425</v>
          </cell>
        </row>
      </sheetData>
      <sheetData sheetId="6"/>
      <sheetData sheetId="7">
        <row r="10">
          <cell r="C10">
            <v>35.868244750000002</v>
          </cell>
        </row>
      </sheetData>
      <sheetData sheetId="8">
        <row r="10">
          <cell r="C10">
            <v>25.929827291666669</v>
          </cell>
        </row>
      </sheetData>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
      <sheetName val="SUMMARY-2018"/>
      <sheetName val="Intangible Assets"/>
      <sheetName val="NCI-I"/>
      <sheetName val="Provisions TR 2018"/>
      <sheetName val="Trade Receivable-II"/>
      <sheetName val="Provision-2018"/>
      <sheetName val="Loans-III"/>
      <sheetName val="Loan-Deposits"/>
      <sheetName val="Loans and Other Assets-III"/>
      <sheetName val="Interest Accrued-IV"/>
      <sheetName val="Claim for PBG-V"/>
      <sheetName val="Other Receivables-VI"/>
      <sheetName val="Margin Money-VII"/>
      <sheetName val="Tax Assets-VIII"/>
      <sheetName val="Non-Current Inventories-IX"/>
      <sheetName val="Retention Money-X"/>
      <sheetName val="ONCA-VI"/>
      <sheetName val="INVENTORY-VII"/>
      <sheetName val="Cash &amp; Cash Equivalents-XI"/>
      <sheetName val="OCA-XI"/>
      <sheetName val="Balances statutory Athority"/>
      <sheetName val="Debenture-2018"/>
      <sheetName val="Preferred - 2018"/>
      <sheetName val="MSEDCL Assets"/>
      <sheetName val="SECL Assets"/>
      <sheetName val="WCL Assets"/>
      <sheetName val="Sheet4"/>
    </sheetNames>
    <sheetDataSet>
      <sheetData sheetId="0"/>
      <sheetData sheetId="1"/>
      <sheetData sheetId="2"/>
      <sheetData sheetId="3">
        <row r="10">
          <cell r="D10">
            <v>56.55</v>
          </cell>
          <cell r="H10">
            <v>60.997381557744873</v>
          </cell>
          <cell r="I10">
            <v>60.997381557744873</v>
          </cell>
        </row>
      </sheetData>
      <sheetData sheetId="4"/>
      <sheetData sheetId="5">
        <row r="8">
          <cell r="D8">
            <v>264.43521027179679</v>
          </cell>
          <cell r="K8">
            <v>170.01901940781846</v>
          </cell>
          <cell r="L8">
            <v>84.594992611175982</v>
          </cell>
        </row>
      </sheetData>
      <sheetData sheetId="6"/>
      <sheetData sheetId="7"/>
      <sheetData sheetId="8"/>
      <sheetData sheetId="9">
        <row r="12">
          <cell r="D12">
            <v>635.41533778271639</v>
          </cell>
          <cell r="K12">
            <v>470.2370652978916</v>
          </cell>
          <cell r="L12">
            <v>347.84566351703859</v>
          </cell>
        </row>
      </sheetData>
      <sheetData sheetId="10">
        <row r="6">
          <cell r="K6">
            <v>113.77301613212488</v>
          </cell>
          <cell r="L6">
            <v>25.9081778796</v>
          </cell>
        </row>
        <row r="7">
          <cell r="D7">
            <v>285.63818505399996</v>
          </cell>
        </row>
      </sheetData>
      <sheetData sheetId="11">
        <row r="6">
          <cell r="D6">
            <v>29.18</v>
          </cell>
          <cell r="E6">
            <v>23.344000000000001</v>
          </cell>
          <cell r="F6">
            <v>11.672000000000001</v>
          </cell>
        </row>
      </sheetData>
      <sheetData sheetId="12">
        <row r="7">
          <cell r="D7">
            <v>30.369999999999997</v>
          </cell>
          <cell r="K7">
            <v>16.851640622297648</v>
          </cell>
          <cell r="L7">
            <v>0</v>
          </cell>
        </row>
      </sheetData>
      <sheetData sheetId="13">
        <row r="7">
          <cell r="D7">
            <v>10.35</v>
          </cell>
          <cell r="E7">
            <v>10.35</v>
          </cell>
          <cell r="F7">
            <v>10.35</v>
          </cell>
        </row>
      </sheetData>
      <sheetData sheetId="14">
        <row r="8">
          <cell r="D8">
            <v>370.88</v>
          </cell>
          <cell r="E8">
            <v>370.88</v>
          </cell>
          <cell r="F8">
            <v>0</v>
          </cell>
        </row>
      </sheetData>
      <sheetData sheetId="15">
        <row r="7">
          <cell r="D7">
            <v>882.08</v>
          </cell>
          <cell r="K7">
            <v>398.35932722178131</v>
          </cell>
          <cell r="L7">
            <v>168.62164770212416</v>
          </cell>
        </row>
      </sheetData>
      <sheetData sheetId="16">
        <row r="7">
          <cell r="D7">
            <v>485.18</v>
          </cell>
          <cell r="K7">
            <v>233.40788922954471</v>
          </cell>
          <cell r="L7">
            <v>111.08067567965</v>
          </cell>
        </row>
      </sheetData>
      <sheetData sheetId="17"/>
      <sheetData sheetId="18"/>
      <sheetData sheetId="19">
        <row r="10">
          <cell r="D10">
            <v>22.660000000000004</v>
          </cell>
          <cell r="E10">
            <v>18.11</v>
          </cell>
          <cell r="F10">
            <v>18.11</v>
          </cell>
        </row>
      </sheetData>
      <sheetData sheetId="20"/>
      <sheetData sheetId="21"/>
      <sheetData sheetId="22"/>
      <sheetData sheetId="23"/>
      <sheetData sheetId="24"/>
      <sheetData sheetId="25"/>
      <sheetData sheetId="26"/>
      <sheetData sheetId="2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ECCL"/>
      <sheetName val="SPVs"/>
      <sheetName val="Brindavan"/>
      <sheetName val="AS-17"/>
      <sheetName val="AS-19"/>
      <sheetName val="Award Summary 2018 "/>
    </sheetNames>
    <sheetDataSet>
      <sheetData sheetId="0"/>
      <sheetData sheetId="1"/>
      <sheetData sheetId="2"/>
      <sheetData sheetId="3">
        <row r="10">
          <cell r="C10">
            <v>37.680330000000005</v>
          </cell>
        </row>
      </sheetData>
      <sheetData sheetId="4">
        <row r="10">
          <cell r="C10">
            <v>229.84714000000002</v>
          </cell>
        </row>
      </sheetData>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hyperlink" Target="mailto:=@subtotal(9,D4:D40)"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subtotal(9,F3:F2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subtotal(9,F3:F2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gayatrihighways.com/project-CE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workbookViewId="0">
      <selection activeCell="B21" sqref="B21"/>
    </sheetView>
  </sheetViews>
  <sheetFormatPr defaultColWidth="9.109375" defaultRowHeight="14.4"/>
  <cols>
    <col min="2" max="2" width="39.88671875" bestFit="1" customWidth="1"/>
    <col min="3" max="3" width="16.88671875" customWidth="1"/>
    <col min="4" max="4" width="18.88671875" customWidth="1"/>
  </cols>
  <sheetData>
    <row r="1" spans="1:14" ht="15.6">
      <c r="A1" s="1" t="s">
        <v>0</v>
      </c>
      <c r="B1" s="1" t="s">
        <v>1</v>
      </c>
      <c r="C1" s="392" t="s">
        <v>2</v>
      </c>
      <c r="D1" s="392"/>
      <c r="E1" s="392"/>
      <c r="F1" s="392"/>
      <c r="G1" s="392"/>
      <c r="H1" s="392"/>
      <c r="I1" s="392"/>
      <c r="J1" s="392"/>
      <c r="K1" s="392"/>
      <c r="L1" s="392"/>
      <c r="M1" s="392"/>
      <c r="N1" s="392"/>
    </row>
    <row r="2" spans="1:14">
      <c r="B2" s="2" t="s">
        <v>16</v>
      </c>
    </row>
    <row r="4" spans="1:14" ht="15" thickBot="1">
      <c r="B4" s="3" t="s">
        <v>5</v>
      </c>
    </row>
    <row r="5" spans="1:14">
      <c r="A5" s="6" t="s">
        <v>18</v>
      </c>
      <c r="B5" s="7" t="s">
        <v>17</v>
      </c>
      <c r="C5" s="7" t="s">
        <v>3</v>
      </c>
      <c r="D5" s="8" t="s">
        <v>13</v>
      </c>
    </row>
    <row r="6" spans="1:14">
      <c r="A6" s="9"/>
      <c r="B6" s="3"/>
      <c r="D6" s="10"/>
    </row>
    <row r="7" spans="1:14">
      <c r="A7" s="9">
        <v>1</v>
      </c>
      <c r="B7" t="s">
        <v>6</v>
      </c>
      <c r="C7" s="4" t="e">
        <f>+#REF!+#REF!</f>
        <v>#REF!</v>
      </c>
      <c r="D7" s="10" t="e">
        <f>+#REF!</f>
        <v>#REF!</v>
      </c>
    </row>
    <row r="8" spans="1:14">
      <c r="A8" s="9">
        <v>2</v>
      </c>
      <c r="B8" t="s">
        <v>7</v>
      </c>
      <c r="C8" s="4" t="e">
        <f>+#REF!</f>
        <v>#REF!</v>
      </c>
      <c r="D8" s="10"/>
    </row>
    <row r="9" spans="1:14">
      <c r="A9" s="9">
        <v>3</v>
      </c>
      <c r="B9" t="s">
        <v>8</v>
      </c>
      <c r="C9" s="4" t="e">
        <f>+#REF!</f>
        <v>#REF!</v>
      </c>
      <c r="D9" s="10"/>
    </row>
    <row r="10" spans="1:14">
      <c r="A10" s="9">
        <v>4</v>
      </c>
      <c r="B10" t="s">
        <v>9</v>
      </c>
      <c r="C10" s="4" t="e">
        <f>+#REF!</f>
        <v>#REF!</v>
      </c>
      <c r="D10" s="10" t="e">
        <f>+#REF!</f>
        <v>#REF!</v>
      </c>
    </row>
    <row r="11" spans="1:14">
      <c r="A11" s="9">
        <v>5</v>
      </c>
      <c r="B11" t="s">
        <v>4</v>
      </c>
      <c r="C11" s="4" t="e">
        <f>+#REF!</f>
        <v>#REF!</v>
      </c>
      <c r="D11" s="10" t="e">
        <f>+#REF!</f>
        <v>#REF!</v>
      </c>
    </row>
    <row r="12" spans="1:14">
      <c r="A12" s="9">
        <v>7</v>
      </c>
      <c r="B12" t="s">
        <v>10</v>
      </c>
      <c r="C12" s="4" t="e">
        <f>+#REF!</f>
        <v>#REF!</v>
      </c>
      <c r="D12" s="10"/>
    </row>
    <row r="13" spans="1:14">
      <c r="A13" s="9">
        <v>8</v>
      </c>
      <c r="B13" t="s">
        <v>11</v>
      </c>
      <c r="C13" s="4"/>
      <c r="D13" s="10">
        <v>20153353</v>
      </c>
    </row>
    <row r="14" spans="1:14">
      <c r="A14" s="9">
        <v>9</v>
      </c>
      <c r="B14" t="s">
        <v>12</v>
      </c>
      <c r="C14" s="4" t="e">
        <f>+#REF!</f>
        <v>#REF!</v>
      </c>
      <c r="D14" s="11" t="e">
        <f>+#REF!</f>
        <v>#REF!</v>
      </c>
    </row>
    <row r="15" spans="1:14">
      <c r="A15" s="12"/>
      <c r="C15" s="4"/>
      <c r="D15" s="10"/>
    </row>
    <row r="16" spans="1:14" ht="15" thickBot="1">
      <c r="A16" s="12"/>
      <c r="C16" s="5" t="e">
        <f>SUM(C7:C15)</f>
        <v>#REF!</v>
      </c>
      <c r="D16" s="13" t="e">
        <f>SUM(D7:D15)</f>
        <v>#REF!</v>
      </c>
    </row>
    <row r="17" spans="1:4" ht="15" thickTop="1">
      <c r="A17" s="12"/>
      <c r="B17" t="s">
        <v>14</v>
      </c>
      <c r="C17" s="3" t="e">
        <f>+C16+D16</f>
        <v>#REF!</v>
      </c>
      <c r="D17" s="10"/>
    </row>
    <row r="18" spans="1:4" ht="15" thickBot="1">
      <c r="A18" s="14"/>
      <c r="B18" s="15" t="s">
        <v>15</v>
      </c>
      <c r="C18" s="15"/>
      <c r="D18" s="16"/>
    </row>
    <row r="20" spans="1:4" s="17" customFormat="1" ht="36">
      <c r="B20" s="18" t="s">
        <v>19</v>
      </c>
      <c r="C20" s="19" t="e">
        <f>+C16/C17*100</f>
        <v>#REF!</v>
      </c>
    </row>
    <row r="21" spans="1:4">
      <c r="C21" s="4"/>
    </row>
  </sheetData>
  <mergeCells count="1">
    <mergeCell ref="C1:N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499984740745262"/>
  </sheetPr>
  <dimension ref="B2:N19"/>
  <sheetViews>
    <sheetView workbookViewId="0">
      <selection activeCell="I6" sqref="I6"/>
    </sheetView>
  </sheetViews>
  <sheetFormatPr defaultRowHeight="14.4"/>
  <cols>
    <col min="2" max="2" width="9.6640625" customWidth="1"/>
    <col min="3" max="3" width="13.88671875" customWidth="1"/>
    <col min="7" max="7" width="8.88671875" customWidth="1"/>
    <col min="8" max="8" width="10.109375" customWidth="1"/>
    <col min="9" max="9" width="70.88671875" customWidth="1"/>
  </cols>
  <sheetData>
    <row r="2" spans="2:14" ht="14.4" customHeight="1">
      <c r="B2" s="450" t="s">
        <v>580</v>
      </c>
      <c r="C2" s="451"/>
      <c r="D2" s="451"/>
      <c r="E2" s="451"/>
      <c r="F2" s="451"/>
      <c r="G2" s="451"/>
      <c r="H2" s="451"/>
      <c r="I2" s="451"/>
    </row>
    <row r="3" spans="2:14" ht="14.4" customHeight="1">
      <c r="B3" s="448" t="s">
        <v>93</v>
      </c>
      <c r="C3" s="449"/>
      <c r="D3" s="449"/>
      <c r="E3" s="449"/>
      <c r="F3" s="449"/>
      <c r="G3" s="449"/>
      <c r="H3" s="449"/>
      <c r="I3" s="449"/>
    </row>
    <row r="4" spans="2:14" ht="48">
      <c r="B4" s="24" t="s">
        <v>0</v>
      </c>
      <c r="C4" s="24" t="s">
        <v>69</v>
      </c>
      <c r="D4" s="37" t="s">
        <v>64</v>
      </c>
      <c r="E4" s="24" t="s">
        <v>526</v>
      </c>
      <c r="F4" s="24" t="s">
        <v>527</v>
      </c>
      <c r="G4" s="24" t="s">
        <v>142</v>
      </c>
      <c r="H4" s="24" t="s">
        <v>143</v>
      </c>
      <c r="I4" s="24" t="s">
        <v>22</v>
      </c>
    </row>
    <row r="5" spans="2:14" ht="14.4" customHeight="1">
      <c r="B5" s="446" t="s">
        <v>92</v>
      </c>
      <c r="C5" s="447"/>
      <c r="D5" s="447"/>
      <c r="E5" s="447"/>
      <c r="F5" s="447"/>
      <c r="G5" s="447"/>
      <c r="H5" s="447"/>
      <c r="I5" s="464"/>
    </row>
    <row r="6" spans="2:14" ht="200.25" customHeight="1">
      <c r="B6" s="54">
        <v>1</v>
      </c>
      <c r="C6" s="59" t="s">
        <v>123</v>
      </c>
      <c r="D6" s="60">
        <f>1.38+0.02</f>
        <v>1.4</v>
      </c>
      <c r="E6" s="60">
        <f>F18</f>
        <v>0</v>
      </c>
      <c r="F6" s="60">
        <f>G18</f>
        <v>1.4</v>
      </c>
      <c r="G6" s="60">
        <f>L19</f>
        <v>1.1783519905731838</v>
      </c>
      <c r="H6" s="60">
        <v>0</v>
      </c>
      <c r="I6" s="75" t="s">
        <v>687</v>
      </c>
      <c r="K6" s="47">
        <v>0</v>
      </c>
    </row>
    <row r="7" spans="2:14">
      <c r="B7" s="38"/>
      <c r="C7" s="36" t="s">
        <v>23</v>
      </c>
      <c r="D7" s="61">
        <f>SUM(D3:D6)</f>
        <v>1.4</v>
      </c>
      <c r="E7" s="61">
        <f t="shared" ref="E7:F7" si="0">SUM(E3:E6)</f>
        <v>0</v>
      </c>
      <c r="F7" s="61">
        <f t="shared" si="0"/>
        <v>1.4</v>
      </c>
      <c r="G7" s="319">
        <f>G6</f>
        <v>1.1783519905731838</v>
      </c>
      <c r="H7" s="319">
        <f>H6</f>
        <v>0</v>
      </c>
      <c r="I7" s="38"/>
    </row>
    <row r="8" spans="2:14" ht="14.4" customHeight="1">
      <c r="B8" s="452" t="s">
        <v>20</v>
      </c>
      <c r="C8" s="453"/>
      <c r="D8" s="453"/>
      <c r="E8" s="453"/>
      <c r="F8" s="453"/>
      <c r="G8" s="453"/>
      <c r="H8" s="453"/>
      <c r="I8" s="453"/>
    </row>
    <row r="9" spans="2:14" ht="109.2" customHeight="1">
      <c r="B9" s="454" t="s">
        <v>702</v>
      </c>
      <c r="C9" s="455"/>
      <c r="D9" s="455"/>
      <c r="E9" s="455"/>
      <c r="F9" s="455"/>
      <c r="G9" s="455"/>
      <c r="H9" s="455"/>
      <c r="I9" s="455"/>
    </row>
    <row r="11" spans="2:14" ht="57.6">
      <c r="B11" s="119" t="s">
        <v>581</v>
      </c>
      <c r="C11" s="120"/>
      <c r="D11" s="120"/>
      <c r="E11" s="120"/>
      <c r="F11" s="120"/>
      <c r="G11" s="120"/>
      <c r="H11" s="120"/>
    </row>
    <row r="12" spans="2:14" ht="43.2">
      <c r="B12" s="376" t="s">
        <v>582</v>
      </c>
      <c r="C12" s="376" t="s">
        <v>185</v>
      </c>
      <c r="D12" s="374" t="s">
        <v>567</v>
      </c>
      <c r="E12" s="375" t="s">
        <v>568</v>
      </c>
      <c r="F12" s="375" t="s">
        <v>556</v>
      </c>
      <c r="G12" s="375" t="s">
        <v>527</v>
      </c>
      <c r="H12" s="375" t="s">
        <v>528</v>
      </c>
      <c r="K12" s="304" t="s">
        <v>529</v>
      </c>
      <c r="L12" s="305">
        <v>1</v>
      </c>
      <c r="M12" s="123">
        <f>L12+1</f>
        <v>2</v>
      </c>
      <c r="N12" s="123">
        <f t="shared" ref="N12" si="1">M12+1</f>
        <v>3</v>
      </c>
    </row>
    <row r="13" spans="2:14" ht="57.6">
      <c r="B13" s="377" t="s">
        <v>583</v>
      </c>
      <c r="C13" s="377" t="s">
        <v>427</v>
      </c>
      <c r="D13" s="378">
        <v>12.27</v>
      </c>
      <c r="E13" s="378">
        <f>0.55-E14</f>
        <v>0.53</v>
      </c>
      <c r="F13" s="120"/>
      <c r="G13" s="266">
        <f>E13</f>
        <v>0.53</v>
      </c>
      <c r="H13" s="120"/>
      <c r="K13" s="255" t="s">
        <v>64</v>
      </c>
      <c r="L13" s="240">
        <f>E18</f>
        <v>1.4</v>
      </c>
      <c r="M13" s="241"/>
      <c r="N13" s="241"/>
    </row>
    <row r="14" spans="2:14">
      <c r="B14" s="377" t="s">
        <v>584</v>
      </c>
      <c r="C14" s="377" t="s">
        <v>427</v>
      </c>
      <c r="D14" s="378">
        <v>0.02</v>
      </c>
      <c r="E14" s="378">
        <f>D14</f>
        <v>0.02</v>
      </c>
      <c r="F14" s="120"/>
      <c r="G14" s="266">
        <f t="shared" ref="G14:G17" si="2">E14</f>
        <v>0.02</v>
      </c>
      <c r="H14" s="120"/>
      <c r="K14" s="239" t="s">
        <v>559</v>
      </c>
      <c r="L14" s="240">
        <f>F18</f>
        <v>0</v>
      </c>
      <c r="M14" s="240">
        <f>G18</f>
        <v>1.4</v>
      </c>
      <c r="N14" s="240">
        <f>K11</f>
        <v>0</v>
      </c>
    </row>
    <row r="15" spans="2:14">
      <c r="B15" s="377" t="s">
        <v>584</v>
      </c>
      <c r="C15" s="377" t="s">
        <v>245</v>
      </c>
      <c r="D15" s="378">
        <v>15.91</v>
      </c>
      <c r="E15" s="378">
        <v>0</v>
      </c>
      <c r="F15" s="120"/>
      <c r="G15" s="266">
        <f t="shared" si="2"/>
        <v>0</v>
      </c>
      <c r="H15" s="120"/>
      <c r="K15" s="239" t="s">
        <v>532</v>
      </c>
      <c r="L15" s="241">
        <v>1</v>
      </c>
      <c r="M15" s="241">
        <f>L15+1</f>
        <v>2</v>
      </c>
      <c r="N15" s="241">
        <f t="shared" ref="N15" si="3">M15+1</f>
        <v>3</v>
      </c>
    </row>
    <row r="16" spans="2:14">
      <c r="B16" s="377" t="s">
        <v>584</v>
      </c>
      <c r="C16" s="377" t="s">
        <v>271</v>
      </c>
      <c r="D16" s="378">
        <f>1.98</f>
        <v>1.98</v>
      </c>
      <c r="E16" s="378">
        <v>0.85</v>
      </c>
      <c r="F16" s="120"/>
      <c r="G16" s="266">
        <f t="shared" si="2"/>
        <v>0.85</v>
      </c>
      <c r="H16" s="120"/>
      <c r="K16" s="239" t="s">
        <v>533</v>
      </c>
      <c r="L16" s="242">
        <f>1/(1+$L$17)^L15</f>
        <v>0.9174311926605504</v>
      </c>
      <c r="M16" s="242">
        <f t="shared" ref="M16:N16" si="4">1/(1+$L$17)^M15</f>
        <v>0.84167999326655996</v>
      </c>
      <c r="N16" s="242">
        <f t="shared" si="4"/>
        <v>0.77218348006106419</v>
      </c>
    </row>
    <row r="17" spans="2:14">
      <c r="B17" s="377" t="s">
        <v>584</v>
      </c>
      <c r="C17" s="377" t="s">
        <v>585</v>
      </c>
      <c r="D17" s="378">
        <v>0.19</v>
      </c>
      <c r="E17" s="378">
        <v>0</v>
      </c>
      <c r="F17" s="120"/>
      <c r="G17" s="266">
        <f t="shared" si="2"/>
        <v>0</v>
      </c>
      <c r="H17" s="120"/>
      <c r="K17" s="239" t="s">
        <v>534</v>
      </c>
      <c r="L17" s="243">
        <v>0.09</v>
      </c>
      <c r="M17" s="241"/>
      <c r="N17" s="241"/>
    </row>
    <row r="18" spans="2:14">
      <c r="B18" s="379" t="s">
        <v>586</v>
      </c>
      <c r="C18" s="379"/>
      <c r="D18" s="380">
        <f>SUM(D13:D17)</f>
        <v>30.37</v>
      </c>
      <c r="E18" s="380">
        <f>SUM(E13:E17)</f>
        <v>1.4</v>
      </c>
      <c r="F18" s="380">
        <f t="shared" ref="F18:H18" si="5">SUM(F13:F17)</f>
        <v>0</v>
      </c>
      <c r="G18" s="380">
        <f>SUM(G13:G17)</f>
        <v>1.4</v>
      </c>
      <c r="H18" s="380">
        <f t="shared" si="5"/>
        <v>0</v>
      </c>
      <c r="K18" s="239" t="s">
        <v>535</v>
      </c>
      <c r="L18" s="240">
        <f>L14*L16</f>
        <v>0</v>
      </c>
      <c r="M18" s="240">
        <f t="shared" ref="M18:N18" si="6">M14*M16</f>
        <v>1.1783519905731838</v>
      </c>
      <c r="N18" s="240">
        <f t="shared" si="6"/>
        <v>0</v>
      </c>
    </row>
    <row r="19" spans="2:14" ht="86.4">
      <c r="K19" s="244" t="s">
        <v>576</v>
      </c>
      <c r="L19" s="245">
        <f>SUM(L18:M18)</f>
        <v>1.1783519905731838</v>
      </c>
      <c r="M19" s="238"/>
      <c r="N19" s="238"/>
    </row>
  </sheetData>
  <mergeCells count="5">
    <mergeCell ref="B5:I5"/>
    <mergeCell ref="B3:I3"/>
    <mergeCell ref="B2:I2"/>
    <mergeCell ref="B8:I8"/>
    <mergeCell ref="B9:I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tint="-0.89999084444715716"/>
  </sheetPr>
  <dimension ref="B2:I9"/>
  <sheetViews>
    <sheetView topLeftCell="B1" workbookViewId="0">
      <selection activeCell="B9" sqref="B9:G9"/>
    </sheetView>
  </sheetViews>
  <sheetFormatPr defaultRowHeight="14.4"/>
  <cols>
    <col min="1" max="1" width="20.33203125" customWidth="1"/>
    <col min="3" max="3" width="22.88671875" customWidth="1"/>
    <col min="4" max="4" width="12.33203125" customWidth="1"/>
    <col min="5" max="5" width="15.33203125" customWidth="1"/>
    <col min="6" max="6" width="30.6640625" customWidth="1"/>
    <col min="7" max="7" width="58.109375" customWidth="1"/>
  </cols>
  <sheetData>
    <row r="2" spans="2:9">
      <c r="B2" s="459" t="s">
        <v>587</v>
      </c>
      <c r="C2" s="460"/>
      <c r="D2" s="460"/>
      <c r="E2" s="460"/>
      <c r="F2" s="460"/>
      <c r="G2" s="461"/>
    </row>
    <row r="3" spans="2:9" ht="14.4" customHeight="1">
      <c r="B3" s="435" t="str">
        <f>'SUMMARY-2023'!B3</f>
        <v>Details as on 31st March 2023</v>
      </c>
      <c r="C3" s="462"/>
      <c r="D3" s="462"/>
      <c r="E3" s="462"/>
      <c r="F3" s="462"/>
      <c r="G3" s="463"/>
    </row>
    <row r="4" spans="2:9" ht="36">
      <c r="B4" s="24" t="s">
        <v>0</v>
      </c>
      <c r="C4" s="24" t="s">
        <v>69</v>
      </c>
      <c r="D4" s="37" t="s">
        <v>64</v>
      </c>
      <c r="E4" s="24" t="s">
        <v>142</v>
      </c>
      <c r="F4" s="24" t="s">
        <v>143</v>
      </c>
      <c r="G4" s="24" t="s">
        <v>22</v>
      </c>
    </row>
    <row r="5" spans="2:9">
      <c r="B5" s="435" t="str">
        <f>'SUMMARY-2023'!B5</f>
        <v>Figures in INR Crores</v>
      </c>
      <c r="C5" s="436"/>
      <c r="D5" s="436"/>
      <c r="E5" s="436"/>
      <c r="F5" s="436"/>
      <c r="G5" s="437"/>
    </row>
    <row r="6" spans="2:9" ht="87.75" customHeight="1">
      <c r="B6" s="54">
        <v>1</v>
      </c>
      <c r="C6" s="77" t="s">
        <v>145</v>
      </c>
      <c r="D6" s="76">
        <v>24.2</v>
      </c>
      <c r="E6" s="60">
        <f t="shared" ref="E6" si="0">$D6*H6</f>
        <v>24.2</v>
      </c>
      <c r="F6" s="60">
        <f t="shared" ref="F6" si="1">$D6*I6</f>
        <v>24.2</v>
      </c>
      <c r="G6" s="75" t="s">
        <v>688</v>
      </c>
      <c r="H6" s="47">
        <v>1</v>
      </c>
      <c r="I6" s="47">
        <v>1</v>
      </c>
    </row>
    <row r="7" spans="2:9">
      <c r="B7" s="38"/>
      <c r="C7" s="36" t="s">
        <v>23</v>
      </c>
      <c r="D7" s="61">
        <f>SUM(D6:D6)</f>
        <v>24.2</v>
      </c>
      <c r="E7" s="61">
        <f>SUM(E6:E6)</f>
        <v>24.2</v>
      </c>
      <c r="F7" s="61">
        <f>SUM(F6:F6)</f>
        <v>24.2</v>
      </c>
      <c r="G7" s="38"/>
    </row>
    <row r="8" spans="2:9">
      <c r="B8" s="406" t="s">
        <v>20</v>
      </c>
      <c r="C8" s="407"/>
      <c r="D8" s="407"/>
      <c r="E8" s="407"/>
      <c r="F8" s="407"/>
      <c r="G8" s="438"/>
    </row>
    <row r="9" spans="2:9" ht="105" customHeight="1">
      <c r="B9" s="409" t="s">
        <v>703</v>
      </c>
      <c r="C9" s="409"/>
      <c r="D9" s="409"/>
      <c r="E9" s="409"/>
      <c r="F9" s="409"/>
      <c r="G9" s="409"/>
    </row>
  </sheetData>
  <mergeCells count="5">
    <mergeCell ref="B2:G2"/>
    <mergeCell ref="B3:G3"/>
    <mergeCell ref="B5:G5"/>
    <mergeCell ref="B8:G8"/>
    <mergeCell ref="B9:G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249977111117893"/>
  </sheetPr>
  <dimension ref="B2:I29"/>
  <sheetViews>
    <sheetView workbookViewId="0">
      <selection activeCell="G6" sqref="G6"/>
    </sheetView>
  </sheetViews>
  <sheetFormatPr defaultRowHeight="14.4"/>
  <cols>
    <col min="1" max="1" width="3.33203125" customWidth="1"/>
    <col min="2" max="2" width="5.6640625" customWidth="1"/>
    <col min="3" max="3" width="22.33203125" customWidth="1"/>
    <col min="4" max="4" width="13.109375" customWidth="1"/>
    <col min="5" max="5" width="15.44140625" customWidth="1"/>
    <col min="6" max="6" width="19.33203125" customWidth="1"/>
    <col min="7" max="7" width="62.33203125" customWidth="1"/>
  </cols>
  <sheetData>
    <row r="2" spans="2:9">
      <c r="B2" s="459" t="s">
        <v>99</v>
      </c>
      <c r="C2" s="460"/>
      <c r="D2" s="460"/>
      <c r="E2" s="460"/>
      <c r="F2" s="460"/>
      <c r="G2" s="461"/>
    </row>
    <row r="3" spans="2:9">
      <c r="B3" s="435" t="str">
        <f>'SUMMARY-2023'!B3</f>
        <v>Details as on 31st March 2023</v>
      </c>
      <c r="C3" s="436"/>
      <c r="D3" s="436"/>
      <c r="E3" s="436"/>
      <c r="F3" s="436"/>
      <c r="G3" s="437"/>
    </row>
    <row r="4" spans="2:9" ht="24">
      <c r="B4" s="24" t="s">
        <v>0</v>
      </c>
      <c r="C4" s="24" t="s">
        <v>69</v>
      </c>
      <c r="D4" s="37" t="s">
        <v>64</v>
      </c>
      <c r="E4" s="24" t="s">
        <v>142</v>
      </c>
      <c r="F4" s="24" t="s">
        <v>143</v>
      </c>
      <c r="G4" s="24" t="s">
        <v>22</v>
      </c>
    </row>
    <row r="5" spans="2:9">
      <c r="B5" s="435" t="str">
        <f>'SUMMARY-2023'!B5</f>
        <v>Figures in INR Crores</v>
      </c>
      <c r="C5" s="436"/>
      <c r="D5" s="436"/>
      <c r="E5" s="436"/>
      <c r="F5" s="436"/>
      <c r="G5" s="437"/>
    </row>
    <row r="6" spans="2:9" ht="187.2">
      <c r="B6" s="41">
        <v>1</v>
      </c>
      <c r="C6" s="59" t="s">
        <v>612</v>
      </c>
      <c r="D6" s="60">
        <f>20.31+41.38</f>
        <v>61.69</v>
      </c>
      <c r="E6" s="60">
        <f>E27</f>
        <v>60.442583199999994</v>
      </c>
      <c r="F6" s="60">
        <v>0</v>
      </c>
      <c r="G6" s="97" t="s">
        <v>662</v>
      </c>
      <c r="H6" s="47">
        <v>1</v>
      </c>
      <c r="I6" s="47">
        <v>1</v>
      </c>
    </row>
    <row r="7" spans="2:9">
      <c r="B7" s="38"/>
      <c r="C7" s="79" t="s">
        <v>23</v>
      </c>
      <c r="D7" s="61">
        <f>SUM(D6:D6)</f>
        <v>61.69</v>
      </c>
      <c r="E7" s="61">
        <f>SUM(E6:E6)</f>
        <v>60.442583199999994</v>
      </c>
      <c r="F7" s="61">
        <f>SUM(F6:F6)</f>
        <v>0</v>
      </c>
      <c r="G7" s="38"/>
    </row>
    <row r="8" spans="2:9">
      <c r="B8" s="406" t="str">
        <f>[2]SUMMARY!B16</f>
        <v>REMARKS &amp; NOTES:-</v>
      </c>
      <c r="C8" s="407"/>
      <c r="D8" s="407"/>
      <c r="E8" s="407"/>
      <c r="F8" s="407"/>
      <c r="G8" s="438"/>
    </row>
    <row r="9" spans="2:9" ht="124.5" customHeight="1">
      <c r="B9" s="409" t="s">
        <v>703</v>
      </c>
      <c r="C9" s="409"/>
      <c r="D9" s="409"/>
      <c r="E9" s="409"/>
      <c r="F9" s="409"/>
      <c r="G9" s="409"/>
    </row>
    <row r="13" spans="2:9">
      <c r="C13" s="264" t="s">
        <v>589</v>
      </c>
      <c r="D13" s="120"/>
      <c r="E13" s="120"/>
      <c r="F13" s="120"/>
    </row>
    <row r="14" spans="2:9">
      <c r="C14" s="273" t="s">
        <v>590</v>
      </c>
      <c r="D14" s="273" t="s">
        <v>591</v>
      </c>
      <c r="E14" s="273" t="s">
        <v>592</v>
      </c>
      <c r="F14" s="274" t="s">
        <v>22</v>
      </c>
    </row>
    <row r="15" spans="2:9" ht="28.8">
      <c r="C15" s="265" t="s">
        <v>593</v>
      </c>
      <c r="D15" s="266">
        <v>2.73</v>
      </c>
      <c r="E15" s="266">
        <f>D15</f>
        <v>2.73</v>
      </c>
      <c r="F15" s="275" t="s">
        <v>594</v>
      </c>
    </row>
    <row r="16" spans="2:9" ht="28.8">
      <c r="C16" s="268" t="s">
        <v>595</v>
      </c>
      <c r="D16" s="266">
        <v>0</v>
      </c>
      <c r="E16" s="266">
        <f t="shared" ref="E16:E22" si="0">D16</f>
        <v>0</v>
      </c>
      <c r="F16" s="275"/>
    </row>
    <row r="17" spans="3:6" ht="28.8">
      <c r="C17" s="265" t="s">
        <v>596</v>
      </c>
      <c r="D17" s="266">
        <v>0.88967220000000002</v>
      </c>
      <c r="E17" s="266">
        <f t="shared" si="0"/>
        <v>0.88967220000000002</v>
      </c>
      <c r="F17" s="119" t="s">
        <v>611</v>
      </c>
    </row>
    <row r="18" spans="3:6" ht="28.8">
      <c r="C18" s="269" t="s">
        <v>597</v>
      </c>
      <c r="D18" s="266">
        <v>7.1876999999999996E-2</v>
      </c>
      <c r="E18" s="266">
        <f t="shared" si="0"/>
        <v>7.1876999999999996E-2</v>
      </c>
      <c r="F18" s="119" t="s">
        <v>611</v>
      </c>
    </row>
    <row r="19" spans="3:6" ht="28.8">
      <c r="C19" s="269" t="s">
        <v>598</v>
      </c>
      <c r="D19" s="266">
        <v>1.7133951999999999</v>
      </c>
      <c r="E19" s="266">
        <f t="shared" si="0"/>
        <v>1.7133951999999999</v>
      </c>
      <c r="F19" s="119" t="s">
        <v>611</v>
      </c>
    </row>
    <row r="20" spans="3:6" ht="28.8">
      <c r="C20" s="265" t="s">
        <v>599</v>
      </c>
      <c r="D20" s="266">
        <v>2.5332899999999998E-2</v>
      </c>
      <c r="E20" s="266">
        <f t="shared" si="0"/>
        <v>2.5332899999999998E-2</v>
      </c>
      <c r="F20" s="119" t="s">
        <v>611</v>
      </c>
    </row>
    <row r="21" spans="3:6" ht="28.8">
      <c r="C21" s="265" t="s">
        <v>600</v>
      </c>
      <c r="D21" s="266">
        <v>11.0521785</v>
      </c>
      <c r="E21" s="266">
        <f t="shared" si="0"/>
        <v>11.0521785</v>
      </c>
      <c r="F21" s="276" t="s">
        <v>601</v>
      </c>
    </row>
    <row r="22" spans="3:6" ht="28.8">
      <c r="C22" s="265" t="s">
        <v>602</v>
      </c>
      <c r="D22" s="266">
        <v>5.4001273999999997</v>
      </c>
      <c r="E22" s="266">
        <f t="shared" si="0"/>
        <v>5.4001273999999997</v>
      </c>
      <c r="F22" s="276" t="s">
        <v>603</v>
      </c>
    </row>
    <row r="23" spans="3:6" ht="28.8">
      <c r="C23" s="277" t="s">
        <v>604</v>
      </c>
      <c r="D23" s="266"/>
      <c r="E23" s="266"/>
      <c r="F23" s="119"/>
    </row>
    <row r="24" spans="3:6" ht="86.4">
      <c r="C24" s="265" t="s">
        <v>605</v>
      </c>
      <c r="D24" s="266">
        <f>38.46-6.3</f>
        <v>32.160000000000004</v>
      </c>
      <c r="E24" s="266">
        <v>31.66</v>
      </c>
      <c r="F24" s="270" t="s">
        <v>606</v>
      </c>
    </row>
    <row r="25" spans="3:6" ht="57.6">
      <c r="C25" s="268" t="s">
        <v>607</v>
      </c>
      <c r="D25" s="267">
        <v>6.9</v>
      </c>
      <c r="E25" s="267">
        <v>6.9</v>
      </c>
      <c r="F25" s="270" t="s">
        <v>608</v>
      </c>
    </row>
    <row r="26" spans="3:6">
      <c r="C26" s="265"/>
      <c r="D26" s="120"/>
      <c r="E26" s="120"/>
      <c r="F26" s="120"/>
    </row>
    <row r="27" spans="3:6">
      <c r="C27" s="265" t="s">
        <v>21</v>
      </c>
      <c r="D27" s="271">
        <f>SUM(D15:D25)</f>
        <v>60.942583200000001</v>
      </c>
      <c r="E27" s="271">
        <f>SUM(E15:E25)</f>
        <v>60.442583199999994</v>
      </c>
      <c r="F27" s="120"/>
    </row>
    <row r="28" spans="3:6">
      <c r="C28" s="265" t="s">
        <v>609</v>
      </c>
      <c r="D28" s="120">
        <v>61.69</v>
      </c>
      <c r="E28" s="120"/>
      <c r="F28" s="120"/>
    </row>
    <row r="29" spans="3:6">
      <c r="C29" s="265" t="s">
        <v>610</v>
      </c>
      <c r="D29" s="272">
        <f>D27-D28</f>
        <v>-0.74741679999999633</v>
      </c>
      <c r="E29" s="120"/>
      <c r="F29" s="120"/>
    </row>
  </sheetData>
  <mergeCells count="5">
    <mergeCell ref="B2:G2"/>
    <mergeCell ref="B3:G3"/>
    <mergeCell ref="B5:G5"/>
    <mergeCell ref="B8:G8"/>
    <mergeCell ref="B9:G9"/>
  </mergeCells>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sheetPr>
  <dimension ref="B2:N58"/>
  <sheetViews>
    <sheetView topLeftCell="A7" workbookViewId="0">
      <selection activeCell="B9" sqref="B9:J9"/>
    </sheetView>
  </sheetViews>
  <sheetFormatPr defaultRowHeight="14.4"/>
  <cols>
    <col min="1" max="1" width="4.109375" customWidth="1"/>
    <col min="3" max="3" width="49.77734375" customWidth="1"/>
    <col min="4" max="4" width="14.44140625" customWidth="1"/>
    <col min="5" max="6" width="0" hidden="1" customWidth="1"/>
    <col min="7" max="7" width="9.44140625" hidden="1" customWidth="1"/>
    <col min="9" max="9" width="13.88671875" customWidth="1"/>
    <col min="10" max="10" width="34.88671875" customWidth="1"/>
    <col min="11" max="11" width="61.109375" customWidth="1"/>
  </cols>
  <sheetData>
    <row r="2" spans="2:12" ht="14.4" customHeight="1">
      <c r="B2" s="450" t="s">
        <v>680</v>
      </c>
      <c r="C2" s="451"/>
      <c r="D2" s="451"/>
      <c r="E2" s="451"/>
      <c r="F2" s="451"/>
      <c r="G2" s="451"/>
      <c r="H2" s="451"/>
      <c r="I2" s="451"/>
      <c r="J2" s="451"/>
    </row>
    <row r="3" spans="2:12" ht="14.4" customHeight="1">
      <c r="B3" s="448" t="str">
        <f>'SUMMARY-2023'!B3</f>
        <v>Details as on 31st March 2023</v>
      </c>
      <c r="C3" s="449"/>
      <c r="D3" s="449"/>
      <c r="E3" s="449"/>
      <c r="F3" s="449"/>
      <c r="G3" s="449"/>
      <c r="H3" s="449"/>
      <c r="I3" s="449"/>
      <c r="J3" s="449"/>
    </row>
    <row r="4" spans="2:12" ht="36">
      <c r="B4" s="24" t="s">
        <v>0</v>
      </c>
      <c r="C4" s="24" t="s">
        <v>69</v>
      </c>
      <c r="D4" s="37" t="s">
        <v>64</v>
      </c>
      <c r="E4" s="24" t="s">
        <v>526</v>
      </c>
      <c r="F4" s="24" t="s">
        <v>527</v>
      </c>
      <c r="G4" s="24" t="s">
        <v>528</v>
      </c>
      <c r="H4" s="24" t="s">
        <v>142</v>
      </c>
      <c r="I4" s="24" t="s">
        <v>143</v>
      </c>
      <c r="J4" s="24" t="s">
        <v>22</v>
      </c>
    </row>
    <row r="5" spans="2:12" ht="14.4" customHeight="1">
      <c r="B5" s="446" t="str">
        <f>'SUMMARY-2023'!B5</f>
        <v>Figures in INR Crores</v>
      </c>
      <c r="C5" s="447"/>
      <c r="D5" s="447"/>
      <c r="E5" s="447"/>
      <c r="F5" s="447"/>
      <c r="G5" s="447"/>
      <c r="H5" s="447"/>
      <c r="I5" s="447"/>
      <c r="J5" s="447"/>
    </row>
    <row r="6" spans="2:12" ht="249" customHeight="1">
      <c r="B6" s="41">
        <v>1</v>
      </c>
      <c r="C6" s="59" t="s">
        <v>131</v>
      </c>
      <c r="D6" s="60">
        <f>1.2+2.13</f>
        <v>3.33</v>
      </c>
      <c r="E6" s="60">
        <f>E16</f>
        <v>0.5709832829999999</v>
      </c>
      <c r="F6" s="60">
        <f>F16</f>
        <v>2.1667281910000007</v>
      </c>
      <c r="G6" s="60">
        <f>G16</f>
        <v>0.59186000000000005</v>
      </c>
      <c r="H6" s="60">
        <f>L24</f>
        <v>2.804554158032214</v>
      </c>
      <c r="I6" s="60">
        <f>L25</f>
        <v>2.1325407864000008</v>
      </c>
      <c r="J6" s="381" t="s">
        <v>706</v>
      </c>
      <c r="L6" s="47">
        <v>0.3</v>
      </c>
    </row>
    <row r="7" spans="2:12">
      <c r="B7" s="38"/>
      <c r="C7" s="36" t="s">
        <v>23</v>
      </c>
      <c r="D7" s="61">
        <f>SUM(D3:D6)</f>
        <v>3.33</v>
      </c>
      <c r="E7" s="61">
        <f>SUM(E3:E6)</f>
        <v>0.5709832829999999</v>
      </c>
      <c r="F7" s="61">
        <f>SUM(F3:F6)</f>
        <v>2.1667281910000007</v>
      </c>
      <c r="G7" s="61">
        <f>G6</f>
        <v>0.59186000000000005</v>
      </c>
      <c r="H7" s="319">
        <f>H6</f>
        <v>2.804554158032214</v>
      </c>
      <c r="I7" s="319">
        <f>I6</f>
        <v>2.1325407864000008</v>
      </c>
      <c r="J7" s="38"/>
    </row>
    <row r="8" spans="2:12" ht="14.4" customHeight="1">
      <c r="B8" s="467" t="s">
        <v>20</v>
      </c>
      <c r="C8" s="468"/>
      <c r="D8" s="468"/>
      <c r="E8" s="468"/>
      <c r="F8" s="468"/>
      <c r="G8" s="468"/>
      <c r="H8" s="468"/>
      <c r="I8" s="468"/>
      <c r="J8" s="468"/>
    </row>
    <row r="9" spans="2:12" ht="114" customHeight="1">
      <c r="B9" s="454" t="s">
        <v>704</v>
      </c>
      <c r="C9" s="455"/>
      <c r="D9" s="455"/>
      <c r="E9" s="455"/>
      <c r="F9" s="455"/>
      <c r="G9" s="455"/>
      <c r="H9" s="455"/>
      <c r="I9" s="455"/>
      <c r="J9" s="455"/>
    </row>
    <row r="12" spans="2:12">
      <c r="G12">
        <f>H7/D7</f>
        <v>0.84220845586552973</v>
      </c>
      <c r="H12">
        <f>I7/H7</f>
        <v>0.76038495469678347</v>
      </c>
    </row>
    <row r="15" spans="2:12">
      <c r="B15" s="278" t="s">
        <v>420</v>
      </c>
      <c r="C15" s="179"/>
      <c r="D15" s="179"/>
      <c r="E15" s="466" t="s">
        <v>613</v>
      </c>
      <c r="F15" s="466"/>
      <c r="G15" s="466"/>
      <c r="H15" s="179"/>
    </row>
    <row r="16" spans="2:12">
      <c r="B16" s="179"/>
      <c r="C16" s="278"/>
      <c r="D16" s="332">
        <f>SUBTOTAL(9,D18:D171)</f>
        <v>3.3295714740000002</v>
      </c>
      <c r="E16" s="332">
        <f t="shared" ref="E16:G16" si="0">SUBTOTAL(9,E18:E171)</f>
        <v>0.5709832829999999</v>
      </c>
      <c r="F16" s="332">
        <f t="shared" si="0"/>
        <v>2.1667281910000007</v>
      </c>
      <c r="G16" s="332">
        <f t="shared" si="0"/>
        <v>0.59186000000000005</v>
      </c>
      <c r="H16" s="179"/>
    </row>
    <row r="17" spans="2:14" ht="43.2">
      <c r="B17" s="279" t="s">
        <v>185</v>
      </c>
      <c r="C17" s="279" t="s">
        <v>421</v>
      </c>
      <c r="D17" s="280" t="s">
        <v>456</v>
      </c>
      <c r="E17" s="280" t="s">
        <v>556</v>
      </c>
      <c r="F17" s="280" t="s">
        <v>557</v>
      </c>
      <c r="G17" s="280" t="s">
        <v>558</v>
      </c>
      <c r="H17" s="280" t="s">
        <v>614</v>
      </c>
      <c r="K17" s="238" t="s">
        <v>529</v>
      </c>
      <c r="L17" s="123">
        <v>1</v>
      </c>
      <c r="M17" s="123">
        <f>L17+1</f>
        <v>2</v>
      </c>
      <c r="N17" s="123">
        <f t="shared" ref="N17" si="1">M17+1</f>
        <v>3</v>
      </c>
    </row>
    <row r="18" spans="2:14">
      <c r="B18" s="179" t="s">
        <v>290</v>
      </c>
      <c r="C18" s="208" t="s">
        <v>424</v>
      </c>
      <c r="D18" s="330">
        <v>4.9999999999999979E-4</v>
      </c>
      <c r="E18" s="330">
        <f>D18</f>
        <v>4.9999999999999979E-4</v>
      </c>
      <c r="F18" s="330"/>
      <c r="G18" s="330"/>
      <c r="H18" s="465" t="s">
        <v>615</v>
      </c>
      <c r="K18" s="255" t="s">
        <v>64</v>
      </c>
      <c r="L18" s="240">
        <f>D7</f>
        <v>3.33</v>
      </c>
      <c r="M18" s="241"/>
      <c r="N18" s="241"/>
    </row>
    <row r="19" spans="2:14">
      <c r="B19" s="179" t="s">
        <v>290</v>
      </c>
      <c r="C19" s="208" t="s">
        <v>425</v>
      </c>
      <c r="D19" s="330">
        <v>1.9E-3</v>
      </c>
      <c r="E19" s="330">
        <f>D19</f>
        <v>1.9E-3</v>
      </c>
      <c r="F19" s="330"/>
      <c r="G19" s="330"/>
      <c r="H19" s="465"/>
      <c r="K19" s="239" t="s">
        <v>559</v>
      </c>
      <c r="L19" s="240">
        <f>E16</f>
        <v>0.5709832829999999</v>
      </c>
      <c r="M19" s="240">
        <f>F16</f>
        <v>2.1667281910000007</v>
      </c>
      <c r="N19" s="240">
        <f>G16</f>
        <v>0.59186000000000005</v>
      </c>
    </row>
    <row r="20" spans="2:14">
      <c r="B20" s="179" t="s">
        <v>271</v>
      </c>
      <c r="C20" s="208" t="s">
        <v>426</v>
      </c>
      <c r="D20" s="330">
        <v>3.3432000000000003E-2</v>
      </c>
      <c r="E20" s="330"/>
      <c r="F20" s="330">
        <f>D20</f>
        <v>3.3432000000000003E-2</v>
      </c>
      <c r="G20" s="330"/>
      <c r="H20" s="465"/>
      <c r="K20" s="239" t="s">
        <v>532</v>
      </c>
      <c r="L20" s="241">
        <v>1</v>
      </c>
      <c r="M20" s="241">
        <f>L20+1</f>
        <v>2</v>
      </c>
      <c r="N20" s="241">
        <f t="shared" ref="N20" si="2">M20+1</f>
        <v>3</v>
      </c>
    </row>
    <row r="21" spans="2:14">
      <c r="B21" s="179" t="s">
        <v>427</v>
      </c>
      <c r="C21" s="208" t="s">
        <v>428</v>
      </c>
      <c r="D21" s="331">
        <v>1.2999999999999999E-3</v>
      </c>
      <c r="E21" s="330"/>
      <c r="F21" s="330">
        <f>D21</f>
        <v>1.2999999999999999E-3</v>
      </c>
      <c r="G21" s="330"/>
      <c r="H21" s="465"/>
      <c r="K21" s="239" t="s">
        <v>533</v>
      </c>
      <c r="L21" s="242">
        <f>1/(1+$L$22)^L20</f>
        <v>0.9174311926605504</v>
      </c>
      <c r="M21" s="242">
        <f t="shared" ref="M21:N21" si="3">1/(1+$L$22)^M20</f>
        <v>0.84167999326655996</v>
      </c>
      <c r="N21" s="242">
        <f t="shared" si="3"/>
        <v>0.77218348006106419</v>
      </c>
    </row>
    <row r="22" spans="2:14">
      <c r="B22" s="179" t="s">
        <v>290</v>
      </c>
      <c r="C22" s="208" t="s">
        <v>429</v>
      </c>
      <c r="D22" s="330">
        <v>8.3310000000000003E-4</v>
      </c>
      <c r="E22" s="330">
        <f>D22</f>
        <v>8.3310000000000003E-4</v>
      </c>
      <c r="F22" s="330"/>
      <c r="G22" s="330"/>
      <c r="H22" s="465"/>
      <c r="K22" s="239" t="s">
        <v>534</v>
      </c>
      <c r="L22" s="243">
        <v>0.09</v>
      </c>
      <c r="M22" s="241"/>
      <c r="N22" s="241"/>
    </row>
    <row r="23" spans="2:14">
      <c r="B23" s="179" t="s">
        <v>253</v>
      </c>
      <c r="C23" s="208" t="s">
        <v>264</v>
      </c>
      <c r="D23" s="330">
        <v>5.0033300000000003E-2</v>
      </c>
      <c r="E23" s="330"/>
      <c r="F23" s="330">
        <v>5.0033300000000003E-2</v>
      </c>
      <c r="G23" s="330"/>
      <c r="H23" s="465"/>
      <c r="K23" s="239" t="s">
        <v>535</v>
      </c>
      <c r="L23" s="240">
        <f>L19*L21</f>
        <v>0.52383787431192652</v>
      </c>
      <c r="M23" s="240">
        <f t="shared" ref="M23:N23" si="4">M19*M21</f>
        <v>1.8236917692113461</v>
      </c>
      <c r="N23" s="240">
        <f t="shared" si="4"/>
        <v>0.45702451450894149</v>
      </c>
    </row>
    <row r="24" spans="2:14" ht="22.2" customHeight="1">
      <c r="B24" s="179" t="s">
        <v>232</v>
      </c>
      <c r="C24" s="208" t="s">
        <v>430</v>
      </c>
      <c r="D24" s="330">
        <v>3.0759000000000002E-2</v>
      </c>
      <c r="E24" s="330">
        <f>D24</f>
        <v>3.0759000000000002E-2</v>
      </c>
      <c r="F24" s="330"/>
      <c r="G24" s="330"/>
      <c r="H24" s="465"/>
      <c r="K24" s="244" t="s">
        <v>616</v>
      </c>
      <c r="L24" s="245">
        <f>SUM(L23:N23)</f>
        <v>2.804554158032214</v>
      </c>
      <c r="M24" s="238"/>
      <c r="N24" s="238"/>
    </row>
    <row r="25" spans="2:14">
      <c r="B25" s="179" t="s">
        <v>232</v>
      </c>
      <c r="C25" s="208" t="s">
        <v>431</v>
      </c>
      <c r="D25" s="330">
        <v>0.90526816799999998</v>
      </c>
      <c r="E25" s="330"/>
      <c r="F25" s="330">
        <f>D25</f>
        <v>0.90526816799999998</v>
      </c>
      <c r="G25" s="330"/>
      <c r="H25" s="465"/>
      <c r="L25" s="258">
        <f>(L19*0.75)+(M19*0.65)+(N19*0.5)</f>
        <v>2.1325407864000008</v>
      </c>
    </row>
    <row r="26" spans="2:14">
      <c r="B26" s="179" t="s">
        <v>290</v>
      </c>
      <c r="C26" s="208" t="s">
        <v>432</v>
      </c>
      <c r="D26" s="330">
        <v>1.2327299999999999E-2</v>
      </c>
      <c r="E26" s="330">
        <f t="shared" ref="E26:E27" si="5">D26</f>
        <v>1.2327299999999999E-2</v>
      </c>
      <c r="F26" s="330"/>
      <c r="G26" s="330"/>
      <c r="H26" s="465"/>
    </row>
    <row r="27" spans="2:14">
      <c r="B27" s="179" t="s">
        <v>290</v>
      </c>
      <c r="C27" s="208" t="s">
        <v>415</v>
      </c>
      <c r="D27" s="330">
        <v>-3.200000002980232E-8</v>
      </c>
      <c r="E27" s="330">
        <f t="shared" si="5"/>
        <v>-3.200000002980232E-8</v>
      </c>
      <c r="F27" s="330"/>
      <c r="G27" s="330"/>
      <c r="H27" s="465"/>
    </row>
    <row r="28" spans="2:14">
      <c r="B28" s="179" t="s">
        <v>232</v>
      </c>
      <c r="C28" s="208" t="s">
        <v>363</v>
      </c>
      <c r="D28" s="330">
        <v>0.54300569700000001</v>
      </c>
      <c r="E28" s="330"/>
      <c r="F28" s="330">
        <f>D28</f>
        <v>0.54300569700000001</v>
      </c>
      <c r="G28" s="330"/>
      <c r="H28" s="465"/>
    </row>
    <row r="29" spans="2:14">
      <c r="B29" s="179" t="s">
        <v>271</v>
      </c>
      <c r="C29" s="208" t="s">
        <v>433</v>
      </c>
      <c r="D29" s="330">
        <v>0.58840982600000002</v>
      </c>
      <c r="E29" s="330"/>
      <c r="F29" s="330">
        <f>D29</f>
        <v>0.58840982600000002</v>
      </c>
      <c r="G29" s="330"/>
      <c r="H29" s="465"/>
    </row>
    <row r="30" spans="2:14">
      <c r="B30" s="179" t="s">
        <v>434</v>
      </c>
      <c r="C30" s="208" t="s">
        <v>434</v>
      </c>
      <c r="D30" s="330">
        <v>-0.97722500000000001</v>
      </c>
      <c r="E30" s="330"/>
      <c r="F30" s="330">
        <f>D30</f>
        <v>-0.97722500000000001</v>
      </c>
      <c r="G30" s="330"/>
      <c r="H30" s="465"/>
    </row>
    <row r="31" spans="2:14">
      <c r="B31" s="179" t="s">
        <v>290</v>
      </c>
      <c r="C31" s="208" t="s">
        <v>435</v>
      </c>
      <c r="D31" s="330">
        <v>2.1000000000000001E-2</v>
      </c>
      <c r="E31" s="330">
        <f t="shared" ref="E31:E33" si="6">D31</f>
        <v>2.1000000000000001E-2</v>
      </c>
      <c r="F31" s="330"/>
      <c r="G31" s="330"/>
      <c r="H31" s="465"/>
    </row>
    <row r="32" spans="2:14">
      <c r="B32" s="179" t="s">
        <v>290</v>
      </c>
      <c r="C32" s="208" t="s">
        <v>436</v>
      </c>
      <c r="D32" s="330">
        <v>2.3839999999999998E-3</v>
      </c>
      <c r="E32" s="330">
        <f t="shared" si="6"/>
        <v>2.3839999999999998E-3</v>
      </c>
      <c r="F32" s="330"/>
      <c r="G32" s="330"/>
      <c r="H32" s="465"/>
    </row>
    <row r="33" spans="2:8">
      <c r="B33" s="179" t="s">
        <v>290</v>
      </c>
      <c r="C33" s="208" t="s">
        <v>437</v>
      </c>
      <c r="D33" s="330">
        <v>2.7000000000000001E-3</v>
      </c>
      <c r="E33" s="330">
        <f t="shared" si="6"/>
        <v>2.7000000000000001E-3</v>
      </c>
      <c r="F33" s="330"/>
      <c r="G33" s="330"/>
      <c r="H33" s="465"/>
    </row>
    <row r="34" spans="2:8">
      <c r="B34" s="179" t="s">
        <v>271</v>
      </c>
      <c r="C34" s="208" t="s">
        <v>438</v>
      </c>
      <c r="D34" s="330">
        <v>0.13893</v>
      </c>
      <c r="E34" s="330"/>
      <c r="F34" s="330">
        <f>D34</f>
        <v>0.13893</v>
      </c>
      <c r="G34" s="330"/>
      <c r="H34" s="465"/>
    </row>
    <row r="35" spans="2:8">
      <c r="B35" s="179" t="s">
        <v>271</v>
      </c>
      <c r="C35" s="208" t="s">
        <v>439</v>
      </c>
      <c r="D35" s="330">
        <v>5.5530000000000003E-2</v>
      </c>
      <c r="E35" s="330"/>
      <c r="F35" s="330">
        <f>D35</f>
        <v>5.5530000000000003E-2</v>
      </c>
      <c r="G35" s="330"/>
      <c r="H35" s="465"/>
    </row>
    <row r="36" spans="2:8">
      <c r="B36" s="179" t="s">
        <v>434</v>
      </c>
      <c r="C36" s="208" t="s">
        <v>440</v>
      </c>
      <c r="D36" s="330">
        <v>7.6859999999999998E-2</v>
      </c>
      <c r="E36" s="330"/>
      <c r="F36" s="330">
        <f>D36</f>
        <v>7.6859999999999998E-2</v>
      </c>
      <c r="G36" s="330"/>
      <c r="H36" s="465"/>
    </row>
    <row r="37" spans="2:8">
      <c r="B37" s="179" t="s">
        <v>290</v>
      </c>
      <c r="C37" s="208" t="s">
        <v>441</v>
      </c>
      <c r="D37" s="330">
        <v>2.1000000000000001E-2</v>
      </c>
      <c r="E37" s="330">
        <f t="shared" ref="E37:E38" si="7">D37</f>
        <v>2.1000000000000001E-2</v>
      </c>
      <c r="F37" s="330"/>
      <c r="G37" s="330"/>
      <c r="H37" s="465"/>
    </row>
    <row r="38" spans="2:8">
      <c r="B38" s="179" t="s">
        <v>290</v>
      </c>
      <c r="C38" s="208" t="s">
        <v>442</v>
      </c>
      <c r="D38" s="330">
        <v>-5.0000000000000001E-4</v>
      </c>
      <c r="E38" s="330">
        <f t="shared" si="7"/>
        <v>-5.0000000000000001E-4</v>
      </c>
      <c r="F38" s="330"/>
      <c r="G38" s="330"/>
      <c r="H38" s="465"/>
    </row>
    <row r="39" spans="2:8">
      <c r="B39" s="179" t="s">
        <v>188</v>
      </c>
      <c r="C39" s="208" t="s">
        <v>443</v>
      </c>
      <c r="D39" s="331">
        <v>-1.6499999999999996E-3</v>
      </c>
      <c r="E39" s="330"/>
      <c r="F39" s="330">
        <f>D39</f>
        <v>-1.6499999999999996E-3</v>
      </c>
      <c r="G39" s="330"/>
      <c r="H39" s="465"/>
    </row>
    <row r="40" spans="2:8">
      <c r="B40" s="179" t="s">
        <v>188</v>
      </c>
      <c r="C40" s="208" t="s">
        <v>444</v>
      </c>
      <c r="D40" s="331">
        <v>6.0000000000000001E-3</v>
      </c>
      <c r="E40" s="330"/>
      <c r="F40" s="330">
        <f>D40</f>
        <v>6.0000000000000001E-3</v>
      </c>
      <c r="G40" s="330"/>
      <c r="H40" s="465"/>
    </row>
    <row r="41" spans="2:8">
      <c r="B41" s="179" t="s">
        <v>188</v>
      </c>
      <c r="C41" s="208" t="s">
        <v>445</v>
      </c>
      <c r="D41" s="331">
        <v>5.7000000000000002E-3</v>
      </c>
      <c r="E41" s="330"/>
      <c r="F41" s="330">
        <f>D41</f>
        <v>5.7000000000000002E-3</v>
      </c>
      <c r="G41" s="330"/>
      <c r="H41" s="465"/>
    </row>
    <row r="42" spans="2:8">
      <c r="B42" s="179" t="s">
        <v>188</v>
      </c>
      <c r="C42" s="208" t="s">
        <v>446</v>
      </c>
      <c r="D42" s="331">
        <v>0.53138839999999998</v>
      </c>
      <c r="E42" s="330"/>
      <c r="F42" s="330">
        <f>D42</f>
        <v>0.53138839999999998</v>
      </c>
      <c r="G42" s="330"/>
      <c r="H42" s="465"/>
    </row>
    <row r="43" spans="2:8">
      <c r="B43" s="179" t="s">
        <v>427</v>
      </c>
      <c r="C43" s="208" t="s">
        <v>203</v>
      </c>
      <c r="D43" s="331">
        <v>1.346E-2</v>
      </c>
      <c r="E43" s="330"/>
      <c r="F43" s="330"/>
      <c r="G43" s="330">
        <f>D43</f>
        <v>1.346E-2</v>
      </c>
      <c r="H43" s="465"/>
    </row>
    <row r="44" spans="2:8">
      <c r="B44" s="179" t="s">
        <v>188</v>
      </c>
      <c r="C44" s="208" t="s">
        <v>447</v>
      </c>
      <c r="D44" s="331">
        <v>7.5665800000000005E-2</v>
      </c>
      <c r="E44" s="330"/>
      <c r="F44" s="330">
        <f>D44</f>
        <v>7.5665800000000005E-2</v>
      </c>
      <c r="G44" s="330"/>
      <c r="H44" s="465"/>
    </row>
    <row r="45" spans="2:8">
      <c r="B45" s="179" t="s">
        <v>232</v>
      </c>
      <c r="C45" s="208" t="s">
        <v>243</v>
      </c>
      <c r="D45" s="330">
        <v>0.45417491500000001</v>
      </c>
      <c r="E45" s="330">
        <f>D45</f>
        <v>0.45417491500000001</v>
      </c>
      <c r="F45" s="330"/>
      <c r="G45" s="330"/>
      <c r="H45" s="465"/>
    </row>
    <row r="46" spans="2:8">
      <c r="B46" s="179" t="s">
        <v>427</v>
      </c>
      <c r="C46" s="208" t="s">
        <v>448</v>
      </c>
      <c r="D46" s="331">
        <v>0.13</v>
      </c>
      <c r="E46" s="330"/>
      <c r="F46" s="330"/>
      <c r="G46" s="330">
        <f>D46</f>
        <v>0.13</v>
      </c>
      <c r="H46" s="465"/>
    </row>
    <row r="47" spans="2:8">
      <c r="B47" s="179" t="s">
        <v>232</v>
      </c>
      <c r="C47" s="208" t="s">
        <v>241</v>
      </c>
      <c r="D47" s="330">
        <v>9.9866700000000003E-2</v>
      </c>
      <c r="E47" s="330"/>
      <c r="F47" s="330">
        <f>D47</f>
        <v>9.9866700000000003E-2</v>
      </c>
      <c r="G47" s="330"/>
      <c r="H47" s="465"/>
    </row>
    <row r="48" spans="2:8">
      <c r="B48" s="179" t="s">
        <v>290</v>
      </c>
      <c r="C48" s="208" t="s">
        <v>449</v>
      </c>
      <c r="D48" s="330">
        <v>8.8999999999999999E-3</v>
      </c>
      <c r="E48" s="330">
        <f>D48</f>
        <v>8.8999999999999999E-3</v>
      </c>
      <c r="F48" s="330"/>
      <c r="G48" s="330"/>
      <c r="H48" s="465"/>
    </row>
    <row r="49" spans="2:8">
      <c r="B49" s="179" t="s">
        <v>188</v>
      </c>
      <c r="C49" s="208" t="s">
        <v>189</v>
      </c>
      <c r="D49" s="331">
        <v>4.4999999999999997E-3</v>
      </c>
      <c r="E49" s="330"/>
      <c r="F49" s="330">
        <f>D49</f>
        <v>4.4999999999999997E-3</v>
      </c>
      <c r="G49" s="330"/>
      <c r="H49" s="465"/>
    </row>
    <row r="50" spans="2:8">
      <c r="B50" s="179" t="s">
        <v>427</v>
      </c>
      <c r="C50" s="208" t="s">
        <v>198</v>
      </c>
      <c r="D50" s="331">
        <v>2.7237999999999998E-2</v>
      </c>
      <c r="E50" s="330"/>
      <c r="F50" s="330">
        <f>D50</f>
        <v>2.7237999999999998E-2</v>
      </c>
      <c r="G50" s="330"/>
      <c r="H50" s="465"/>
    </row>
    <row r="51" spans="2:8">
      <c r="B51" s="179" t="s">
        <v>434</v>
      </c>
      <c r="C51" s="208" t="s">
        <v>450</v>
      </c>
      <c r="D51" s="330">
        <v>-1.7492E-3</v>
      </c>
      <c r="E51" s="330"/>
      <c r="F51" s="330">
        <f>D51</f>
        <v>-1.7492E-3</v>
      </c>
      <c r="G51" s="330"/>
      <c r="H51" s="465"/>
    </row>
    <row r="52" spans="2:8">
      <c r="B52" s="179" t="s">
        <v>290</v>
      </c>
      <c r="C52" s="208" t="s">
        <v>451</v>
      </c>
      <c r="D52" s="330">
        <v>-3.5500000000000001E-4</v>
      </c>
      <c r="E52" s="330">
        <f t="shared" ref="E52:E53" si="8">D52</f>
        <v>-3.5500000000000001E-4</v>
      </c>
      <c r="F52" s="330"/>
      <c r="G52" s="330"/>
      <c r="H52" s="465"/>
    </row>
    <row r="53" spans="2:8">
      <c r="B53" s="179" t="s">
        <v>290</v>
      </c>
      <c r="C53" s="208" t="s">
        <v>452</v>
      </c>
      <c r="D53" s="330">
        <v>3.81E-3</v>
      </c>
      <c r="E53" s="330">
        <f t="shared" si="8"/>
        <v>3.81E-3</v>
      </c>
      <c r="F53" s="330"/>
      <c r="G53" s="330"/>
      <c r="H53" s="465"/>
    </row>
    <row r="54" spans="2:8">
      <c r="B54" s="179" t="s">
        <v>232</v>
      </c>
      <c r="C54" s="208" t="s">
        <v>453</v>
      </c>
      <c r="D54" s="330">
        <v>0.44840000000000002</v>
      </c>
      <c r="E54" s="330"/>
      <c r="F54" s="330"/>
      <c r="G54" s="330">
        <f>D54</f>
        <v>0.44840000000000002</v>
      </c>
      <c r="H54" s="465"/>
    </row>
    <row r="55" spans="2:8">
      <c r="B55" s="179" t="s">
        <v>427</v>
      </c>
      <c r="C55" s="208" t="s">
        <v>202</v>
      </c>
      <c r="D55" s="331">
        <v>3.2669999999999999E-3</v>
      </c>
      <c r="E55" s="330"/>
      <c r="F55" s="330">
        <f>D55</f>
        <v>3.2669999999999999E-3</v>
      </c>
      <c r="G55" s="330"/>
      <c r="H55" s="465"/>
    </row>
    <row r="56" spans="2:8">
      <c r="B56" s="179" t="s">
        <v>427</v>
      </c>
      <c r="C56" s="208" t="s">
        <v>215</v>
      </c>
      <c r="D56" s="331">
        <v>-1.0425E-3</v>
      </c>
      <c r="E56" s="330"/>
      <c r="F56" s="330">
        <f>D56</f>
        <v>-1.0425E-3</v>
      </c>
      <c r="G56" s="330"/>
      <c r="H56" s="465"/>
    </row>
    <row r="57" spans="2:8">
      <c r="B57" s="179" t="s">
        <v>271</v>
      </c>
      <c r="C57" s="208" t="s">
        <v>454</v>
      </c>
      <c r="D57" s="330">
        <v>2.0000000000000235E-3</v>
      </c>
      <c r="E57" s="330"/>
      <c r="F57" s="330">
        <f>D57</f>
        <v>2.0000000000000235E-3</v>
      </c>
      <c r="G57" s="330"/>
      <c r="H57" s="465"/>
    </row>
    <row r="58" spans="2:8">
      <c r="B58" s="179" t="s">
        <v>290</v>
      </c>
      <c r="C58" s="208" t="s">
        <v>455</v>
      </c>
      <c r="D58" s="330">
        <v>1.155E-2</v>
      </c>
      <c r="E58" s="330">
        <f>D58</f>
        <v>1.155E-2</v>
      </c>
      <c r="F58" s="330"/>
      <c r="G58" s="330"/>
      <c r="H58" s="465"/>
    </row>
  </sheetData>
  <mergeCells count="7">
    <mergeCell ref="H18:H58"/>
    <mergeCell ref="E15:G15"/>
    <mergeCell ref="B3:J3"/>
    <mergeCell ref="B2:J2"/>
    <mergeCell ref="B5:J5"/>
    <mergeCell ref="B8:J8"/>
    <mergeCell ref="B9:J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tint="-0.249977111117893"/>
  </sheetPr>
  <dimension ref="A2:M108"/>
  <sheetViews>
    <sheetView topLeftCell="A7" zoomScaleNormal="100" workbookViewId="0">
      <selection activeCell="G13" sqref="G13"/>
    </sheetView>
  </sheetViews>
  <sheetFormatPr defaultRowHeight="14.4"/>
  <cols>
    <col min="1" max="1" width="4.44140625" customWidth="1"/>
    <col min="3" max="3" width="23.6640625" customWidth="1"/>
    <col min="4" max="4" width="18.33203125" customWidth="1"/>
    <col min="5" max="5" width="14.33203125" customWidth="1"/>
    <col min="6" max="6" width="13.33203125" customWidth="1"/>
    <col min="7" max="7" width="65.33203125" customWidth="1"/>
    <col min="9" max="9" width="13.44140625" customWidth="1"/>
  </cols>
  <sheetData>
    <row r="2" spans="1:13">
      <c r="B2" s="459" t="s">
        <v>681</v>
      </c>
      <c r="C2" s="460"/>
      <c r="D2" s="460"/>
      <c r="E2" s="460"/>
      <c r="F2" s="460"/>
      <c r="G2" s="461"/>
    </row>
    <row r="3" spans="1:13">
      <c r="B3" s="435" t="str">
        <f>'SUMMARY-2023'!B3</f>
        <v>Details as on 31st March 2023</v>
      </c>
      <c r="C3" s="436"/>
      <c r="D3" s="436"/>
      <c r="E3" s="436"/>
      <c r="F3" s="436"/>
      <c r="G3" s="437"/>
    </row>
    <row r="4" spans="1:13" ht="24">
      <c r="B4" s="24" t="s">
        <v>0</v>
      </c>
      <c r="C4" s="24" t="s">
        <v>69</v>
      </c>
      <c r="D4" s="37" t="s">
        <v>64</v>
      </c>
      <c r="E4" s="24" t="s">
        <v>142</v>
      </c>
      <c r="F4" s="24" t="s">
        <v>143</v>
      </c>
      <c r="G4" s="24" t="s">
        <v>22</v>
      </c>
    </row>
    <row r="5" spans="1:13">
      <c r="B5" s="435" t="str">
        <f>'SUMMARY-2023'!B5</f>
        <v>Figures in INR Crores</v>
      </c>
      <c r="C5" s="436"/>
      <c r="D5" s="436"/>
      <c r="E5" s="436"/>
      <c r="F5" s="436"/>
      <c r="G5" s="437"/>
    </row>
    <row r="6" spans="1:13" ht="159.6">
      <c r="B6" s="41">
        <v>1</v>
      </c>
      <c r="C6" s="59" t="s">
        <v>132</v>
      </c>
      <c r="D6" s="60">
        <f>18.51+13.32</f>
        <v>31.830000000000002</v>
      </c>
      <c r="E6" s="60">
        <f>H106/10^2</f>
        <v>39.885949376999946</v>
      </c>
      <c r="F6" s="60">
        <f>I105/10^2*100%+H105/10^2*50%</f>
        <v>34.080957165999941</v>
      </c>
      <c r="G6" s="112" t="s">
        <v>693</v>
      </c>
      <c r="I6" s="47">
        <v>0.3</v>
      </c>
    </row>
    <row r="7" spans="1:13">
      <c r="B7" s="38"/>
      <c r="C7" s="36" t="s">
        <v>23</v>
      </c>
      <c r="D7" s="61">
        <f>SUM(D3:D6)</f>
        <v>31.830000000000002</v>
      </c>
      <c r="E7" s="61">
        <f>SUM(E3:E6)</f>
        <v>39.885949376999946</v>
      </c>
      <c r="F7" s="61">
        <f>SUM(F3:F6)</f>
        <v>34.080957165999941</v>
      </c>
      <c r="G7" s="38"/>
    </row>
    <row r="8" spans="1:13">
      <c r="B8" s="469" t="s">
        <v>20</v>
      </c>
      <c r="C8" s="470"/>
      <c r="D8" s="470"/>
      <c r="E8" s="470"/>
      <c r="F8" s="470"/>
      <c r="G8" s="471"/>
    </row>
    <row r="9" spans="1:13" ht="126.75" customHeight="1">
      <c r="B9" s="409" t="s">
        <v>704</v>
      </c>
      <c r="C9" s="409"/>
      <c r="D9" s="409"/>
      <c r="E9" s="409"/>
      <c r="F9" s="409"/>
      <c r="G9" s="409"/>
    </row>
    <row r="12" spans="1:13">
      <c r="M12" t="s">
        <v>459</v>
      </c>
    </row>
    <row r="15" spans="1:13">
      <c r="A15" s="195" t="s">
        <v>512</v>
      </c>
    </row>
    <row r="16" spans="1:13" ht="100.8">
      <c r="A16" s="199" t="s">
        <v>185</v>
      </c>
      <c r="B16" s="199" t="s">
        <v>421</v>
      </c>
      <c r="C16" s="199" t="s">
        <v>456</v>
      </c>
      <c r="D16" s="187" t="s">
        <v>457</v>
      </c>
      <c r="E16" s="187" t="s">
        <v>458</v>
      </c>
      <c r="F16" s="187" t="s">
        <v>507</v>
      </c>
      <c r="H16" s="366" t="s">
        <v>470</v>
      </c>
      <c r="I16" s="366" t="s">
        <v>459</v>
      </c>
    </row>
    <row r="17" spans="1:9">
      <c r="A17" s="183" t="s">
        <v>290</v>
      </c>
      <c r="B17" s="183" t="s">
        <v>424</v>
      </c>
      <c r="C17" s="281">
        <v>144.46332870000003</v>
      </c>
      <c r="D17" s="184" t="s">
        <v>459</v>
      </c>
      <c r="E17" s="185">
        <v>42811</v>
      </c>
      <c r="F17" s="183" t="s">
        <v>508</v>
      </c>
      <c r="H17">
        <f>IF(D17=$H$16,C17,0)</f>
        <v>0</v>
      </c>
      <c r="I17">
        <f>IF(D17=$I$16,C17,0)</f>
        <v>144.46332870000003</v>
      </c>
    </row>
    <row r="18" spans="1:9">
      <c r="A18" s="183" t="s">
        <v>253</v>
      </c>
      <c r="B18" s="183" t="s">
        <v>460</v>
      </c>
      <c r="C18" s="281">
        <v>5.8709999999999998E-2</v>
      </c>
      <c r="D18" s="184" t="s">
        <v>461</v>
      </c>
      <c r="E18" s="186">
        <v>43101</v>
      </c>
      <c r="F18" s="183" t="s">
        <v>508</v>
      </c>
      <c r="H18">
        <f t="shared" ref="H18:H81" si="0">IF(D18=$H$16,C18,0)</f>
        <v>0</v>
      </c>
      <c r="I18">
        <f t="shared" ref="I18:I81" si="1">IF(D18=$I$16,C18,0)</f>
        <v>0</v>
      </c>
    </row>
    <row r="19" spans="1:9">
      <c r="A19" s="183" t="s">
        <v>290</v>
      </c>
      <c r="B19" s="183" t="s">
        <v>425</v>
      </c>
      <c r="C19" s="281">
        <v>76.906415500000008</v>
      </c>
      <c r="D19" s="184" t="s">
        <v>459</v>
      </c>
      <c r="E19" s="185">
        <v>42811</v>
      </c>
      <c r="F19" s="183" t="s">
        <v>508</v>
      </c>
      <c r="H19">
        <f t="shared" si="0"/>
        <v>0</v>
      </c>
      <c r="I19">
        <f t="shared" si="1"/>
        <v>76.906415500000008</v>
      </c>
    </row>
    <row r="20" spans="1:9">
      <c r="A20" s="183" t="s">
        <v>462</v>
      </c>
      <c r="B20" s="183" t="s">
        <v>426</v>
      </c>
      <c r="C20" s="281">
        <v>19.077128099999964</v>
      </c>
      <c r="D20" s="184" t="s">
        <v>459</v>
      </c>
      <c r="E20" s="186">
        <v>43252</v>
      </c>
      <c r="F20" s="183" t="s">
        <v>508</v>
      </c>
      <c r="H20">
        <f t="shared" si="0"/>
        <v>0</v>
      </c>
      <c r="I20">
        <f t="shared" si="1"/>
        <v>19.077128099999964</v>
      </c>
    </row>
    <row r="21" spans="1:9">
      <c r="A21" s="183" t="s">
        <v>188</v>
      </c>
      <c r="B21" s="183" t="s">
        <v>463</v>
      </c>
      <c r="C21" s="281">
        <v>-0.64041000000000003</v>
      </c>
      <c r="D21" s="184" t="s">
        <v>459</v>
      </c>
      <c r="E21" s="185">
        <v>43160</v>
      </c>
      <c r="F21" s="183" t="s">
        <v>508</v>
      </c>
      <c r="H21">
        <f t="shared" si="0"/>
        <v>0</v>
      </c>
      <c r="I21">
        <f t="shared" si="1"/>
        <v>-0.64041000000000003</v>
      </c>
    </row>
    <row r="22" spans="1:9">
      <c r="A22" s="183" t="s">
        <v>194</v>
      </c>
      <c r="B22" s="183" t="s">
        <v>464</v>
      </c>
      <c r="C22" s="281">
        <v>-6.9999999999999999E-4</v>
      </c>
      <c r="D22" s="184" t="s">
        <v>459</v>
      </c>
      <c r="E22" s="186">
        <v>41699</v>
      </c>
      <c r="F22" s="183" t="s">
        <v>508</v>
      </c>
      <c r="H22">
        <f t="shared" si="0"/>
        <v>0</v>
      </c>
      <c r="I22">
        <f t="shared" si="1"/>
        <v>-6.9999999999999999E-4</v>
      </c>
    </row>
    <row r="23" spans="1:9">
      <c r="A23" s="183" t="s">
        <v>194</v>
      </c>
      <c r="B23" s="183" t="s">
        <v>428</v>
      </c>
      <c r="C23" s="281">
        <v>26.529915800000005</v>
      </c>
      <c r="D23" s="184" t="s">
        <v>459</v>
      </c>
      <c r="E23" s="186">
        <v>41699</v>
      </c>
      <c r="F23" s="183" t="s">
        <v>508</v>
      </c>
      <c r="H23">
        <f t="shared" si="0"/>
        <v>0</v>
      </c>
      <c r="I23">
        <f t="shared" si="1"/>
        <v>26.529915800000005</v>
      </c>
    </row>
    <row r="24" spans="1:9">
      <c r="A24" s="183" t="s">
        <v>253</v>
      </c>
      <c r="B24" s="183" t="s">
        <v>465</v>
      </c>
      <c r="C24" s="281">
        <v>1.8999999994412065E-6</v>
      </c>
      <c r="D24" s="184" t="s">
        <v>459</v>
      </c>
      <c r="E24" s="185">
        <v>42430</v>
      </c>
      <c r="F24" s="183" t="s">
        <v>508</v>
      </c>
      <c r="H24">
        <f t="shared" si="0"/>
        <v>0</v>
      </c>
      <c r="I24">
        <f t="shared" si="1"/>
        <v>1.8999999994412065E-6</v>
      </c>
    </row>
    <row r="25" spans="1:9">
      <c r="A25" s="183" t="s">
        <v>253</v>
      </c>
      <c r="B25" s="183" t="s">
        <v>466</v>
      </c>
      <c r="C25" s="281">
        <v>18.065549999999998</v>
      </c>
      <c r="D25" s="184" t="s">
        <v>459</v>
      </c>
      <c r="E25" s="186">
        <v>42795</v>
      </c>
      <c r="F25" s="183" t="s">
        <v>508</v>
      </c>
      <c r="H25">
        <f t="shared" si="0"/>
        <v>0</v>
      </c>
      <c r="I25">
        <f t="shared" si="1"/>
        <v>18.065549999999998</v>
      </c>
    </row>
    <row r="26" spans="1:9">
      <c r="A26" s="183" t="s">
        <v>188</v>
      </c>
      <c r="B26" s="183" t="s">
        <v>467</v>
      </c>
      <c r="C26" s="281">
        <v>0.29120000000000001</v>
      </c>
      <c r="D26" s="184" t="s">
        <v>468</v>
      </c>
      <c r="E26" s="185">
        <v>43983</v>
      </c>
      <c r="F26" s="184" t="s">
        <v>509</v>
      </c>
      <c r="H26">
        <f t="shared" si="0"/>
        <v>0</v>
      </c>
      <c r="I26">
        <f t="shared" si="1"/>
        <v>0</v>
      </c>
    </row>
    <row r="27" spans="1:9">
      <c r="A27" s="183" t="s">
        <v>290</v>
      </c>
      <c r="B27" s="183" t="s">
        <v>429</v>
      </c>
      <c r="C27" s="281">
        <v>121.95575679999999</v>
      </c>
      <c r="D27" s="184" t="s">
        <v>459</v>
      </c>
      <c r="E27" s="185">
        <v>43176</v>
      </c>
      <c r="F27" s="183" t="s">
        <v>508</v>
      </c>
      <c r="H27">
        <f t="shared" si="0"/>
        <v>0</v>
      </c>
      <c r="I27">
        <f t="shared" si="1"/>
        <v>121.95575679999999</v>
      </c>
    </row>
    <row r="28" spans="1:9">
      <c r="A28" s="183" t="s">
        <v>290</v>
      </c>
      <c r="B28" s="183" t="s">
        <v>469</v>
      </c>
      <c r="C28" s="281">
        <v>60.527499900000002</v>
      </c>
      <c r="D28" s="184" t="s">
        <v>459</v>
      </c>
      <c r="E28" s="185">
        <v>43176</v>
      </c>
      <c r="F28" s="183" t="s">
        <v>508</v>
      </c>
      <c r="H28">
        <f t="shared" si="0"/>
        <v>0</v>
      </c>
      <c r="I28">
        <f t="shared" si="1"/>
        <v>60.527499900000002</v>
      </c>
    </row>
    <row r="29" spans="1:9">
      <c r="A29" s="183" t="s">
        <v>253</v>
      </c>
      <c r="B29" s="183" t="s">
        <v>264</v>
      </c>
      <c r="C29" s="281">
        <v>107.44310990000001</v>
      </c>
      <c r="D29" s="184" t="s">
        <v>470</v>
      </c>
      <c r="E29" s="186">
        <v>44713</v>
      </c>
      <c r="F29" s="184" t="s">
        <v>510</v>
      </c>
      <c r="H29">
        <f>IF(D29=$H$16,C29,0)</f>
        <v>107.44310990000001</v>
      </c>
      <c r="I29">
        <f t="shared" si="1"/>
        <v>0</v>
      </c>
    </row>
    <row r="30" spans="1:9">
      <c r="A30" s="183" t="s">
        <v>232</v>
      </c>
      <c r="B30" s="183" t="s">
        <v>430</v>
      </c>
      <c r="C30" s="281">
        <v>309.36065370000011</v>
      </c>
      <c r="D30" s="184" t="s">
        <v>461</v>
      </c>
      <c r="E30" s="185">
        <v>43176</v>
      </c>
      <c r="F30" s="183" t="s">
        <v>508</v>
      </c>
      <c r="H30">
        <f t="shared" si="0"/>
        <v>0</v>
      </c>
      <c r="I30">
        <f t="shared" si="1"/>
        <v>0</v>
      </c>
    </row>
    <row r="31" spans="1:9">
      <c r="A31" s="183" t="s">
        <v>232</v>
      </c>
      <c r="B31" s="183" t="s">
        <v>431</v>
      </c>
      <c r="C31" s="281">
        <v>218.82694559999996</v>
      </c>
      <c r="D31" s="184" t="s">
        <v>470</v>
      </c>
      <c r="E31" s="185">
        <v>43160</v>
      </c>
      <c r="F31" s="184" t="s">
        <v>510</v>
      </c>
      <c r="H31">
        <f t="shared" si="0"/>
        <v>218.82694559999996</v>
      </c>
      <c r="I31">
        <f t="shared" si="1"/>
        <v>0</v>
      </c>
    </row>
    <row r="32" spans="1:9">
      <c r="A32" s="183" t="s">
        <v>290</v>
      </c>
      <c r="B32" s="183" t="s">
        <v>432</v>
      </c>
      <c r="C32" s="281">
        <v>234.20642530000029</v>
      </c>
      <c r="D32" s="184" t="s">
        <v>459</v>
      </c>
      <c r="E32" s="185">
        <v>42446</v>
      </c>
      <c r="F32" s="183" t="s">
        <v>508</v>
      </c>
      <c r="H32">
        <f t="shared" si="0"/>
        <v>0</v>
      </c>
      <c r="I32">
        <f t="shared" si="1"/>
        <v>234.20642530000029</v>
      </c>
    </row>
    <row r="33" spans="1:9">
      <c r="A33" s="183" t="s">
        <v>290</v>
      </c>
      <c r="B33" s="183" t="s">
        <v>471</v>
      </c>
      <c r="C33" s="281">
        <v>25.019337599999957</v>
      </c>
      <c r="D33" s="184" t="s">
        <v>459</v>
      </c>
      <c r="E33" s="185">
        <v>42446</v>
      </c>
      <c r="F33" s="183" t="s">
        <v>508</v>
      </c>
      <c r="H33">
        <f t="shared" si="0"/>
        <v>0</v>
      </c>
      <c r="I33">
        <f t="shared" si="1"/>
        <v>25.019337599999957</v>
      </c>
    </row>
    <row r="34" spans="1:9">
      <c r="A34" s="183" t="s">
        <v>290</v>
      </c>
      <c r="B34" s="183" t="s">
        <v>415</v>
      </c>
      <c r="C34" s="281">
        <v>-175.03627010000261</v>
      </c>
      <c r="D34" s="184" t="s">
        <v>459</v>
      </c>
      <c r="E34" s="186">
        <v>41699</v>
      </c>
      <c r="F34" s="183" t="s">
        <v>508</v>
      </c>
      <c r="H34">
        <f t="shared" si="0"/>
        <v>0</v>
      </c>
      <c r="I34">
        <f t="shared" si="1"/>
        <v>-175.03627010000261</v>
      </c>
    </row>
    <row r="35" spans="1:9">
      <c r="A35" s="183" t="s">
        <v>232</v>
      </c>
      <c r="B35" s="183" t="s">
        <v>363</v>
      </c>
      <c r="C35" s="281">
        <v>121.82387739999999</v>
      </c>
      <c r="D35" s="184" t="s">
        <v>461</v>
      </c>
      <c r="E35" s="185">
        <v>43160</v>
      </c>
      <c r="F35" s="183" t="s">
        <v>508</v>
      </c>
      <c r="H35">
        <f t="shared" si="0"/>
        <v>0</v>
      </c>
      <c r="I35">
        <f t="shared" si="1"/>
        <v>0</v>
      </c>
    </row>
    <row r="36" spans="1:9">
      <c r="A36" s="183" t="s">
        <v>462</v>
      </c>
      <c r="B36" s="183" t="s">
        <v>433</v>
      </c>
      <c r="C36" s="281">
        <v>1.8003814</v>
      </c>
      <c r="D36" s="184" t="s">
        <v>459</v>
      </c>
      <c r="E36" s="185">
        <v>43160</v>
      </c>
      <c r="F36" s="183" t="s">
        <v>508</v>
      </c>
      <c r="H36">
        <f t="shared" si="0"/>
        <v>0</v>
      </c>
      <c r="I36">
        <f t="shared" si="1"/>
        <v>1.8003814</v>
      </c>
    </row>
    <row r="37" spans="1:9">
      <c r="A37" s="183" t="s">
        <v>434</v>
      </c>
      <c r="B37" s="183" t="s">
        <v>434</v>
      </c>
      <c r="C37" s="281">
        <v>-3223.2299109999999</v>
      </c>
      <c r="D37" s="184" t="s">
        <v>472</v>
      </c>
      <c r="E37" s="186">
        <v>42064</v>
      </c>
      <c r="F37" s="183" t="s">
        <v>508</v>
      </c>
      <c r="H37">
        <f t="shared" si="0"/>
        <v>0</v>
      </c>
      <c r="I37">
        <f t="shared" si="1"/>
        <v>0</v>
      </c>
    </row>
    <row r="38" spans="1:9">
      <c r="A38" s="183" t="s">
        <v>188</v>
      </c>
      <c r="B38" s="183" t="s">
        <v>327</v>
      </c>
      <c r="C38" s="281">
        <v>81.897162799999975</v>
      </c>
      <c r="D38" s="184" t="s">
        <v>468</v>
      </c>
      <c r="E38" s="185">
        <v>43313</v>
      </c>
      <c r="F38" s="183" t="s">
        <v>508</v>
      </c>
      <c r="H38">
        <f t="shared" si="0"/>
        <v>0</v>
      </c>
      <c r="I38">
        <f t="shared" si="1"/>
        <v>0</v>
      </c>
    </row>
    <row r="39" spans="1:9">
      <c r="A39" s="183" t="s">
        <v>290</v>
      </c>
      <c r="B39" s="183" t="s">
        <v>435</v>
      </c>
      <c r="C39" s="281">
        <v>43.460923000000037</v>
      </c>
      <c r="D39" s="184" t="s">
        <v>459</v>
      </c>
      <c r="E39" s="185">
        <v>43177</v>
      </c>
      <c r="F39" s="183" t="s">
        <v>508</v>
      </c>
      <c r="H39">
        <f t="shared" si="0"/>
        <v>0</v>
      </c>
      <c r="I39">
        <f t="shared" si="1"/>
        <v>43.460923000000037</v>
      </c>
    </row>
    <row r="40" spans="1:9">
      <c r="A40" s="183" t="s">
        <v>232</v>
      </c>
      <c r="B40" s="183" t="s">
        <v>473</v>
      </c>
      <c r="C40" s="281">
        <v>82.775370199999927</v>
      </c>
      <c r="D40" s="184" t="s">
        <v>461</v>
      </c>
      <c r="E40" s="185">
        <v>43177</v>
      </c>
      <c r="F40" s="183" t="s">
        <v>508</v>
      </c>
      <c r="H40">
        <f t="shared" si="0"/>
        <v>0</v>
      </c>
      <c r="I40">
        <f t="shared" si="1"/>
        <v>0</v>
      </c>
    </row>
    <row r="41" spans="1:9">
      <c r="A41" s="183" t="s">
        <v>290</v>
      </c>
      <c r="B41" s="183" t="s">
        <v>474</v>
      </c>
      <c r="C41" s="281">
        <v>10.295949999999999</v>
      </c>
      <c r="D41" s="184" t="s">
        <v>468</v>
      </c>
      <c r="E41" s="185">
        <v>42812</v>
      </c>
      <c r="F41" s="183" t="s">
        <v>508</v>
      </c>
      <c r="H41">
        <f t="shared" si="0"/>
        <v>0</v>
      </c>
      <c r="I41">
        <f t="shared" si="1"/>
        <v>0</v>
      </c>
    </row>
    <row r="42" spans="1:9">
      <c r="A42" s="183" t="s">
        <v>290</v>
      </c>
      <c r="B42" s="183" t="s">
        <v>436</v>
      </c>
      <c r="C42" s="281">
        <v>63.814610000000002</v>
      </c>
      <c r="D42" s="184" t="s">
        <v>468</v>
      </c>
      <c r="E42" s="185">
        <v>42812</v>
      </c>
      <c r="F42" s="183" t="s">
        <v>508</v>
      </c>
      <c r="H42">
        <f t="shared" si="0"/>
        <v>0</v>
      </c>
      <c r="I42">
        <f t="shared" si="1"/>
        <v>0</v>
      </c>
    </row>
    <row r="43" spans="1:9">
      <c r="A43" s="183" t="s">
        <v>253</v>
      </c>
      <c r="B43" s="183" t="s">
        <v>254</v>
      </c>
      <c r="C43" s="281">
        <v>-2.58276499999881</v>
      </c>
      <c r="D43" s="184" t="s">
        <v>459</v>
      </c>
      <c r="E43" s="185">
        <v>42430</v>
      </c>
      <c r="F43" s="183" t="s">
        <v>508</v>
      </c>
      <c r="H43">
        <f t="shared" si="0"/>
        <v>0</v>
      </c>
      <c r="I43">
        <f t="shared" si="1"/>
        <v>-2.58276499999881</v>
      </c>
    </row>
    <row r="44" spans="1:9">
      <c r="A44" s="183" t="s">
        <v>188</v>
      </c>
      <c r="B44" s="183" t="s">
        <v>475</v>
      </c>
      <c r="C44" s="281">
        <v>-5.0489999999999993E-2</v>
      </c>
      <c r="D44" s="184" t="s">
        <v>468</v>
      </c>
      <c r="E44" s="185">
        <v>43891</v>
      </c>
      <c r="F44" s="184" t="s">
        <v>509</v>
      </c>
      <c r="H44">
        <f t="shared" si="0"/>
        <v>0</v>
      </c>
      <c r="I44">
        <f t="shared" si="1"/>
        <v>0</v>
      </c>
    </row>
    <row r="45" spans="1:9">
      <c r="A45" s="183" t="s">
        <v>194</v>
      </c>
      <c r="B45" s="183" t="s">
        <v>476</v>
      </c>
      <c r="C45" s="281">
        <v>0.30871000000000004</v>
      </c>
      <c r="D45" s="184" t="s">
        <v>477</v>
      </c>
      <c r="E45" s="185">
        <v>40969</v>
      </c>
      <c r="F45" s="183" t="s">
        <v>508</v>
      </c>
      <c r="H45">
        <f t="shared" si="0"/>
        <v>0</v>
      </c>
      <c r="I45">
        <f t="shared" si="1"/>
        <v>0</v>
      </c>
    </row>
    <row r="46" spans="1:9">
      <c r="A46" s="183" t="s">
        <v>462</v>
      </c>
      <c r="B46" s="183" t="s">
        <v>478</v>
      </c>
      <c r="C46" s="281">
        <v>0.75717999999999996</v>
      </c>
      <c r="D46" s="184" t="s">
        <v>459</v>
      </c>
      <c r="E46" s="185">
        <v>43160</v>
      </c>
      <c r="F46" s="183" t="s">
        <v>508</v>
      </c>
      <c r="H46">
        <f t="shared" si="0"/>
        <v>0</v>
      </c>
      <c r="I46">
        <f t="shared" si="1"/>
        <v>0.75717999999999996</v>
      </c>
    </row>
    <row r="47" spans="1:9">
      <c r="A47" s="183" t="s">
        <v>290</v>
      </c>
      <c r="B47" s="183" t="s">
        <v>479</v>
      </c>
      <c r="C47" s="281">
        <v>116.9891025</v>
      </c>
      <c r="D47" s="184" t="s">
        <v>468</v>
      </c>
      <c r="E47" s="185">
        <v>43177</v>
      </c>
      <c r="F47" s="183" t="s">
        <v>508</v>
      </c>
      <c r="H47">
        <f t="shared" si="0"/>
        <v>0</v>
      </c>
      <c r="I47">
        <f t="shared" si="1"/>
        <v>0</v>
      </c>
    </row>
    <row r="48" spans="1:9">
      <c r="A48" s="183" t="s">
        <v>462</v>
      </c>
      <c r="B48" s="183" t="s">
        <v>480</v>
      </c>
      <c r="C48" s="281">
        <v>31.09454790000003</v>
      </c>
      <c r="D48" s="184" t="s">
        <v>459</v>
      </c>
      <c r="E48" s="185">
        <v>43160</v>
      </c>
      <c r="F48" s="183" t="s">
        <v>508</v>
      </c>
      <c r="H48">
        <f t="shared" si="0"/>
        <v>0</v>
      </c>
      <c r="I48">
        <f t="shared" si="1"/>
        <v>31.09454790000003</v>
      </c>
    </row>
    <row r="49" spans="1:9">
      <c r="A49" s="183" t="s">
        <v>194</v>
      </c>
      <c r="B49" s="183" t="s">
        <v>328</v>
      </c>
      <c r="C49" s="281">
        <v>20.981354199999998</v>
      </c>
      <c r="D49" s="184" t="s">
        <v>459</v>
      </c>
      <c r="E49" s="185">
        <v>40969</v>
      </c>
      <c r="F49" s="183" t="s">
        <v>508</v>
      </c>
      <c r="H49">
        <f t="shared" si="0"/>
        <v>0</v>
      </c>
      <c r="I49">
        <f t="shared" si="1"/>
        <v>20.981354199999998</v>
      </c>
    </row>
    <row r="50" spans="1:9">
      <c r="A50" s="183" t="s">
        <v>462</v>
      </c>
      <c r="B50" s="183" t="s">
        <v>481</v>
      </c>
      <c r="C50" s="281">
        <v>-0.94214999999999993</v>
      </c>
      <c r="D50" s="184" t="s">
        <v>459</v>
      </c>
      <c r="E50" s="186">
        <v>42064</v>
      </c>
      <c r="F50" s="183" t="s">
        <v>508</v>
      </c>
      <c r="H50">
        <f t="shared" si="0"/>
        <v>0</v>
      </c>
      <c r="I50">
        <f t="shared" si="1"/>
        <v>-0.94214999999999993</v>
      </c>
    </row>
    <row r="51" spans="1:9">
      <c r="A51" s="183" t="s">
        <v>290</v>
      </c>
      <c r="B51" s="183" t="s">
        <v>437</v>
      </c>
      <c r="C51" s="281">
        <v>27.156270099999912</v>
      </c>
      <c r="D51" s="184" t="s">
        <v>459</v>
      </c>
      <c r="E51" s="185">
        <v>43177</v>
      </c>
      <c r="F51" s="183" t="s">
        <v>508</v>
      </c>
      <c r="H51">
        <f t="shared" si="0"/>
        <v>0</v>
      </c>
      <c r="I51">
        <f t="shared" si="1"/>
        <v>27.156270099999912</v>
      </c>
    </row>
    <row r="52" spans="1:9">
      <c r="A52" s="183" t="s">
        <v>434</v>
      </c>
      <c r="B52" s="183" t="s">
        <v>438</v>
      </c>
      <c r="C52" s="281">
        <v>30.928799000000001</v>
      </c>
      <c r="D52" s="184" t="s">
        <v>472</v>
      </c>
      <c r="E52" s="186">
        <v>42064</v>
      </c>
      <c r="F52" s="183" t="s">
        <v>508</v>
      </c>
      <c r="H52">
        <f t="shared" si="0"/>
        <v>0</v>
      </c>
      <c r="I52">
        <f t="shared" si="1"/>
        <v>0</v>
      </c>
    </row>
    <row r="53" spans="1:9">
      <c r="A53" s="183" t="s">
        <v>462</v>
      </c>
      <c r="B53" s="183" t="s">
        <v>439</v>
      </c>
      <c r="C53" s="281">
        <v>24.369222199999999</v>
      </c>
      <c r="D53" s="184" t="s">
        <v>461</v>
      </c>
      <c r="E53" s="185">
        <v>43160</v>
      </c>
      <c r="F53" s="183" t="s">
        <v>508</v>
      </c>
      <c r="H53">
        <f t="shared" si="0"/>
        <v>0</v>
      </c>
      <c r="I53">
        <f t="shared" si="1"/>
        <v>0</v>
      </c>
    </row>
    <row r="54" spans="1:9">
      <c r="A54" s="262" t="s">
        <v>427</v>
      </c>
      <c r="B54" s="183" t="s">
        <v>197</v>
      </c>
      <c r="C54" s="281">
        <v>0.34957540000000004</v>
      </c>
      <c r="D54" s="184" t="s">
        <v>459</v>
      </c>
      <c r="E54" s="186">
        <v>41699</v>
      </c>
      <c r="F54" s="183" t="s">
        <v>508</v>
      </c>
      <c r="H54">
        <f t="shared" si="0"/>
        <v>0</v>
      </c>
      <c r="I54">
        <f t="shared" si="1"/>
        <v>0.34957540000000004</v>
      </c>
    </row>
    <row r="55" spans="1:9">
      <c r="A55" s="183" t="s">
        <v>188</v>
      </c>
      <c r="B55" s="183" t="s">
        <v>482</v>
      </c>
      <c r="C55" s="281">
        <v>-2.4300000000000003E-3</v>
      </c>
      <c r="D55" s="184" t="s">
        <v>472</v>
      </c>
      <c r="E55" s="185">
        <v>43160</v>
      </c>
      <c r="F55" s="183" t="s">
        <v>508</v>
      </c>
      <c r="H55">
        <f t="shared" si="0"/>
        <v>0</v>
      </c>
      <c r="I55">
        <f t="shared" si="1"/>
        <v>0</v>
      </c>
    </row>
    <row r="56" spans="1:9">
      <c r="A56" s="183" t="s">
        <v>188</v>
      </c>
      <c r="B56" s="183" t="s">
        <v>483</v>
      </c>
      <c r="C56" s="281">
        <v>1.3465381000000001</v>
      </c>
      <c r="D56" s="184" t="s">
        <v>459</v>
      </c>
      <c r="E56" s="185">
        <v>43160</v>
      </c>
      <c r="F56" s="183" t="s">
        <v>508</v>
      </c>
      <c r="H56">
        <f t="shared" si="0"/>
        <v>0</v>
      </c>
      <c r="I56">
        <f t="shared" si="1"/>
        <v>1.3465381000000001</v>
      </c>
    </row>
    <row r="57" spans="1:9">
      <c r="A57" s="183" t="s">
        <v>462</v>
      </c>
      <c r="B57" s="183" t="s">
        <v>484</v>
      </c>
      <c r="C57" s="281">
        <v>-6.9960145000036595</v>
      </c>
      <c r="D57" s="184" t="s">
        <v>459</v>
      </c>
      <c r="E57" s="186">
        <v>42064</v>
      </c>
      <c r="F57" s="183" t="s">
        <v>508</v>
      </c>
      <c r="H57">
        <f t="shared" si="0"/>
        <v>0</v>
      </c>
      <c r="I57">
        <f t="shared" si="1"/>
        <v>-6.9960145000036595</v>
      </c>
    </row>
    <row r="58" spans="1:9">
      <c r="A58" s="183" t="s">
        <v>232</v>
      </c>
      <c r="B58" s="183" t="s">
        <v>485</v>
      </c>
      <c r="C58" s="281">
        <v>112.98688379999999</v>
      </c>
      <c r="D58" s="184" t="s">
        <v>472</v>
      </c>
      <c r="E58" s="186">
        <v>43160</v>
      </c>
      <c r="F58" s="183" t="s">
        <v>508</v>
      </c>
      <c r="H58">
        <f t="shared" si="0"/>
        <v>0</v>
      </c>
      <c r="I58">
        <f t="shared" si="1"/>
        <v>0</v>
      </c>
    </row>
    <row r="59" spans="1:9">
      <c r="A59" s="183" t="s">
        <v>194</v>
      </c>
      <c r="B59" s="183" t="s">
        <v>486</v>
      </c>
      <c r="C59" s="281">
        <v>1.0330611999999999</v>
      </c>
      <c r="D59" s="184" t="s">
        <v>472</v>
      </c>
      <c r="E59" s="186">
        <v>40969</v>
      </c>
      <c r="F59" s="183" t="s">
        <v>508</v>
      </c>
      <c r="H59">
        <f t="shared" si="0"/>
        <v>0</v>
      </c>
      <c r="I59">
        <f t="shared" si="1"/>
        <v>0</v>
      </c>
    </row>
    <row r="60" spans="1:9">
      <c r="A60" s="183" t="s">
        <v>245</v>
      </c>
      <c r="B60" s="183" t="s">
        <v>487</v>
      </c>
      <c r="C60" s="281">
        <v>67.581009299999991</v>
      </c>
      <c r="D60" s="184" t="s">
        <v>472</v>
      </c>
      <c r="E60" s="185">
        <v>42795</v>
      </c>
      <c r="F60" s="183" t="s">
        <v>508</v>
      </c>
      <c r="H60">
        <f t="shared" si="0"/>
        <v>0</v>
      </c>
      <c r="I60">
        <f t="shared" si="1"/>
        <v>0</v>
      </c>
    </row>
    <row r="61" spans="1:9">
      <c r="A61" s="183" t="s">
        <v>245</v>
      </c>
      <c r="B61" s="183" t="s">
        <v>488</v>
      </c>
      <c r="C61" s="281">
        <v>4.6378300000000001</v>
      </c>
      <c r="D61" s="184" t="s">
        <v>472</v>
      </c>
      <c r="E61" s="185">
        <v>42795</v>
      </c>
      <c r="F61" s="183" t="s">
        <v>508</v>
      </c>
      <c r="H61">
        <f t="shared" si="0"/>
        <v>0</v>
      </c>
      <c r="I61">
        <f t="shared" si="1"/>
        <v>0</v>
      </c>
    </row>
    <row r="62" spans="1:9">
      <c r="A62" s="183" t="s">
        <v>245</v>
      </c>
      <c r="B62" s="183" t="s">
        <v>440</v>
      </c>
      <c r="C62" s="281">
        <v>10.448349499999997</v>
      </c>
      <c r="D62" s="184" t="s">
        <v>472</v>
      </c>
      <c r="E62" s="185">
        <v>42795</v>
      </c>
      <c r="F62" s="183" t="s">
        <v>508</v>
      </c>
      <c r="H62">
        <f t="shared" si="0"/>
        <v>0</v>
      </c>
      <c r="I62">
        <f t="shared" si="1"/>
        <v>0</v>
      </c>
    </row>
    <row r="63" spans="1:9">
      <c r="A63" s="183" t="s">
        <v>462</v>
      </c>
      <c r="B63" s="183" t="s">
        <v>489</v>
      </c>
      <c r="C63" s="281">
        <v>-0.13035199999999997</v>
      </c>
      <c r="D63" s="184" t="s">
        <v>459</v>
      </c>
      <c r="E63" s="186">
        <v>42064</v>
      </c>
      <c r="F63" s="183" t="s">
        <v>508</v>
      </c>
      <c r="H63">
        <f t="shared" si="0"/>
        <v>0</v>
      </c>
      <c r="I63">
        <f t="shared" si="1"/>
        <v>-0.13035199999999997</v>
      </c>
    </row>
    <row r="64" spans="1:9">
      <c r="A64" s="183" t="s">
        <v>462</v>
      </c>
      <c r="B64" s="183" t="s">
        <v>490</v>
      </c>
      <c r="C64" s="281">
        <v>-1.000000000003638E-6</v>
      </c>
      <c r="D64" s="184" t="s">
        <v>459</v>
      </c>
      <c r="E64" s="186">
        <v>42064</v>
      </c>
      <c r="F64" s="183" t="s">
        <v>508</v>
      </c>
      <c r="H64">
        <f t="shared" si="0"/>
        <v>0</v>
      </c>
      <c r="I64">
        <f t="shared" si="1"/>
        <v>-1.000000000003638E-6</v>
      </c>
    </row>
    <row r="65" spans="1:9">
      <c r="A65" s="183" t="s">
        <v>290</v>
      </c>
      <c r="B65" s="183" t="s">
        <v>441</v>
      </c>
      <c r="C65" s="281">
        <v>421.74452599999989</v>
      </c>
      <c r="D65" s="184" t="s">
        <v>459</v>
      </c>
      <c r="E65" s="185">
        <v>43177</v>
      </c>
      <c r="F65" s="183" t="s">
        <v>508</v>
      </c>
      <c r="H65">
        <f t="shared" si="0"/>
        <v>0</v>
      </c>
      <c r="I65">
        <f t="shared" si="1"/>
        <v>421.74452599999989</v>
      </c>
    </row>
    <row r="66" spans="1:9">
      <c r="A66" s="183" t="s">
        <v>290</v>
      </c>
      <c r="B66" s="183" t="s">
        <v>442</v>
      </c>
      <c r="C66" s="281">
        <v>35.181597700000012</v>
      </c>
      <c r="D66" s="184" t="s">
        <v>468</v>
      </c>
      <c r="E66" s="185">
        <v>43177</v>
      </c>
      <c r="F66" s="183" t="s">
        <v>508</v>
      </c>
      <c r="H66">
        <f t="shared" si="0"/>
        <v>0</v>
      </c>
      <c r="I66">
        <f t="shared" si="1"/>
        <v>0</v>
      </c>
    </row>
    <row r="67" spans="1:9">
      <c r="A67" s="183" t="s">
        <v>194</v>
      </c>
      <c r="B67" s="183" t="s">
        <v>491</v>
      </c>
      <c r="C67" s="281">
        <v>-0.12524000000000002</v>
      </c>
      <c r="D67" s="184" t="s">
        <v>459</v>
      </c>
      <c r="E67" s="186">
        <v>41699</v>
      </c>
      <c r="F67" s="183" t="s">
        <v>508</v>
      </c>
      <c r="H67">
        <f t="shared" si="0"/>
        <v>0</v>
      </c>
      <c r="I67">
        <f t="shared" si="1"/>
        <v>-0.12524000000000002</v>
      </c>
    </row>
    <row r="68" spans="1:9">
      <c r="A68" s="183" t="s">
        <v>188</v>
      </c>
      <c r="B68" s="183" t="s">
        <v>444</v>
      </c>
      <c r="C68" s="281">
        <v>75.381589899999994</v>
      </c>
      <c r="D68" s="184" t="s">
        <v>470</v>
      </c>
      <c r="E68" s="185">
        <v>43160</v>
      </c>
      <c r="F68" s="184" t="s">
        <v>510</v>
      </c>
      <c r="H68">
        <f t="shared" si="0"/>
        <v>75.381589899999994</v>
      </c>
      <c r="I68">
        <f t="shared" si="1"/>
        <v>0</v>
      </c>
    </row>
    <row r="69" spans="1:9">
      <c r="A69" s="183" t="s">
        <v>188</v>
      </c>
      <c r="B69" s="183" t="s">
        <v>445</v>
      </c>
      <c r="C69" s="281">
        <v>31.676136299999978</v>
      </c>
      <c r="D69" s="184" t="s">
        <v>470</v>
      </c>
      <c r="E69" s="185">
        <v>43070</v>
      </c>
      <c r="F69" s="184" t="s">
        <v>510</v>
      </c>
      <c r="H69">
        <f t="shared" si="0"/>
        <v>31.676136299999978</v>
      </c>
      <c r="I69">
        <f t="shared" si="1"/>
        <v>0</v>
      </c>
    </row>
    <row r="70" spans="1:9">
      <c r="A70" s="183" t="s">
        <v>188</v>
      </c>
      <c r="B70" s="183" t="s">
        <v>446</v>
      </c>
      <c r="C70" s="281">
        <v>8.3200756000000187</v>
      </c>
      <c r="D70" s="184" t="s">
        <v>459</v>
      </c>
      <c r="E70" s="185">
        <v>43191</v>
      </c>
      <c r="F70" s="183" t="s">
        <v>508</v>
      </c>
      <c r="H70">
        <f t="shared" si="0"/>
        <v>0</v>
      </c>
      <c r="I70">
        <f t="shared" si="1"/>
        <v>8.3200756000000187</v>
      </c>
    </row>
    <row r="71" spans="1:9">
      <c r="A71" s="183" t="s">
        <v>194</v>
      </c>
      <c r="B71" s="183" t="s">
        <v>492</v>
      </c>
      <c r="C71" s="281">
        <v>0.27767999999999998</v>
      </c>
      <c r="D71" s="184" t="s">
        <v>459</v>
      </c>
      <c r="E71" s="184">
        <v>2012</v>
      </c>
      <c r="F71" s="183" t="s">
        <v>508</v>
      </c>
      <c r="H71">
        <f t="shared" si="0"/>
        <v>0</v>
      </c>
      <c r="I71">
        <f t="shared" si="1"/>
        <v>0.27767999999999998</v>
      </c>
    </row>
    <row r="72" spans="1:9">
      <c r="A72" s="183" t="s">
        <v>232</v>
      </c>
      <c r="B72" s="183" t="s">
        <v>239</v>
      </c>
      <c r="C72" s="281">
        <v>168.40715740000002</v>
      </c>
      <c r="D72" s="184" t="s">
        <v>468</v>
      </c>
      <c r="E72" s="184">
        <v>2018</v>
      </c>
      <c r="F72" s="183" t="s">
        <v>508</v>
      </c>
      <c r="H72">
        <f t="shared" si="0"/>
        <v>0</v>
      </c>
      <c r="I72">
        <f t="shared" si="1"/>
        <v>0</v>
      </c>
    </row>
    <row r="73" spans="1:9">
      <c r="A73" s="183" t="s">
        <v>253</v>
      </c>
      <c r="B73" s="183" t="s">
        <v>493</v>
      </c>
      <c r="C73" s="281">
        <v>76.660439999999994</v>
      </c>
      <c r="D73" s="184" t="s">
        <v>459</v>
      </c>
      <c r="E73" s="185">
        <v>43160</v>
      </c>
      <c r="F73" s="183" t="s">
        <v>508</v>
      </c>
      <c r="H73">
        <f t="shared" si="0"/>
        <v>0</v>
      </c>
      <c r="I73">
        <f t="shared" si="1"/>
        <v>76.660439999999994</v>
      </c>
    </row>
    <row r="74" spans="1:9">
      <c r="A74" s="183" t="s">
        <v>462</v>
      </c>
      <c r="B74" s="183" t="s">
        <v>494</v>
      </c>
      <c r="C74" s="281">
        <v>-0.5645</v>
      </c>
      <c r="D74" s="184" t="s">
        <v>461</v>
      </c>
      <c r="E74" s="186">
        <v>42064</v>
      </c>
      <c r="F74" s="183" t="s">
        <v>508</v>
      </c>
      <c r="H74">
        <f t="shared" si="0"/>
        <v>0</v>
      </c>
      <c r="I74">
        <f t="shared" si="1"/>
        <v>0</v>
      </c>
    </row>
    <row r="75" spans="1:9">
      <c r="A75" s="183" t="s">
        <v>194</v>
      </c>
      <c r="B75" s="183" t="s">
        <v>203</v>
      </c>
      <c r="C75" s="281">
        <v>13.362340499999997</v>
      </c>
      <c r="D75" s="184" t="s">
        <v>470</v>
      </c>
      <c r="E75" s="184">
        <v>2018</v>
      </c>
      <c r="F75" s="184" t="s">
        <v>510</v>
      </c>
      <c r="H75">
        <f t="shared" si="0"/>
        <v>13.362340499999997</v>
      </c>
      <c r="I75">
        <f t="shared" si="1"/>
        <v>0</v>
      </c>
    </row>
    <row r="76" spans="1:9">
      <c r="A76" s="183" t="s">
        <v>462</v>
      </c>
      <c r="B76" s="183" t="s">
        <v>495</v>
      </c>
      <c r="C76" s="281">
        <v>-5.2809780000000011</v>
      </c>
      <c r="D76" s="184" t="s">
        <v>459</v>
      </c>
      <c r="E76" s="186">
        <v>42064</v>
      </c>
      <c r="F76" s="183" t="s">
        <v>508</v>
      </c>
      <c r="H76">
        <f t="shared" si="0"/>
        <v>0</v>
      </c>
      <c r="I76">
        <f t="shared" si="1"/>
        <v>-5.2809780000000011</v>
      </c>
    </row>
    <row r="77" spans="1:9">
      <c r="A77" s="183" t="s">
        <v>462</v>
      </c>
      <c r="B77" s="183" t="s">
        <v>496</v>
      </c>
      <c r="C77" s="281">
        <v>-40.204210100001085</v>
      </c>
      <c r="D77" s="184" t="s">
        <v>459</v>
      </c>
      <c r="E77" s="186">
        <v>42064</v>
      </c>
      <c r="F77" s="183" t="s">
        <v>508</v>
      </c>
      <c r="H77">
        <f t="shared" si="0"/>
        <v>0</v>
      </c>
      <c r="I77">
        <f t="shared" si="1"/>
        <v>-40.204210100001085</v>
      </c>
    </row>
    <row r="78" spans="1:9">
      <c r="A78" s="183" t="s">
        <v>188</v>
      </c>
      <c r="B78" s="183" t="s">
        <v>447</v>
      </c>
      <c r="C78" s="281">
        <v>50.842014300000002</v>
      </c>
      <c r="D78" s="184" t="s">
        <v>459</v>
      </c>
      <c r="E78" s="185">
        <v>42887</v>
      </c>
      <c r="F78" s="183" t="s">
        <v>508</v>
      </c>
      <c r="H78">
        <f t="shared" si="0"/>
        <v>0</v>
      </c>
      <c r="I78">
        <f t="shared" si="1"/>
        <v>50.842014300000002</v>
      </c>
    </row>
    <row r="79" spans="1:9">
      <c r="A79" s="183" t="s">
        <v>232</v>
      </c>
      <c r="B79" s="183" t="s">
        <v>243</v>
      </c>
      <c r="C79" s="281">
        <v>924.88389340000003</v>
      </c>
      <c r="D79" s="184" t="s">
        <v>459</v>
      </c>
      <c r="E79" s="184">
        <v>2018</v>
      </c>
      <c r="F79" s="183" t="s">
        <v>508</v>
      </c>
      <c r="H79">
        <f t="shared" si="0"/>
        <v>0</v>
      </c>
      <c r="I79">
        <f t="shared" si="1"/>
        <v>924.88389340000003</v>
      </c>
    </row>
    <row r="80" spans="1:9">
      <c r="A80" s="183" t="s">
        <v>290</v>
      </c>
      <c r="B80" s="183" t="s">
        <v>497</v>
      </c>
      <c r="C80" s="281">
        <v>21.011120300000002</v>
      </c>
      <c r="D80" s="184" t="s">
        <v>468</v>
      </c>
      <c r="E80" s="185">
        <v>42795</v>
      </c>
      <c r="F80" s="183" t="s">
        <v>508</v>
      </c>
      <c r="H80">
        <f t="shared" si="0"/>
        <v>0</v>
      </c>
      <c r="I80">
        <f t="shared" si="1"/>
        <v>0</v>
      </c>
    </row>
    <row r="81" spans="1:9">
      <c r="A81" s="183" t="s">
        <v>253</v>
      </c>
      <c r="B81" s="183" t="s">
        <v>256</v>
      </c>
      <c r="C81" s="281">
        <v>1.8030899999999999</v>
      </c>
      <c r="D81" s="184" t="s">
        <v>468</v>
      </c>
      <c r="E81" s="185">
        <v>40969</v>
      </c>
      <c r="F81" s="183" t="s">
        <v>508</v>
      </c>
      <c r="H81">
        <f t="shared" si="0"/>
        <v>0</v>
      </c>
      <c r="I81">
        <f t="shared" si="1"/>
        <v>0</v>
      </c>
    </row>
    <row r="82" spans="1:9">
      <c r="A82" s="183" t="s">
        <v>462</v>
      </c>
      <c r="B82" s="183" t="s">
        <v>498</v>
      </c>
      <c r="C82" s="281">
        <v>-1.7131299999999998</v>
      </c>
      <c r="D82" s="184" t="s">
        <v>459</v>
      </c>
      <c r="E82" s="186">
        <v>42064</v>
      </c>
      <c r="F82" s="183" t="s">
        <v>508</v>
      </c>
      <c r="H82">
        <f t="shared" ref="H82:H104" si="2">IF(D82=$H$16,C82,0)</f>
        <v>0</v>
      </c>
      <c r="I82">
        <f t="shared" ref="I82:I104" si="3">IF(D82=$I$16,C82,0)</f>
        <v>-1.7131299999999998</v>
      </c>
    </row>
    <row r="83" spans="1:9">
      <c r="A83" s="183" t="s">
        <v>232</v>
      </c>
      <c r="B83" s="183" t="s">
        <v>241</v>
      </c>
      <c r="C83" s="281">
        <v>337.72805209999984</v>
      </c>
      <c r="D83" s="184" t="s">
        <v>468</v>
      </c>
      <c r="E83" s="184">
        <v>2018</v>
      </c>
      <c r="F83" s="183" t="s">
        <v>508</v>
      </c>
      <c r="H83">
        <f t="shared" si="2"/>
        <v>0</v>
      </c>
      <c r="I83">
        <f t="shared" si="3"/>
        <v>0</v>
      </c>
    </row>
    <row r="84" spans="1:9">
      <c r="A84" s="183" t="s">
        <v>188</v>
      </c>
      <c r="B84" s="183" t="s">
        <v>499</v>
      </c>
      <c r="C84" s="281">
        <v>8.0988999999999992E-3</v>
      </c>
      <c r="D84" s="184" t="s">
        <v>472</v>
      </c>
      <c r="E84" s="185">
        <v>43466</v>
      </c>
      <c r="F84" s="184" t="s">
        <v>509</v>
      </c>
      <c r="H84">
        <f t="shared" si="2"/>
        <v>0</v>
      </c>
      <c r="I84">
        <f t="shared" si="3"/>
        <v>0</v>
      </c>
    </row>
    <row r="85" spans="1:9">
      <c r="A85" s="183" t="s">
        <v>462</v>
      </c>
      <c r="B85" s="183" t="s">
        <v>500</v>
      </c>
      <c r="C85" s="281">
        <v>37.236775700000081</v>
      </c>
      <c r="D85" s="184" t="s">
        <v>459</v>
      </c>
      <c r="E85" s="185">
        <v>43160</v>
      </c>
      <c r="F85" s="183" t="s">
        <v>508</v>
      </c>
      <c r="H85">
        <f t="shared" si="2"/>
        <v>0</v>
      </c>
      <c r="I85">
        <f t="shared" si="3"/>
        <v>37.236775700000081</v>
      </c>
    </row>
    <row r="86" spans="1:9">
      <c r="A86" s="183" t="s">
        <v>290</v>
      </c>
      <c r="B86" s="183" t="s">
        <v>449</v>
      </c>
      <c r="C86" s="281">
        <v>115.20422259999998</v>
      </c>
      <c r="D86" s="184" t="s">
        <v>459</v>
      </c>
      <c r="E86" s="185">
        <v>43177</v>
      </c>
      <c r="F86" s="183" t="s">
        <v>508</v>
      </c>
      <c r="H86">
        <f t="shared" si="2"/>
        <v>0</v>
      </c>
      <c r="I86">
        <f t="shared" si="3"/>
        <v>115.20422259999998</v>
      </c>
    </row>
    <row r="87" spans="1:9">
      <c r="A87" s="183" t="s">
        <v>253</v>
      </c>
      <c r="B87" s="183" t="s">
        <v>501</v>
      </c>
      <c r="C87" s="281">
        <v>158.17978239999951</v>
      </c>
      <c r="D87" s="184" t="s">
        <v>461</v>
      </c>
      <c r="E87" s="185">
        <v>43160</v>
      </c>
      <c r="F87" s="183" t="s">
        <v>508</v>
      </c>
      <c r="H87">
        <f t="shared" si="2"/>
        <v>0</v>
      </c>
      <c r="I87">
        <f t="shared" si="3"/>
        <v>0</v>
      </c>
    </row>
    <row r="88" spans="1:9">
      <c r="A88" s="183" t="s">
        <v>188</v>
      </c>
      <c r="B88" s="183" t="s">
        <v>189</v>
      </c>
      <c r="C88" s="281">
        <v>28.011751599999979</v>
      </c>
      <c r="D88" s="184" t="s">
        <v>468</v>
      </c>
      <c r="E88" s="185">
        <v>43252</v>
      </c>
      <c r="F88" s="183" t="s">
        <v>508</v>
      </c>
      <c r="H88">
        <f t="shared" si="2"/>
        <v>0</v>
      </c>
      <c r="I88">
        <f t="shared" si="3"/>
        <v>0</v>
      </c>
    </row>
    <row r="89" spans="1:9">
      <c r="A89" s="183" t="s">
        <v>188</v>
      </c>
      <c r="B89" s="183" t="s">
        <v>502</v>
      </c>
      <c r="C89" s="281">
        <v>-1.8563603999999998</v>
      </c>
      <c r="D89" s="184" t="s">
        <v>459</v>
      </c>
      <c r="E89" s="185">
        <v>43160</v>
      </c>
      <c r="F89" s="183" t="s">
        <v>508</v>
      </c>
      <c r="H89">
        <f t="shared" si="2"/>
        <v>0</v>
      </c>
      <c r="I89">
        <f t="shared" si="3"/>
        <v>-1.8563603999999998</v>
      </c>
    </row>
    <row r="90" spans="1:9">
      <c r="A90" s="183" t="s">
        <v>194</v>
      </c>
      <c r="B90" s="183" t="s">
        <v>198</v>
      </c>
      <c r="C90" s="281">
        <v>60.414793099999997</v>
      </c>
      <c r="D90" s="184" t="s">
        <v>461</v>
      </c>
      <c r="E90" s="184">
        <v>2018</v>
      </c>
      <c r="F90" s="183" t="s">
        <v>508</v>
      </c>
      <c r="H90">
        <f t="shared" si="2"/>
        <v>0</v>
      </c>
      <c r="I90">
        <f t="shared" si="3"/>
        <v>0</v>
      </c>
    </row>
    <row r="91" spans="1:9">
      <c r="A91" s="183" t="s">
        <v>192</v>
      </c>
      <c r="B91" s="183" t="s">
        <v>192</v>
      </c>
      <c r="C91" s="281">
        <v>297.26942859999997</v>
      </c>
      <c r="D91" s="184" t="s">
        <v>477</v>
      </c>
      <c r="E91" s="185">
        <v>41699</v>
      </c>
      <c r="F91" s="183" t="s">
        <v>508</v>
      </c>
      <c r="H91">
        <f t="shared" si="2"/>
        <v>0</v>
      </c>
      <c r="I91">
        <f t="shared" si="3"/>
        <v>0</v>
      </c>
    </row>
    <row r="92" spans="1:9">
      <c r="A92" s="183" t="s">
        <v>194</v>
      </c>
      <c r="B92" s="183" t="s">
        <v>503</v>
      </c>
      <c r="C92" s="281">
        <v>16.816310000000001</v>
      </c>
      <c r="D92" s="184" t="s">
        <v>459</v>
      </c>
      <c r="E92" s="184">
        <v>2019</v>
      </c>
      <c r="F92" s="183" t="s">
        <v>508</v>
      </c>
      <c r="H92">
        <f t="shared" si="2"/>
        <v>0</v>
      </c>
      <c r="I92">
        <f t="shared" si="3"/>
        <v>16.816310000000001</v>
      </c>
    </row>
    <row r="93" spans="1:9">
      <c r="A93" s="183" t="s">
        <v>253</v>
      </c>
      <c r="B93" s="183" t="s">
        <v>266</v>
      </c>
      <c r="C93" s="281">
        <v>2.1849600000000002</v>
      </c>
      <c r="D93" s="184" t="s">
        <v>459</v>
      </c>
      <c r="E93" s="185">
        <v>40969</v>
      </c>
      <c r="F93" s="183" t="s">
        <v>508</v>
      </c>
      <c r="H93">
        <f t="shared" si="2"/>
        <v>0</v>
      </c>
      <c r="I93">
        <f t="shared" si="3"/>
        <v>2.1849600000000002</v>
      </c>
    </row>
    <row r="94" spans="1:9">
      <c r="A94" s="183" t="s">
        <v>290</v>
      </c>
      <c r="B94" s="183" t="s">
        <v>450</v>
      </c>
      <c r="C94" s="281">
        <v>1.3266500000000001</v>
      </c>
      <c r="D94" s="184" t="s">
        <v>472</v>
      </c>
      <c r="E94" s="185">
        <v>43177</v>
      </c>
      <c r="F94" s="183" t="s">
        <v>508</v>
      </c>
      <c r="H94">
        <f t="shared" si="2"/>
        <v>0</v>
      </c>
      <c r="I94">
        <f t="shared" si="3"/>
        <v>0</v>
      </c>
    </row>
    <row r="95" spans="1:9">
      <c r="A95" s="183" t="s">
        <v>290</v>
      </c>
      <c r="B95" s="183" t="s">
        <v>451</v>
      </c>
      <c r="C95" s="281">
        <v>83.79836619999999</v>
      </c>
      <c r="D95" s="184" t="s">
        <v>468</v>
      </c>
      <c r="E95" s="185">
        <v>43177</v>
      </c>
      <c r="F95" s="183" t="s">
        <v>508</v>
      </c>
      <c r="H95">
        <f t="shared" si="2"/>
        <v>0</v>
      </c>
      <c r="I95">
        <f t="shared" si="3"/>
        <v>0</v>
      </c>
    </row>
    <row r="96" spans="1:9">
      <c r="A96" s="183" t="s">
        <v>462</v>
      </c>
      <c r="B96" s="183" t="s">
        <v>504</v>
      </c>
      <c r="C96" s="281">
        <v>-2.4230690999999998</v>
      </c>
      <c r="D96" s="184" t="s">
        <v>472</v>
      </c>
      <c r="E96" s="186">
        <v>42064</v>
      </c>
      <c r="F96" s="183" t="s">
        <v>508</v>
      </c>
      <c r="H96">
        <f t="shared" si="2"/>
        <v>0</v>
      </c>
      <c r="I96">
        <f t="shared" si="3"/>
        <v>0</v>
      </c>
    </row>
    <row r="97" spans="1:9">
      <c r="A97" s="183" t="s">
        <v>290</v>
      </c>
      <c r="B97" s="183" t="s">
        <v>452</v>
      </c>
      <c r="C97" s="281">
        <v>82.249444399999973</v>
      </c>
      <c r="D97" s="184" t="s">
        <v>459</v>
      </c>
      <c r="E97" s="185">
        <v>43177</v>
      </c>
      <c r="F97" s="183" t="s">
        <v>508</v>
      </c>
      <c r="H97">
        <f t="shared" si="2"/>
        <v>0</v>
      </c>
      <c r="I97">
        <f t="shared" si="3"/>
        <v>82.249444399999973</v>
      </c>
    </row>
    <row r="98" spans="1:9">
      <c r="A98" s="183" t="s">
        <v>194</v>
      </c>
      <c r="B98" s="183" t="s">
        <v>505</v>
      </c>
      <c r="C98" s="281">
        <v>9.7676216999999994</v>
      </c>
      <c r="D98" s="184" t="s">
        <v>459</v>
      </c>
      <c r="E98" s="185">
        <v>40986</v>
      </c>
      <c r="F98" s="183" t="s">
        <v>508</v>
      </c>
      <c r="H98">
        <f t="shared" si="2"/>
        <v>0</v>
      </c>
      <c r="I98">
        <f t="shared" si="3"/>
        <v>9.7676216999999994</v>
      </c>
    </row>
    <row r="99" spans="1:9">
      <c r="A99" s="183" t="s">
        <v>232</v>
      </c>
      <c r="B99" s="183" t="s">
        <v>453</v>
      </c>
      <c r="C99" s="281">
        <v>714.30832000000009</v>
      </c>
      <c r="D99" s="184" t="s">
        <v>470</v>
      </c>
      <c r="E99" s="185">
        <v>44986</v>
      </c>
      <c r="F99" s="184" t="s">
        <v>510</v>
      </c>
      <c r="H99">
        <f t="shared" si="2"/>
        <v>714.30832000000009</v>
      </c>
      <c r="I99">
        <f t="shared" si="3"/>
        <v>0</v>
      </c>
    </row>
    <row r="100" spans="1:9">
      <c r="A100" s="183" t="s">
        <v>194</v>
      </c>
      <c r="B100" s="183" t="s">
        <v>202</v>
      </c>
      <c r="C100" s="281">
        <v>14.3797505</v>
      </c>
      <c r="D100" s="184" t="s">
        <v>459</v>
      </c>
      <c r="E100" s="185">
        <v>40986</v>
      </c>
      <c r="F100" s="183" t="s">
        <v>508</v>
      </c>
      <c r="H100">
        <f t="shared" si="2"/>
        <v>0</v>
      </c>
      <c r="I100">
        <f t="shared" si="3"/>
        <v>14.3797505</v>
      </c>
    </row>
    <row r="101" spans="1:9">
      <c r="A101" s="183" t="s">
        <v>194</v>
      </c>
      <c r="B101" s="183" t="s">
        <v>215</v>
      </c>
      <c r="C101" s="281">
        <v>4.0030000000000003E-2</v>
      </c>
      <c r="D101" s="184" t="s">
        <v>459</v>
      </c>
      <c r="E101" s="185">
        <v>40986</v>
      </c>
      <c r="F101" s="183" t="s">
        <v>508</v>
      </c>
      <c r="H101">
        <f t="shared" si="2"/>
        <v>0</v>
      </c>
      <c r="I101">
        <f t="shared" si="3"/>
        <v>4.0030000000000003E-2</v>
      </c>
    </row>
    <row r="102" spans="1:9">
      <c r="A102" s="183" t="s">
        <v>462</v>
      </c>
      <c r="B102" s="183" t="s">
        <v>454</v>
      </c>
      <c r="C102" s="281">
        <v>62.950976400000577</v>
      </c>
      <c r="D102" s="184" t="s">
        <v>459</v>
      </c>
      <c r="E102" s="185">
        <v>43160</v>
      </c>
      <c r="F102" s="183" t="s">
        <v>508</v>
      </c>
      <c r="H102">
        <f t="shared" si="2"/>
        <v>0</v>
      </c>
      <c r="I102">
        <f t="shared" si="3"/>
        <v>62.950976400000577</v>
      </c>
    </row>
    <row r="103" spans="1:9">
      <c r="A103" s="183" t="s">
        <v>290</v>
      </c>
      <c r="B103" s="183" t="s">
        <v>455</v>
      </c>
      <c r="C103" s="281">
        <v>385.84822629999996</v>
      </c>
      <c r="D103" s="184" t="s">
        <v>459</v>
      </c>
      <c r="E103" s="185">
        <v>42812</v>
      </c>
      <c r="F103" s="183" t="s">
        <v>508</v>
      </c>
      <c r="H103">
        <f t="shared" si="2"/>
        <v>0</v>
      </c>
      <c r="I103">
        <f t="shared" si="3"/>
        <v>385.84822629999996</v>
      </c>
    </row>
    <row r="104" spans="1:9">
      <c r="A104" s="183" t="s">
        <v>290</v>
      </c>
      <c r="B104" s="183" t="s">
        <v>506</v>
      </c>
      <c r="C104" s="281">
        <f>191.0372002-3.1</f>
        <v>187.93720020000001</v>
      </c>
      <c r="D104" s="184" t="s">
        <v>468</v>
      </c>
      <c r="E104" s="185">
        <v>43177</v>
      </c>
      <c r="F104" s="183" t="s">
        <v>508</v>
      </c>
      <c r="H104">
        <f t="shared" si="2"/>
        <v>0</v>
      </c>
      <c r="I104">
        <f t="shared" si="3"/>
        <v>0</v>
      </c>
    </row>
    <row r="105" spans="1:9">
      <c r="B105" s="282" t="s">
        <v>21</v>
      </c>
      <c r="C105" s="283">
        <f>SUM(C17:C104)</f>
        <v>3183.0021276999937</v>
      </c>
      <c r="H105">
        <f>SUM(H17:H104)</f>
        <v>1160.9984422</v>
      </c>
      <c r="I105">
        <f>SUM(I17:I104)</f>
        <v>2827.596495499994</v>
      </c>
    </row>
    <row r="106" spans="1:9">
      <c r="H106">
        <f>H105+I105</f>
        <v>3988.5949376999943</v>
      </c>
    </row>
    <row r="108" spans="1:9">
      <c r="C108" s="150"/>
    </row>
  </sheetData>
  <autoFilter ref="A16:F105" xr:uid="{00000000-0009-0000-0000-00000D000000}"/>
  <mergeCells count="5">
    <mergeCell ref="B2:G2"/>
    <mergeCell ref="B3:G3"/>
    <mergeCell ref="B5:G5"/>
    <mergeCell ref="B8:G8"/>
    <mergeCell ref="B9:G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249977111117893"/>
  </sheetPr>
  <dimension ref="B2:M18"/>
  <sheetViews>
    <sheetView topLeftCell="A7" workbookViewId="0">
      <selection activeCell="B9" sqref="B9:G9"/>
    </sheetView>
  </sheetViews>
  <sheetFormatPr defaultRowHeight="14.4"/>
  <cols>
    <col min="2" max="2" width="29.6640625" customWidth="1"/>
    <col min="3" max="3" width="16.33203125" customWidth="1"/>
    <col min="4" max="4" width="13.88671875" customWidth="1"/>
    <col min="5" max="5" width="15.88671875" customWidth="1"/>
    <col min="6" max="6" width="17.5546875" customWidth="1"/>
    <col min="7" max="7" width="63.109375" customWidth="1"/>
  </cols>
  <sheetData>
    <row r="2" spans="2:13">
      <c r="B2" s="459" t="s">
        <v>135</v>
      </c>
      <c r="C2" s="460"/>
      <c r="D2" s="460"/>
      <c r="E2" s="460"/>
      <c r="F2" s="460"/>
      <c r="G2" s="461"/>
    </row>
    <row r="3" spans="2:13">
      <c r="B3" s="435" t="str">
        <f>'SUMMARY-2023'!B3</f>
        <v>Details as on 31st March 2023</v>
      </c>
      <c r="C3" s="436"/>
      <c r="D3" s="436"/>
      <c r="E3" s="436"/>
      <c r="F3" s="436"/>
      <c r="G3" s="437"/>
    </row>
    <row r="4" spans="2:13" ht="24">
      <c r="B4" s="24" t="s">
        <v>0</v>
      </c>
      <c r="C4" s="24" t="s">
        <v>69</v>
      </c>
      <c r="D4" s="37" t="s">
        <v>64</v>
      </c>
      <c r="E4" s="24" t="s">
        <v>142</v>
      </c>
      <c r="F4" s="24" t="s">
        <v>143</v>
      </c>
      <c r="G4" s="24" t="s">
        <v>22</v>
      </c>
    </row>
    <row r="5" spans="2:13">
      <c r="B5" s="435" t="str">
        <f>'SUMMARY-2023'!B5</f>
        <v>Figures in INR Crores</v>
      </c>
      <c r="C5" s="436"/>
      <c r="D5" s="436"/>
      <c r="E5" s="436"/>
      <c r="F5" s="436"/>
      <c r="G5" s="437"/>
    </row>
    <row r="6" spans="2:13" ht="171">
      <c r="B6" s="41">
        <v>1</v>
      </c>
      <c r="C6" s="80" t="s">
        <v>135</v>
      </c>
      <c r="D6" s="60">
        <f>36.56+88.58</f>
        <v>125.14</v>
      </c>
      <c r="E6" s="60">
        <f>C17</f>
        <v>87.17</v>
      </c>
      <c r="F6" s="60">
        <v>0</v>
      </c>
      <c r="G6" s="112" t="s">
        <v>690</v>
      </c>
      <c r="H6" s="472"/>
      <c r="I6" s="473"/>
      <c r="J6" s="473"/>
      <c r="K6" s="473"/>
      <c r="L6" s="473"/>
      <c r="M6" s="473"/>
    </row>
    <row r="7" spans="2:13">
      <c r="B7" s="38"/>
      <c r="C7" s="36" t="s">
        <v>23</v>
      </c>
      <c r="D7" s="61">
        <f>SUM(D3:D6)</f>
        <v>125.14</v>
      </c>
      <c r="E7" s="61">
        <f>SUM(E3:E6)</f>
        <v>87.17</v>
      </c>
      <c r="F7" s="61">
        <f>SUM(F3:F6)</f>
        <v>0</v>
      </c>
      <c r="G7" s="38"/>
    </row>
    <row r="8" spans="2:13">
      <c r="B8" s="469" t="s">
        <v>20</v>
      </c>
      <c r="C8" s="470"/>
      <c r="D8" s="470"/>
      <c r="E8" s="470"/>
      <c r="F8" s="470"/>
      <c r="G8" s="471"/>
    </row>
    <row r="9" spans="2:13" ht="104.25" customHeight="1">
      <c r="B9" s="409" t="s">
        <v>704</v>
      </c>
      <c r="C9" s="409"/>
      <c r="D9" s="409"/>
      <c r="E9" s="409"/>
      <c r="F9" s="409"/>
      <c r="G9" s="409"/>
    </row>
    <row r="14" spans="2:13">
      <c r="B14" s="287" t="s">
        <v>619</v>
      </c>
      <c r="C14" s="287" t="s">
        <v>620</v>
      </c>
      <c r="D14" s="287" t="s">
        <v>621</v>
      </c>
    </row>
    <row r="15" spans="2:13" ht="15" customHeight="1">
      <c r="B15" s="179" t="s">
        <v>622</v>
      </c>
      <c r="C15" s="288">
        <v>22.357543263999986</v>
      </c>
      <c r="D15" s="474" t="s">
        <v>623</v>
      </c>
      <c r="E15" s="47">
        <v>0.9</v>
      </c>
    </row>
    <row r="16" spans="2:13">
      <c r="B16" s="179" t="s">
        <v>624</v>
      </c>
      <c r="C16" s="288">
        <v>15.614450885</v>
      </c>
      <c r="D16" s="475"/>
      <c r="E16" s="47">
        <v>0.9</v>
      </c>
    </row>
    <row r="17" spans="2:4">
      <c r="B17" s="179" t="s">
        <v>625</v>
      </c>
      <c r="C17" s="288">
        <f>125.14-37.97</f>
        <v>87.17</v>
      </c>
      <c r="D17" s="179"/>
    </row>
    <row r="18" spans="2:4">
      <c r="B18" s="287" t="s">
        <v>21</v>
      </c>
      <c r="C18" s="289">
        <f>SUM(C15:C17)</f>
        <v>125.14199414899998</v>
      </c>
      <c r="D18" s="278"/>
    </row>
  </sheetData>
  <mergeCells count="7">
    <mergeCell ref="H6:M6"/>
    <mergeCell ref="D15:D16"/>
    <mergeCell ref="B2:G2"/>
    <mergeCell ref="B3:G3"/>
    <mergeCell ref="B5:G5"/>
    <mergeCell ref="B8:G8"/>
    <mergeCell ref="B9:G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sheetPr>
  <dimension ref="B2:R43"/>
  <sheetViews>
    <sheetView topLeftCell="A7" workbookViewId="0">
      <selection activeCell="B9" sqref="B9:K9"/>
    </sheetView>
  </sheetViews>
  <sheetFormatPr defaultRowHeight="14.4"/>
  <cols>
    <col min="3" max="3" width="14.6640625" customWidth="1"/>
    <col min="4" max="4" width="14.88671875" customWidth="1"/>
    <col min="7" max="7" width="7.88671875" customWidth="1"/>
    <col min="8" max="8" width="14.33203125" customWidth="1"/>
    <col min="10" max="10" width="11.109375" customWidth="1"/>
    <col min="11" max="11" width="65.5546875" customWidth="1"/>
  </cols>
  <sheetData>
    <row r="2" spans="2:18" ht="14.4" customHeight="1">
      <c r="B2" s="479" t="s">
        <v>68</v>
      </c>
      <c r="C2" s="479"/>
      <c r="D2" s="479"/>
      <c r="E2" s="479"/>
      <c r="F2" s="479"/>
      <c r="G2" s="479"/>
      <c r="H2" s="479"/>
      <c r="I2" s="479"/>
      <c r="J2" s="479"/>
      <c r="K2" s="479"/>
    </row>
    <row r="3" spans="2:18" ht="14.4" customHeight="1">
      <c r="B3" s="477" t="str">
        <f>'SUMMARY-2023'!B3</f>
        <v>Details as on 31st March 2023</v>
      </c>
      <c r="C3" s="477"/>
      <c r="D3" s="477"/>
      <c r="E3" s="477"/>
      <c r="F3" s="477"/>
      <c r="G3" s="477"/>
      <c r="H3" s="477"/>
      <c r="I3" s="477"/>
      <c r="J3" s="477"/>
      <c r="K3" s="477"/>
    </row>
    <row r="4" spans="2:18" ht="36">
      <c r="B4" s="24" t="s">
        <v>0</v>
      </c>
      <c r="C4" s="24" t="s">
        <v>69</v>
      </c>
      <c r="D4" s="37" t="s">
        <v>64</v>
      </c>
      <c r="E4" s="24" t="s">
        <v>526</v>
      </c>
      <c r="F4" s="24" t="s">
        <v>527</v>
      </c>
      <c r="G4" s="24" t="s">
        <v>528</v>
      </c>
      <c r="H4" s="24" t="s">
        <v>654</v>
      </c>
      <c r="I4" s="24" t="s">
        <v>142</v>
      </c>
      <c r="J4" s="24" t="s">
        <v>143</v>
      </c>
      <c r="K4" s="24" t="s">
        <v>22</v>
      </c>
    </row>
    <row r="5" spans="2:18" ht="14.4" customHeight="1">
      <c r="B5" s="477" t="str">
        <f>'SUMMARY-2023'!B5</f>
        <v>Figures in INR Crores</v>
      </c>
      <c r="C5" s="477"/>
      <c r="D5" s="477"/>
      <c r="E5" s="477"/>
      <c r="F5" s="477"/>
      <c r="G5" s="477"/>
      <c r="H5" s="477"/>
      <c r="I5" s="477"/>
      <c r="J5" s="477"/>
      <c r="K5" s="477"/>
    </row>
    <row r="6" spans="2:18" ht="205.2">
      <c r="B6" s="25">
        <v>1</v>
      </c>
      <c r="C6" s="334" t="s">
        <v>134</v>
      </c>
      <c r="D6" s="335">
        <f>377.5+109.33</f>
        <v>486.83</v>
      </c>
      <c r="E6" s="335">
        <f>E15</f>
        <v>54.811631451377608</v>
      </c>
      <c r="F6" s="335">
        <f>F15</f>
        <v>100.70340412500001</v>
      </c>
      <c r="G6" s="302">
        <f>G15</f>
        <v>0</v>
      </c>
      <c r="H6" s="335">
        <f>I15</f>
        <v>331.31381885140979</v>
      </c>
      <c r="I6" s="335">
        <f>N22</f>
        <v>383.53130505851493</v>
      </c>
      <c r="J6" s="335">
        <f>N23</f>
        <v>106.56593626978322</v>
      </c>
      <c r="K6" s="112" t="s">
        <v>691</v>
      </c>
      <c r="M6" s="47">
        <v>0.3</v>
      </c>
    </row>
    <row r="7" spans="2:18">
      <c r="B7" s="38"/>
      <c r="C7" s="336" t="s">
        <v>23</v>
      </c>
      <c r="D7" s="61">
        <f>SUM(D3:D6)</f>
        <v>486.83</v>
      </c>
      <c r="E7" s="61">
        <f>SUM(E3:E6)</f>
        <v>54.811631451377608</v>
      </c>
      <c r="F7" s="61">
        <f>SUM(F3:F6)</f>
        <v>100.70340412500001</v>
      </c>
      <c r="G7" s="61">
        <f t="shared" ref="G7:I7" si="0">SUM(G3:G6)</f>
        <v>0</v>
      </c>
      <c r="H7" s="61">
        <f t="shared" si="0"/>
        <v>331.31381885140979</v>
      </c>
      <c r="I7" s="61">
        <f t="shared" si="0"/>
        <v>383.53130505851493</v>
      </c>
      <c r="J7" s="61">
        <f>SUM(J3:J6)</f>
        <v>106.56593626978322</v>
      </c>
      <c r="K7" s="61"/>
    </row>
    <row r="8" spans="2:18" ht="14.4" customHeight="1">
      <c r="B8" s="478" t="s">
        <v>20</v>
      </c>
      <c r="C8" s="478"/>
      <c r="D8" s="478"/>
      <c r="E8" s="478"/>
      <c r="F8" s="478"/>
      <c r="G8" s="478"/>
      <c r="H8" s="478"/>
      <c r="I8" s="478"/>
      <c r="J8" s="478"/>
      <c r="K8" s="478"/>
    </row>
    <row r="9" spans="2:18" ht="105" customHeight="1">
      <c r="B9" s="409" t="s">
        <v>704</v>
      </c>
      <c r="C9" s="409"/>
      <c r="D9" s="409"/>
      <c r="E9" s="409"/>
      <c r="F9" s="409"/>
      <c r="G9" s="409"/>
      <c r="H9" s="409"/>
      <c r="I9" s="409"/>
      <c r="J9" s="409"/>
      <c r="K9" s="409"/>
    </row>
    <row r="14" spans="2:18">
      <c r="B14" s="480" t="s">
        <v>682</v>
      </c>
      <c r="C14" s="481"/>
      <c r="D14" s="482"/>
      <c r="E14" s="476" t="s">
        <v>626</v>
      </c>
      <c r="F14" s="476"/>
      <c r="G14" s="476"/>
      <c r="H14" s="476"/>
      <c r="I14" s="476"/>
    </row>
    <row r="15" spans="2:18" ht="36.6">
      <c r="B15" s="179"/>
      <c r="C15" s="291" t="s">
        <v>627</v>
      </c>
      <c r="D15" s="292">
        <f>SUBTOTAL(9,D17:D74)</f>
        <v>486.83327424361977</v>
      </c>
      <c r="E15" s="292">
        <f t="shared" ref="E15:I15" si="1">SUBTOTAL(9,E17:E74)</f>
        <v>54.811631451377608</v>
      </c>
      <c r="F15" s="292">
        <f t="shared" si="1"/>
        <v>100.70340412500001</v>
      </c>
      <c r="G15" s="292">
        <f t="shared" si="1"/>
        <v>0</v>
      </c>
      <c r="H15" s="296">
        <f t="shared" si="1"/>
        <v>261.77233410000002</v>
      </c>
      <c r="I15" s="292">
        <f t="shared" si="1"/>
        <v>331.31381885140979</v>
      </c>
      <c r="M15" s="238" t="s">
        <v>529</v>
      </c>
      <c r="N15" s="123">
        <v>1</v>
      </c>
      <c r="O15" s="123">
        <f>N15+1</f>
        <v>2</v>
      </c>
      <c r="P15" s="123">
        <f t="shared" ref="P15:Q15" si="2">O15+1</f>
        <v>3</v>
      </c>
      <c r="Q15" s="123">
        <f t="shared" si="2"/>
        <v>4</v>
      </c>
      <c r="R15" s="123"/>
    </row>
    <row r="16" spans="2:18" ht="48">
      <c r="B16" s="293" t="s">
        <v>185</v>
      </c>
      <c r="C16" s="293" t="s">
        <v>628</v>
      </c>
      <c r="D16" s="294" t="s">
        <v>629</v>
      </c>
      <c r="E16" s="294" t="s">
        <v>556</v>
      </c>
      <c r="F16" s="294" t="s">
        <v>527</v>
      </c>
      <c r="G16" s="294" t="s">
        <v>528</v>
      </c>
      <c r="H16" s="297" t="s">
        <v>569</v>
      </c>
      <c r="I16" s="294" t="s">
        <v>654</v>
      </c>
      <c r="J16" t="s">
        <v>630</v>
      </c>
      <c r="M16" s="239" t="s">
        <v>530</v>
      </c>
      <c r="N16" s="240">
        <f>D7</f>
        <v>486.83</v>
      </c>
      <c r="O16" s="241"/>
      <c r="P16" s="241"/>
      <c r="Q16" s="241"/>
      <c r="R16" s="241"/>
    </row>
    <row r="17" spans="2:18">
      <c r="B17" s="179" t="s">
        <v>253</v>
      </c>
      <c r="C17" s="179" t="s">
        <v>631</v>
      </c>
      <c r="D17" s="210">
        <v>127.3344198158324</v>
      </c>
      <c r="E17" s="210">
        <v>41.64</v>
      </c>
      <c r="F17" s="210">
        <v>85.69</v>
      </c>
      <c r="G17" s="210">
        <v>0</v>
      </c>
      <c r="H17" s="298"/>
      <c r="I17" s="210">
        <v>0</v>
      </c>
      <c r="M17" s="239" t="s">
        <v>531</v>
      </c>
      <c r="N17" s="240">
        <f>E15</f>
        <v>54.811631451377608</v>
      </c>
      <c r="O17" s="240">
        <f>F15</f>
        <v>100.70340412500001</v>
      </c>
      <c r="P17" s="240">
        <f>G15</f>
        <v>0</v>
      </c>
      <c r="Q17" s="240">
        <f>I15</f>
        <v>331.31381885140979</v>
      </c>
      <c r="R17" s="240"/>
    </row>
    <row r="18" spans="2:18">
      <c r="B18" s="179" t="s">
        <v>253</v>
      </c>
      <c r="C18" s="179" t="s">
        <v>256</v>
      </c>
      <c r="D18" s="210">
        <v>261.77233410000002</v>
      </c>
      <c r="E18" s="210"/>
      <c r="F18" s="210">
        <v>0</v>
      </c>
      <c r="G18" s="210"/>
      <c r="H18" s="298">
        <v>261.77233410000002</v>
      </c>
      <c r="I18" s="210">
        <v>261.77233410000002</v>
      </c>
      <c r="M18" s="239" t="s">
        <v>532</v>
      </c>
      <c r="N18" s="241">
        <v>1</v>
      </c>
      <c r="O18" s="241">
        <f>N18+1</f>
        <v>2</v>
      </c>
      <c r="P18" s="241">
        <f t="shared" ref="P18:Q18" si="3">O18+1</f>
        <v>3</v>
      </c>
      <c r="Q18" s="241">
        <f t="shared" si="3"/>
        <v>4</v>
      </c>
      <c r="R18" s="241"/>
    </row>
    <row r="19" spans="2:18">
      <c r="B19" s="179" t="s">
        <v>271</v>
      </c>
      <c r="C19" s="179" t="s">
        <v>632</v>
      </c>
      <c r="D19" s="210">
        <v>10.068920017</v>
      </c>
      <c r="E19" s="210">
        <v>5.4619200169999997</v>
      </c>
      <c r="F19" s="210"/>
      <c r="G19" s="210"/>
      <c r="H19" s="298"/>
      <c r="I19" s="210">
        <f>4.607</f>
        <v>4.6070000000000002</v>
      </c>
      <c r="M19" s="239" t="s">
        <v>533</v>
      </c>
      <c r="N19" s="242">
        <f>1/(1+$N$20)^N18</f>
        <v>0.9174311926605504</v>
      </c>
      <c r="O19" s="242">
        <f t="shared" ref="O19:P19" si="4">1/(1+$N$20)^O18</f>
        <v>0.84167999326655996</v>
      </c>
      <c r="P19" s="242">
        <f t="shared" si="4"/>
        <v>0.77218348006106419</v>
      </c>
      <c r="Q19" s="364">
        <v>0.75</v>
      </c>
      <c r="R19" s="242"/>
    </row>
    <row r="20" spans="2:18">
      <c r="B20" s="179" t="s">
        <v>271</v>
      </c>
      <c r="C20" s="179" t="s">
        <v>633</v>
      </c>
      <c r="D20" s="210">
        <v>6.4759529639999984</v>
      </c>
      <c r="E20" s="210"/>
      <c r="F20" s="210"/>
      <c r="G20" s="210"/>
      <c r="H20" s="298"/>
      <c r="I20" s="210">
        <f>D20</f>
        <v>6.4759529639999984</v>
      </c>
      <c r="M20" s="239" t="s">
        <v>534</v>
      </c>
      <c r="N20" s="243">
        <v>0.09</v>
      </c>
      <c r="O20" s="241"/>
      <c r="P20" s="241"/>
      <c r="Q20" s="241"/>
      <c r="R20" s="241"/>
    </row>
    <row r="21" spans="2:18">
      <c r="B21" s="179" t="s">
        <v>271</v>
      </c>
      <c r="C21" s="179" t="s">
        <v>439</v>
      </c>
      <c r="D21" s="210">
        <v>2.1731400359999999</v>
      </c>
      <c r="E21" s="210"/>
      <c r="F21" s="210"/>
      <c r="G21" s="210"/>
      <c r="H21" s="298"/>
      <c r="I21" s="210">
        <f>D21</f>
        <v>2.1731400359999999</v>
      </c>
      <c r="M21" s="239" t="s">
        <v>535</v>
      </c>
      <c r="N21" s="240">
        <f>N17*N19</f>
        <v>50.285900414107893</v>
      </c>
      <c r="O21" s="240">
        <f t="shared" ref="O21:Q21" si="5">O17*O19</f>
        <v>84.760040505849673</v>
      </c>
      <c r="P21" s="240">
        <f t="shared" si="5"/>
        <v>0</v>
      </c>
      <c r="Q21" s="240">
        <f t="shared" si="5"/>
        <v>248.48536413855734</v>
      </c>
      <c r="R21" s="240"/>
    </row>
    <row r="22" spans="2:18" ht="57.6">
      <c r="B22" s="179" t="s">
        <v>271</v>
      </c>
      <c r="C22" s="179" t="s">
        <v>634</v>
      </c>
      <c r="D22" s="210">
        <v>1.491526377</v>
      </c>
      <c r="E22" s="210"/>
      <c r="F22" s="210"/>
      <c r="G22" s="210"/>
      <c r="H22" s="298"/>
      <c r="I22" s="210">
        <f>D22</f>
        <v>1.491526377</v>
      </c>
      <c r="M22" s="244" t="s">
        <v>536</v>
      </c>
      <c r="N22" s="245">
        <f>SUM(N21:R21)</f>
        <v>383.53130505851493</v>
      </c>
      <c r="O22" s="238"/>
      <c r="P22" s="238"/>
      <c r="Q22" s="238"/>
      <c r="R22" s="295"/>
    </row>
    <row r="23" spans="2:18">
      <c r="B23" s="179" t="s">
        <v>232</v>
      </c>
      <c r="C23" s="179" t="s">
        <v>635</v>
      </c>
      <c r="D23" s="210">
        <v>2.7858592</v>
      </c>
      <c r="E23" s="210"/>
      <c r="F23" s="210"/>
      <c r="G23" s="210"/>
      <c r="H23" s="298"/>
      <c r="I23" s="210">
        <f>D23</f>
        <v>2.7858592</v>
      </c>
      <c r="M23" s="365" t="s">
        <v>683</v>
      </c>
      <c r="N23" s="258">
        <f>(N17*75%)+(O17*65%)+(P17*50%)</f>
        <v>106.56593626978322</v>
      </c>
    </row>
    <row r="24" spans="2:18">
      <c r="B24" s="179" t="s">
        <v>232</v>
      </c>
      <c r="C24" s="179" t="s">
        <v>636</v>
      </c>
      <c r="D24" s="210">
        <v>13.50424533363098</v>
      </c>
      <c r="E24" s="210"/>
      <c r="F24" s="210"/>
      <c r="G24" s="210"/>
      <c r="H24" s="298"/>
      <c r="I24" s="210">
        <f>D24</f>
        <v>13.50424533363098</v>
      </c>
    </row>
    <row r="25" spans="2:18">
      <c r="B25" s="179" t="s">
        <v>232</v>
      </c>
      <c r="C25" s="179" t="s">
        <v>637</v>
      </c>
      <c r="D25" s="210">
        <v>1.8258754588410615</v>
      </c>
      <c r="E25" s="210">
        <f>D25</f>
        <v>1.8258754588410615</v>
      </c>
      <c r="F25" s="210"/>
      <c r="G25" s="210"/>
      <c r="H25" s="298"/>
      <c r="I25" s="210"/>
    </row>
    <row r="26" spans="2:18">
      <c r="B26" s="179" t="s">
        <v>188</v>
      </c>
      <c r="C26" s="179" t="s">
        <v>638</v>
      </c>
      <c r="D26" s="210">
        <v>0.37999997655749918</v>
      </c>
      <c r="E26" s="210"/>
      <c r="F26" s="210"/>
      <c r="G26" s="210"/>
      <c r="H26" s="298"/>
      <c r="I26" s="210">
        <f>D26</f>
        <v>0.37999997655749918</v>
      </c>
    </row>
    <row r="27" spans="2:18">
      <c r="B27" s="179" t="s">
        <v>188</v>
      </c>
      <c r="C27" s="179" t="s">
        <v>639</v>
      </c>
      <c r="D27" s="210">
        <v>1.2300000132212012</v>
      </c>
      <c r="E27" s="210"/>
      <c r="F27" s="210"/>
      <c r="G27" s="210"/>
      <c r="H27" s="298"/>
      <c r="I27" s="210">
        <f>D27</f>
        <v>1.2300000132212012</v>
      </c>
    </row>
    <row r="28" spans="2:18">
      <c r="B28" s="179" t="s">
        <v>290</v>
      </c>
      <c r="C28" s="179" t="s">
        <v>640</v>
      </c>
      <c r="D28" s="210">
        <v>1.1556518078559636E-2</v>
      </c>
      <c r="E28" s="210">
        <f>D28</f>
        <v>1.1556518078559636E-2</v>
      </c>
      <c r="F28" s="210"/>
      <c r="G28" s="210"/>
      <c r="H28" s="298"/>
      <c r="I28" s="210"/>
    </row>
    <row r="29" spans="2:18">
      <c r="B29" s="179" t="s">
        <v>290</v>
      </c>
      <c r="C29" s="179" t="s">
        <v>641</v>
      </c>
      <c r="D29" s="210">
        <v>6.3663968360900876E-3</v>
      </c>
      <c r="E29" s="210">
        <f>D29</f>
        <v>6.3663968360900876E-3</v>
      </c>
      <c r="F29" s="210"/>
      <c r="G29" s="210"/>
      <c r="H29" s="298"/>
      <c r="I29" s="210"/>
    </row>
    <row r="30" spans="2:18">
      <c r="B30" s="179" t="s">
        <v>427</v>
      </c>
      <c r="C30" s="179" t="s">
        <v>198</v>
      </c>
      <c r="D30" s="210">
        <v>7.0015133599999997</v>
      </c>
      <c r="E30" s="210"/>
      <c r="F30" s="210">
        <f>D30</f>
        <v>7.0015133599999997</v>
      </c>
      <c r="G30" s="210"/>
      <c r="H30" s="298"/>
      <c r="I30" s="210"/>
    </row>
    <row r="31" spans="2:18">
      <c r="B31" s="179" t="s">
        <v>427</v>
      </c>
      <c r="C31" s="179" t="s">
        <v>202</v>
      </c>
      <c r="D31" s="210">
        <v>4.2021410719999999</v>
      </c>
      <c r="E31" s="210"/>
      <c r="F31" s="210">
        <f>D31</f>
        <v>4.2021410719999999</v>
      </c>
      <c r="G31" s="210"/>
      <c r="H31" s="298"/>
      <c r="I31" s="210"/>
    </row>
    <row r="32" spans="2:18">
      <c r="B32" s="179" t="s">
        <v>427</v>
      </c>
      <c r="C32" s="179" t="s">
        <v>642</v>
      </c>
      <c r="D32" s="210">
        <v>3.8097496930000005</v>
      </c>
      <c r="E32" s="210"/>
      <c r="F32" s="210">
        <f>D32</f>
        <v>3.8097496930000005</v>
      </c>
      <c r="G32" s="210"/>
      <c r="H32" s="298"/>
      <c r="I32" s="210"/>
    </row>
    <row r="33" spans="2:9">
      <c r="B33" s="179" t="s">
        <v>427</v>
      </c>
      <c r="C33" s="179" t="s">
        <v>643</v>
      </c>
      <c r="D33" s="210">
        <f>3.015+0.02</f>
        <v>3.0350000000000001</v>
      </c>
      <c r="E33" s="210"/>
      <c r="F33" s="210"/>
      <c r="G33" s="210"/>
      <c r="H33" s="298"/>
      <c r="I33" s="210">
        <f t="shared" ref="I33:I42" si="6">D33</f>
        <v>3.0350000000000001</v>
      </c>
    </row>
    <row r="34" spans="2:9">
      <c r="B34" s="179" t="s">
        <v>271</v>
      </c>
      <c r="C34" s="179" t="s">
        <v>644</v>
      </c>
      <c r="D34" s="210">
        <v>10.645639879000001</v>
      </c>
      <c r="E34" s="210"/>
      <c r="F34" s="210"/>
      <c r="G34" s="210"/>
      <c r="H34" s="298"/>
      <c r="I34" s="210">
        <f t="shared" si="6"/>
        <v>10.645639879000001</v>
      </c>
    </row>
    <row r="35" spans="2:9">
      <c r="B35" s="179" t="s">
        <v>427</v>
      </c>
      <c r="C35" s="179" t="s">
        <v>645</v>
      </c>
      <c r="D35" s="210">
        <v>1.3842173</v>
      </c>
      <c r="E35" s="210"/>
      <c r="F35" s="210"/>
      <c r="G35" s="210"/>
      <c r="H35" s="298"/>
      <c r="I35" s="210">
        <f t="shared" si="6"/>
        <v>1.3842173</v>
      </c>
    </row>
    <row r="36" spans="2:9">
      <c r="B36" s="179" t="s">
        <v>646</v>
      </c>
      <c r="C36" s="179" t="s">
        <v>647</v>
      </c>
      <c r="D36" s="210">
        <v>0.20124549999999999</v>
      </c>
      <c r="E36" s="210"/>
      <c r="F36" s="210"/>
      <c r="G36" s="210"/>
      <c r="H36" s="298"/>
      <c r="I36" s="210">
        <f t="shared" si="6"/>
        <v>0.20124549999999999</v>
      </c>
    </row>
    <row r="37" spans="2:9">
      <c r="B37" s="179" t="s">
        <v>427</v>
      </c>
      <c r="C37" s="179" t="s">
        <v>648</v>
      </c>
      <c r="D37" s="210">
        <v>0.23168230000000001</v>
      </c>
      <c r="E37" s="210"/>
      <c r="F37" s="210"/>
      <c r="G37" s="210"/>
      <c r="H37" s="298"/>
      <c r="I37" s="210">
        <f t="shared" si="6"/>
        <v>0.23168230000000001</v>
      </c>
    </row>
    <row r="38" spans="2:9">
      <c r="B38" s="179" t="s">
        <v>290</v>
      </c>
      <c r="C38" s="179" t="s">
        <v>649</v>
      </c>
      <c r="D38" s="210">
        <v>0.74498743200000006</v>
      </c>
      <c r="E38" s="210"/>
      <c r="F38" s="210"/>
      <c r="G38" s="210"/>
      <c r="H38" s="298"/>
      <c r="I38" s="210">
        <f t="shared" si="6"/>
        <v>0.74498743200000006</v>
      </c>
    </row>
    <row r="39" spans="2:9">
      <c r="B39" s="179" t="s">
        <v>290</v>
      </c>
      <c r="C39" s="179" t="s">
        <v>442</v>
      </c>
      <c r="D39" s="210">
        <v>6.6991350379999997</v>
      </c>
      <c r="E39" s="210"/>
      <c r="F39" s="210"/>
      <c r="G39" s="210"/>
      <c r="H39" s="298"/>
      <c r="I39" s="210">
        <f t="shared" si="6"/>
        <v>6.6991350379999997</v>
      </c>
    </row>
    <row r="40" spans="2:9">
      <c r="B40" s="179" t="s">
        <v>290</v>
      </c>
      <c r="C40" s="179" t="s">
        <v>650</v>
      </c>
      <c r="D40" s="210">
        <v>10.282499494</v>
      </c>
      <c r="E40" s="210"/>
      <c r="F40" s="210"/>
      <c r="G40" s="210"/>
      <c r="H40" s="298"/>
      <c r="I40" s="210">
        <f t="shared" si="6"/>
        <v>10.282499494</v>
      </c>
    </row>
    <row r="41" spans="2:9">
      <c r="B41" s="179" t="s">
        <v>290</v>
      </c>
      <c r="C41" s="179" t="s">
        <v>651</v>
      </c>
      <c r="D41" s="210">
        <v>1.460083064</v>
      </c>
      <c r="E41" s="210"/>
      <c r="F41" s="210"/>
      <c r="G41" s="210"/>
      <c r="H41" s="298"/>
      <c r="I41" s="210">
        <f t="shared" si="6"/>
        <v>1.460083064</v>
      </c>
    </row>
    <row r="42" spans="2:9">
      <c r="B42" s="179" t="s">
        <v>290</v>
      </c>
      <c r="C42" s="179" t="s">
        <v>652</v>
      </c>
      <c r="D42" s="210">
        <v>2.2092708439999997</v>
      </c>
      <c r="E42" s="210"/>
      <c r="F42" s="210"/>
      <c r="G42" s="210"/>
      <c r="H42" s="298"/>
      <c r="I42" s="210">
        <f t="shared" si="6"/>
        <v>2.2092708439999997</v>
      </c>
    </row>
    <row r="43" spans="2:9">
      <c r="B43" s="179" t="s">
        <v>232</v>
      </c>
      <c r="C43" s="179" t="s">
        <v>653</v>
      </c>
      <c r="D43" s="210">
        <v>5.8659130606218994</v>
      </c>
      <c r="E43" s="210">
        <f>D43</f>
        <v>5.8659130606218994</v>
      </c>
      <c r="F43" s="210"/>
      <c r="G43" s="210"/>
      <c r="H43" s="298"/>
      <c r="I43" s="210"/>
    </row>
  </sheetData>
  <mergeCells count="7">
    <mergeCell ref="E14:I14"/>
    <mergeCell ref="B5:K5"/>
    <mergeCell ref="B8:K8"/>
    <mergeCell ref="B9:K9"/>
    <mergeCell ref="B2:K2"/>
    <mergeCell ref="B3:K3"/>
    <mergeCell ref="B14:D14"/>
  </mergeCells>
  <hyperlinks>
    <hyperlink ref="D15" r:id="rId1" display="=@subtotal(9,D4:D40)"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L196"/>
  <sheetViews>
    <sheetView topLeftCell="A26" workbookViewId="0">
      <selection activeCell="G9" sqref="G9"/>
    </sheetView>
  </sheetViews>
  <sheetFormatPr defaultRowHeight="14.4"/>
  <cols>
    <col min="2" max="2" width="5.6640625" customWidth="1"/>
    <col min="3" max="3" width="17.88671875" customWidth="1"/>
    <col min="4" max="4" width="13.109375" customWidth="1"/>
    <col min="5" max="5" width="15.44140625" customWidth="1"/>
    <col min="6" max="6" width="14.5546875" customWidth="1"/>
    <col min="7" max="7" width="33.44140625" customWidth="1"/>
    <col min="8" max="8" width="20.33203125" customWidth="1"/>
    <col min="9" max="9" width="11.6640625" customWidth="1"/>
    <col min="10" max="10" width="12.6640625" customWidth="1"/>
    <col min="11" max="11" width="14.33203125" customWidth="1"/>
    <col min="12" max="12" width="27.44140625" customWidth="1"/>
  </cols>
  <sheetData>
    <row r="2" spans="2:12">
      <c r="B2" s="459" t="s">
        <v>68</v>
      </c>
      <c r="C2" s="460"/>
      <c r="D2" s="460"/>
      <c r="E2" s="460"/>
      <c r="F2" s="460"/>
      <c r="G2" s="461"/>
    </row>
    <row r="3" spans="2:12">
      <c r="B3" s="435" t="str">
        <f>'SUMMARY-2023'!B3</f>
        <v>Details as on 31st March 2023</v>
      </c>
      <c r="C3" s="436"/>
      <c r="D3" s="436"/>
      <c r="E3" s="436"/>
      <c r="F3" s="436"/>
      <c r="G3" s="437"/>
    </row>
    <row r="4" spans="2:12" ht="24">
      <c r="B4" s="24" t="s">
        <v>0</v>
      </c>
      <c r="C4" s="24" t="s">
        <v>69</v>
      </c>
      <c r="D4" s="37" t="s">
        <v>64</v>
      </c>
      <c r="E4" s="24" t="s">
        <v>142</v>
      </c>
      <c r="F4" s="24" t="s">
        <v>143</v>
      </c>
      <c r="G4" s="24" t="s">
        <v>22</v>
      </c>
    </row>
    <row r="5" spans="2:12">
      <c r="B5" s="435" t="str">
        <f>'SUMMARY-2023'!B5</f>
        <v>Figures in INR Crores</v>
      </c>
      <c r="C5" s="436"/>
      <c r="D5" s="436"/>
      <c r="E5" s="436"/>
      <c r="F5" s="436"/>
      <c r="G5" s="437"/>
    </row>
    <row r="6" spans="2:12" ht="100.2" customHeight="1">
      <c r="B6" s="284">
        <v>1</v>
      </c>
      <c r="C6" s="285" t="s">
        <v>131</v>
      </c>
      <c r="D6" s="260">
        <v>1.2</v>
      </c>
      <c r="E6" s="260">
        <f t="shared" ref="E6:F9" si="0">D6*H6</f>
        <v>0</v>
      </c>
      <c r="F6" s="260">
        <f t="shared" si="0"/>
        <v>0</v>
      </c>
      <c r="G6" s="286" t="s">
        <v>172</v>
      </c>
      <c r="H6" s="47">
        <v>0</v>
      </c>
      <c r="I6" s="47">
        <v>0</v>
      </c>
    </row>
    <row r="7" spans="2:12" ht="100.2" customHeight="1">
      <c r="B7" s="259">
        <v>2</v>
      </c>
      <c r="C7" s="285" t="s">
        <v>132</v>
      </c>
      <c r="D7" s="260">
        <v>18.510000000000002</v>
      </c>
      <c r="E7" s="260">
        <v>4.46</v>
      </c>
      <c r="F7" s="260">
        <v>4.46</v>
      </c>
      <c r="G7" s="286" t="s">
        <v>617</v>
      </c>
      <c r="H7" s="47">
        <v>0</v>
      </c>
      <c r="I7" s="47">
        <v>0.75</v>
      </c>
    </row>
    <row r="8" spans="2:12" ht="100.2" customHeight="1">
      <c r="B8" s="259">
        <v>3</v>
      </c>
      <c r="C8" s="290" t="s">
        <v>135</v>
      </c>
      <c r="D8" s="260">
        <v>36.56</v>
      </c>
      <c r="E8" s="260">
        <f t="shared" si="0"/>
        <v>0</v>
      </c>
      <c r="F8" s="260">
        <f t="shared" si="0"/>
        <v>0</v>
      </c>
      <c r="G8" s="261" t="s">
        <v>618</v>
      </c>
      <c r="H8" s="47">
        <v>0</v>
      </c>
      <c r="I8" s="47">
        <v>0</v>
      </c>
    </row>
    <row r="9" spans="2:12" ht="100.2" customHeight="1">
      <c r="B9" s="54">
        <v>4</v>
      </c>
      <c r="C9" s="59" t="s">
        <v>134</v>
      </c>
      <c r="D9" s="76">
        <v>377.5</v>
      </c>
      <c r="E9" s="76">
        <f t="shared" si="0"/>
        <v>264.25</v>
      </c>
      <c r="F9" s="76">
        <f t="shared" si="0"/>
        <v>132.125</v>
      </c>
      <c r="G9" s="75" t="s">
        <v>175</v>
      </c>
      <c r="H9" s="47">
        <v>0.7</v>
      </c>
      <c r="I9" s="47">
        <v>0.5</v>
      </c>
    </row>
    <row r="10" spans="2:12">
      <c r="B10" s="38"/>
      <c r="C10" s="36" t="s">
        <v>23</v>
      </c>
      <c r="D10" s="61">
        <f>SUM(D6:D9)</f>
        <v>433.77</v>
      </c>
      <c r="E10" s="61">
        <f>SUM(E6:E9)</f>
        <v>268.70999999999998</v>
      </c>
      <c r="F10" s="61">
        <f>SUM(F6:F9)</f>
        <v>136.58500000000001</v>
      </c>
      <c r="G10" s="38"/>
    </row>
    <row r="11" spans="2:12">
      <c r="B11" s="469" t="str">
        <f>[2]SUMMARY!B16</f>
        <v>REMARKS &amp; NOTES:-</v>
      </c>
      <c r="C11" s="470"/>
      <c r="D11" s="470"/>
      <c r="E11" s="470"/>
      <c r="F11" s="470"/>
      <c r="G11" s="471"/>
    </row>
    <row r="12" spans="2:12" ht="108.75" customHeight="1">
      <c r="B12" s="409" t="s">
        <v>80</v>
      </c>
      <c r="C12" s="409"/>
      <c r="D12" s="409"/>
      <c r="E12" s="409"/>
      <c r="F12" s="409"/>
      <c r="G12" s="409"/>
    </row>
    <row r="15" spans="2:12">
      <c r="G15" s="194" t="s">
        <v>511</v>
      </c>
      <c r="H15" s="194"/>
      <c r="I15" s="194"/>
      <c r="J15" s="194"/>
      <c r="K15" s="194"/>
      <c r="L15" s="194"/>
    </row>
    <row r="16" spans="2:12" ht="63.6" customHeight="1">
      <c r="G16" s="180" t="s">
        <v>185</v>
      </c>
      <c r="H16" s="180" t="s">
        <v>421</v>
      </c>
      <c r="I16" s="180" t="s">
        <v>456</v>
      </c>
      <c r="J16" s="188" t="s">
        <v>457</v>
      </c>
      <c r="K16" s="188" t="s">
        <v>458</v>
      </c>
      <c r="L16" s="188" t="s">
        <v>507</v>
      </c>
    </row>
    <row r="17" spans="7:12" hidden="1">
      <c r="G17" s="189" t="s">
        <v>290</v>
      </c>
      <c r="H17" s="189" t="s">
        <v>424</v>
      </c>
      <c r="I17" s="190">
        <v>144.46332870000003</v>
      </c>
      <c r="J17" s="191" t="s">
        <v>459</v>
      </c>
      <c r="K17" s="192">
        <v>42811</v>
      </c>
      <c r="L17" s="189" t="s">
        <v>508</v>
      </c>
    </row>
    <row r="18" spans="7:12" hidden="1">
      <c r="G18" s="189" t="s">
        <v>253</v>
      </c>
      <c r="H18" s="189" t="s">
        <v>460</v>
      </c>
      <c r="I18" s="190">
        <v>5.8709999999999998E-2</v>
      </c>
      <c r="J18" s="191" t="s">
        <v>461</v>
      </c>
      <c r="K18" s="193">
        <v>43101</v>
      </c>
      <c r="L18" s="189" t="s">
        <v>508</v>
      </c>
    </row>
    <row r="19" spans="7:12" hidden="1">
      <c r="G19" s="189" t="s">
        <v>290</v>
      </c>
      <c r="H19" s="189" t="s">
        <v>425</v>
      </c>
      <c r="I19" s="190">
        <v>76.906415500000008</v>
      </c>
      <c r="J19" s="191" t="s">
        <v>459</v>
      </c>
      <c r="K19" s="192">
        <v>42811</v>
      </c>
      <c r="L19" s="189" t="s">
        <v>508</v>
      </c>
    </row>
    <row r="20" spans="7:12" hidden="1">
      <c r="G20" s="189" t="s">
        <v>462</v>
      </c>
      <c r="H20" s="189" t="s">
        <v>426</v>
      </c>
      <c r="I20" s="190">
        <v>19.077128099999964</v>
      </c>
      <c r="J20" s="191" t="s">
        <v>459</v>
      </c>
      <c r="K20" s="193">
        <v>43252</v>
      </c>
      <c r="L20" s="189" t="s">
        <v>508</v>
      </c>
    </row>
    <row r="21" spans="7:12" hidden="1">
      <c r="G21" s="189" t="s">
        <v>188</v>
      </c>
      <c r="H21" s="189" t="s">
        <v>463</v>
      </c>
      <c r="I21" s="190">
        <v>-0.64041000000000003</v>
      </c>
      <c r="J21" s="191" t="s">
        <v>459</v>
      </c>
      <c r="K21" s="192">
        <v>43160</v>
      </c>
      <c r="L21" s="189" t="s">
        <v>508</v>
      </c>
    </row>
    <row r="22" spans="7:12" hidden="1">
      <c r="G22" s="189" t="s">
        <v>194</v>
      </c>
      <c r="H22" s="189" t="s">
        <v>464</v>
      </c>
      <c r="I22" s="190">
        <v>-6.9999999999999999E-4</v>
      </c>
      <c r="J22" s="191" t="s">
        <v>459</v>
      </c>
      <c r="K22" s="193">
        <v>41699</v>
      </c>
      <c r="L22" s="189" t="s">
        <v>508</v>
      </c>
    </row>
    <row r="23" spans="7:12" hidden="1">
      <c r="G23" s="189" t="s">
        <v>194</v>
      </c>
      <c r="H23" s="189" t="s">
        <v>428</v>
      </c>
      <c r="I23" s="190">
        <v>26.529915800000005</v>
      </c>
      <c r="J23" s="191" t="s">
        <v>459</v>
      </c>
      <c r="K23" s="193">
        <v>41699</v>
      </c>
      <c r="L23" s="189" t="s">
        <v>508</v>
      </c>
    </row>
    <row r="24" spans="7:12" hidden="1">
      <c r="G24" s="189" t="s">
        <v>253</v>
      </c>
      <c r="H24" s="189" t="s">
        <v>465</v>
      </c>
      <c r="I24" s="190">
        <v>1.8999999994412065E-6</v>
      </c>
      <c r="J24" s="191" t="s">
        <v>459</v>
      </c>
      <c r="K24" s="192">
        <v>42430</v>
      </c>
      <c r="L24" s="189" t="s">
        <v>508</v>
      </c>
    </row>
    <row r="25" spans="7:12" hidden="1">
      <c r="G25" s="189" t="s">
        <v>253</v>
      </c>
      <c r="H25" s="189" t="s">
        <v>466</v>
      </c>
      <c r="I25" s="190">
        <v>18.065549999999998</v>
      </c>
      <c r="J25" s="191" t="s">
        <v>459</v>
      </c>
      <c r="K25" s="193">
        <v>42795</v>
      </c>
      <c r="L25" s="189" t="s">
        <v>508</v>
      </c>
    </row>
    <row r="26" spans="7:12">
      <c r="G26" s="189" t="s">
        <v>188</v>
      </c>
      <c r="H26" s="189" t="s">
        <v>467</v>
      </c>
      <c r="I26" s="190">
        <v>0.29120000000000001</v>
      </c>
      <c r="J26" s="191" t="s">
        <v>468</v>
      </c>
      <c r="K26" s="192">
        <v>43983</v>
      </c>
      <c r="L26" s="191" t="s">
        <v>509</v>
      </c>
    </row>
    <row r="27" spans="7:12" hidden="1">
      <c r="G27" s="189" t="s">
        <v>290</v>
      </c>
      <c r="H27" s="189" t="s">
        <v>429</v>
      </c>
      <c r="I27" s="190">
        <v>121.95575679999999</v>
      </c>
      <c r="J27" s="191" t="s">
        <v>459</v>
      </c>
      <c r="K27" s="192">
        <v>43176</v>
      </c>
      <c r="L27" s="189" t="s">
        <v>508</v>
      </c>
    </row>
    <row r="28" spans="7:12" hidden="1">
      <c r="G28" s="189" t="s">
        <v>290</v>
      </c>
      <c r="H28" s="189" t="s">
        <v>469</v>
      </c>
      <c r="I28" s="190">
        <v>60.527499900000002</v>
      </c>
      <c r="J28" s="191" t="s">
        <v>459</v>
      </c>
      <c r="K28" s="192">
        <v>43176</v>
      </c>
      <c r="L28" s="189" t="s">
        <v>508</v>
      </c>
    </row>
    <row r="29" spans="7:12">
      <c r="G29" s="189" t="s">
        <v>253</v>
      </c>
      <c r="H29" s="189" t="s">
        <v>264</v>
      </c>
      <c r="I29" s="190">
        <v>107.44310990000001</v>
      </c>
      <c r="J29" s="191" t="s">
        <v>470</v>
      </c>
      <c r="K29" s="193">
        <v>44713</v>
      </c>
      <c r="L29" s="191" t="s">
        <v>510</v>
      </c>
    </row>
    <row r="30" spans="7:12" hidden="1">
      <c r="G30" s="189" t="s">
        <v>232</v>
      </c>
      <c r="H30" s="189" t="s">
        <v>430</v>
      </c>
      <c r="I30" s="190">
        <v>309.36065370000011</v>
      </c>
      <c r="J30" s="191" t="s">
        <v>461</v>
      </c>
      <c r="K30" s="192">
        <v>43176</v>
      </c>
      <c r="L30" s="189" t="s">
        <v>508</v>
      </c>
    </row>
    <row r="31" spans="7:12">
      <c r="G31" s="189" t="s">
        <v>232</v>
      </c>
      <c r="H31" s="189" t="s">
        <v>431</v>
      </c>
      <c r="I31" s="190">
        <v>218.82694559999996</v>
      </c>
      <c r="J31" s="191" t="s">
        <v>470</v>
      </c>
      <c r="K31" s="192">
        <v>43160</v>
      </c>
      <c r="L31" s="191" t="s">
        <v>510</v>
      </c>
    </row>
    <row r="32" spans="7:12" hidden="1">
      <c r="G32" s="189" t="s">
        <v>290</v>
      </c>
      <c r="H32" s="189" t="s">
        <v>432</v>
      </c>
      <c r="I32" s="190">
        <v>234.20642530000029</v>
      </c>
      <c r="J32" s="191" t="s">
        <v>459</v>
      </c>
      <c r="K32" s="192">
        <v>42446</v>
      </c>
      <c r="L32" s="189" t="s">
        <v>508</v>
      </c>
    </row>
    <row r="33" spans="7:12" hidden="1">
      <c r="G33" s="189" t="s">
        <v>290</v>
      </c>
      <c r="H33" s="189" t="s">
        <v>471</v>
      </c>
      <c r="I33" s="190">
        <v>25.019337599999957</v>
      </c>
      <c r="J33" s="191" t="s">
        <v>459</v>
      </c>
      <c r="K33" s="192">
        <v>42446</v>
      </c>
      <c r="L33" s="189" t="s">
        <v>508</v>
      </c>
    </row>
    <row r="34" spans="7:12" hidden="1">
      <c r="G34" s="189" t="s">
        <v>290</v>
      </c>
      <c r="H34" s="189" t="s">
        <v>415</v>
      </c>
      <c r="I34" s="190">
        <v>-175.03627010000261</v>
      </c>
      <c r="J34" s="191" t="s">
        <v>459</v>
      </c>
      <c r="K34" s="193">
        <v>41699</v>
      </c>
      <c r="L34" s="189" t="s">
        <v>508</v>
      </c>
    </row>
    <row r="35" spans="7:12" hidden="1">
      <c r="G35" s="189" t="s">
        <v>232</v>
      </c>
      <c r="H35" s="189" t="s">
        <v>363</v>
      </c>
      <c r="I35" s="190">
        <v>121.82387739999999</v>
      </c>
      <c r="J35" s="191" t="s">
        <v>461</v>
      </c>
      <c r="K35" s="192">
        <v>43160</v>
      </c>
      <c r="L35" s="189" t="s">
        <v>508</v>
      </c>
    </row>
    <row r="36" spans="7:12" hidden="1">
      <c r="G36" s="189" t="s">
        <v>462</v>
      </c>
      <c r="H36" s="189" t="s">
        <v>433</v>
      </c>
      <c r="I36" s="190">
        <v>1.8003814</v>
      </c>
      <c r="J36" s="191" t="s">
        <v>459</v>
      </c>
      <c r="K36" s="192">
        <v>43160</v>
      </c>
      <c r="L36" s="189" t="s">
        <v>508</v>
      </c>
    </row>
    <row r="37" spans="7:12" hidden="1">
      <c r="G37" s="189" t="s">
        <v>434</v>
      </c>
      <c r="H37" s="189" t="s">
        <v>434</v>
      </c>
      <c r="I37" s="190">
        <v>-3223.2299109999999</v>
      </c>
      <c r="J37" s="191" t="s">
        <v>472</v>
      </c>
      <c r="K37" s="193">
        <v>42064</v>
      </c>
      <c r="L37" s="189" t="s">
        <v>508</v>
      </c>
    </row>
    <row r="38" spans="7:12" hidden="1">
      <c r="G38" s="189" t="s">
        <v>188</v>
      </c>
      <c r="H38" s="189" t="s">
        <v>327</v>
      </c>
      <c r="I38" s="190">
        <v>81.897162799999975</v>
      </c>
      <c r="J38" s="191" t="s">
        <v>468</v>
      </c>
      <c r="K38" s="192">
        <v>43313</v>
      </c>
      <c r="L38" s="189" t="s">
        <v>508</v>
      </c>
    </row>
    <row r="39" spans="7:12" hidden="1">
      <c r="G39" s="189" t="s">
        <v>290</v>
      </c>
      <c r="H39" s="189" t="s">
        <v>435</v>
      </c>
      <c r="I39" s="190">
        <v>43.460923000000037</v>
      </c>
      <c r="J39" s="191" t="s">
        <v>459</v>
      </c>
      <c r="K39" s="192">
        <v>43177</v>
      </c>
      <c r="L39" s="189" t="s">
        <v>508</v>
      </c>
    </row>
    <row r="40" spans="7:12" hidden="1">
      <c r="G40" s="189" t="s">
        <v>232</v>
      </c>
      <c r="H40" s="189" t="s">
        <v>473</v>
      </c>
      <c r="I40" s="190">
        <v>82.775370199999927</v>
      </c>
      <c r="J40" s="191" t="s">
        <v>461</v>
      </c>
      <c r="K40" s="192">
        <v>43177</v>
      </c>
      <c r="L40" s="189" t="s">
        <v>508</v>
      </c>
    </row>
    <row r="41" spans="7:12" hidden="1">
      <c r="G41" s="189" t="s">
        <v>290</v>
      </c>
      <c r="H41" s="189" t="s">
        <v>474</v>
      </c>
      <c r="I41" s="190">
        <v>10.295949999999999</v>
      </c>
      <c r="J41" s="191" t="s">
        <v>468</v>
      </c>
      <c r="K41" s="192">
        <v>42812</v>
      </c>
      <c r="L41" s="189" t="s">
        <v>508</v>
      </c>
    </row>
    <row r="42" spans="7:12" hidden="1">
      <c r="G42" s="189" t="s">
        <v>290</v>
      </c>
      <c r="H42" s="189" t="s">
        <v>436</v>
      </c>
      <c r="I42" s="190">
        <v>63.814610000000002</v>
      </c>
      <c r="J42" s="191" t="s">
        <v>468</v>
      </c>
      <c r="K42" s="192">
        <v>42812</v>
      </c>
      <c r="L42" s="189" t="s">
        <v>508</v>
      </c>
    </row>
    <row r="43" spans="7:12" hidden="1">
      <c r="G43" s="189" t="s">
        <v>253</v>
      </c>
      <c r="H43" s="189" t="s">
        <v>254</v>
      </c>
      <c r="I43" s="190">
        <v>-2.58276499999881</v>
      </c>
      <c r="J43" s="191" t="s">
        <v>459</v>
      </c>
      <c r="K43" s="192">
        <v>42430</v>
      </c>
      <c r="L43" s="189" t="s">
        <v>508</v>
      </c>
    </row>
    <row r="44" spans="7:12">
      <c r="G44" s="189" t="s">
        <v>188</v>
      </c>
      <c r="H44" s="189" t="s">
        <v>475</v>
      </c>
      <c r="I44" s="190">
        <v>-5.0489999999999993E-2</v>
      </c>
      <c r="J44" s="191" t="s">
        <v>468</v>
      </c>
      <c r="K44" s="192">
        <v>43891</v>
      </c>
      <c r="L44" s="191" t="s">
        <v>509</v>
      </c>
    </row>
    <row r="45" spans="7:12" hidden="1">
      <c r="G45" s="189" t="s">
        <v>194</v>
      </c>
      <c r="H45" s="189" t="s">
        <v>476</v>
      </c>
      <c r="I45" s="190">
        <v>0.30871000000000004</v>
      </c>
      <c r="J45" s="191" t="s">
        <v>477</v>
      </c>
      <c r="K45" s="192">
        <v>40969</v>
      </c>
      <c r="L45" s="189" t="s">
        <v>508</v>
      </c>
    </row>
    <row r="46" spans="7:12" hidden="1">
      <c r="G46" s="189" t="s">
        <v>462</v>
      </c>
      <c r="H46" s="189" t="s">
        <v>478</v>
      </c>
      <c r="I46" s="190">
        <v>0.75717999999999996</v>
      </c>
      <c r="J46" s="191" t="s">
        <v>459</v>
      </c>
      <c r="K46" s="192">
        <v>43160</v>
      </c>
      <c r="L46" s="189" t="s">
        <v>508</v>
      </c>
    </row>
    <row r="47" spans="7:12" hidden="1">
      <c r="G47" s="189" t="s">
        <v>290</v>
      </c>
      <c r="H47" s="189" t="s">
        <v>479</v>
      </c>
      <c r="I47" s="190">
        <v>116.9891025</v>
      </c>
      <c r="J47" s="191" t="s">
        <v>468</v>
      </c>
      <c r="K47" s="192">
        <v>43177</v>
      </c>
      <c r="L47" s="189" t="s">
        <v>508</v>
      </c>
    </row>
    <row r="48" spans="7:12" hidden="1">
      <c r="G48" s="189" t="s">
        <v>462</v>
      </c>
      <c r="H48" s="189" t="s">
        <v>480</v>
      </c>
      <c r="I48" s="190">
        <v>31.09454790000003</v>
      </c>
      <c r="J48" s="191" t="s">
        <v>459</v>
      </c>
      <c r="K48" s="192">
        <v>43160</v>
      </c>
      <c r="L48" s="189" t="s">
        <v>508</v>
      </c>
    </row>
    <row r="49" spans="7:12" hidden="1">
      <c r="G49" s="189" t="s">
        <v>194</v>
      </c>
      <c r="H49" s="189" t="s">
        <v>328</v>
      </c>
      <c r="I49" s="190">
        <v>20.981354199999998</v>
      </c>
      <c r="J49" s="191" t="s">
        <v>459</v>
      </c>
      <c r="K49" s="192">
        <v>40969</v>
      </c>
      <c r="L49" s="189" t="s">
        <v>508</v>
      </c>
    </row>
    <row r="50" spans="7:12" hidden="1">
      <c r="G50" s="189" t="s">
        <v>462</v>
      </c>
      <c r="H50" s="189" t="s">
        <v>481</v>
      </c>
      <c r="I50" s="190">
        <v>-0.94214999999999993</v>
      </c>
      <c r="J50" s="191" t="s">
        <v>459</v>
      </c>
      <c r="K50" s="193">
        <v>42064</v>
      </c>
      <c r="L50" s="189" t="s">
        <v>508</v>
      </c>
    </row>
    <row r="51" spans="7:12" hidden="1">
      <c r="G51" s="189" t="s">
        <v>290</v>
      </c>
      <c r="H51" s="189" t="s">
        <v>437</v>
      </c>
      <c r="I51" s="190">
        <v>27.156270099999912</v>
      </c>
      <c r="J51" s="191" t="s">
        <v>459</v>
      </c>
      <c r="K51" s="192">
        <v>43177</v>
      </c>
      <c r="L51" s="189" t="s">
        <v>508</v>
      </c>
    </row>
    <row r="52" spans="7:12" hidden="1">
      <c r="G52" s="189" t="s">
        <v>434</v>
      </c>
      <c r="H52" s="189" t="s">
        <v>438</v>
      </c>
      <c r="I52" s="190">
        <v>30.928799000000001</v>
      </c>
      <c r="J52" s="191" t="s">
        <v>472</v>
      </c>
      <c r="K52" s="193">
        <v>42064</v>
      </c>
      <c r="L52" s="189" t="s">
        <v>508</v>
      </c>
    </row>
    <row r="53" spans="7:12" hidden="1">
      <c r="G53" s="189" t="s">
        <v>462</v>
      </c>
      <c r="H53" s="189" t="s">
        <v>439</v>
      </c>
      <c r="I53" s="190">
        <v>24.369222199999999</v>
      </c>
      <c r="J53" s="191" t="s">
        <v>461</v>
      </c>
      <c r="K53" s="192">
        <v>43160</v>
      </c>
      <c r="L53" s="189" t="s">
        <v>508</v>
      </c>
    </row>
    <row r="54" spans="7:12" hidden="1">
      <c r="G54" s="179" t="s">
        <v>427</v>
      </c>
      <c r="H54" s="189" t="s">
        <v>197</v>
      </c>
      <c r="I54" s="190">
        <v>0.34957540000000004</v>
      </c>
      <c r="J54" s="191" t="s">
        <v>459</v>
      </c>
      <c r="K54" s="193">
        <v>41699</v>
      </c>
      <c r="L54" s="189" t="s">
        <v>508</v>
      </c>
    </row>
    <row r="55" spans="7:12" hidden="1">
      <c r="G55" s="189" t="s">
        <v>188</v>
      </c>
      <c r="H55" s="189" t="s">
        <v>482</v>
      </c>
      <c r="I55" s="190">
        <v>-2.4300000000000003E-3</v>
      </c>
      <c r="J55" s="191" t="s">
        <v>472</v>
      </c>
      <c r="K55" s="192">
        <v>43160</v>
      </c>
      <c r="L55" s="189" t="s">
        <v>508</v>
      </c>
    </row>
    <row r="56" spans="7:12" hidden="1">
      <c r="G56" s="189" t="s">
        <v>188</v>
      </c>
      <c r="H56" s="189" t="s">
        <v>483</v>
      </c>
      <c r="I56" s="190">
        <v>1.3465381000000001</v>
      </c>
      <c r="J56" s="191" t="s">
        <v>459</v>
      </c>
      <c r="K56" s="192">
        <v>43160</v>
      </c>
      <c r="L56" s="189" t="s">
        <v>508</v>
      </c>
    </row>
    <row r="57" spans="7:12" hidden="1">
      <c r="G57" s="189" t="s">
        <v>462</v>
      </c>
      <c r="H57" s="189" t="s">
        <v>484</v>
      </c>
      <c r="I57" s="190">
        <v>-6.9960145000036595</v>
      </c>
      <c r="J57" s="191" t="s">
        <v>459</v>
      </c>
      <c r="K57" s="193">
        <v>42064</v>
      </c>
      <c r="L57" s="189" t="s">
        <v>508</v>
      </c>
    </row>
    <row r="58" spans="7:12" hidden="1">
      <c r="G58" s="189" t="s">
        <v>232</v>
      </c>
      <c r="H58" s="189" t="s">
        <v>485</v>
      </c>
      <c r="I58" s="190">
        <v>112.98688379999999</v>
      </c>
      <c r="J58" s="191" t="s">
        <v>472</v>
      </c>
      <c r="K58" s="193">
        <v>43160</v>
      </c>
      <c r="L58" s="189" t="s">
        <v>508</v>
      </c>
    </row>
    <row r="59" spans="7:12" hidden="1">
      <c r="G59" s="189" t="s">
        <v>194</v>
      </c>
      <c r="H59" s="189" t="s">
        <v>486</v>
      </c>
      <c r="I59" s="190">
        <v>1.0330611999999999</v>
      </c>
      <c r="J59" s="191" t="s">
        <v>472</v>
      </c>
      <c r="K59" s="193">
        <v>40969</v>
      </c>
      <c r="L59" s="189" t="s">
        <v>508</v>
      </c>
    </row>
    <row r="60" spans="7:12" hidden="1">
      <c r="G60" s="189" t="s">
        <v>245</v>
      </c>
      <c r="H60" s="189" t="s">
        <v>487</v>
      </c>
      <c r="I60" s="190">
        <v>67.581009299999991</v>
      </c>
      <c r="J60" s="191" t="s">
        <v>472</v>
      </c>
      <c r="K60" s="192">
        <v>42795</v>
      </c>
      <c r="L60" s="189" t="s">
        <v>508</v>
      </c>
    </row>
    <row r="61" spans="7:12" hidden="1">
      <c r="G61" s="189" t="s">
        <v>245</v>
      </c>
      <c r="H61" s="189" t="s">
        <v>488</v>
      </c>
      <c r="I61" s="190">
        <v>4.6378300000000001</v>
      </c>
      <c r="J61" s="191" t="s">
        <v>472</v>
      </c>
      <c r="K61" s="192">
        <v>42795</v>
      </c>
      <c r="L61" s="189" t="s">
        <v>508</v>
      </c>
    </row>
    <row r="62" spans="7:12" hidden="1">
      <c r="G62" s="189" t="s">
        <v>245</v>
      </c>
      <c r="H62" s="189" t="s">
        <v>440</v>
      </c>
      <c r="I62" s="190">
        <v>10.448349499999997</v>
      </c>
      <c r="J62" s="191" t="s">
        <v>472</v>
      </c>
      <c r="K62" s="192">
        <v>42795</v>
      </c>
      <c r="L62" s="189" t="s">
        <v>508</v>
      </c>
    </row>
    <row r="63" spans="7:12" hidden="1">
      <c r="G63" s="189" t="s">
        <v>462</v>
      </c>
      <c r="H63" s="189" t="s">
        <v>489</v>
      </c>
      <c r="I63" s="190">
        <v>-0.13035199999999997</v>
      </c>
      <c r="J63" s="191" t="s">
        <v>459</v>
      </c>
      <c r="K63" s="193">
        <v>42064</v>
      </c>
      <c r="L63" s="189" t="s">
        <v>508</v>
      </c>
    </row>
    <row r="64" spans="7:12" hidden="1">
      <c r="G64" s="189" t="s">
        <v>462</v>
      </c>
      <c r="H64" s="189" t="s">
        <v>490</v>
      </c>
      <c r="I64" s="190">
        <v>-1.000000000003638E-6</v>
      </c>
      <c r="J64" s="191" t="s">
        <v>459</v>
      </c>
      <c r="K64" s="193">
        <v>42064</v>
      </c>
      <c r="L64" s="189" t="s">
        <v>508</v>
      </c>
    </row>
    <row r="65" spans="7:12" hidden="1">
      <c r="G65" s="189" t="s">
        <v>290</v>
      </c>
      <c r="H65" s="189" t="s">
        <v>441</v>
      </c>
      <c r="I65" s="190">
        <v>421.74452599999989</v>
      </c>
      <c r="J65" s="191" t="s">
        <v>459</v>
      </c>
      <c r="K65" s="192">
        <v>43177</v>
      </c>
      <c r="L65" s="189" t="s">
        <v>508</v>
      </c>
    </row>
    <row r="66" spans="7:12" hidden="1">
      <c r="G66" s="189" t="s">
        <v>290</v>
      </c>
      <c r="H66" s="189" t="s">
        <v>442</v>
      </c>
      <c r="I66" s="190">
        <v>35.181597700000012</v>
      </c>
      <c r="J66" s="191" t="s">
        <v>468</v>
      </c>
      <c r="K66" s="192">
        <v>43177</v>
      </c>
      <c r="L66" s="189" t="s">
        <v>508</v>
      </c>
    </row>
    <row r="67" spans="7:12" hidden="1">
      <c r="G67" s="189" t="s">
        <v>194</v>
      </c>
      <c r="H67" s="189" t="s">
        <v>491</v>
      </c>
      <c r="I67" s="190">
        <v>-0.12524000000000002</v>
      </c>
      <c r="J67" s="191" t="s">
        <v>459</v>
      </c>
      <c r="K67" s="193">
        <v>41699</v>
      </c>
      <c r="L67" s="189" t="s">
        <v>508</v>
      </c>
    </row>
    <row r="68" spans="7:12">
      <c r="G68" s="189" t="s">
        <v>188</v>
      </c>
      <c r="H68" s="189" t="s">
        <v>444</v>
      </c>
      <c r="I68" s="190">
        <v>75.381589899999994</v>
      </c>
      <c r="J68" s="191" t="s">
        <v>470</v>
      </c>
      <c r="K68" s="192">
        <v>43160</v>
      </c>
      <c r="L68" s="191" t="s">
        <v>510</v>
      </c>
    </row>
    <row r="69" spans="7:12">
      <c r="G69" s="189" t="s">
        <v>188</v>
      </c>
      <c r="H69" s="189" t="s">
        <v>445</v>
      </c>
      <c r="I69" s="190">
        <v>31.676136299999978</v>
      </c>
      <c r="J69" s="191" t="s">
        <v>470</v>
      </c>
      <c r="K69" s="192">
        <v>43070</v>
      </c>
      <c r="L69" s="191" t="s">
        <v>510</v>
      </c>
    </row>
    <row r="70" spans="7:12" hidden="1">
      <c r="G70" s="189" t="s">
        <v>188</v>
      </c>
      <c r="H70" s="189" t="s">
        <v>446</v>
      </c>
      <c r="I70" s="190">
        <v>8.3200756000000187</v>
      </c>
      <c r="J70" s="191" t="s">
        <v>459</v>
      </c>
      <c r="K70" s="192">
        <v>43191</v>
      </c>
      <c r="L70" s="189" t="s">
        <v>508</v>
      </c>
    </row>
    <row r="71" spans="7:12" hidden="1">
      <c r="G71" s="189" t="s">
        <v>194</v>
      </c>
      <c r="H71" s="189" t="s">
        <v>492</v>
      </c>
      <c r="I71" s="190">
        <v>0.27767999999999998</v>
      </c>
      <c r="J71" s="191" t="s">
        <v>459</v>
      </c>
      <c r="K71" s="191">
        <v>2012</v>
      </c>
      <c r="L71" s="189" t="s">
        <v>508</v>
      </c>
    </row>
    <row r="72" spans="7:12" hidden="1">
      <c r="G72" s="189" t="s">
        <v>232</v>
      </c>
      <c r="H72" s="189" t="s">
        <v>239</v>
      </c>
      <c r="I72" s="190">
        <v>168.40715740000002</v>
      </c>
      <c r="J72" s="191" t="s">
        <v>468</v>
      </c>
      <c r="K72" s="191">
        <v>2018</v>
      </c>
      <c r="L72" s="189" t="s">
        <v>508</v>
      </c>
    </row>
    <row r="73" spans="7:12" hidden="1">
      <c r="G73" s="189" t="s">
        <v>253</v>
      </c>
      <c r="H73" s="189" t="s">
        <v>493</v>
      </c>
      <c r="I73" s="190">
        <v>76.660439999999994</v>
      </c>
      <c r="J73" s="191" t="s">
        <v>459</v>
      </c>
      <c r="K73" s="192">
        <v>43160</v>
      </c>
      <c r="L73" s="189" t="s">
        <v>508</v>
      </c>
    </row>
    <row r="74" spans="7:12" hidden="1">
      <c r="G74" s="189" t="s">
        <v>462</v>
      </c>
      <c r="H74" s="189" t="s">
        <v>494</v>
      </c>
      <c r="I74" s="190">
        <v>-0.5645</v>
      </c>
      <c r="J74" s="191" t="s">
        <v>461</v>
      </c>
      <c r="K74" s="193">
        <v>42064</v>
      </c>
      <c r="L74" s="189" t="s">
        <v>508</v>
      </c>
    </row>
    <row r="75" spans="7:12">
      <c r="G75" s="189" t="s">
        <v>194</v>
      </c>
      <c r="H75" s="189" t="s">
        <v>203</v>
      </c>
      <c r="I75" s="190">
        <v>13.362340499999997</v>
      </c>
      <c r="J75" s="191" t="s">
        <v>470</v>
      </c>
      <c r="K75" s="191">
        <v>2018</v>
      </c>
      <c r="L75" s="191" t="s">
        <v>510</v>
      </c>
    </row>
    <row r="76" spans="7:12" hidden="1">
      <c r="G76" s="189" t="s">
        <v>462</v>
      </c>
      <c r="H76" s="189" t="s">
        <v>495</v>
      </c>
      <c r="I76" s="190">
        <v>-5.2809780000000011</v>
      </c>
      <c r="J76" s="191" t="s">
        <v>459</v>
      </c>
      <c r="K76" s="193">
        <v>42064</v>
      </c>
      <c r="L76" s="189" t="s">
        <v>508</v>
      </c>
    </row>
    <row r="77" spans="7:12" hidden="1">
      <c r="G77" s="189" t="s">
        <v>462</v>
      </c>
      <c r="H77" s="189" t="s">
        <v>496</v>
      </c>
      <c r="I77" s="190">
        <v>-40.204210100001085</v>
      </c>
      <c r="J77" s="191" t="s">
        <v>459</v>
      </c>
      <c r="K77" s="193">
        <v>42064</v>
      </c>
      <c r="L77" s="189" t="s">
        <v>508</v>
      </c>
    </row>
    <row r="78" spans="7:12" hidden="1">
      <c r="G78" s="189" t="s">
        <v>188</v>
      </c>
      <c r="H78" s="189" t="s">
        <v>447</v>
      </c>
      <c r="I78" s="190">
        <v>50.842014300000002</v>
      </c>
      <c r="J78" s="191" t="s">
        <v>459</v>
      </c>
      <c r="K78" s="192">
        <v>42887</v>
      </c>
      <c r="L78" s="189" t="s">
        <v>508</v>
      </c>
    </row>
    <row r="79" spans="7:12" hidden="1">
      <c r="G79" s="189" t="s">
        <v>232</v>
      </c>
      <c r="H79" s="189" t="s">
        <v>243</v>
      </c>
      <c r="I79" s="190">
        <v>924.88389340000003</v>
      </c>
      <c r="J79" s="191" t="s">
        <v>459</v>
      </c>
      <c r="K79" s="191">
        <v>2018</v>
      </c>
      <c r="L79" s="189" t="s">
        <v>508</v>
      </c>
    </row>
    <row r="80" spans="7:12" hidden="1">
      <c r="G80" s="189" t="s">
        <v>290</v>
      </c>
      <c r="H80" s="189" t="s">
        <v>497</v>
      </c>
      <c r="I80" s="190">
        <v>21.011120300000002</v>
      </c>
      <c r="J80" s="191" t="s">
        <v>468</v>
      </c>
      <c r="K80" s="192">
        <v>42795</v>
      </c>
      <c r="L80" s="189" t="s">
        <v>508</v>
      </c>
    </row>
    <row r="81" spans="7:12" hidden="1">
      <c r="G81" s="189" t="s">
        <v>253</v>
      </c>
      <c r="H81" s="189" t="s">
        <v>256</v>
      </c>
      <c r="I81" s="190">
        <v>1.8030899999999999</v>
      </c>
      <c r="J81" s="191" t="s">
        <v>468</v>
      </c>
      <c r="K81" s="192">
        <v>40969</v>
      </c>
      <c r="L81" s="189" t="s">
        <v>508</v>
      </c>
    </row>
    <row r="82" spans="7:12" hidden="1">
      <c r="G82" s="189" t="s">
        <v>462</v>
      </c>
      <c r="H82" s="189" t="s">
        <v>498</v>
      </c>
      <c r="I82" s="190">
        <v>-1.7131299999999998</v>
      </c>
      <c r="J82" s="191" t="s">
        <v>459</v>
      </c>
      <c r="K82" s="193">
        <v>42064</v>
      </c>
      <c r="L82" s="189" t="s">
        <v>508</v>
      </c>
    </row>
    <row r="83" spans="7:12" hidden="1">
      <c r="G83" s="189" t="s">
        <v>232</v>
      </c>
      <c r="H83" s="189" t="s">
        <v>241</v>
      </c>
      <c r="I83" s="190">
        <v>337.72805209999984</v>
      </c>
      <c r="J83" s="191" t="s">
        <v>468</v>
      </c>
      <c r="K83" s="191">
        <v>2018</v>
      </c>
      <c r="L83" s="189" t="s">
        <v>508</v>
      </c>
    </row>
    <row r="84" spans="7:12">
      <c r="G84" s="189" t="s">
        <v>188</v>
      </c>
      <c r="H84" s="189" t="s">
        <v>499</v>
      </c>
      <c r="I84" s="190">
        <v>8.0988999999999992E-3</v>
      </c>
      <c r="J84" s="191" t="s">
        <v>472</v>
      </c>
      <c r="K84" s="192">
        <v>43466</v>
      </c>
      <c r="L84" s="191" t="s">
        <v>509</v>
      </c>
    </row>
    <row r="85" spans="7:12" hidden="1">
      <c r="G85" s="189" t="s">
        <v>462</v>
      </c>
      <c r="H85" s="189" t="s">
        <v>500</v>
      </c>
      <c r="I85" s="190">
        <v>37.236775700000081</v>
      </c>
      <c r="J85" s="191" t="s">
        <v>459</v>
      </c>
      <c r="K85" s="192">
        <v>43160</v>
      </c>
      <c r="L85" s="189" t="s">
        <v>508</v>
      </c>
    </row>
    <row r="86" spans="7:12" hidden="1">
      <c r="G86" s="189" t="s">
        <v>290</v>
      </c>
      <c r="H86" s="189" t="s">
        <v>449</v>
      </c>
      <c r="I86" s="190">
        <v>115.20422259999998</v>
      </c>
      <c r="J86" s="191" t="s">
        <v>459</v>
      </c>
      <c r="K86" s="192">
        <v>43177</v>
      </c>
      <c r="L86" s="189" t="s">
        <v>508</v>
      </c>
    </row>
    <row r="87" spans="7:12" hidden="1">
      <c r="G87" s="189" t="s">
        <v>253</v>
      </c>
      <c r="H87" s="189" t="s">
        <v>501</v>
      </c>
      <c r="I87" s="190">
        <v>158.17978239999951</v>
      </c>
      <c r="J87" s="191" t="s">
        <v>461</v>
      </c>
      <c r="K87" s="192">
        <v>43160</v>
      </c>
      <c r="L87" s="189" t="s">
        <v>508</v>
      </c>
    </row>
    <row r="88" spans="7:12" hidden="1">
      <c r="G88" s="189" t="s">
        <v>188</v>
      </c>
      <c r="H88" s="189" t="s">
        <v>189</v>
      </c>
      <c r="I88" s="190">
        <v>28.011751599999979</v>
      </c>
      <c r="J88" s="191" t="s">
        <v>468</v>
      </c>
      <c r="K88" s="192">
        <v>43252</v>
      </c>
      <c r="L88" s="189" t="s">
        <v>508</v>
      </c>
    </row>
    <row r="89" spans="7:12" hidden="1">
      <c r="G89" s="189" t="s">
        <v>188</v>
      </c>
      <c r="H89" s="189" t="s">
        <v>502</v>
      </c>
      <c r="I89" s="190">
        <v>-1.8563603999999998</v>
      </c>
      <c r="J89" s="191" t="s">
        <v>459</v>
      </c>
      <c r="K89" s="192">
        <v>43160</v>
      </c>
      <c r="L89" s="189" t="s">
        <v>508</v>
      </c>
    </row>
    <row r="90" spans="7:12" hidden="1">
      <c r="G90" s="189" t="s">
        <v>194</v>
      </c>
      <c r="H90" s="189" t="s">
        <v>198</v>
      </c>
      <c r="I90" s="190">
        <v>60.414793099999997</v>
      </c>
      <c r="J90" s="191" t="s">
        <v>461</v>
      </c>
      <c r="K90" s="191">
        <v>2018</v>
      </c>
      <c r="L90" s="189" t="s">
        <v>508</v>
      </c>
    </row>
    <row r="91" spans="7:12" hidden="1">
      <c r="G91" s="189" t="s">
        <v>192</v>
      </c>
      <c r="H91" s="189" t="s">
        <v>192</v>
      </c>
      <c r="I91" s="190">
        <v>297.26942859999997</v>
      </c>
      <c r="J91" s="191" t="s">
        <v>477</v>
      </c>
      <c r="K91" s="192">
        <v>41699</v>
      </c>
      <c r="L91" s="189" t="s">
        <v>508</v>
      </c>
    </row>
    <row r="92" spans="7:12" hidden="1">
      <c r="G92" s="189" t="s">
        <v>194</v>
      </c>
      <c r="H92" s="189" t="s">
        <v>503</v>
      </c>
      <c r="I92" s="190">
        <v>16.816310000000001</v>
      </c>
      <c r="J92" s="191" t="s">
        <v>459</v>
      </c>
      <c r="K92" s="191">
        <v>2019</v>
      </c>
      <c r="L92" s="189" t="s">
        <v>508</v>
      </c>
    </row>
    <row r="93" spans="7:12" hidden="1">
      <c r="G93" s="189" t="s">
        <v>253</v>
      </c>
      <c r="H93" s="189" t="s">
        <v>266</v>
      </c>
      <c r="I93" s="190">
        <v>2.1849600000000002</v>
      </c>
      <c r="J93" s="191" t="s">
        <v>459</v>
      </c>
      <c r="K93" s="192">
        <v>40969</v>
      </c>
      <c r="L93" s="189" t="s">
        <v>508</v>
      </c>
    </row>
    <row r="94" spans="7:12" hidden="1">
      <c r="G94" s="189" t="s">
        <v>290</v>
      </c>
      <c r="H94" s="189" t="s">
        <v>450</v>
      </c>
      <c r="I94" s="190">
        <v>1.3266500000000001</v>
      </c>
      <c r="J94" s="191" t="s">
        <v>472</v>
      </c>
      <c r="K94" s="192">
        <v>43177</v>
      </c>
      <c r="L94" s="189" t="s">
        <v>508</v>
      </c>
    </row>
    <row r="95" spans="7:12" hidden="1">
      <c r="G95" s="189" t="s">
        <v>290</v>
      </c>
      <c r="H95" s="189" t="s">
        <v>451</v>
      </c>
      <c r="I95" s="190">
        <v>83.79836619999999</v>
      </c>
      <c r="J95" s="191" t="s">
        <v>468</v>
      </c>
      <c r="K95" s="192">
        <v>43177</v>
      </c>
      <c r="L95" s="189" t="s">
        <v>508</v>
      </c>
    </row>
    <row r="96" spans="7:12" hidden="1">
      <c r="G96" s="189" t="s">
        <v>462</v>
      </c>
      <c r="H96" s="189" t="s">
        <v>504</v>
      </c>
      <c r="I96" s="190">
        <v>-2.4230690999999998</v>
      </c>
      <c r="J96" s="191" t="s">
        <v>472</v>
      </c>
      <c r="K96" s="193">
        <v>42064</v>
      </c>
      <c r="L96" s="189" t="s">
        <v>508</v>
      </c>
    </row>
    <row r="97" spans="3:12" hidden="1">
      <c r="G97" s="189" t="s">
        <v>290</v>
      </c>
      <c r="H97" s="189" t="s">
        <v>452</v>
      </c>
      <c r="I97" s="190">
        <v>82.249444399999973</v>
      </c>
      <c r="J97" s="191" t="s">
        <v>459</v>
      </c>
      <c r="K97" s="192">
        <v>43177</v>
      </c>
      <c r="L97" s="189" t="s">
        <v>508</v>
      </c>
    </row>
    <row r="98" spans="3:12" hidden="1">
      <c r="G98" s="189" t="s">
        <v>194</v>
      </c>
      <c r="H98" s="189" t="s">
        <v>505</v>
      </c>
      <c r="I98" s="190">
        <v>9.7676216999999994</v>
      </c>
      <c r="J98" s="191" t="s">
        <v>459</v>
      </c>
      <c r="K98" s="192">
        <v>40986</v>
      </c>
      <c r="L98" s="189" t="s">
        <v>508</v>
      </c>
    </row>
    <row r="99" spans="3:12">
      <c r="G99" s="189" t="s">
        <v>232</v>
      </c>
      <c r="H99" s="189" t="s">
        <v>453</v>
      </c>
      <c r="I99" s="190">
        <v>714.30832000000009</v>
      </c>
      <c r="J99" s="191" t="s">
        <v>470</v>
      </c>
      <c r="K99" s="192">
        <v>44986</v>
      </c>
      <c r="L99" s="191" t="s">
        <v>510</v>
      </c>
    </row>
    <row r="100" spans="3:12" hidden="1">
      <c r="G100" s="189" t="s">
        <v>194</v>
      </c>
      <c r="H100" s="189" t="s">
        <v>202</v>
      </c>
      <c r="I100" s="190">
        <v>14.3797505</v>
      </c>
      <c r="J100" s="191" t="s">
        <v>459</v>
      </c>
      <c r="K100" s="192">
        <v>40986</v>
      </c>
      <c r="L100" s="189" t="s">
        <v>508</v>
      </c>
    </row>
    <row r="101" spans="3:12" hidden="1">
      <c r="G101" s="189" t="s">
        <v>194</v>
      </c>
      <c r="H101" s="189" t="s">
        <v>215</v>
      </c>
      <c r="I101" s="190">
        <v>4.0030000000000003E-2</v>
      </c>
      <c r="J101" s="191" t="s">
        <v>459</v>
      </c>
      <c r="K101" s="192">
        <v>40986</v>
      </c>
      <c r="L101" s="189" t="s">
        <v>508</v>
      </c>
    </row>
    <row r="102" spans="3:12" hidden="1">
      <c r="G102" s="189" t="s">
        <v>462</v>
      </c>
      <c r="H102" s="189" t="s">
        <v>454</v>
      </c>
      <c r="I102" s="190">
        <v>62.950976400000577</v>
      </c>
      <c r="J102" s="191" t="s">
        <v>459</v>
      </c>
      <c r="K102" s="192">
        <v>43160</v>
      </c>
      <c r="L102" s="189" t="s">
        <v>508</v>
      </c>
    </row>
    <row r="103" spans="3:12" hidden="1">
      <c r="G103" s="189" t="s">
        <v>290</v>
      </c>
      <c r="H103" s="189" t="s">
        <v>455</v>
      </c>
      <c r="I103" s="190">
        <v>385.84822629999996</v>
      </c>
      <c r="J103" s="191" t="s">
        <v>459</v>
      </c>
      <c r="K103" s="192">
        <v>42812</v>
      </c>
      <c r="L103" s="189" t="s">
        <v>508</v>
      </c>
    </row>
    <row r="104" spans="3:12" hidden="1">
      <c r="G104" s="189" t="s">
        <v>290</v>
      </c>
      <c r="H104" s="189" t="s">
        <v>506</v>
      </c>
      <c r="I104" s="190">
        <v>191.0372002</v>
      </c>
      <c r="J104" s="191" t="s">
        <v>468</v>
      </c>
      <c r="K104" s="192">
        <v>43177</v>
      </c>
      <c r="L104" s="189" t="s">
        <v>508</v>
      </c>
    </row>
    <row r="106" spans="3:12">
      <c r="G106" s="177" t="s">
        <v>513</v>
      </c>
      <c r="H106" s="202">
        <f>H123</f>
        <v>0.54375089499999962</v>
      </c>
    </row>
    <row r="107" spans="3:12">
      <c r="C107" s="182" t="s">
        <v>420</v>
      </c>
      <c r="D107" s="182"/>
      <c r="E107" s="182"/>
      <c r="G107" s="195" t="s">
        <v>512</v>
      </c>
      <c r="H107" s="196">
        <f>SUBTOTAL(9,H109:H196)</f>
        <v>18.525620724149974</v>
      </c>
      <c r="I107" s="177"/>
      <c r="J107" s="177"/>
      <c r="K107" s="177"/>
    </row>
    <row r="108" spans="3:12" ht="39.6" customHeight="1">
      <c r="C108" s="180" t="s">
        <v>185</v>
      </c>
      <c r="D108" s="180" t="s">
        <v>421</v>
      </c>
      <c r="E108" s="180" t="s">
        <v>423</v>
      </c>
      <c r="G108" s="199" t="s">
        <v>421</v>
      </c>
      <c r="H108" s="200" t="s">
        <v>423</v>
      </c>
      <c r="I108" s="187" t="s">
        <v>457</v>
      </c>
      <c r="J108" s="187" t="s">
        <v>458</v>
      </c>
      <c r="K108" s="201" t="s">
        <v>507</v>
      </c>
    </row>
    <row r="109" spans="3:12">
      <c r="C109" s="179" t="s">
        <v>290</v>
      </c>
      <c r="D109" s="179" t="s">
        <v>424</v>
      </c>
      <c r="E109" s="178">
        <v>4.9999999999999979E-4</v>
      </c>
      <c r="G109" s="197" t="s">
        <v>424</v>
      </c>
      <c r="H109" s="198">
        <v>1.4446332870000003</v>
      </c>
      <c r="I109" s="184" t="s">
        <v>459</v>
      </c>
      <c r="J109" s="185">
        <v>42811</v>
      </c>
      <c r="K109" s="183" t="s">
        <v>508</v>
      </c>
    </row>
    <row r="110" spans="3:12">
      <c r="C110" s="179" t="s">
        <v>290</v>
      </c>
      <c r="D110" s="179" t="s">
        <v>425</v>
      </c>
      <c r="E110" s="178">
        <v>1.9E-3</v>
      </c>
      <c r="G110" s="197" t="s">
        <v>460</v>
      </c>
      <c r="H110" s="198">
        <v>0</v>
      </c>
      <c r="I110" s="184" t="s">
        <v>461</v>
      </c>
      <c r="J110" s="186">
        <v>43101</v>
      </c>
      <c r="K110" s="183" t="s">
        <v>508</v>
      </c>
    </row>
    <row r="111" spans="3:12">
      <c r="C111" s="179" t="s">
        <v>271</v>
      </c>
      <c r="D111" s="179" t="s">
        <v>426</v>
      </c>
      <c r="E111" s="178">
        <v>0</v>
      </c>
      <c r="G111" s="197" t="s">
        <v>425</v>
      </c>
      <c r="H111" s="198">
        <v>0.76906415500000014</v>
      </c>
      <c r="I111" s="184" t="s">
        <v>459</v>
      </c>
      <c r="J111" s="185">
        <v>42811</v>
      </c>
      <c r="K111" s="183" t="s">
        <v>508</v>
      </c>
    </row>
    <row r="112" spans="3:12">
      <c r="C112" s="179" t="s">
        <v>427</v>
      </c>
      <c r="D112" s="179" t="s">
        <v>428</v>
      </c>
      <c r="E112" s="178">
        <v>0</v>
      </c>
      <c r="G112" s="197" t="s">
        <v>426</v>
      </c>
      <c r="H112" s="198">
        <v>0</v>
      </c>
      <c r="I112" s="184" t="s">
        <v>459</v>
      </c>
      <c r="J112" s="186">
        <v>43252</v>
      </c>
      <c r="K112" s="183" t="s">
        <v>508</v>
      </c>
    </row>
    <row r="113" spans="3:11">
      <c r="C113" s="179" t="s">
        <v>290</v>
      </c>
      <c r="D113" s="179" t="s">
        <v>429</v>
      </c>
      <c r="E113" s="178">
        <v>8.3310000000000003E-4</v>
      </c>
      <c r="G113" s="197" t="s">
        <v>463</v>
      </c>
      <c r="H113" s="198">
        <v>0</v>
      </c>
      <c r="I113" s="184" t="s">
        <v>459</v>
      </c>
      <c r="J113" s="185">
        <v>43160</v>
      </c>
      <c r="K113" s="183" t="s">
        <v>508</v>
      </c>
    </row>
    <row r="114" spans="3:11">
      <c r="C114" s="179" t="s">
        <v>253</v>
      </c>
      <c r="D114" s="179" t="s">
        <v>264</v>
      </c>
      <c r="E114" s="178">
        <v>0</v>
      </c>
      <c r="G114" s="197" t="s">
        <v>464</v>
      </c>
      <c r="H114" s="198">
        <v>0</v>
      </c>
      <c r="I114" s="184" t="s">
        <v>459</v>
      </c>
      <c r="J114" s="186">
        <v>41699</v>
      </c>
      <c r="K114" s="183" t="s">
        <v>508</v>
      </c>
    </row>
    <row r="115" spans="3:11">
      <c r="C115" s="179" t="s">
        <v>232</v>
      </c>
      <c r="D115" s="179" t="s">
        <v>430</v>
      </c>
      <c r="E115" s="178">
        <v>3.0759000000000002E-2</v>
      </c>
      <c r="G115" s="197" t="s">
        <v>428</v>
      </c>
      <c r="H115" s="198">
        <v>0</v>
      </c>
      <c r="I115" s="184" t="s">
        <v>459</v>
      </c>
      <c r="J115" s="186">
        <v>41699</v>
      </c>
      <c r="K115" s="183" t="s">
        <v>508</v>
      </c>
    </row>
    <row r="116" spans="3:11">
      <c r="C116" s="179" t="s">
        <v>232</v>
      </c>
      <c r="D116" s="179" t="s">
        <v>431</v>
      </c>
      <c r="E116" s="178">
        <v>0.69113366799999998</v>
      </c>
      <c r="G116" s="197" t="s">
        <v>465</v>
      </c>
      <c r="H116" s="198">
        <v>0</v>
      </c>
      <c r="I116" s="184" t="s">
        <v>459</v>
      </c>
      <c r="J116" s="185">
        <v>42430</v>
      </c>
      <c r="K116" s="183" t="s">
        <v>508</v>
      </c>
    </row>
    <row r="117" spans="3:11">
      <c r="C117" s="179" t="s">
        <v>290</v>
      </c>
      <c r="D117" s="179" t="s">
        <v>432</v>
      </c>
      <c r="E117" s="178">
        <v>0</v>
      </c>
      <c r="G117" s="197" t="s">
        <v>466</v>
      </c>
      <c r="H117" s="198">
        <v>0</v>
      </c>
      <c r="I117" s="184" t="s">
        <v>459</v>
      </c>
      <c r="J117" s="186">
        <v>42795</v>
      </c>
      <c r="K117" s="183" t="s">
        <v>508</v>
      </c>
    </row>
    <row r="118" spans="3:11">
      <c r="C118" s="179" t="s">
        <v>290</v>
      </c>
      <c r="D118" s="179" t="s">
        <v>415</v>
      </c>
      <c r="E118" s="178">
        <v>0</v>
      </c>
      <c r="G118" s="197" t="s">
        <v>467</v>
      </c>
      <c r="H118" s="198">
        <v>0</v>
      </c>
      <c r="I118" s="184" t="s">
        <v>468</v>
      </c>
      <c r="J118" s="185">
        <v>43983</v>
      </c>
      <c r="K118" s="184" t="s">
        <v>509</v>
      </c>
    </row>
    <row r="119" spans="3:11">
      <c r="C119" s="179" t="s">
        <v>232</v>
      </c>
      <c r="D119" s="179" t="s">
        <v>363</v>
      </c>
      <c r="E119" s="178">
        <v>0.54300569700000001</v>
      </c>
      <c r="G119" s="197" t="s">
        <v>429</v>
      </c>
      <c r="H119" s="198">
        <v>1.2195575679999999</v>
      </c>
      <c r="I119" s="184" t="s">
        <v>459</v>
      </c>
      <c r="J119" s="185">
        <v>43176</v>
      </c>
      <c r="K119" s="183" t="s">
        <v>508</v>
      </c>
    </row>
    <row r="120" spans="3:11">
      <c r="C120" s="179" t="s">
        <v>271</v>
      </c>
      <c r="D120" s="179" t="s">
        <v>433</v>
      </c>
      <c r="E120" s="178">
        <v>0</v>
      </c>
      <c r="G120" s="197" t="s">
        <v>469</v>
      </c>
      <c r="H120" s="198">
        <v>0.60527499900000004</v>
      </c>
      <c r="I120" s="184" t="s">
        <v>459</v>
      </c>
      <c r="J120" s="185">
        <v>43176</v>
      </c>
      <c r="K120" s="183" t="s">
        <v>508</v>
      </c>
    </row>
    <row r="121" spans="3:11">
      <c r="C121" s="179" t="s">
        <v>434</v>
      </c>
      <c r="D121" s="179" t="s">
        <v>434</v>
      </c>
      <c r="E121" s="178">
        <v>-0.70722499999999999</v>
      </c>
      <c r="G121" s="197" t="s">
        <v>264</v>
      </c>
      <c r="H121" s="198">
        <v>0</v>
      </c>
      <c r="I121" s="184" t="s">
        <v>470</v>
      </c>
      <c r="J121" s="186">
        <v>44713</v>
      </c>
      <c r="K121" s="184" t="s">
        <v>510</v>
      </c>
    </row>
    <row r="122" spans="3:11">
      <c r="C122" s="179" t="s">
        <v>290</v>
      </c>
      <c r="D122" s="179" t="s">
        <v>435</v>
      </c>
      <c r="E122" s="178">
        <v>0</v>
      </c>
      <c r="G122" s="197" t="s">
        <v>430</v>
      </c>
      <c r="H122" s="198">
        <v>1.4665854631500002</v>
      </c>
      <c r="I122" s="184" t="s">
        <v>461</v>
      </c>
      <c r="J122" s="185">
        <v>43176</v>
      </c>
      <c r="K122" s="183" t="s">
        <v>508</v>
      </c>
    </row>
    <row r="123" spans="3:11">
      <c r="C123" s="179" t="s">
        <v>290</v>
      </c>
      <c r="D123" s="179" t="s">
        <v>436</v>
      </c>
      <c r="E123" s="178">
        <v>2.3839999999999998E-3</v>
      </c>
      <c r="G123" s="197" t="s">
        <v>431</v>
      </c>
      <c r="H123" s="198">
        <v>0.54375089499999962</v>
      </c>
      <c r="I123" s="184" t="s">
        <v>470</v>
      </c>
      <c r="J123" s="185">
        <v>43160</v>
      </c>
      <c r="K123" s="184" t="s">
        <v>510</v>
      </c>
    </row>
    <row r="124" spans="3:11">
      <c r="C124" s="179" t="s">
        <v>290</v>
      </c>
      <c r="D124" s="179" t="s">
        <v>437</v>
      </c>
      <c r="E124" s="178">
        <v>-1E-3</v>
      </c>
      <c r="G124" s="197" t="s">
        <v>432</v>
      </c>
      <c r="H124" s="198">
        <v>2.3420642530000029</v>
      </c>
      <c r="I124" s="184" t="s">
        <v>459</v>
      </c>
      <c r="J124" s="185">
        <v>42446</v>
      </c>
      <c r="K124" s="183" t="s">
        <v>508</v>
      </c>
    </row>
    <row r="125" spans="3:11">
      <c r="C125" s="179" t="s">
        <v>271</v>
      </c>
      <c r="D125" s="179" t="s">
        <v>438</v>
      </c>
      <c r="E125" s="178">
        <v>0</v>
      </c>
      <c r="G125" s="197" t="s">
        <v>471</v>
      </c>
      <c r="H125" s="198">
        <v>0.25019337599999958</v>
      </c>
      <c r="I125" s="184" t="s">
        <v>459</v>
      </c>
      <c r="J125" s="185">
        <v>42446</v>
      </c>
      <c r="K125" s="183" t="s">
        <v>508</v>
      </c>
    </row>
    <row r="126" spans="3:11">
      <c r="C126" s="179" t="s">
        <v>271</v>
      </c>
      <c r="D126" s="179" t="s">
        <v>439</v>
      </c>
      <c r="E126" s="178">
        <v>0</v>
      </c>
      <c r="G126" s="197" t="s">
        <v>415</v>
      </c>
      <c r="H126" s="198">
        <v>0.37260885699997309</v>
      </c>
      <c r="I126" s="184" t="s">
        <v>459</v>
      </c>
      <c r="J126" s="186">
        <v>41699</v>
      </c>
      <c r="K126" s="183" t="s">
        <v>508</v>
      </c>
    </row>
    <row r="127" spans="3:11">
      <c r="C127" s="179" t="s">
        <v>434</v>
      </c>
      <c r="D127" s="179" t="s">
        <v>440</v>
      </c>
      <c r="E127" s="178">
        <v>7.6859999999999998E-2</v>
      </c>
      <c r="G127" s="197" t="s">
        <v>363</v>
      </c>
      <c r="H127" s="198">
        <v>0.54239007300000008</v>
      </c>
      <c r="I127" s="184" t="s">
        <v>461</v>
      </c>
      <c r="J127" s="185">
        <v>43160</v>
      </c>
      <c r="K127" s="183" t="s">
        <v>508</v>
      </c>
    </row>
    <row r="128" spans="3:11">
      <c r="C128" s="179" t="s">
        <v>290</v>
      </c>
      <c r="D128" s="179" t="s">
        <v>441</v>
      </c>
      <c r="E128" s="178">
        <v>0</v>
      </c>
      <c r="G128" s="197" t="s">
        <v>433</v>
      </c>
      <c r="H128" s="198">
        <v>0</v>
      </c>
      <c r="I128" s="184" t="s">
        <v>459</v>
      </c>
      <c r="J128" s="185">
        <v>43160</v>
      </c>
      <c r="K128" s="183" t="s">
        <v>508</v>
      </c>
    </row>
    <row r="129" spans="3:11">
      <c r="C129" s="179" t="s">
        <v>290</v>
      </c>
      <c r="D129" s="179" t="s">
        <v>442</v>
      </c>
      <c r="E129" s="178">
        <v>0</v>
      </c>
      <c r="G129" s="197" t="s">
        <v>434</v>
      </c>
      <c r="H129" s="198">
        <v>1.56</v>
      </c>
      <c r="I129" s="184" t="s">
        <v>472</v>
      </c>
      <c r="J129" s="186">
        <v>42064</v>
      </c>
      <c r="K129" s="183" t="s">
        <v>508</v>
      </c>
    </row>
    <row r="130" spans="3:11">
      <c r="C130" s="179" t="s">
        <v>188</v>
      </c>
      <c r="D130" s="179" t="s">
        <v>443</v>
      </c>
      <c r="E130" s="178">
        <v>0</v>
      </c>
      <c r="G130" s="197" t="s">
        <v>327</v>
      </c>
      <c r="H130" s="198">
        <v>0</v>
      </c>
      <c r="I130" s="184" t="s">
        <v>468</v>
      </c>
      <c r="J130" s="185">
        <v>43313</v>
      </c>
      <c r="K130" s="183" t="s">
        <v>508</v>
      </c>
    </row>
    <row r="131" spans="3:11">
      <c r="C131" s="179" t="s">
        <v>188</v>
      </c>
      <c r="D131" s="179" t="s">
        <v>444</v>
      </c>
      <c r="E131" s="178">
        <v>0</v>
      </c>
      <c r="G131" s="197" t="s">
        <v>435</v>
      </c>
      <c r="H131" s="198">
        <v>0</v>
      </c>
      <c r="I131" s="184" t="s">
        <v>459</v>
      </c>
      <c r="J131" s="185">
        <v>43177</v>
      </c>
      <c r="K131" s="183" t="s">
        <v>508</v>
      </c>
    </row>
    <row r="132" spans="3:11">
      <c r="C132" s="179" t="s">
        <v>188</v>
      </c>
      <c r="D132" s="179" t="s">
        <v>445</v>
      </c>
      <c r="E132" s="178">
        <v>0</v>
      </c>
      <c r="G132" s="197" t="s">
        <v>473</v>
      </c>
      <c r="H132" s="198">
        <v>0.25684005199999999</v>
      </c>
      <c r="I132" s="184" t="s">
        <v>461</v>
      </c>
      <c r="J132" s="185">
        <v>43177</v>
      </c>
      <c r="K132" s="183" t="s">
        <v>508</v>
      </c>
    </row>
    <row r="133" spans="3:11">
      <c r="C133" s="179" t="s">
        <v>188</v>
      </c>
      <c r="D133" s="179" t="s">
        <v>446</v>
      </c>
      <c r="E133" s="178">
        <v>0</v>
      </c>
      <c r="G133" s="197" t="s">
        <v>474</v>
      </c>
      <c r="H133" s="198">
        <v>0.1029595</v>
      </c>
      <c r="I133" s="184" t="s">
        <v>468</v>
      </c>
      <c r="J133" s="185">
        <v>42812</v>
      </c>
      <c r="K133" s="183" t="s">
        <v>508</v>
      </c>
    </row>
    <row r="134" spans="3:11">
      <c r="C134" s="179" t="s">
        <v>427</v>
      </c>
      <c r="D134" s="179" t="s">
        <v>203</v>
      </c>
      <c r="E134" s="178">
        <v>1.24175E-2</v>
      </c>
      <c r="G134" s="197" t="s">
        <v>436</v>
      </c>
      <c r="H134" s="198">
        <v>0.63814610000000005</v>
      </c>
      <c r="I134" s="184" t="s">
        <v>468</v>
      </c>
      <c r="J134" s="185">
        <v>42812</v>
      </c>
      <c r="K134" s="183" t="s">
        <v>508</v>
      </c>
    </row>
    <row r="135" spans="3:11">
      <c r="C135" s="179" t="s">
        <v>188</v>
      </c>
      <c r="D135" s="179" t="s">
        <v>447</v>
      </c>
      <c r="E135" s="178">
        <v>0</v>
      </c>
      <c r="G135" s="197" t="s">
        <v>254</v>
      </c>
      <c r="H135" s="198">
        <v>0</v>
      </c>
      <c r="I135" s="184" t="s">
        <v>459</v>
      </c>
      <c r="J135" s="185">
        <v>42430</v>
      </c>
      <c r="K135" s="183" t="s">
        <v>508</v>
      </c>
    </row>
    <row r="136" spans="3:11">
      <c r="C136" s="179" t="s">
        <v>232</v>
      </c>
      <c r="D136" s="179" t="s">
        <v>243</v>
      </c>
      <c r="E136" s="178">
        <v>0.45417491500000001</v>
      </c>
      <c r="G136" s="197" t="s">
        <v>475</v>
      </c>
      <c r="H136" s="198">
        <v>0</v>
      </c>
      <c r="I136" s="184" t="s">
        <v>468</v>
      </c>
      <c r="J136" s="185">
        <v>43891</v>
      </c>
      <c r="K136" s="184" t="s">
        <v>509</v>
      </c>
    </row>
    <row r="137" spans="3:11">
      <c r="C137" s="179" t="s">
        <v>427</v>
      </c>
      <c r="D137" s="179" t="s">
        <v>448</v>
      </c>
      <c r="E137" s="178">
        <v>0.13</v>
      </c>
      <c r="G137" s="197" t="s">
        <v>476</v>
      </c>
      <c r="H137" s="198">
        <v>3.0871000000000002E-3</v>
      </c>
      <c r="I137" s="184" t="s">
        <v>477</v>
      </c>
      <c r="J137" s="185">
        <v>40969</v>
      </c>
      <c r="K137" s="183" t="s">
        <v>508</v>
      </c>
    </row>
    <row r="138" spans="3:11">
      <c r="C138" s="179" t="s">
        <v>232</v>
      </c>
      <c r="D138" s="179" t="s">
        <v>241</v>
      </c>
      <c r="E138" s="178">
        <v>9.9866700000000003E-2</v>
      </c>
      <c r="G138" s="197" t="s">
        <v>478</v>
      </c>
      <c r="H138" s="198">
        <v>0</v>
      </c>
      <c r="I138" s="184" t="s">
        <v>459</v>
      </c>
      <c r="J138" s="185">
        <v>43160</v>
      </c>
      <c r="K138" s="183" t="s">
        <v>508</v>
      </c>
    </row>
    <row r="139" spans="3:11">
      <c r="C139" s="179" t="s">
        <v>290</v>
      </c>
      <c r="D139" s="179" t="s">
        <v>449</v>
      </c>
      <c r="E139" s="178">
        <v>0</v>
      </c>
      <c r="G139" s="197" t="s">
        <v>479</v>
      </c>
      <c r="H139" s="198">
        <v>1.1698910250000001</v>
      </c>
      <c r="I139" s="184" t="s">
        <v>468</v>
      </c>
      <c r="J139" s="185">
        <v>43177</v>
      </c>
      <c r="K139" s="183" t="s">
        <v>508</v>
      </c>
    </row>
    <row r="140" spans="3:11">
      <c r="C140" s="179" t="s">
        <v>188</v>
      </c>
      <c r="D140" s="179" t="s">
        <v>189</v>
      </c>
      <c r="E140" s="178">
        <v>0</v>
      </c>
      <c r="G140" s="197" t="s">
        <v>480</v>
      </c>
      <c r="H140" s="198">
        <v>0</v>
      </c>
      <c r="I140" s="184" t="s">
        <v>459</v>
      </c>
      <c r="J140" s="185">
        <v>43160</v>
      </c>
      <c r="K140" s="183" t="s">
        <v>508</v>
      </c>
    </row>
    <row r="141" spans="3:11">
      <c r="C141" s="179" t="s">
        <v>427</v>
      </c>
      <c r="D141" s="179" t="s">
        <v>198</v>
      </c>
      <c r="E141" s="178">
        <v>-0.15542999999999998</v>
      </c>
      <c r="G141" s="197" t="s">
        <v>328</v>
      </c>
      <c r="H141" s="198">
        <v>0.20981354199999999</v>
      </c>
      <c r="I141" s="184" t="s">
        <v>459</v>
      </c>
      <c r="J141" s="185">
        <v>40969</v>
      </c>
      <c r="K141" s="183" t="s">
        <v>508</v>
      </c>
    </row>
    <row r="142" spans="3:11">
      <c r="C142" s="179" t="s">
        <v>434</v>
      </c>
      <c r="D142" s="179" t="s">
        <v>450</v>
      </c>
      <c r="E142" s="178">
        <v>-1.7492E-3</v>
      </c>
      <c r="G142" s="197" t="s">
        <v>481</v>
      </c>
      <c r="H142" s="198">
        <v>0</v>
      </c>
      <c r="I142" s="184" t="s">
        <v>459</v>
      </c>
      <c r="J142" s="186">
        <v>42064</v>
      </c>
      <c r="K142" s="183" t="s">
        <v>508</v>
      </c>
    </row>
    <row r="143" spans="3:11">
      <c r="C143" s="179" t="s">
        <v>290</v>
      </c>
      <c r="D143" s="179" t="s">
        <v>451</v>
      </c>
      <c r="E143" s="178">
        <v>3.7805000000000004E-3</v>
      </c>
      <c r="G143" s="197" t="s">
        <v>437</v>
      </c>
      <c r="H143" s="198">
        <v>0</v>
      </c>
      <c r="I143" s="184" t="s">
        <v>459</v>
      </c>
      <c r="J143" s="185">
        <v>43177</v>
      </c>
      <c r="K143" s="183" t="s">
        <v>508</v>
      </c>
    </row>
    <row r="144" spans="3:11">
      <c r="C144" s="179" t="s">
        <v>290</v>
      </c>
      <c r="D144" s="179" t="s">
        <v>452</v>
      </c>
      <c r="E144" s="178">
        <v>0</v>
      </c>
      <c r="G144" s="197" t="s">
        <v>438</v>
      </c>
      <c r="H144" s="198">
        <v>0</v>
      </c>
      <c r="I144" s="184" t="s">
        <v>472</v>
      </c>
      <c r="J144" s="186">
        <v>42064</v>
      </c>
      <c r="K144" s="183" t="s">
        <v>508</v>
      </c>
    </row>
    <row r="145" spans="3:11">
      <c r="C145" s="179" t="s">
        <v>232</v>
      </c>
      <c r="D145" s="179" t="s">
        <v>453</v>
      </c>
      <c r="E145" s="178">
        <v>0</v>
      </c>
      <c r="G145" s="197" t="s">
        <v>439</v>
      </c>
      <c r="H145" s="198">
        <v>0</v>
      </c>
      <c r="I145" s="184" t="s">
        <v>461</v>
      </c>
      <c r="J145" s="185">
        <v>43160</v>
      </c>
      <c r="K145" s="183" t="s">
        <v>508</v>
      </c>
    </row>
    <row r="146" spans="3:11">
      <c r="C146" s="179" t="s">
        <v>427</v>
      </c>
      <c r="D146" s="179" t="s">
        <v>202</v>
      </c>
      <c r="E146" s="178">
        <v>3.2669999999999999E-3</v>
      </c>
      <c r="G146" s="197" t="s">
        <v>197</v>
      </c>
      <c r="H146" s="198">
        <v>0</v>
      </c>
      <c r="I146" s="184" t="s">
        <v>459</v>
      </c>
      <c r="J146" s="186">
        <v>41699</v>
      </c>
      <c r="K146" s="183" t="s">
        <v>508</v>
      </c>
    </row>
    <row r="147" spans="3:11">
      <c r="C147" s="179" t="s">
        <v>427</v>
      </c>
      <c r="D147" s="179" t="s">
        <v>215</v>
      </c>
      <c r="E147" s="178">
        <v>2.875E-4</v>
      </c>
      <c r="G147" s="197" t="s">
        <v>482</v>
      </c>
      <c r="H147" s="198">
        <v>0</v>
      </c>
      <c r="I147" s="184" t="s">
        <v>472</v>
      </c>
      <c r="J147" s="185">
        <v>43160</v>
      </c>
      <c r="K147" s="183" t="s">
        <v>508</v>
      </c>
    </row>
    <row r="148" spans="3:11">
      <c r="C148" s="179" t="s">
        <v>271</v>
      </c>
      <c r="D148" s="179" t="s">
        <v>454</v>
      </c>
      <c r="E148" s="178">
        <v>0</v>
      </c>
      <c r="G148" s="197" t="s">
        <v>483</v>
      </c>
      <c r="H148" s="198">
        <v>0</v>
      </c>
      <c r="I148" s="184" t="s">
        <v>459</v>
      </c>
      <c r="J148" s="185">
        <v>43160</v>
      </c>
      <c r="K148" s="183" t="s">
        <v>508</v>
      </c>
    </row>
    <row r="149" spans="3:11">
      <c r="C149" s="179" t="s">
        <v>290</v>
      </c>
      <c r="D149" s="179" t="s">
        <v>455</v>
      </c>
      <c r="E149" s="178">
        <v>1.155E-2</v>
      </c>
      <c r="G149" s="197" t="s">
        <v>484</v>
      </c>
      <c r="H149" s="198">
        <v>0</v>
      </c>
      <c r="I149" s="184" t="s">
        <v>459</v>
      </c>
      <c r="J149" s="186">
        <v>42064</v>
      </c>
      <c r="K149" s="183" t="s">
        <v>508</v>
      </c>
    </row>
    <row r="150" spans="3:11">
      <c r="C150" s="483" t="s">
        <v>21</v>
      </c>
      <c r="D150" s="483"/>
      <c r="E150" s="181">
        <f>SUM(E109:E149)</f>
        <v>1.19731538</v>
      </c>
      <c r="G150" s="197" t="s">
        <v>485</v>
      </c>
      <c r="H150" s="198">
        <v>0.68007053799999995</v>
      </c>
      <c r="I150" s="184" t="s">
        <v>472</v>
      </c>
      <c r="J150" s="186">
        <v>43160</v>
      </c>
      <c r="K150" s="183" t="s">
        <v>508</v>
      </c>
    </row>
    <row r="151" spans="3:11">
      <c r="G151" s="197" t="s">
        <v>486</v>
      </c>
      <c r="H151" s="198">
        <v>1.0330611999999999E-2</v>
      </c>
      <c r="I151" s="184" t="s">
        <v>472</v>
      </c>
      <c r="J151" s="186">
        <v>40969</v>
      </c>
      <c r="K151" s="183" t="s">
        <v>508</v>
      </c>
    </row>
    <row r="152" spans="3:11">
      <c r="G152" s="197" t="s">
        <v>487</v>
      </c>
      <c r="H152" s="198">
        <v>0.69307269299999996</v>
      </c>
      <c r="I152" s="184" t="s">
        <v>472</v>
      </c>
      <c r="J152" s="185">
        <v>42795</v>
      </c>
      <c r="K152" s="183" t="s">
        <v>508</v>
      </c>
    </row>
    <row r="153" spans="3:11">
      <c r="G153" s="197" t="s">
        <v>488</v>
      </c>
      <c r="H153" s="198">
        <v>-3.4629999999999999E-3</v>
      </c>
      <c r="I153" s="184" t="s">
        <v>472</v>
      </c>
      <c r="J153" s="185">
        <v>42795</v>
      </c>
      <c r="K153" s="183" t="s">
        <v>508</v>
      </c>
    </row>
    <row r="154" spans="3:11">
      <c r="G154" s="197" t="s">
        <v>440</v>
      </c>
      <c r="H154" s="198">
        <v>0.10298799499999997</v>
      </c>
      <c r="I154" s="184" t="s">
        <v>472</v>
      </c>
      <c r="J154" s="185">
        <v>42795</v>
      </c>
      <c r="K154" s="183" t="s">
        <v>508</v>
      </c>
    </row>
    <row r="155" spans="3:11">
      <c r="G155" s="197" t="s">
        <v>489</v>
      </c>
      <c r="H155" s="198">
        <v>0</v>
      </c>
      <c r="I155" s="184" t="s">
        <v>459</v>
      </c>
      <c r="J155" s="186">
        <v>42064</v>
      </c>
      <c r="K155" s="183" t="s">
        <v>508</v>
      </c>
    </row>
    <row r="156" spans="3:11">
      <c r="G156" s="197" t="s">
        <v>490</v>
      </c>
      <c r="H156" s="198">
        <v>0</v>
      </c>
      <c r="I156" s="184" t="s">
        <v>459</v>
      </c>
      <c r="J156" s="186">
        <v>42064</v>
      </c>
      <c r="K156" s="183" t="s">
        <v>508</v>
      </c>
    </row>
    <row r="157" spans="3:11">
      <c r="G157" s="197" t="s">
        <v>441</v>
      </c>
      <c r="H157" s="198">
        <v>0</v>
      </c>
      <c r="I157" s="184" t="s">
        <v>459</v>
      </c>
      <c r="J157" s="185">
        <v>43177</v>
      </c>
      <c r="K157" s="183" t="s">
        <v>508</v>
      </c>
    </row>
    <row r="158" spans="3:11">
      <c r="G158" s="197" t="s">
        <v>442</v>
      </c>
      <c r="H158" s="198">
        <v>0.35181597700000011</v>
      </c>
      <c r="I158" s="184" t="s">
        <v>468</v>
      </c>
      <c r="J158" s="185">
        <v>43177</v>
      </c>
      <c r="K158" s="183" t="s">
        <v>508</v>
      </c>
    </row>
    <row r="159" spans="3:11">
      <c r="G159" s="197" t="s">
        <v>491</v>
      </c>
      <c r="H159" s="198">
        <v>0</v>
      </c>
      <c r="I159" s="184" t="s">
        <v>459</v>
      </c>
      <c r="J159" s="186">
        <v>41699</v>
      </c>
      <c r="K159" s="183" t="s">
        <v>508</v>
      </c>
    </row>
    <row r="160" spans="3:11">
      <c r="G160" s="197" t="s">
        <v>444</v>
      </c>
      <c r="H160" s="198">
        <v>0</v>
      </c>
      <c r="I160" s="184" t="s">
        <v>470</v>
      </c>
      <c r="J160" s="185">
        <v>43160</v>
      </c>
      <c r="K160" s="184" t="s">
        <v>510</v>
      </c>
    </row>
    <row r="161" spans="7:11">
      <c r="G161" s="197" t="s">
        <v>445</v>
      </c>
      <c r="H161" s="198">
        <v>0</v>
      </c>
      <c r="I161" s="184" t="s">
        <v>470</v>
      </c>
      <c r="J161" s="185">
        <v>43070</v>
      </c>
      <c r="K161" s="184" t="s">
        <v>510</v>
      </c>
    </row>
    <row r="162" spans="7:11">
      <c r="G162" s="197" t="s">
        <v>446</v>
      </c>
      <c r="H162" s="198">
        <v>0</v>
      </c>
      <c r="I162" s="184" t="s">
        <v>459</v>
      </c>
      <c r="J162" s="185">
        <v>43191</v>
      </c>
      <c r="K162" s="183" t="s">
        <v>508</v>
      </c>
    </row>
    <row r="163" spans="7:11">
      <c r="G163" s="197" t="s">
        <v>492</v>
      </c>
      <c r="H163" s="198">
        <v>2.7767999999999998E-3</v>
      </c>
      <c r="I163" s="184" t="s">
        <v>459</v>
      </c>
      <c r="J163" s="184">
        <v>2012</v>
      </c>
      <c r="K163" s="183" t="s">
        <v>508</v>
      </c>
    </row>
    <row r="164" spans="7:11">
      <c r="G164" s="197" t="s">
        <v>239</v>
      </c>
      <c r="H164" s="198">
        <v>0.11865364099999999</v>
      </c>
      <c r="I164" s="184" t="s">
        <v>468</v>
      </c>
      <c r="J164" s="184">
        <v>2018</v>
      </c>
      <c r="K164" s="183" t="s">
        <v>508</v>
      </c>
    </row>
    <row r="165" spans="7:11">
      <c r="G165" s="197" t="s">
        <v>493</v>
      </c>
      <c r="H165" s="198">
        <v>0</v>
      </c>
      <c r="I165" s="184" t="s">
        <v>459</v>
      </c>
      <c r="J165" s="185">
        <v>43160</v>
      </c>
      <c r="K165" s="183" t="s">
        <v>508</v>
      </c>
    </row>
    <row r="166" spans="7:11">
      <c r="G166" s="197" t="s">
        <v>494</v>
      </c>
      <c r="H166" s="198">
        <v>0</v>
      </c>
      <c r="I166" s="184" t="s">
        <v>461</v>
      </c>
      <c r="J166" s="186">
        <v>42064</v>
      </c>
      <c r="K166" s="183" t="s">
        <v>508</v>
      </c>
    </row>
    <row r="167" spans="7:11">
      <c r="G167" s="197" t="s">
        <v>203</v>
      </c>
      <c r="H167" s="198">
        <v>0</v>
      </c>
      <c r="I167" s="184" t="s">
        <v>470</v>
      </c>
      <c r="J167" s="184">
        <v>2018</v>
      </c>
      <c r="K167" s="184" t="s">
        <v>510</v>
      </c>
    </row>
    <row r="168" spans="7:11">
      <c r="G168" s="197" t="s">
        <v>495</v>
      </c>
      <c r="H168" s="198">
        <v>0</v>
      </c>
      <c r="I168" s="184" t="s">
        <v>459</v>
      </c>
      <c r="J168" s="186">
        <v>42064</v>
      </c>
      <c r="K168" s="183" t="s">
        <v>508</v>
      </c>
    </row>
    <row r="169" spans="7:11">
      <c r="G169" s="197" t="s">
        <v>496</v>
      </c>
      <c r="H169" s="198">
        <v>0</v>
      </c>
      <c r="I169" s="184" t="s">
        <v>459</v>
      </c>
      <c r="J169" s="186">
        <v>42064</v>
      </c>
      <c r="K169" s="183" t="s">
        <v>508</v>
      </c>
    </row>
    <row r="170" spans="7:11">
      <c r="G170" s="197" t="s">
        <v>447</v>
      </c>
      <c r="H170" s="198">
        <v>0</v>
      </c>
      <c r="I170" s="184" t="s">
        <v>459</v>
      </c>
      <c r="J170" s="185">
        <v>42887</v>
      </c>
      <c r="K170" s="183" t="s">
        <v>508</v>
      </c>
    </row>
    <row r="171" spans="7:11">
      <c r="G171" s="197" t="s">
        <v>243</v>
      </c>
      <c r="H171" s="198">
        <v>-6.015126082000001</v>
      </c>
      <c r="I171" s="184" t="s">
        <v>459</v>
      </c>
      <c r="J171" s="184">
        <v>2018</v>
      </c>
      <c r="K171" s="183" t="s">
        <v>508</v>
      </c>
    </row>
    <row r="172" spans="7:11">
      <c r="G172" s="197" t="s">
        <v>497</v>
      </c>
      <c r="H172" s="198">
        <v>0.21011120300000002</v>
      </c>
      <c r="I172" s="184" t="s">
        <v>468</v>
      </c>
      <c r="J172" s="185">
        <v>42795</v>
      </c>
      <c r="K172" s="183" t="s">
        <v>508</v>
      </c>
    </row>
    <row r="173" spans="7:11">
      <c r="G173" s="197" t="s">
        <v>256</v>
      </c>
      <c r="H173" s="198">
        <v>0</v>
      </c>
      <c r="I173" s="184" t="s">
        <v>468</v>
      </c>
      <c r="J173" s="185">
        <v>40969</v>
      </c>
      <c r="K173" s="183" t="s">
        <v>508</v>
      </c>
    </row>
    <row r="174" spans="7:11">
      <c r="G174" s="197" t="s">
        <v>498</v>
      </c>
      <c r="H174" s="198">
        <v>0</v>
      </c>
      <c r="I174" s="184" t="s">
        <v>459</v>
      </c>
      <c r="J174" s="186">
        <v>42064</v>
      </c>
      <c r="K174" s="183" t="s">
        <v>508</v>
      </c>
    </row>
    <row r="175" spans="7:11">
      <c r="G175" s="197" t="s">
        <v>241</v>
      </c>
      <c r="H175" s="198">
        <v>4.7576104000000001E-2</v>
      </c>
      <c r="I175" s="184" t="s">
        <v>468</v>
      </c>
      <c r="J175" s="184">
        <v>2018</v>
      </c>
      <c r="K175" s="183" t="s">
        <v>508</v>
      </c>
    </row>
    <row r="176" spans="7:11">
      <c r="G176" s="197" t="s">
        <v>499</v>
      </c>
      <c r="H176" s="198">
        <v>0</v>
      </c>
      <c r="I176" s="184" t="s">
        <v>472</v>
      </c>
      <c r="J176" s="185">
        <v>43466</v>
      </c>
      <c r="K176" s="184" t="s">
        <v>509</v>
      </c>
    </row>
    <row r="177" spans="7:11">
      <c r="G177" s="197" t="s">
        <v>500</v>
      </c>
      <c r="H177" s="198">
        <v>0</v>
      </c>
      <c r="I177" s="184" t="s">
        <v>459</v>
      </c>
      <c r="J177" s="185">
        <v>43160</v>
      </c>
      <c r="K177" s="183" t="s">
        <v>508</v>
      </c>
    </row>
    <row r="178" spans="7:11">
      <c r="G178" s="197" t="s">
        <v>449</v>
      </c>
      <c r="H178" s="198">
        <v>0</v>
      </c>
      <c r="I178" s="184" t="s">
        <v>459</v>
      </c>
      <c r="J178" s="185">
        <v>43177</v>
      </c>
      <c r="K178" s="183" t="s">
        <v>508</v>
      </c>
    </row>
    <row r="179" spans="7:11">
      <c r="G179" s="197" t="s">
        <v>501</v>
      </c>
      <c r="H179" s="198">
        <v>0</v>
      </c>
      <c r="I179" s="184" t="s">
        <v>461</v>
      </c>
      <c r="J179" s="185">
        <v>43160</v>
      </c>
      <c r="K179" s="183" t="s">
        <v>508</v>
      </c>
    </row>
    <row r="180" spans="7:11">
      <c r="G180" s="197" t="s">
        <v>189</v>
      </c>
      <c r="H180" s="198">
        <v>0</v>
      </c>
      <c r="I180" s="184" t="s">
        <v>468</v>
      </c>
      <c r="J180" s="185">
        <v>43252</v>
      </c>
      <c r="K180" s="183" t="s">
        <v>508</v>
      </c>
    </row>
    <row r="181" spans="7:11">
      <c r="G181" s="197" t="s">
        <v>502</v>
      </c>
      <c r="H181" s="198">
        <v>0</v>
      </c>
      <c r="I181" s="184" t="s">
        <v>459</v>
      </c>
      <c r="J181" s="185">
        <v>43160</v>
      </c>
      <c r="K181" s="183" t="s">
        <v>508</v>
      </c>
    </row>
    <row r="182" spans="7:11">
      <c r="G182" s="197" t="s">
        <v>198</v>
      </c>
      <c r="H182" s="198">
        <v>2.0545526710000002</v>
      </c>
      <c r="I182" s="184" t="s">
        <v>461</v>
      </c>
      <c r="J182" s="184">
        <v>2018</v>
      </c>
      <c r="K182" s="183" t="s">
        <v>508</v>
      </c>
    </row>
    <row r="183" spans="7:11">
      <c r="G183" s="197" t="s">
        <v>192</v>
      </c>
      <c r="H183" s="198">
        <v>0</v>
      </c>
      <c r="I183" s="184" t="s">
        <v>477</v>
      </c>
      <c r="J183" s="185">
        <v>41699</v>
      </c>
      <c r="K183" s="183" t="s">
        <v>508</v>
      </c>
    </row>
    <row r="184" spans="7:11">
      <c r="G184" s="197" t="s">
        <v>503</v>
      </c>
      <c r="H184" s="198">
        <v>0.16816310000000001</v>
      </c>
      <c r="I184" s="184" t="s">
        <v>459</v>
      </c>
      <c r="J184" s="184">
        <v>2019</v>
      </c>
      <c r="K184" s="183" t="s">
        <v>508</v>
      </c>
    </row>
    <row r="185" spans="7:11">
      <c r="G185" s="197" t="s">
        <v>266</v>
      </c>
      <c r="H185" s="198">
        <v>0</v>
      </c>
      <c r="I185" s="184" t="s">
        <v>459</v>
      </c>
      <c r="J185" s="185">
        <v>40969</v>
      </c>
      <c r="K185" s="183" t="s">
        <v>508</v>
      </c>
    </row>
    <row r="186" spans="7:11">
      <c r="G186" s="197" t="s">
        <v>450</v>
      </c>
      <c r="H186" s="198">
        <v>0</v>
      </c>
      <c r="I186" s="184" t="s">
        <v>472</v>
      </c>
      <c r="J186" s="185">
        <v>43177</v>
      </c>
      <c r="K186" s="183" t="s">
        <v>508</v>
      </c>
    </row>
    <row r="187" spans="7:11">
      <c r="G187" s="197" t="s">
        <v>451</v>
      </c>
      <c r="H187" s="198">
        <v>0.83798366199999996</v>
      </c>
      <c r="I187" s="184" t="s">
        <v>468</v>
      </c>
      <c r="J187" s="185">
        <v>43177</v>
      </c>
      <c r="K187" s="183" t="s">
        <v>508</v>
      </c>
    </row>
    <row r="188" spans="7:11">
      <c r="G188" s="197" t="s">
        <v>504</v>
      </c>
      <c r="H188" s="198">
        <v>0</v>
      </c>
      <c r="I188" s="184" t="s">
        <v>472</v>
      </c>
      <c r="J188" s="186">
        <v>42064</v>
      </c>
      <c r="K188" s="183" t="s">
        <v>508</v>
      </c>
    </row>
    <row r="189" spans="7:11">
      <c r="G189" s="197" t="s">
        <v>452</v>
      </c>
      <c r="H189" s="198">
        <v>0</v>
      </c>
      <c r="I189" s="184" t="s">
        <v>459</v>
      </c>
      <c r="J189" s="185">
        <v>43177</v>
      </c>
      <c r="K189" s="183" t="s">
        <v>508</v>
      </c>
    </row>
    <row r="190" spans="7:11">
      <c r="G190" s="197" t="s">
        <v>505</v>
      </c>
      <c r="H190" s="198">
        <v>0</v>
      </c>
      <c r="I190" s="184" t="s">
        <v>459</v>
      </c>
      <c r="J190" s="185">
        <v>40986</v>
      </c>
      <c r="K190" s="183" t="s">
        <v>508</v>
      </c>
    </row>
    <row r="191" spans="7:11">
      <c r="G191" s="197" t="s">
        <v>453</v>
      </c>
      <c r="H191" s="198">
        <v>0</v>
      </c>
      <c r="I191" s="184" t="s">
        <v>470</v>
      </c>
      <c r="J191" s="185">
        <v>44986</v>
      </c>
      <c r="K191" s="184" t="s">
        <v>510</v>
      </c>
    </row>
    <row r="192" spans="7:11">
      <c r="G192" s="197" t="s">
        <v>202</v>
      </c>
      <c r="H192" s="198">
        <v>0</v>
      </c>
      <c r="I192" s="184" t="s">
        <v>459</v>
      </c>
      <c r="J192" s="185">
        <v>40986</v>
      </c>
      <c r="K192" s="183" t="s">
        <v>508</v>
      </c>
    </row>
    <row r="193" spans="7:11">
      <c r="G193" s="197" t="s">
        <v>215</v>
      </c>
      <c r="H193" s="198">
        <v>4.0030000000000003E-4</v>
      </c>
      <c r="I193" s="184" t="s">
        <v>459</v>
      </c>
      <c r="J193" s="185">
        <v>40986</v>
      </c>
      <c r="K193" s="183" t="s">
        <v>508</v>
      </c>
    </row>
    <row r="194" spans="7:11">
      <c r="G194" s="197" t="s">
        <v>454</v>
      </c>
      <c r="H194" s="198">
        <v>0</v>
      </c>
      <c r="I194" s="184" t="s">
        <v>459</v>
      </c>
      <c r="J194" s="185">
        <v>43160</v>
      </c>
      <c r="K194" s="183" t="s">
        <v>508</v>
      </c>
    </row>
    <row r="195" spans="7:11">
      <c r="G195" s="197" t="s">
        <v>455</v>
      </c>
      <c r="H195" s="198">
        <v>3.8584822629999995</v>
      </c>
      <c r="I195" s="184" t="s">
        <v>459</v>
      </c>
      <c r="J195" s="185">
        <v>42812</v>
      </c>
      <c r="K195" s="183" t="s">
        <v>508</v>
      </c>
    </row>
    <row r="196" spans="7:11">
      <c r="G196" s="197" t="s">
        <v>506</v>
      </c>
      <c r="H196" s="198">
        <v>1.9103720019999999</v>
      </c>
      <c r="I196" s="184" t="s">
        <v>468</v>
      </c>
      <c r="J196" s="185">
        <v>43177</v>
      </c>
      <c r="K196" s="183" t="s">
        <v>508</v>
      </c>
    </row>
  </sheetData>
  <mergeCells count="6">
    <mergeCell ref="C150:D150"/>
    <mergeCell ref="B2:G2"/>
    <mergeCell ref="B3:G3"/>
    <mergeCell ref="B5:G5"/>
    <mergeCell ref="B11:G11"/>
    <mergeCell ref="B12:G12"/>
  </mergeCells>
  <hyperlinks>
    <hyperlink ref="H107:I107" r:id="rId1" display="=@subtotal(9,F3:F21)" xr:uid="{00000000-0004-0000-1000-000000000000}"/>
  </hyperlinks>
  <pageMargins left="0.7" right="0.7" top="0.75" bottom="0.75" header="0.3" footer="0.3"/>
  <pageSetup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sheetPr>
  <dimension ref="B2:W189"/>
  <sheetViews>
    <sheetView topLeftCell="A8" workbookViewId="0">
      <selection activeCell="B10" sqref="B10:K10"/>
    </sheetView>
  </sheetViews>
  <sheetFormatPr defaultRowHeight="14.4"/>
  <cols>
    <col min="1" max="1" width="4.109375" customWidth="1"/>
    <col min="2" max="2" width="5.6640625" customWidth="1"/>
    <col min="3" max="3" width="22.33203125" customWidth="1"/>
    <col min="4" max="4" width="13.109375" customWidth="1"/>
    <col min="5" max="5" width="12.44140625" customWidth="1"/>
    <col min="6" max="7" width="13.109375" customWidth="1"/>
    <col min="8" max="8" width="14.44140625" customWidth="1"/>
    <col min="9" max="9" width="13.109375" customWidth="1"/>
    <col min="10" max="10" width="11.5546875" customWidth="1"/>
    <col min="11" max="11" width="49" customWidth="1"/>
    <col min="18" max="19" width="10.5546875" bestFit="1" customWidth="1"/>
    <col min="20" max="20" width="9.5546875" bestFit="1" customWidth="1"/>
    <col min="21" max="22" width="10.5546875" bestFit="1" customWidth="1"/>
  </cols>
  <sheetData>
    <row r="2" spans="2:20" ht="14.4" customHeight="1">
      <c r="B2" s="450" t="s">
        <v>178</v>
      </c>
      <c r="C2" s="451"/>
      <c r="D2" s="451"/>
      <c r="E2" s="451"/>
      <c r="F2" s="451"/>
      <c r="G2" s="451"/>
      <c r="H2" s="451"/>
      <c r="I2" s="451"/>
      <c r="J2" s="451"/>
      <c r="K2" s="451"/>
    </row>
    <row r="3" spans="2:20" ht="14.4" customHeight="1">
      <c r="B3" s="477" t="str">
        <f>'SUMMARY-2023'!B3</f>
        <v>Details as on 31st March 2023</v>
      </c>
      <c r="C3" s="477"/>
      <c r="D3" s="477"/>
      <c r="E3" s="477"/>
      <c r="F3" s="477"/>
      <c r="G3" s="477"/>
      <c r="H3" s="477"/>
      <c r="I3" s="477"/>
      <c r="J3" s="477"/>
      <c r="K3" s="477"/>
    </row>
    <row r="4" spans="2:20">
      <c r="B4" s="154"/>
      <c r="C4" s="155"/>
      <c r="D4" s="489"/>
      <c r="E4" s="489"/>
      <c r="F4" s="489"/>
      <c r="G4" s="489"/>
      <c r="H4" s="490"/>
      <c r="I4" s="120"/>
      <c r="J4" s="120"/>
      <c r="K4" s="120"/>
    </row>
    <row r="5" spans="2:20" ht="43.2">
      <c r="B5" s="24" t="s">
        <v>0</v>
      </c>
      <c r="C5" s="24" t="s">
        <v>69</v>
      </c>
      <c r="D5" s="37" t="s">
        <v>64</v>
      </c>
      <c r="E5" s="24" t="s">
        <v>526</v>
      </c>
      <c r="F5" s="24" t="s">
        <v>527</v>
      </c>
      <c r="G5" s="24" t="s">
        <v>528</v>
      </c>
      <c r="H5" s="86" t="s">
        <v>661</v>
      </c>
      <c r="I5" s="24" t="s">
        <v>179</v>
      </c>
      <c r="J5" s="24" t="s">
        <v>180</v>
      </c>
      <c r="K5" s="24" t="s">
        <v>22</v>
      </c>
    </row>
    <row r="6" spans="2:20" ht="14.4" customHeight="1">
      <c r="B6" s="446" t="str">
        <f>'SUMMARY-2023'!B5</f>
        <v>Figures in INR Crores</v>
      </c>
      <c r="C6" s="447"/>
      <c r="D6" s="447"/>
      <c r="E6" s="447"/>
      <c r="F6" s="447"/>
      <c r="G6" s="447"/>
      <c r="H6" s="447"/>
      <c r="I6" s="447"/>
      <c r="J6" s="447"/>
      <c r="K6" s="447"/>
    </row>
    <row r="7" spans="2:20" ht="296.39999999999998">
      <c r="B7" s="152">
        <v>1</v>
      </c>
      <c r="C7" s="80" t="s">
        <v>133</v>
      </c>
      <c r="D7" s="76">
        <f>285.08+20.27</f>
        <v>305.34999999999997</v>
      </c>
      <c r="E7" s="76">
        <f>I14</f>
        <v>63.330441698600602</v>
      </c>
      <c r="F7" s="76">
        <f>J14</f>
        <v>9.7676751000000017</v>
      </c>
      <c r="G7" s="76">
        <f>K14</f>
        <v>10.004801963879451</v>
      </c>
      <c r="H7" s="76">
        <f>L14</f>
        <v>222.24147528926255</v>
      </c>
      <c r="I7" s="76">
        <f>Q22</f>
        <v>240.72922863640167</v>
      </c>
      <c r="J7" s="76">
        <f>Q23</f>
        <v>58.849221070890181</v>
      </c>
      <c r="K7" s="75" t="s">
        <v>692</v>
      </c>
      <c r="M7" s="47">
        <v>0.3</v>
      </c>
    </row>
    <row r="8" spans="2:20">
      <c r="B8" s="38"/>
      <c r="C8" s="153" t="s">
        <v>23</v>
      </c>
      <c r="D8" s="61">
        <f>SUM(D7:D7)</f>
        <v>305.34999999999997</v>
      </c>
      <c r="E8" s="61">
        <f>SUM(E7:E7)</f>
        <v>63.330441698600602</v>
      </c>
      <c r="F8" s="61">
        <f>SUM(F7:F7)</f>
        <v>9.7676751000000017</v>
      </c>
      <c r="G8" s="61">
        <f>SUM(G7:G7)</f>
        <v>10.004801963879451</v>
      </c>
      <c r="H8" s="61">
        <f t="shared" ref="H8:J8" si="0">SUM(H7:H7)</f>
        <v>222.24147528926255</v>
      </c>
      <c r="I8" s="61">
        <f t="shared" si="0"/>
        <v>240.72922863640167</v>
      </c>
      <c r="J8" s="61">
        <f t="shared" si="0"/>
        <v>58.849221070890181</v>
      </c>
      <c r="K8" s="38"/>
    </row>
    <row r="9" spans="2:20" ht="14.4" customHeight="1">
      <c r="B9" s="467" t="str">
        <f>[2]SUMMARY!B16</f>
        <v>REMARKS &amp; NOTES:-</v>
      </c>
      <c r="C9" s="468"/>
      <c r="D9" s="468"/>
      <c r="E9" s="468"/>
      <c r="F9" s="468"/>
      <c r="G9" s="468"/>
      <c r="H9" s="468"/>
      <c r="I9" s="468"/>
      <c r="J9" s="468"/>
      <c r="K9" s="468"/>
    </row>
    <row r="10" spans="2:20" ht="102.75" customHeight="1">
      <c r="B10" s="409" t="s">
        <v>704</v>
      </c>
      <c r="C10" s="409"/>
      <c r="D10" s="409"/>
      <c r="E10" s="409"/>
      <c r="F10" s="409"/>
      <c r="G10" s="409"/>
      <c r="H10" s="409"/>
      <c r="I10" s="409"/>
      <c r="J10" s="409"/>
      <c r="K10" s="409"/>
    </row>
    <row r="14" spans="2:20">
      <c r="B14" s="217" t="s">
        <v>184</v>
      </c>
      <c r="C14" s="218"/>
      <c r="D14" s="218"/>
      <c r="E14" s="219">
        <f t="shared" ref="E14:L14" si="1">SUBTOTAL(9,E17:E178)</f>
        <v>391.8215418734942</v>
      </c>
      <c r="F14" s="219">
        <f t="shared" si="1"/>
        <v>86.477147821751331</v>
      </c>
      <c r="G14" s="219">
        <f t="shared" si="1"/>
        <v>305.3443940517426</v>
      </c>
      <c r="H14" s="219">
        <f t="shared" si="1"/>
        <v>2.395</v>
      </c>
      <c r="I14" s="219">
        <f t="shared" si="1"/>
        <v>63.330441698600602</v>
      </c>
      <c r="J14" s="219">
        <f t="shared" si="1"/>
        <v>9.7676751000000017</v>
      </c>
      <c r="K14" s="219">
        <f t="shared" si="1"/>
        <v>10.004801963879451</v>
      </c>
      <c r="L14" s="219">
        <f t="shared" si="1"/>
        <v>222.24147528926255</v>
      </c>
    </row>
    <row r="15" spans="2:20" ht="14.4" customHeight="1">
      <c r="B15" s="416" t="s">
        <v>185</v>
      </c>
      <c r="C15" s="416" t="s">
        <v>186</v>
      </c>
      <c r="D15" s="416" t="s">
        <v>187</v>
      </c>
      <c r="E15" s="337" t="s">
        <v>182</v>
      </c>
      <c r="F15" s="337"/>
      <c r="G15" s="337"/>
      <c r="H15" s="417" t="s">
        <v>655</v>
      </c>
      <c r="I15" s="486" t="s">
        <v>656</v>
      </c>
      <c r="J15" s="487"/>
      <c r="K15" s="487"/>
      <c r="L15" s="488"/>
      <c r="P15" s="238" t="s">
        <v>529</v>
      </c>
      <c r="Q15" s="123">
        <v>1</v>
      </c>
      <c r="R15" s="123">
        <f>Q15+1</f>
        <v>2</v>
      </c>
      <c r="S15" s="123">
        <f t="shared" ref="S15:T15" si="2">R15+1</f>
        <v>3</v>
      </c>
      <c r="T15" s="123">
        <f t="shared" si="2"/>
        <v>4</v>
      </c>
    </row>
    <row r="16" spans="2:20" ht="68.400000000000006">
      <c r="B16" s="416"/>
      <c r="C16" s="416"/>
      <c r="D16" s="416"/>
      <c r="E16" s="220" t="s">
        <v>657</v>
      </c>
      <c r="F16" s="220" t="s">
        <v>524</v>
      </c>
      <c r="G16" s="220" t="s">
        <v>658</v>
      </c>
      <c r="H16" s="417"/>
      <c r="I16" s="338" t="s">
        <v>526</v>
      </c>
      <c r="J16" s="338" t="s">
        <v>527</v>
      </c>
      <c r="K16" s="338" t="s">
        <v>528</v>
      </c>
      <c r="L16" s="338" t="s">
        <v>659</v>
      </c>
      <c r="P16" s="255" t="s">
        <v>64</v>
      </c>
      <c r="Q16" s="240">
        <f>D7</f>
        <v>305.34999999999997</v>
      </c>
      <c r="R16" s="241"/>
      <c r="S16" s="241"/>
      <c r="T16" s="241"/>
    </row>
    <row r="17" spans="2:23" ht="24">
      <c r="B17" s="221" t="s">
        <v>188</v>
      </c>
      <c r="C17" s="156" t="s">
        <v>189</v>
      </c>
      <c r="D17" s="156" t="s">
        <v>190</v>
      </c>
      <c r="E17" s="246">
        <v>0</v>
      </c>
      <c r="F17" s="246">
        <v>0</v>
      </c>
      <c r="G17" s="246">
        <f t="shared" ref="G17:G80" si="3">E17-F17</f>
        <v>0</v>
      </c>
      <c r="H17" s="246"/>
      <c r="I17" s="339"/>
      <c r="J17" s="339"/>
      <c r="K17" s="339"/>
      <c r="L17" s="339"/>
      <c r="P17" s="239" t="s">
        <v>559</v>
      </c>
      <c r="Q17" s="240">
        <f>I14</f>
        <v>63.330441698600602</v>
      </c>
      <c r="R17" s="240">
        <f>J14</f>
        <v>9.7676751000000017</v>
      </c>
      <c r="S17" s="240">
        <f>K14</f>
        <v>10.004801963879451</v>
      </c>
      <c r="T17" s="240">
        <f>L14</f>
        <v>222.24147528926255</v>
      </c>
    </row>
    <row r="18" spans="2:23" ht="24">
      <c r="B18" s="221" t="s">
        <v>188</v>
      </c>
      <c r="C18" s="156" t="s">
        <v>191</v>
      </c>
      <c r="D18" s="156" t="s">
        <v>190</v>
      </c>
      <c r="E18" s="246">
        <v>0</v>
      </c>
      <c r="F18" s="246">
        <v>0</v>
      </c>
      <c r="G18" s="246">
        <f t="shared" si="3"/>
        <v>0</v>
      </c>
      <c r="H18" s="246"/>
      <c r="I18" s="339"/>
      <c r="J18" s="339"/>
      <c r="K18" s="339"/>
      <c r="L18" s="339"/>
      <c r="P18" s="239" t="s">
        <v>532</v>
      </c>
      <c r="Q18" s="241">
        <v>1</v>
      </c>
      <c r="R18" s="241">
        <f>Q18+1</f>
        <v>2</v>
      </c>
      <c r="S18" s="241">
        <f t="shared" ref="S18:T18" si="4">R18+1</f>
        <v>3</v>
      </c>
      <c r="T18" s="241">
        <f t="shared" si="4"/>
        <v>4</v>
      </c>
    </row>
    <row r="19" spans="2:23">
      <c r="B19" s="221" t="s">
        <v>192</v>
      </c>
      <c r="C19" s="156" t="s">
        <v>192</v>
      </c>
      <c r="D19" s="156" t="s">
        <v>193</v>
      </c>
      <c r="E19" s="246">
        <v>9.9291938999999996</v>
      </c>
      <c r="F19" s="246">
        <v>0</v>
      </c>
      <c r="G19" s="246">
        <f t="shared" si="3"/>
        <v>9.9291938999999996</v>
      </c>
      <c r="H19" s="246"/>
      <c r="I19" s="339"/>
      <c r="J19" s="339"/>
      <c r="K19" s="339"/>
      <c r="L19" s="339">
        <f>G19</f>
        <v>9.9291938999999996</v>
      </c>
      <c r="P19" s="239" t="s">
        <v>533</v>
      </c>
      <c r="Q19" s="242">
        <f>1/(1+$Q$20)^Q18</f>
        <v>0.9174311926605504</v>
      </c>
      <c r="R19" s="242">
        <f t="shared" ref="R19:S19" si="5">1/(1+$Q$20)^R18</f>
        <v>0.84167999326655996</v>
      </c>
      <c r="S19" s="242">
        <f t="shared" si="5"/>
        <v>0.77218348006106419</v>
      </c>
      <c r="T19" s="364">
        <v>0.75</v>
      </c>
    </row>
    <row r="20" spans="2:23">
      <c r="B20" s="249" t="s">
        <v>194</v>
      </c>
      <c r="C20" s="222" t="s">
        <v>195</v>
      </c>
      <c r="D20" s="156" t="s">
        <v>196</v>
      </c>
      <c r="E20" s="246">
        <v>5.8866813999999996</v>
      </c>
      <c r="F20" s="246">
        <v>5.8866813999999996</v>
      </c>
      <c r="G20" s="246">
        <f t="shared" si="3"/>
        <v>0</v>
      </c>
      <c r="H20" s="246"/>
      <c r="I20" s="339"/>
      <c r="J20" s="339"/>
      <c r="K20" s="339"/>
      <c r="L20" s="339"/>
      <c r="P20" s="239" t="s">
        <v>534</v>
      </c>
      <c r="Q20" s="243">
        <v>0.09</v>
      </c>
      <c r="R20" s="241"/>
      <c r="S20" s="241"/>
      <c r="T20" s="241"/>
    </row>
    <row r="21" spans="2:23">
      <c r="B21" s="249" t="s">
        <v>194</v>
      </c>
      <c r="C21" s="222" t="s">
        <v>197</v>
      </c>
      <c r="D21" s="156" t="s">
        <v>197</v>
      </c>
      <c r="E21" s="246">
        <v>3.142245</v>
      </c>
      <c r="F21" s="246">
        <v>0</v>
      </c>
      <c r="G21" s="246">
        <f t="shared" si="3"/>
        <v>3.142245</v>
      </c>
      <c r="H21" s="246"/>
      <c r="I21" s="339"/>
      <c r="J21" s="339">
        <f>G21</f>
        <v>3.142245</v>
      </c>
      <c r="K21" s="339"/>
      <c r="L21" s="339"/>
      <c r="P21" s="239" t="s">
        <v>535</v>
      </c>
      <c r="Q21" s="240">
        <f>Q17*Q19</f>
        <v>58.1013226592666</v>
      </c>
      <c r="R21" s="240">
        <f t="shared" ref="R21:T21" si="6">R17*R19</f>
        <v>8.2212567123979472</v>
      </c>
      <c r="S21" s="240">
        <f t="shared" si="6"/>
        <v>7.7255427977902045</v>
      </c>
      <c r="T21" s="240">
        <f t="shared" si="6"/>
        <v>166.68110646694691</v>
      </c>
    </row>
    <row r="22" spans="2:23" ht="86.4">
      <c r="B22" s="249" t="s">
        <v>194</v>
      </c>
      <c r="C22" s="222" t="s">
        <v>198</v>
      </c>
      <c r="D22" s="156" t="s">
        <v>199</v>
      </c>
      <c r="E22" s="246">
        <v>0.5719379</v>
      </c>
      <c r="F22" s="246">
        <v>0</v>
      </c>
      <c r="G22" s="246">
        <f t="shared" si="3"/>
        <v>0.5719379</v>
      </c>
      <c r="H22" s="246"/>
      <c r="I22" s="339"/>
      <c r="J22" s="339">
        <f>G22</f>
        <v>0.5719379</v>
      </c>
      <c r="K22" s="339"/>
      <c r="L22" s="339"/>
      <c r="P22" s="244" t="s">
        <v>660</v>
      </c>
      <c r="Q22" s="245">
        <f>SUM(Q21:T21)</f>
        <v>240.72922863640167</v>
      </c>
      <c r="R22" s="238"/>
      <c r="S22" s="238"/>
      <c r="T22" s="238"/>
    </row>
    <row r="23" spans="2:23">
      <c r="B23" s="249" t="s">
        <v>194</v>
      </c>
      <c r="C23" s="222" t="s">
        <v>200</v>
      </c>
      <c r="D23" s="156" t="s">
        <v>201</v>
      </c>
      <c r="E23" s="246">
        <v>0</v>
      </c>
      <c r="F23" s="246">
        <v>2.0932784</v>
      </c>
      <c r="G23" s="246">
        <f t="shared" si="3"/>
        <v>-2.0932784</v>
      </c>
      <c r="H23" s="246"/>
      <c r="I23" s="339">
        <f>G23</f>
        <v>-2.0932784</v>
      </c>
      <c r="J23" s="339"/>
      <c r="K23" s="339"/>
      <c r="L23" s="339"/>
      <c r="P23" s="365" t="s">
        <v>683</v>
      </c>
      <c r="Q23" s="258">
        <f>(Q17*75%)+(R17*65%)+(S17*50%)</f>
        <v>58.849221070890181</v>
      </c>
    </row>
    <row r="24" spans="2:23">
      <c r="B24" s="249" t="s">
        <v>194</v>
      </c>
      <c r="C24" s="222" t="s">
        <v>202</v>
      </c>
      <c r="D24" s="156" t="s">
        <v>201</v>
      </c>
      <c r="E24" s="246">
        <v>5.2334532999999999</v>
      </c>
      <c r="F24" s="246">
        <v>0.26796110000000001</v>
      </c>
      <c r="G24" s="246">
        <f t="shared" si="3"/>
        <v>4.9654921999999999</v>
      </c>
      <c r="H24" s="246"/>
      <c r="I24" s="339"/>
      <c r="J24" s="339">
        <f>G24</f>
        <v>4.9654921999999999</v>
      </c>
      <c r="K24" s="339"/>
      <c r="L24" s="339"/>
    </row>
    <row r="25" spans="2:23" ht="24">
      <c r="B25" s="249" t="s">
        <v>194</v>
      </c>
      <c r="C25" s="222" t="s">
        <v>203</v>
      </c>
      <c r="D25" s="156" t="s">
        <v>199</v>
      </c>
      <c r="E25" s="246">
        <v>1.0880000000000001</v>
      </c>
      <c r="F25" s="246">
        <v>0</v>
      </c>
      <c r="G25" s="246">
        <f t="shared" si="3"/>
        <v>1.0880000000000001</v>
      </c>
      <c r="H25" s="246"/>
      <c r="I25" s="339"/>
      <c r="J25" s="339">
        <f>G25</f>
        <v>1.0880000000000001</v>
      </c>
      <c r="K25" s="339"/>
      <c r="L25" s="339"/>
      <c r="O25" s="230" t="s">
        <v>184</v>
      </c>
      <c r="P25" s="231"/>
      <c r="Q25" s="231"/>
      <c r="R25" s="343">
        <f>SUBTOTAL(9,R28:R103)</f>
        <v>305.3443940517426</v>
      </c>
      <c r="S25" s="343">
        <f>SUBTOTAL(9,S28:S103)</f>
        <v>63.330441698600602</v>
      </c>
      <c r="T25" s="343">
        <f>SUBTOTAL(9,T28:T103)</f>
        <v>9.7676751000000017</v>
      </c>
      <c r="U25" s="343">
        <f>SUBTOTAL(9,U28:U103)</f>
        <v>10.004801963879451</v>
      </c>
      <c r="V25" s="343">
        <f>SUBTOTAL(9,V28:V103)</f>
        <v>222.24147528926255</v>
      </c>
    </row>
    <row r="26" spans="2:23" ht="36">
      <c r="B26" s="249" t="s">
        <v>194</v>
      </c>
      <c r="C26" s="222" t="s">
        <v>204</v>
      </c>
      <c r="D26" s="156" t="s">
        <v>205</v>
      </c>
      <c r="E26" s="246">
        <v>54.183662391999995</v>
      </c>
      <c r="F26" s="246">
        <v>0</v>
      </c>
      <c r="G26" s="246">
        <f t="shared" si="3"/>
        <v>54.183662391999995</v>
      </c>
      <c r="H26" s="246"/>
      <c r="I26" s="339"/>
      <c r="J26" s="339"/>
      <c r="K26" s="339"/>
      <c r="L26" s="339">
        <f t="shared" ref="L26:L43" si="7">G26</f>
        <v>54.183662391999995</v>
      </c>
      <c r="O26" s="427" t="s">
        <v>185</v>
      </c>
      <c r="P26" s="427" t="s">
        <v>186</v>
      </c>
      <c r="Q26" s="427" t="s">
        <v>187</v>
      </c>
      <c r="R26" s="427" t="s">
        <v>658</v>
      </c>
      <c r="S26" s="485" t="s">
        <v>656</v>
      </c>
      <c r="T26" s="485"/>
      <c r="U26" s="485"/>
      <c r="V26" s="485"/>
    </row>
    <row r="27" spans="2:23" ht="48">
      <c r="B27" s="249" t="s">
        <v>194</v>
      </c>
      <c r="C27" s="222" t="s">
        <v>206</v>
      </c>
      <c r="D27" s="156" t="s">
        <v>207</v>
      </c>
      <c r="E27" s="246">
        <v>22.576254299999999</v>
      </c>
      <c r="F27" s="246">
        <v>0</v>
      </c>
      <c r="G27" s="246">
        <f t="shared" si="3"/>
        <v>22.576254299999999</v>
      </c>
      <c r="H27" s="246"/>
      <c r="I27" s="339"/>
      <c r="J27" s="339"/>
      <c r="K27" s="339"/>
      <c r="L27" s="339">
        <f t="shared" si="7"/>
        <v>22.576254299999999</v>
      </c>
      <c r="O27" s="427"/>
      <c r="P27" s="427"/>
      <c r="Q27" s="427"/>
      <c r="R27" s="427" t="s">
        <v>658</v>
      </c>
      <c r="S27" s="347" t="s">
        <v>526</v>
      </c>
      <c r="T27" s="347" t="s">
        <v>527</v>
      </c>
      <c r="U27" s="347" t="s">
        <v>528</v>
      </c>
      <c r="V27" s="347" t="s">
        <v>661</v>
      </c>
    </row>
    <row r="28" spans="2:23" ht="24">
      <c r="B28" s="249" t="s">
        <v>194</v>
      </c>
      <c r="C28" s="222" t="s">
        <v>208</v>
      </c>
      <c r="D28" s="156" t="s">
        <v>209</v>
      </c>
      <c r="E28" s="246">
        <v>8.8958780999999991</v>
      </c>
      <c r="F28" s="246">
        <v>0</v>
      </c>
      <c r="G28" s="246">
        <f t="shared" si="3"/>
        <v>8.8958780999999991</v>
      </c>
      <c r="H28" s="246"/>
      <c r="I28" s="339"/>
      <c r="J28" s="339"/>
      <c r="K28" s="339"/>
      <c r="L28" s="339">
        <f t="shared" si="7"/>
        <v>8.8958780999999991</v>
      </c>
      <c r="O28" s="160" t="s">
        <v>188</v>
      </c>
      <c r="P28" s="161" t="s">
        <v>189</v>
      </c>
      <c r="Q28" s="161" t="s">
        <v>190</v>
      </c>
      <c r="R28" s="343">
        <v>0</v>
      </c>
      <c r="S28" s="343"/>
      <c r="T28" s="343"/>
      <c r="U28" s="343"/>
      <c r="V28" s="343"/>
      <c r="W28" s="258"/>
    </row>
    <row r="29" spans="2:23" ht="24">
      <c r="B29" s="249" t="s">
        <v>194</v>
      </c>
      <c r="C29" s="222" t="s">
        <v>210</v>
      </c>
      <c r="D29" s="156" t="s">
        <v>211</v>
      </c>
      <c r="E29" s="246">
        <v>9.4098368000000008</v>
      </c>
      <c r="F29" s="246">
        <v>0</v>
      </c>
      <c r="G29" s="246">
        <f t="shared" si="3"/>
        <v>9.4098368000000008</v>
      </c>
      <c r="H29" s="246"/>
      <c r="I29" s="339"/>
      <c r="J29" s="339"/>
      <c r="K29" s="339"/>
      <c r="L29" s="339">
        <f t="shared" si="7"/>
        <v>9.4098368000000008</v>
      </c>
      <c r="O29" s="160" t="s">
        <v>188</v>
      </c>
      <c r="P29" s="161" t="s">
        <v>191</v>
      </c>
      <c r="Q29" s="161" t="s">
        <v>190</v>
      </c>
      <c r="R29" s="343">
        <v>0</v>
      </c>
      <c r="S29" s="343"/>
      <c r="T29" s="343"/>
      <c r="U29" s="343"/>
      <c r="V29" s="343"/>
      <c r="W29" s="258"/>
    </row>
    <row r="30" spans="2:23" ht="24">
      <c r="B30" s="249" t="s">
        <v>194</v>
      </c>
      <c r="C30" s="222" t="s">
        <v>212</v>
      </c>
      <c r="D30" s="156" t="s">
        <v>213</v>
      </c>
      <c r="E30" s="246">
        <v>7.8016417900000006</v>
      </c>
      <c r="F30" s="246">
        <v>0</v>
      </c>
      <c r="G30" s="246">
        <f t="shared" si="3"/>
        <v>7.8016417900000006</v>
      </c>
      <c r="H30" s="246"/>
      <c r="I30" s="339"/>
      <c r="J30" s="339"/>
      <c r="K30" s="339"/>
      <c r="L30" s="339">
        <f t="shared" si="7"/>
        <v>7.8016417900000006</v>
      </c>
      <c r="O30" s="160" t="s">
        <v>192</v>
      </c>
      <c r="P30" s="161" t="s">
        <v>192</v>
      </c>
      <c r="Q30" s="161" t="s">
        <v>193</v>
      </c>
      <c r="R30" s="343">
        <v>9.9291938999999996</v>
      </c>
      <c r="S30" s="343"/>
      <c r="T30" s="343"/>
      <c r="U30" s="343"/>
      <c r="V30" s="343">
        <v>9.9291938999999996</v>
      </c>
      <c r="W30" s="258"/>
    </row>
    <row r="31" spans="2:23" ht="24">
      <c r="B31" s="249" t="s">
        <v>194</v>
      </c>
      <c r="C31" s="222" t="s">
        <v>214</v>
      </c>
      <c r="D31" s="156" t="s">
        <v>201</v>
      </c>
      <c r="E31" s="246">
        <v>3.839747</v>
      </c>
      <c r="F31" s="246">
        <v>0</v>
      </c>
      <c r="G31" s="246">
        <f t="shared" si="3"/>
        <v>3.839747</v>
      </c>
      <c r="H31" s="246"/>
      <c r="I31" s="339"/>
      <c r="J31" s="339"/>
      <c r="K31" s="339"/>
      <c r="L31" s="339">
        <f t="shared" si="7"/>
        <v>3.839747</v>
      </c>
      <c r="O31" s="344" t="s">
        <v>194</v>
      </c>
      <c r="P31" s="163" t="s">
        <v>195</v>
      </c>
      <c r="Q31" s="161" t="s">
        <v>196</v>
      </c>
      <c r="R31" s="343">
        <v>0</v>
      </c>
      <c r="S31" s="343"/>
      <c r="T31" s="343"/>
      <c r="U31" s="343"/>
      <c r="V31" s="343"/>
      <c r="W31" s="258"/>
    </row>
    <row r="32" spans="2:23" ht="24">
      <c r="B32" s="249" t="s">
        <v>194</v>
      </c>
      <c r="C32" s="222" t="s">
        <v>215</v>
      </c>
      <c r="D32" s="156" t="s">
        <v>216</v>
      </c>
      <c r="E32" s="246">
        <v>2.1302492000000002</v>
      </c>
      <c r="F32" s="246">
        <v>0</v>
      </c>
      <c r="G32" s="246">
        <f t="shared" si="3"/>
        <v>2.1302492000000002</v>
      </c>
      <c r="H32" s="246"/>
      <c r="I32" s="339"/>
      <c r="J32" s="339"/>
      <c r="K32" s="339"/>
      <c r="L32" s="339">
        <f t="shared" si="7"/>
        <v>2.1302492000000002</v>
      </c>
      <c r="O32" s="344" t="s">
        <v>194</v>
      </c>
      <c r="P32" s="163" t="s">
        <v>197</v>
      </c>
      <c r="Q32" s="161" t="s">
        <v>197</v>
      </c>
      <c r="R32" s="343">
        <v>3.142245</v>
      </c>
      <c r="S32" s="343"/>
      <c r="T32" s="343">
        <v>3.142245</v>
      </c>
      <c r="U32" s="343"/>
      <c r="V32" s="343"/>
      <c r="W32" s="258"/>
    </row>
    <row r="33" spans="2:23" ht="24">
      <c r="B33" s="249" t="s">
        <v>194</v>
      </c>
      <c r="C33" s="222" t="s">
        <v>217</v>
      </c>
      <c r="D33" s="156" t="s">
        <v>201</v>
      </c>
      <c r="E33" s="246">
        <v>4.0478845000000003</v>
      </c>
      <c r="F33" s="246">
        <v>0</v>
      </c>
      <c r="G33" s="246">
        <f t="shared" si="3"/>
        <v>4.0478845000000003</v>
      </c>
      <c r="H33" s="246"/>
      <c r="I33" s="339"/>
      <c r="J33" s="339"/>
      <c r="K33" s="339"/>
      <c r="L33" s="339">
        <f t="shared" si="7"/>
        <v>4.0478845000000003</v>
      </c>
      <c r="O33" s="344" t="s">
        <v>194</v>
      </c>
      <c r="P33" s="163" t="s">
        <v>198</v>
      </c>
      <c r="Q33" s="161" t="s">
        <v>199</v>
      </c>
      <c r="R33" s="343">
        <v>0.5719379</v>
      </c>
      <c r="S33" s="343"/>
      <c r="T33" s="343">
        <v>0.5719379</v>
      </c>
      <c r="U33" s="343"/>
      <c r="V33" s="343"/>
      <c r="W33" s="258"/>
    </row>
    <row r="34" spans="2:23" ht="24">
      <c r="B34" s="249" t="s">
        <v>194</v>
      </c>
      <c r="C34" s="222" t="s">
        <v>218</v>
      </c>
      <c r="D34" s="156" t="s">
        <v>219</v>
      </c>
      <c r="E34" s="246">
        <v>2.2452105000000002</v>
      </c>
      <c r="F34" s="246">
        <v>0</v>
      </c>
      <c r="G34" s="246">
        <f t="shared" si="3"/>
        <v>2.2452105000000002</v>
      </c>
      <c r="H34" s="246"/>
      <c r="I34" s="339"/>
      <c r="J34" s="339"/>
      <c r="K34" s="339"/>
      <c r="L34" s="339">
        <f t="shared" si="7"/>
        <v>2.2452105000000002</v>
      </c>
      <c r="O34" s="344" t="s">
        <v>194</v>
      </c>
      <c r="P34" s="163" t="s">
        <v>200</v>
      </c>
      <c r="Q34" s="161" t="s">
        <v>201</v>
      </c>
      <c r="R34" s="343">
        <v>-2.0932784</v>
      </c>
      <c r="S34" s="343">
        <v>-2.0932784</v>
      </c>
      <c r="T34" s="343"/>
      <c r="U34" s="343"/>
      <c r="V34" s="343"/>
      <c r="W34" s="258"/>
    </row>
    <row r="35" spans="2:23" ht="36">
      <c r="B35" s="249" t="s">
        <v>194</v>
      </c>
      <c r="C35" s="222" t="s">
        <v>220</v>
      </c>
      <c r="D35" s="156" t="s">
        <v>221</v>
      </c>
      <c r="E35" s="246">
        <v>1.1024075</v>
      </c>
      <c r="F35" s="246">
        <v>0</v>
      </c>
      <c r="G35" s="246">
        <f t="shared" si="3"/>
        <v>1.1024075</v>
      </c>
      <c r="H35" s="246"/>
      <c r="I35" s="339"/>
      <c r="J35" s="339"/>
      <c r="K35" s="339"/>
      <c r="L35" s="339">
        <f t="shared" si="7"/>
        <v>1.1024075</v>
      </c>
      <c r="O35" s="344" t="s">
        <v>194</v>
      </c>
      <c r="P35" s="163" t="s">
        <v>202</v>
      </c>
      <c r="Q35" s="161" t="s">
        <v>201</v>
      </c>
      <c r="R35" s="343">
        <v>4.9654921999999999</v>
      </c>
      <c r="S35" s="343"/>
      <c r="T35" s="343">
        <v>4.9654921999999999</v>
      </c>
      <c r="U35" s="343"/>
      <c r="V35" s="343"/>
      <c r="W35" s="258"/>
    </row>
    <row r="36" spans="2:23" ht="36">
      <c r="B36" s="249" t="s">
        <v>194</v>
      </c>
      <c r="C36" s="222" t="s">
        <v>222</v>
      </c>
      <c r="D36" s="156" t="s">
        <v>223</v>
      </c>
      <c r="E36" s="246">
        <v>0.9570805</v>
      </c>
      <c r="F36" s="246">
        <v>0</v>
      </c>
      <c r="G36" s="246">
        <f t="shared" si="3"/>
        <v>0.9570805</v>
      </c>
      <c r="H36" s="246"/>
      <c r="I36" s="339"/>
      <c r="J36" s="339"/>
      <c r="K36" s="339"/>
      <c r="L36" s="339">
        <f t="shared" si="7"/>
        <v>0.9570805</v>
      </c>
      <c r="O36" s="344" t="s">
        <v>194</v>
      </c>
      <c r="P36" s="163" t="s">
        <v>203</v>
      </c>
      <c r="Q36" s="161" t="s">
        <v>199</v>
      </c>
      <c r="R36" s="343">
        <v>1.0880000000000001</v>
      </c>
      <c r="S36" s="343"/>
      <c r="T36" s="343">
        <v>1.0880000000000001</v>
      </c>
      <c r="U36" s="343"/>
      <c r="V36" s="343"/>
      <c r="W36" s="258"/>
    </row>
    <row r="37" spans="2:23" ht="36">
      <c r="B37" s="249" t="s">
        <v>194</v>
      </c>
      <c r="C37" s="222" t="s">
        <v>224</v>
      </c>
      <c r="D37" s="156" t="s">
        <v>205</v>
      </c>
      <c r="E37" s="246">
        <v>0.78892949999999995</v>
      </c>
      <c r="F37" s="246">
        <v>0</v>
      </c>
      <c r="G37" s="246">
        <f t="shared" si="3"/>
        <v>0.78892949999999995</v>
      </c>
      <c r="H37" s="246"/>
      <c r="I37" s="339"/>
      <c r="J37" s="339"/>
      <c r="K37" s="339"/>
      <c r="L37" s="339">
        <f t="shared" si="7"/>
        <v>0.78892949999999995</v>
      </c>
      <c r="O37" s="344" t="s">
        <v>194</v>
      </c>
      <c r="P37" s="163" t="s">
        <v>204</v>
      </c>
      <c r="Q37" s="161" t="s">
        <v>205</v>
      </c>
      <c r="R37" s="343">
        <v>54.183662391999995</v>
      </c>
      <c r="S37" s="343"/>
      <c r="T37" s="343"/>
      <c r="U37" s="343"/>
      <c r="V37" s="343">
        <v>54.183662391999995</v>
      </c>
      <c r="W37" s="258"/>
    </row>
    <row r="38" spans="2:23" ht="48" customHeight="1">
      <c r="B38" s="249" t="s">
        <v>194</v>
      </c>
      <c r="C38" s="222" t="s">
        <v>225</v>
      </c>
      <c r="D38" s="156" t="s">
        <v>226</v>
      </c>
      <c r="E38" s="246">
        <v>0</v>
      </c>
      <c r="F38" s="246">
        <v>0</v>
      </c>
      <c r="G38" s="246">
        <f t="shared" si="3"/>
        <v>0</v>
      </c>
      <c r="H38" s="246"/>
      <c r="I38" s="339"/>
      <c r="J38" s="339"/>
      <c r="K38" s="339"/>
      <c r="L38" s="339">
        <f t="shared" si="7"/>
        <v>0</v>
      </c>
      <c r="O38" s="344" t="s">
        <v>194</v>
      </c>
      <c r="P38" s="163" t="s">
        <v>206</v>
      </c>
      <c r="Q38" s="161" t="s">
        <v>207</v>
      </c>
      <c r="R38" s="343">
        <v>22.576254299999999</v>
      </c>
      <c r="S38" s="343"/>
      <c r="T38" s="343"/>
      <c r="U38" s="343"/>
      <c r="V38" s="343">
        <v>22.576254299999999</v>
      </c>
      <c r="W38" s="258"/>
    </row>
    <row r="39" spans="2:23" ht="48">
      <c r="B39" s="249" t="s">
        <v>194</v>
      </c>
      <c r="C39" s="222" t="s">
        <v>227</v>
      </c>
      <c r="D39" s="156" t="s">
        <v>228</v>
      </c>
      <c r="E39" s="246">
        <v>0.93541574999999999</v>
      </c>
      <c r="F39" s="246">
        <v>0</v>
      </c>
      <c r="G39" s="246">
        <f t="shared" si="3"/>
        <v>0.93541574999999999</v>
      </c>
      <c r="H39" s="246"/>
      <c r="I39" s="339"/>
      <c r="J39" s="339"/>
      <c r="K39" s="339"/>
      <c r="L39" s="339">
        <f t="shared" si="7"/>
        <v>0.93541574999999999</v>
      </c>
      <c r="O39" s="344" t="s">
        <v>194</v>
      </c>
      <c r="P39" s="163" t="s">
        <v>208</v>
      </c>
      <c r="Q39" s="161" t="s">
        <v>209</v>
      </c>
      <c r="R39" s="343">
        <v>8.8958780999999991</v>
      </c>
      <c r="S39" s="343"/>
      <c r="T39" s="343"/>
      <c r="U39" s="343"/>
      <c r="V39" s="343">
        <v>8.8958780999999991</v>
      </c>
      <c r="W39" s="258"/>
    </row>
    <row r="40" spans="2:23" ht="36" customHeight="1">
      <c r="B40" s="249" t="s">
        <v>194</v>
      </c>
      <c r="C40" s="222" t="s">
        <v>229</v>
      </c>
      <c r="D40" s="156" t="s">
        <v>209</v>
      </c>
      <c r="E40" s="246">
        <v>0.33853499999999997</v>
      </c>
      <c r="F40" s="246">
        <v>0</v>
      </c>
      <c r="G40" s="246">
        <f t="shared" si="3"/>
        <v>0.33853499999999997</v>
      </c>
      <c r="H40" s="246"/>
      <c r="I40" s="339"/>
      <c r="J40" s="339"/>
      <c r="K40" s="339"/>
      <c r="L40" s="339">
        <f t="shared" si="7"/>
        <v>0.33853499999999997</v>
      </c>
      <c r="O40" s="344" t="s">
        <v>194</v>
      </c>
      <c r="P40" s="163" t="s">
        <v>210</v>
      </c>
      <c r="Q40" s="161" t="s">
        <v>211</v>
      </c>
      <c r="R40" s="343">
        <v>9.4098368000000008</v>
      </c>
      <c r="S40" s="343"/>
      <c r="T40" s="343"/>
      <c r="U40" s="343"/>
      <c r="V40" s="343">
        <v>9.4098368000000008</v>
      </c>
      <c r="W40" s="258"/>
    </row>
    <row r="41" spans="2:23" ht="36">
      <c r="B41" s="249" t="s">
        <v>194</v>
      </c>
      <c r="C41" s="251" t="s">
        <v>230</v>
      </c>
      <c r="D41" s="156" t="s">
        <v>231</v>
      </c>
      <c r="E41" s="246">
        <v>0</v>
      </c>
      <c r="F41" s="246">
        <v>0</v>
      </c>
      <c r="G41" s="246">
        <f t="shared" si="3"/>
        <v>0</v>
      </c>
      <c r="H41" s="246"/>
      <c r="I41" s="339"/>
      <c r="J41" s="339"/>
      <c r="K41" s="339"/>
      <c r="L41" s="339">
        <f t="shared" si="7"/>
        <v>0</v>
      </c>
      <c r="O41" s="344" t="s">
        <v>194</v>
      </c>
      <c r="P41" s="163" t="s">
        <v>212</v>
      </c>
      <c r="Q41" s="161" t="s">
        <v>213</v>
      </c>
      <c r="R41" s="343">
        <v>7.8016417900000006</v>
      </c>
      <c r="S41" s="343"/>
      <c r="T41" s="343"/>
      <c r="U41" s="343"/>
      <c r="V41" s="343">
        <v>7.8016417900000006</v>
      </c>
      <c r="W41" s="258"/>
    </row>
    <row r="42" spans="2:23" ht="24">
      <c r="B42" s="157" t="s">
        <v>232</v>
      </c>
      <c r="C42" s="223" t="s">
        <v>233</v>
      </c>
      <c r="D42" s="156" t="s">
        <v>234</v>
      </c>
      <c r="E42" s="246">
        <v>0.70402719999999996</v>
      </c>
      <c r="F42" s="246">
        <v>0.70402724733499999</v>
      </c>
      <c r="G42" s="246">
        <f t="shared" si="3"/>
        <v>-4.7335000030734875E-8</v>
      </c>
      <c r="H42" s="246"/>
      <c r="I42" s="339"/>
      <c r="J42" s="339"/>
      <c r="K42" s="339"/>
      <c r="L42" s="339">
        <f t="shared" si="7"/>
        <v>-4.7335000030734875E-8</v>
      </c>
      <c r="O42" s="344" t="s">
        <v>194</v>
      </c>
      <c r="P42" s="163" t="s">
        <v>214</v>
      </c>
      <c r="Q42" s="161" t="s">
        <v>201</v>
      </c>
      <c r="R42" s="343">
        <v>3.839747</v>
      </c>
      <c r="S42" s="343"/>
      <c r="T42" s="343"/>
      <c r="U42" s="343"/>
      <c r="V42" s="343">
        <v>3.839747</v>
      </c>
      <c r="W42" s="258"/>
    </row>
    <row r="43" spans="2:23" ht="36">
      <c r="B43" s="157" t="s">
        <v>232</v>
      </c>
      <c r="C43" s="223" t="s">
        <v>235</v>
      </c>
      <c r="D43" s="156" t="s">
        <v>236</v>
      </c>
      <c r="E43" s="246">
        <v>3.4555530000000001</v>
      </c>
      <c r="F43" s="246">
        <v>0.45810000000000001</v>
      </c>
      <c r="G43" s="246">
        <f t="shared" si="3"/>
        <v>2.9974530000000001</v>
      </c>
      <c r="H43" s="246"/>
      <c r="I43" s="339"/>
      <c r="J43" s="339"/>
      <c r="K43" s="339"/>
      <c r="L43" s="339">
        <f t="shared" si="7"/>
        <v>2.9974530000000001</v>
      </c>
      <c r="O43" s="344" t="s">
        <v>194</v>
      </c>
      <c r="P43" s="163" t="s">
        <v>215</v>
      </c>
      <c r="Q43" s="161" t="s">
        <v>216</v>
      </c>
      <c r="R43" s="343">
        <v>2.1302492000000002</v>
      </c>
      <c r="S43" s="343"/>
      <c r="T43" s="343"/>
      <c r="U43" s="343"/>
      <c r="V43" s="343">
        <v>2.1302492000000002</v>
      </c>
      <c r="W43" s="258"/>
    </row>
    <row r="44" spans="2:23" ht="24">
      <c r="B44" s="157" t="s">
        <v>232</v>
      </c>
      <c r="C44" s="223" t="s">
        <v>237</v>
      </c>
      <c r="D44" s="156" t="s">
        <v>238</v>
      </c>
      <c r="E44" s="246">
        <v>0.20549031500000059</v>
      </c>
      <c r="F44" s="246">
        <v>0</v>
      </c>
      <c r="G44" s="299">
        <f t="shared" si="3"/>
        <v>0.20549031500000059</v>
      </c>
      <c r="H44" s="246">
        <v>0.42</v>
      </c>
      <c r="I44" s="339">
        <v>0.20549031500000059</v>
      </c>
      <c r="J44" s="339"/>
      <c r="K44" s="339"/>
      <c r="L44" s="339"/>
      <c r="O44" s="344" t="s">
        <v>194</v>
      </c>
      <c r="P44" s="163" t="s">
        <v>217</v>
      </c>
      <c r="Q44" s="161" t="s">
        <v>201</v>
      </c>
      <c r="R44" s="343">
        <v>4.0478845000000003</v>
      </c>
      <c r="S44" s="343"/>
      <c r="T44" s="343"/>
      <c r="U44" s="343"/>
      <c r="V44" s="343">
        <v>4.0478845000000003</v>
      </c>
      <c r="W44" s="258"/>
    </row>
    <row r="45" spans="2:23" ht="24">
      <c r="B45" s="157" t="s">
        <v>232</v>
      </c>
      <c r="C45" s="223" t="s">
        <v>239</v>
      </c>
      <c r="D45" s="156" t="s">
        <v>240</v>
      </c>
      <c r="E45" s="246">
        <v>0.74392825399999996</v>
      </c>
      <c r="F45" s="246">
        <v>0</v>
      </c>
      <c r="G45" s="246">
        <f t="shared" si="3"/>
        <v>0.74392825399999996</v>
      </c>
      <c r="H45" s="246"/>
      <c r="I45" s="339"/>
      <c r="J45" s="339"/>
      <c r="K45" s="339"/>
      <c r="L45" s="339">
        <f>G45</f>
        <v>0.74392825399999996</v>
      </c>
      <c r="O45" s="344" t="s">
        <v>194</v>
      </c>
      <c r="P45" s="163" t="s">
        <v>218</v>
      </c>
      <c r="Q45" s="161" t="s">
        <v>219</v>
      </c>
      <c r="R45" s="343">
        <v>2.2452105000000002</v>
      </c>
      <c r="S45" s="343"/>
      <c r="T45" s="343"/>
      <c r="U45" s="343"/>
      <c r="V45" s="343">
        <v>2.2452105000000002</v>
      </c>
      <c r="W45" s="258"/>
    </row>
    <row r="46" spans="2:23" ht="36">
      <c r="B46" s="157" t="s">
        <v>232</v>
      </c>
      <c r="C46" s="223" t="s">
        <v>241</v>
      </c>
      <c r="D46" s="156" t="s">
        <v>242</v>
      </c>
      <c r="E46" s="246">
        <v>0</v>
      </c>
      <c r="F46" s="246">
        <v>0</v>
      </c>
      <c r="G46" s="246">
        <f t="shared" si="3"/>
        <v>0</v>
      </c>
      <c r="H46" s="246"/>
      <c r="I46" s="339"/>
      <c r="J46" s="339"/>
      <c r="K46" s="339"/>
      <c r="L46" s="339"/>
      <c r="O46" s="344" t="s">
        <v>194</v>
      </c>
      <c r="P46" s="163" t="s">
        <v>220</v>
      </c>
      <c r="Q46" s="161" t="s">
        <v>221</v>
      </c>
      <c r="R46" s="343">
        <v>1.1024075</v>
      </c>
      <c r="S46" s="343"/>
      <c r="T46" s="343"/>
      <c r="U46" s="343"/>
      <c r="V46" s="343">
        <v>1.1024075</v>
      </c>
      <c r="W46" s="258"/>
    </row>
    <row r="47" spans="2:23" ht="72">
      <c r="B47" s="157" t="s">
        <v>232</v>
      </c>
      <c r="C47" s="224" t="s">
        <v>243</v>
      </c>
      <c r="D47" s="156" t="s">
        <v>244</v>
      </c>
      <c r="E47" s="246">
        <v>0</v>
      </c>
      <c r="F47" s="246">
        <v>0</v>
      </c>
      <c r="G47" s="246">
        <f t="shared" si="3"/>
        <v>0</v>
      </c>
      <c r="H47" s="246"/>
      <c r="I47" s="339"/>
      <c r="J47" s="339"/>
      <c r="K47" s="339"/>
      <c r="L47" s="339"/>
      <c r="O47" s="344" t="s">
        <v>194</v>
      </c>
      <c r="P47" s="163" t="s">
        <v>222</v>
      </c>
      <c r="Q47" s="161" t="s">
        <v>223</v>
      </c>
      <c r="R47" s="343">
        <v>0.9570805</v>
      </c>
      <c r="S47" s="343"/>
      <c r="T47" s="343"/>
      <c r="U47" s="343"/>
      <c r="V47" s="343">
        <v>0.9570805</v>
      </c>
      <c r="W47" s="258"/>
    </row>
    <row r="48" spans="2:23" ht="36">
      <c r="B48" s="157" t="s">
        <v>245</v>
      </c>
      <c r="C48" s="158" t="s">
        <v>245</v>
      </c>
      <c r="D48" s="156" t="s">
        <v>246</v>
      </c>
      <c r="E48" s="246">
        <v>0</v>
      </c>
      <c r="F48" s="246">
        <v>0</v>
      </c>
      <c r="G48" s="246">
        <f t="shared" si="3"/>
        <v>0</v>
      </c>
      <c r="H48" s="246"/>
      <c r="I48" s="339"/>
      <c r="J48" s="339"/>
      <c r="K48" s="339"/>
      <c r="L48" s="339"/>
      <c r="O48" s="344" t="s">
        <v>194</v>
      </c>
      <c r="P48" s="163" t="s">
        <v>224</v>
      </c>
      <c r="Q48" s="161" t="s">
        <v>205</v>
      </c>
      <c r="R48" s="343">
        <v>0.78892949999999995</v>
      </c>
      <c r="S48" s="343"/>
      <c r="T48" s="343"/>
      <c r="U48" s="343"/>
      <c r="V48" s="343">
        <v>0.78892949999999995</v>
      </c>
      <c r="W48" s="258"/>
    </row>
    <row r="49" spans="2:23" ht="36">
      <c r="B49" s="157" t="s">
        <v>245</v>
      </c>
      <c r="C49" s="158" t="s">
        <v>245</v>
      </c>
      <c r="D49" s="156" t="s">
        <v>247</v>
      </c>
      <c r="E49" s="246">
        <v>0</v>
      </c>
      <c r="F49" s="246">
        <v>0</v>
      </c>
      <c r="G49" s="246">
        <f t="shared" si="3"/>
        <v>0</v>
      </c>
      <c r="H49" s="246"/>
      <c r="I49" s="339"/>
      <c r="J49" s="339"/>
      <c r="K49" s="339"/>
      <c r="L49" s="339"/>
      <c r="O49" s="344" t="s">
        <v>194</v>
      </c>
      <c r="P49" s="163" t="s">
        <v>225</v>
      </c>
      <c r="Q49" s="161" t="s">
        <v>226</v>
      </c>
      <c r="R49" s="343">
        <v>0</v>
      </c>
      <c r="S49" s="343"/>
      <c r="T49" s="343"/>
      <c r="U49" s="343"/>
      <c r="V49" s="343">
        <v>0</v>
      </c>
      <c r="W49" s="258"/>
    </row>
    <row r="50" spans="2:23" ht="36">
      <c r="B50" s="157" t="s">
        <v>245</v>
      </c>
      <c r="C50" s="158" t="s">
        <v>245</v>
      </c>
      <c r="D50" s="156" t="s">
        <v>248</v>
      </c>
      <c r="E50" s="246">
        <v>0</v>
      </c>
      <c r="F50" s="246">
        <v>0</v>
      </c>
      <c r="G50" s="246">
        <f t="shared" si="3"/>
        <v>0</v>
      </c>
      <c r="H50" s="246"/>
      <c r="I50" s="339"/>
      <c r="J50" s="339"/>
      <c r="K50" s="339"/>
      <c r="L50" s="339"/>
      <c r="O50" s="344" t="s">
        <v>194</v>
      </c>
      <c r="P50" s="163" t="s">
        <v>227</v>
      </c>
      <c r="Q50" s="161" t="s">
        <v>228</v>
      </c>
      <c r="R50" s="343">
        <v>0.93541574999999999</v>
      </c>
      <c r="S50" s="343"/>
      <c r="T50" s="343"/>
      <c r="U50" s="343"/>
      <c r="V50" s="343">
        <v>0.93541574999999999</v>
      </c>
      <c r="W50" s="258"/>
    </row>
    <row r="51" spans="2:23" ht="48">
      <c r="B51" s="157" t="s">
        <v>245</v>
      </c>
      <c r="C51" s="158" t="s">
        <v>245</v>
      </c>
      <c r="D51" s="156" t="s">
        <v>249</v>
      </c>
      <c r="E51" s="246">
        <v>0</v>
      </c>
      <c r="F51" s="246">
        <v>0</v>
      </c>
      <c r="G51" s="246">
        <f t="shared" si="3"/>
        <v>0</v>
      </c>
      <c r="H51" s="246"/>
      <c r="I51" s="339"/>
      <c r="J51" s="339"/>
      <c r="K51" s="339"/>
      <c r="L51" s="339"/>
      <c r="O51" s="344" t="s">
        <v>194</v>
      </c>
      <c r="P51" s="163" t="s">
        <v>229</v>
      </c>
      <c r="Q51" s="161" t="s">
        <v>209</v>
      </c>
      <c r="R51" s="343">
        <v>0.33853499999999997</v>
      </c>
      <c r="S51" s="343"/>
      <c r="T51" s="343"/>
      <c r="U51" s="343"/>
      <c r="V51" s="343">
        <v>0.33853499999999997</v>
      </c>
      <c r="W51" s="258"/>
    </row>
    <row r="52" spans="2:23" ht="36">
      <c r="B52" s="157" t="s">
        <v>245</v>
      </c>
      <c r="C52" s="158" t="s">
        <v>245</v>
      </c>
      <c r="D52" s="156" t="s">
        <v>250</v>
      </c>
      <c r="E52" s="246">
        <v>0</v>
      </c>
      <c r="F52" s="246">
        <v>0</v>
      </c>
      <c r="G52" s="246">
        <f t="shared" si="3"/>
        <v>0</v>
      </c>
      <c r="H52" s="246"/>
      <c r="I52" s="339"/>
      <c r="J52" s="339"/>
      <c r="K52" s="339"/>
      <c r="L52" s="339"/>
      <c r="O52" s="344" t="s">
        <v>194</v>
      </c>
      <c r="P52" s="345" t="s">
        <v>230</v>
      </c>
      <c r="Q52" s="161" t="s">
        <v>231</v>
      </c>
      <c r="R52" s="343">
        <v>0</v>
      </c>
      <c r="S52" s="343"/>
      <c r="T52" s="343"/>
      <c r="U52" s="343"/>
      <c r="V52" s="343">
        <v>0</v>
      </c>
      <c r="W52" s="258"/>
    </row>
    <row r="53" spans="2:23" ht="24">
      <c r="B53" s="157" t="s">
        <v>245</v>
      </c>
      <c r="C53" s="158" t="s">
        <v>245</v>
      </c>
      <c r="D53" s="156" t="s">
        <v>251</v>
      </c>
      <c r="E53" s="246">
        <v>0</v>
      </c>
      <c r="F53" s="246">
        <v>0</v>
      </c>
      <c r="G53" s="246">
        <f t="shared" si="3"/>
        <v>0</v>
      </c>
      <c r="H53" s="246"/>
      <c r="I53" s="339"/>
      <c r="J53" s="339"/>
      <c r="K53" s="339"/>
      <c r="L53" s="339"/>
      <c r="O53" s="165" t="s">
        <v>232</v>
      </c>
      <c r="P53" s="166" t="s">
        <v>233</v>
      </c>
      <c r="Q53" s="161" t="s">
        <v>234</v>
      </c>
      <c r="R53" s="343">
        <v>-4.7335000030734875E-8</v>
      </c>
      <c r="S53" s="343"/>
      <c r="T53" s="343"/>
      <c r="U53" s="343"/>
      <c r="V53" s="343">
        <v>-4.7335000030734875E-8</v>
      </c>
      <c r="W53" s="258"/>
    </row>
    <row r="54" spans="2:23" ht="24">
      <c r="B54" s="157" t="s">
        <v>245</v>
      </c>
      <c r="C54" s="158" t="s">
        <v>245</v>
      </c>
      <c r="D54" s="156" t="s">
        <v>252</v>
      </c>
      <c r="E54" s="246">
        <v>0</v>
      </c>
      <c r="F54" s="246">
        <v>0</v>
      </c>
      <c r="G54" s="246">
        <f t="shared" si="3"/>
        <v>0</v>
      </c>
      <c r="H54" s="246"/>
      <c r="I54" s="339"/>
      <c r="J54" s="339"/>
      <c r="K54" s="339"/>
      <c r="L54" s="339"/>
      <c r="O54" s="165" t="s">
        <v>232</v>
      </c>
      <c r="P54" s="166" t="s">
        <v>235</v>
      </c>
      <c r="Q54" s="161" t="s">
        <v>236</v>
      </c>
      <c r="R54" s="343">
        <v>2.9974530000000001</v>
      </c>
      <c r="S54" s="343"/>
      <c r="T54" s="343"/>
      <c r="U54" s="343"/>
      <c r="V54" s="343">
        <v>2.9974530000000001</v>
      </c>
      <c r="W54" s="258"/>
    </row>
    <row r="55" spans="2:23" ht="36">
      <c r="B55" s="225" t="s">
        <v>253</v>
      </c>
      <c r="C55" s="226" t="s">
        <v>254</v>
      </c>
      <c r="D55" s="156" t="s">
        <v>255</v>
      </c>
      <c r="E55" s="246">
        <v>-4.9000000000000002E-8</v>
      </c>
      <c r="F55" s="246">
        <v>0</v>
      </c>
      <c r="G55" s="246">
        <f t="shared" si="3"/>
        <v>-4.9000000000000002E-8</v>
      </c>
      <c r="H55" s="246"/>
      <c r="I55" s="339">
        <v>-4.9000000000000002E-8</v>
      </c>
      <c r="J55" s="339"/>
      <c r="K55" s="339"/>
      <c r="L55" s="339"/>
      <c r="O55" s="165" t="s">
        <v>232</v>
      </c>
      <c r="P55" s="166" t="s">
        <v>237</v>
      </c>
      <c r="Q55" s="161" t="s">
        <v>238</v>
      </c>
      <c r="R55" s="343">
        <v>0.20549031500000059</v>
      </c>
      <c r="S55" s="343">
        <v>0.20549031500000059</v>
      </c>
      <c r="T55" s="343"/>
      <c r="U55" s="343"/>
      <c r="V55" s="343"/>
      <c r="W55" s="258"/>
    </row>
    <row r="56" spans="2:23" ht="36">
      <c r="B56" s="225" t="s">
        <v>253</v>
      </c>
      <c r="C56" s="226" t="s">
        <v>256</v>
      </c>
      <c r="D56" s="156" t="s">
        <v>257</v>
      </c>
      <c r="E56" s="246">
        <v>14.295931400000001</v>
      </c>
      <c r="F56" s="246">
        <v>4.2911294361205483</v>
      </c>
      <c r="G56" s="246">
        <f t="shared" si="3"/>
        <v>10.004801963879451</v>
      </c>
      <c r="H56" s="246"/>
      <c r="I56" s="339"/>
      <c r="J56" s="339"/>
      <c r="K56" s="339">
        <f>G56</f>
        <v>10.004801963879451</v>
      </c>
      <c r="L56" s="339"/>
      <c r="O56" s="165" t="s">
        <v>232</v>
      </c>
      <c r="P56" s="166" t="s">
        <v>239</v>
      </c>
      <c r="Q56" s="161" t="s">
        <v>240</v>
      </c>
      <c r="R56" s="343">
        <v>0.74392825399999996</v>
      </c>
      <c r="S56" s="343"/>
      <c r="T56" s="343"/>
      <c r="U56" s="343"/>
      <c r="V56" s="343">
        <v>0.74392825399999996</v>
      </c>
      <c r="W56" s="258"/>
    </row>
    <row r="57" spans="2:23" ht="36">
      <c r="B57" s="225" t="s">
        <v>253</v>
      </c>
      <c r="C57" s="226" t="s">
        <v>258</v>
      </c>
      <c r="D57" s="156" t="s">
        <v>259</v>
      </c>
      <c r="E57" s="246">
        <v>2.8739636239999999</v>
      </c>
      <c r="F57" s="246">
        <v>0</v>
      </c>
      <c r="G57" s="246">
        <f t="shared" si="3"/>
        <v>2.8739636239999999</v>
      </c>
      <c r="H57" s="246"/>
      <c r="I57" s="339">
        <f>G57</f>
        <v>2.8739636239999999</v>
      </c>
      <c r="J57" s="339"/>
      <c r="K57" s="339"/>
      <c r="L57" s="339"/>
      <c r="O57" s="165" t="s">
        <v>232</v>
      </c>
      <c r="P57" s="166" t="s">
        <v>241</v>
      </c>
      <c r="Q57" s="161" t="s">
        <v>242</v>
      </c>
      <c r="R57" s="343">
        <v>0</v>
      </c>
      <c r="S57" s="343"/>
      <c r="T57" s="343"/>
      <c r="U57" s="343"/>
      <c r="V57" s="343"/>
      <c r="W57" s="258"/>
    </row>
    <row r="58" spans="2:23" ht="96">
      <c r="B58" s="225" t="s">
        <v>253</v>
      </c>
      <c r="C58" s="226" t="s">
        <v>260</v>
      </c>
      <c r="D58" s="156" t="s">
        <v>261</v>
      </c>
      <c r="E58" s="246">
        <v>5.5585218000000003</v>
      </c>
      <c r="F58" s="246">
        <v>0</v>
      </c>
      <c r="G58" s="246">
        <f t="shared" si="3"/>
        <v>5.5585218000000003</v>
      </c>
      <c r="H58" s="246"/>
      <c r="I58" s="339"/>
      <c r="J58" s="339"/>
      <c r="K58" s="339"/>
      <c r="L58" s="339">
        <f>G58</f>
        <v>5.5585218000000003</v>
      </c>
      <c r="O58" s="165" t="s">
        <v>232</v>
      </c>
      <c r="P58" s="167" t="s">
        <v>243</v>
      </c>
      <c r="Q58" s="161" t="s">
        <v>244</v>
      </c>
      <c r="R58" s="343">
        <v>0</v>
      </c>
      <c r="S58" s="343"/>
      <c r="T58" s="343"/>
      <c r="U58" s="343"/>
      <c r="V58" s="343"/>
      <c r="W58" s="258"/>
    </row>
    <row r="59" spans="2:23" ht="48">
      <c r="B59" s="225" t="s">
        <v>253</v>
      </c>
      <c r="C59" s="226" t="s">
        <v>262</v>
      </c>
      <c r="D59" s="156" t="s">
        <v>259</v>
      </c>
      <c r="E59" s="246">
        <v>0</v>
      </c>
      <c r="F59" s="246">
        <v>0</v>
      </c>
      <c r="G59" s="246">
        <f t="shared" si="3"/>
        <v>0</v>
      </c>
      <c r="H59" s="246"/>
      <c r="I59" s="339"/>
      <c r="J59" s="339"/>
      <c r="K59" s="339"/>
      <c r="L59" s="339"/>
      <c r="O59" s="165" t="s">
        <v>245</v>
      </c>
      <c r="P59" s="168" t="s">
        <v>245</v>
      </c>
      <c r="Q59" s="161" t="s">
        <v>246</v>
      </c>
      <c r="R59" s="343">
        <v>0</v>
      </c>
      <c r="S59" s="343"/>
      <c r="T59" s="343"/>
      <c r="U59" s="343"/>
      <c r="V59" s="343"/>
      <c r="W59" s="258"/>
    </row>
    <row r="60" spans="2:23" ht="48">
      <c r="B60" s="225" t="s">
        <v>253</v>
      </c>
      <c r="C60" s="226" t="s">
        <v>263</v>
      </c>
      <c r="D60" s="156" t="s">
        <v>259</v>
      </c>
      <c r="E60" s="246">
        <v>6.0735345000000001</v>
      </c>
      <c r="F60" s="246">
        <v>0</v>
      </c>
      <c r="G60" s="246">
        <f t="shared" si="3"/>
        <v>6.0735345000000001</v>
      </c>
      <c r="H60" s="246"/>
      <c r="I60" s="339"/>
      <c r="J60" s="339"/>
      <c r="K60" s="339"/>
      <c r="L60" s="339">
        <f>G60</f>
        <v>6.0735345000000001</v>
      </c>
      <c r="O60" s="165" t="s">
        <v>245</v>
      </c>
      <c r="P60" s="168" t="s">
        <v>245</v>
      </c>
      <c r="Q60" s="161" t="s">
        <v>247</v>
      </c>
      <c r="R60" s="343">
        <v>0</v>
      </c>
      <c r="S60" s="343"/>
      <c r="T60" s="343"/>
      <c r="U60" s="343"/>
      <c r="V60" s="343"/>
      <c r="W60" s="258"/>
    </row>
    <row r="61" spans="2:23" ht="48">
      <c r="B61" s="225" t="s">
        <v>253</v>
      </c>
      <c r="C61" s="226" t="s">
        <v>264</v>
      </c>
      <c r="D61" s="156" t="s">
        <v>265</v>
      </c>
      <c r="E61" s="246">
        <v>0.1579672</v>
      </c>
      <c r="F61" s="246">
        <v>0</v>
      </c>
      <c r="G61" s="246">
        <f t="shared" si="3"/>
        <v>0.1579672</v>
      </c>
      <c r="H61" s="246"/>
      <c r="I61" s="339"/>
      <c r="J61" s="339"/>
      <c r="K61" s="339"/>
      <c r="L61" s="339">
        <f>G61</f>
        <v>0.1579672</v>
      </c>
      <c r="O61" s="165" t="s">
        <v>245</v>
      </c>
      <c r="P61" s="168" t="s">
        <v>245</v>
      </c>
      <c r="Q61" s="161" t="s">
        <v>248</v>
      </c>
      <c r="R61" s="343">
        <v>0</v>
      </c>
      <c r="S61" s="343"/>
      <c r="T61" s="343"/>
      <c r="U61" s="343"/>
      <c r="V61" s="343"/>
      <c r="W61" s="258"/>
    </row>
    <row r="62" spans="2:23" ht="60">
      <c r="B62" s="225" t="s">
        <v>253</v>
      </c>
      <c r="C62" s="226" t="s">
        <v>266</v>
      </c>
      <c r="D62" s="156" t="s">
        <v>267</v>
      </c>
      <c r="E62" s="246">
        <v>0</v>
      </c>
      <c r="F62" s="246">
        <v>0</v>
      </c>
      <c r="G62" s="246">
        <f t="shared" si="3"/>
        <v>0</v>
      </c>
      <c r="H62" s="246"/>
      <c r="I62" s="339"/>
      <c r="J62" s="339"/>
      <c r="K62" s="339"/>
      <c r="L62" s="339"/>
      <c r="O62" s="165" t="s">
        <v>245</v>
      </c>
      <c r="P62" s="168" t="s">
        <v>245</v>
      </c>
      <c r="Q62" s="161" t="s">
        <v>249</v>
      </c>
      <c r="R62" s="343">
        <v>0</v>
      </c>
      <c r="S62" s="343"/>
      <c r="T62" s="343"/>
      <c r="U62" s="343"/>
      <c r="V62" s="343"/>
      <c r="W62" s="258"/>
    </row>
    <row r="63" spans="2:23" ht="48">
      <c r="B63" s="225" t="s">
        <v>253</v>
      </c>
      <c r="C63" s="226" t="s">
        <v>268</v>
      </c>
      <c r="D63" s="156" t="s">
        <v>265</v>
      </c>
      <c r="E63" s="246">
        <v>3.7345481999999999</v>
      </c>
      <c r="F63" s="246">
        <v>0</v>
      </c>
      <c r="G63" s="246">
        <f t="shared" si="3"/>
        <v>3.7345481999999999</v>
      </c>
      <c r="H63" s="246"/>
      <c r="I63" s="339"/>
      <c r="J63" s="339"/>
      <c r="K63" s="339"/>
      <c r="L63" s="339">
        <f>G63</f>
        <v>3.7345481999999999</v>
      </c>
      <c r="O63" s="165" t="s">
        <v>245</v>
      </c>
      <c r="P63" s="168" t="s">
        <v>245</v>
      </c>
      <c r="Q63" s="161" t="s">
        <v>250</v>
      </c>
      <c r="R63" s="343">
        <v>0</v>
      </c>
      <c r="S63" s="343"/>
      <c r="T63" s="343"/>
      <c r="U63" s="343"/>
      <c r="V63" s="343"/>
      <c r="W63" s="258"/>
    </row>
    <row r="64" spans="2:23" ht="24">
      <c r="B64" s="225" t="s">
        <v>253</v>
      </c>
      <c r="C64" s="226" t="s">
        <v>269</v>
      </c>
      <c r="D64" s="156" t="s">
        <v>270</v>
      </c>
      <c r="E64" s="246">
        <v>0</v>
      </c>
      <c r="F64" s="246">
        <v>0</v>
      </c>
      <c r="G64" s="246">
        <f t="shared" si="3"/>
        <v>0</v>
      </c>
      <c r="H64" s="246"/>
      <c r="I64" s="339"/>
      <c r="J64" s="339"/>
      <c r="K64" s="339"/>
      <c r="L64" s="339"/>
      <c r="O64" s="165" t="s">
        <v>245</v>
      </c>
      <c r="P64" s="168" t="s">
        <v>245</v>
      </c>
      <c r="Q64" s="161" t="s">
        <v>251</v>
      </c>
      <c r="R64" s="343">
        <v>0</v>
      </c>
      <c r="S64" s="343"/>
      <c r="T64" s="343"/>
      <c r="U64" s="343"/>
      <c r="V64" s="343"/>
      <c r="W64" s="258"/>
    </row>
    <row r="65" spans="2:23" ht="36">
      <c r="B65" s="157" t="s">
        <v>271</v>
      </c>
      <c r="C65" s="223" t="s">
        <v>272</v>
      </c>
      <c r="D65" s="156" t="s">
        <v>273</v>
      </c>
      <c r="E65" s="246">
        <v>-1.0000000000000001E-9</v>
      </c>
      <c r="F65" s="246">
        <v>0</v>
      </c>
      <c r="G65" s="246">
        <f t="shared" si="3"/>
        <v>-1.0000000000000001E-9</v>
      </c>
      <c r="H65" s="246"/>
      <c r="I65" s="339">
        <v>-1.0000000000000001E-9</v>
      </c>
      <c r="J65" s="339"/>
      <c r="K65" s="339"/>
      <c r="L65" s="339"/>
      <c r="O65" s="165" t="s">
        <v>245</v>
      </c>
      <c r="P65" s="168" t="s">
        <v>245</v>
      </c>
      <c r="Q65" s="161" t="s">
        <v>252</v>
      </c>
      <c r="R65" s="343">
        <v>0</v>
      </c>
      <c r="S65" s="343"/>
      <c r="T65" s="343"/>
      <c r="U65" s="343"/>
      <c r="V65" s="343"/>
      <c r="W65" s="258"/>
    </row>
    <row r="66" spans="2:23" ht="24">
      <c r="B66" s="157" t="s">
        <v>271</v>
      </c>
      <c r="C66" s="223" t="s">
        <v>274</v>
      </c>
      <c r="D66" s="156" t="s">
        <v>275</v>
      </c>
      <c r="E66" s="246">
        <v>5.1831459000000004</v>
      </c>
      <c r="F66" s="246">
        <v>4.5231459000000038</v>
      </c>
      <c r="G66" s="246">
        <f t="shared" si="3"/>
        <v>0.65999999999999659</v>
      </c>
      <c r="H66" s="246"/>
      <c r="I66" s="339">
        <f>G66</f>
        <v>0.65999999999999659</v>
      </c>
      <c r="J66" s="339"/>
      <c r="K66" s="339"/>
      <c r="L66" s="339"/>
      <c r="O66" s="169" t="s">
        <v>253</v>
      </c>
      <c r="P66" s="170" t="s">
        <v>254</v>
      </c>
      <c r="Q66" s="161" t="s">
        <v>255</v>
      </c>
      <c r="R66" s="343">
        <v>-4.9000000000000002E-8</v>
      </c>
      <c r="S66" s="343">
        <v>-4.9000000000000002E-8</v>
      </c>
      <c r="T66" s="343"/>
      <c r="U66" s="343"/>
      <c r="V66" s="343"/>
      <c r="W66" s="258"/>
    </row>
    <row r="67" spans="2:23" ht="48">
      <c r="B67" s="157" t="s">
        <v>271</v>
      </c>
      <c r="C67" s="223" t="s">
        <v>276</v>
      </c>
      <c r="D67" s="156" t="s">
        <v>277</v>
      </c>
      <c r="E67" s="246">
        <v>5.8050756000000003</v>
      </c>
      <c r="F67" s="246">
        <v>1.1050319251726026</v>
      </c>
      <c r="G67" s="246">
        <f t="shared" si="3"/>
        <v>4.7000436748273975</v>
      </c>
      <c r="H67" s="246"/>
      <c r="I67" s="339">
        <f>G67</f>
        <v>4.7000436748273975</v>
      </c>
      <c r="J67" s="339"/>
      <c r="K67" s="339"/>
      <c r="L67" s="339"/>
      <c r="O67" s="169" t="s">
        <v>253</v>
      </c>
      <c r="P67" s="170" t="s">
        <v>256</v>
      </c>
      <c r="Q67" s="161" t="s">
        <v>257</v>
      </c>
      <c r="R67" s="343">
        <v>10.004801963879451</v>
      </c>
      <c r="S67" s="343"/>
      <c r="T67" s="343"/>
      <c r="U67" s="343">
        <v>10.004801963879451</v>
      </c>
      <c r="V67" s="343"/>
      <c r="W67" s="258"/>
    </row>
    <row r="68" spans="2:23" ht="60">
      <c r="B68" s="157" t="s">
        <v>271</v>
      </c>
      <c r="C68" s="223" t="s">
        <v>278</v>
      </c>
      <c r="D68" s="156" t="s">
        <v>279</v>
      </c>
      <c r="E68" s="246">
        <v>3.888241904</v>
      </c>
      <c r="F68" s="246">
        <v>1.3471619210000021</v>
      </c>
      <c r="G68" s="246">
        <f t="shared" si="3"/>
        <v>2.5410799829999977</v>
      </c>
      <c r="H68" s="246"/>
      <c r="I68" s="339">
        <f>G68</f>
        <v>2.5410799829999977</v>
      </c>
      <c r="J68" s="339"/>
      <c r="K68" s="339"/>
      <c r="L68" s="339"/>
      <c r="O68" s="169" t="s">
        <v>253</v>
      </c>
      <c r="P68" s="170" t="s">
        <v>258</v>
      </c>
      <c r="Q68" s="161" t="s">
        <v>259</v>
      </c>
      <c r="R68" s="343">
        <v>2.8739636239999999</v>
      </c>
      <c r="S68" s="343">
        <v>2.8739636239999999</v>
      </c>
      <c r="T68" s="343"/>
      <c r="U68" s="343"/>
      <c r="V68" s="343"/>
      <c r="W68" s="258"/>
    </row>
    <row r="69" spans="2:23" ht="36">
      <c r="B69" s="157" t="s">
        <v>271</v>
      </c>
      <c r="C69" s="223" t="s">
        <v>280</v>
      </c>
      <c r="D69" s="156" t="s">
        <v>281</v>
      </c>
      <c r="E69" s="246">
        <v>0</v>
      </c>
      <c r="F69" s="246">
        <v>0</v>
      </c>
      <c r="G69" s="246">
        <f t="shared" si="3"/>
        <v>0</v>
      </c>
      <c r="H69" s="246"/>
      <c r="I69" s="339">
        <f>G69</f>
        <v>0</v>
      </c>
      <c r="J69" s="339"/>
      <c r="K69" s="339"/>
      <c r="L69" s="339"/>
      <c r="O69" s="169" t="s">
        <v>253</v>
      </c>
      <c r="P69" s="170" t="s">
        <v>260</v>
      </c>
      <c r="Q69" s="161" t="s">
        <v>261</v>
      </c>
      <c r="R69" s="343">
        <v>5.5585218000000003</v>
      </c>
      <c r="S69" s="343"/>
      <c r="T69" s="343"/>
      <c r="U69" s="343"/>
      <c r="V69" s="343">
        <v>5.5585218000000003</v>
      </c>
      <c r="W69" s="258"/>
    </row>
    <row r="70" spans="2:23" ht="60">
      <c r="B70" s="157" t="s">
        <v>271</v>
      </c>
      <c r="C70" s="223" t="s">
        <v>282</v>
      </c>
      <c r="D70" s="156" t="s">
        <v>283</v>
      </c>
      <c r="E70" s="246">
        <v>0</v>
      </c>
      <c r="F70" s="246">
        <v>-9.3837E-3</v>
      </c>
      <c r="G70" s="246">
        <f t="shared" si="3"/>
        <v>9.3837E-3</v>
      </c>
      <c r="H70" s="246"/>
      <c r="I70" s="339">
        <v>9.3837E-3</v>
      </c>
      <c r="J70" s="339"/>
      <c r="K70" s="339"/>
      <c r="L70" s="339"/>
      <c r="O70" s="169" t="s">
        <v>253</v>
      </c>
      <c r="P70" s="170" t="s">
        <v>262</v>
      </c>
      <c r="Q70" s="161" t="s">
        <v>259</v>
      </c>
      <c r="R70" s="343">
        <v>0</v>
      </c>
      <c r="S70" s="343"/>
      <c r="T70" s="343"/>
      <c r="U70" s="343"/>
      <c r="V70" s="343"/>
      <c r="W70" s="258"/>
    </row>
    <row r="71" spans="2:23" ht="60">
      <c r="B71" s="157" t="s">
        <v>271</v>
      </c>
      <c r="C71" s="223" t="s">
        <v>284</v>
      </c>
      <c r="D71" s="156" t="s">
        <v>279</v>
      </c>
      <c r="E71" s="246">
        <v>3.7531090570000001</v>
      </c>
      <c r="F71" s="246">
        <v>0.71442744460372598</v>
      </c>
      <c r="G71" s="246">
        <f t="shared" si="3"/>
        <v>3.0386816123962741</v>
      </c>
      <c r="H71" s="246"/>
      <c r="I71" s="339">
        <f>G71</f>
        <v>3.0386816123962741</v>
      </c>
      <c r="J71" s="339"/>
      <c r="K71" s="339"/>
      <c r="L71" s="339"/>
      <c r="O71" s="169" t="s">
        <v>253</v>
      </c>
      <c r="P71" s="170" t="s">
        <v>263</v>
      </c>
      <c r="Q71" s="161" t="s">
        <v>259</v>
      </c>
      <c r="R71" s="343">
        <v>6.0735345000000001</v>
      </c>
      <c r="S71" s="343"/>
      <c r="T71" s="343"/>
      <c r="U71" s="343"/>
      <c r="V71" s="343">
        <v>6.0735345000000001</v>
      </c>
      <c r="W71" s="258"/>
    </row>
    <row r="72" spans="2:23" ht="36">
      <c r="B72" s="157" t="s">
        <v>271</v>
      </c>
      <c r="C72" s="223" t="s">
        <v>285</v>
      </c>
      <c r="D72" s="156" t="s">
        <v>286</v>
      </c>
      <c r="E72" s="246">
        <v>0</v>
      </c>
      <c r="F72" s="246">
        <v>0</v>
      </c>
      <c r="G72" s="246">
        <f t="shared" si="3"/>
        <v>0</v>
      </c>
      <c r="H72" s="246"/>
      <c r="I72" s="339"/>
      <c r="J72" s="339"/>
      <c r="K72" s="339"/>
      <c r="L72" s="339"/>
      <c r="O72" s="169" t="s">
        <v>253</v>
      </c>
      <c r="P72" s="170" t="s">
        <v>264</v>
      </c>
      <c r="Q72" s="161" t="s">
        <v>265</v>
      </c>
      <c r="R72" s="343">
        <v>0.1579672</v>
      </c>
      <c r="S72" s="343"/>
      <c r="T72" s="343"/>
      <c r="U72" s="343"/>
      <c r="V72" s="343">
        <v>0.1579672</v>
      </c>
      <c r="W72" s="258"/>
    </row>
    <row r="73" spans="2:23" ht="60">
      <c r="B73" s="157" t="s">
        <v>271</v>
      </c>
      <c r="C73" s="223" t="s">
        <v>287</v>
      </c>
      <c r="D73" s="156" t="s">
        <v>288</v>
      </c>
      <c r="E73" s="246">
        <v>4.0000000000000001E-8</v>
      </c>
      <c r="F73" s="246">
        <v>0</v>
      </c>
      <c r="G73" s="246">
        <f t="shared" si="3"/>
        <v>4.0000000000000001E-8</v>
      </c>
      <c r="H73" s="246"/>
      <c r="I73" s="339">
        <v>4.0000000000000001E-8</v>
      </c>
      <c r="J73" s="339"/>
      <c r="K73" s="339"/>
      <c r="L73" s="339"/>
      <c r="O73" s="169" t="s">
        <v>253</v>
      </c>
      <c r="P73" s="170" t="s">
        <v>266</v>
      </c>
      <c r="Q73" s="161" t="s">
        <v>267</v>
      </c>
      <c r="R73" s="343">
        <v>0</v>
      </c>
      <c r="S73" s="343"/>
      <c r="T73" s="343"/>
      <c r="U73" s="343"/>
      <c r="V73" s="343"/>
      <c r="W73" s="258"/>
    </row>
    <row r="74" spans="2:23">
      <c r="B74" s="227" t="s">
        <v>271</v>
      </c>
      <c r="C74" s="228" t="s">
        <v>289</v>
      </c>
      <c r="D74" s="156">
        <v>0</v>
      </c>
      <c r="E74" s="246">
        <v>0</v>
      </c>
      <c r="F74" s="246">
        <v>0</v>
      </c>
      <c r="G74" s="246">
        <f t="shared" si="3"/>
        <v>0</v>
      </c>
      <c r="H74" s="246"/>
      <c r="I74" s="339"/>
      <c r="J74" s="339"/>
      <c r="K74" s="339"/>
      <c r="L74" s="339"/>
      <c r="O74" s="169" t="s">
        <v>253</v>
      </c>
      <c r="P74" s="170" t="s">
        <v>268</v>
      </c>
      <c r="Q74" s="161" t="s">
        <v>265</v>
      </c>
      <c r="R74" s="343">
        <v>3.7345481999999999</v>
      </c>
      <c r="S74" s="343"/>
      <c r="T74" s="343"/>
      <c r="U74" s="343"/>
      <c r="V74" s="343">
        <v>3.7345481999999999</v>
      </c>
      <c r="W74" s="258"/>
    </row>
    <row r="75" spans="2:23" ht="36">
      <c r="B75" s="249" t="s">
        <v>290</v>
      </c>
      <c r="C75" s="250" t="s">
        <v>291</v>
      </c>
      <c r="D75" s="156" t="s">
        <v>292</v>
      </c>
      <c r="E75" s="246">
        <v>16.154937779999994</v>
      </c>
      <c r="F75" s="246">
        <v>0</v>
      </c>
      <c r="G75" s="246">
        <f t="shared" si="3"/>
        <v>16.154937779999994</v>
      </c>
      <c r="H75" s="246">
        <v>1.69</v>
      </c>
      <c r="I75" s="339">
        <f>G75</f>
        <v>16.154937779999994</v>
      </c>
      <c r="J75" s="339"/>
      <c r="K75" s="339"/>
      <c r="L75" s="339"/>
      <c r="O75" s="169" t="s">
        <v>253</v>
      </c>
      <c r="P75" s="170" t="s">
        <v>269</v>
      </c>
      <c r="Q75" s="161" t="s">
        <v>270</v>
      </c>
      <c r="R75" s="343">
        <v>0</v>
      </c>
      <c r="S75" s="343"/>
      <c r="T75" s="343"/>
      <c r="U75" s="343"/>
      <c r="V75" s="343"/>
      <c r="W75" s="258"/>
    </row>
    <row r="76" spans="2:23" ht="36">
      <c r="B76" s="249" t="s">
        <v>290</v>
      </c>
      <c r="C76" s="250" t="s">
        <v>293</v>
      </c>
      <c r="D76" s="156" t="s">
        <v>294</v>
      </c>
      <c r="E76" s="246">
        <v>21.460275405202829</v>
      </c>
      <c r="F76" s="246">
        <v>0.57485869999999994</v>
      </c>
      <c r="G76" s="246">
        <f t="shared" si="3"/>
        <v>20.885416705202829</v>
      </c>
      <c r="H76" s="246"/>
      <c r="I76" s="339">
        <f>G76</f>
        <v>20.885416705202829</v>
      </c>
      <c r="J76" s="339"/>
      <c r="K76" s="339"/>
      <c r="L76" s="339"/>
      <c r="O76" s="165" t="s">
        <v>271</v>
      </c>
      <c r="P76" s="166" t="s">
        <v>272</v>
      </c>
      <c r="Q76" s="161" t="s">
        <v>273</v>
      </c>
      <c r="R76" s="343">
        <v>-1.0000000000000001E-9</v>
      </c>
      <c r="S76" s="343">
        <v>-1.0000000000000001E-9</v>
      </c>
      <c r="T76" s="343"/>
      <c r="U76" s="343"/>
      <c r="V76" s="343"/>
      <c r="W76" s="258"/>
    </row>
    <row r="77" spans="2:23">
      <c r="B77" s="249" t="s">
        <v>290</v>
      </c>
      <c r="C77" s="250" t="s">
        <v>295</v>
      </c>
      <c r="D77" s="156" t="s">
        <v>296</v>
      </c>
      <c r="E77" s="246">
        <v>7.2029375827799127</v>
      </c>
      <c r="F77" s="246">
        <v>7.0018313730000008</v>
      </c>
      <c r="G77" s="246">
        <f t="shared" si="3"/>
        <v>0.20110620977991189</v>
      </c>
      <c r="H77" s="246"/>
      <c r="I77" s="339">
        <f>G77</f>
        <v>0.20110620977991189</v>
      </c>
      <c r="J77" s="339"/>
      <c r="K77" s="339"/>
      <c r="L77" s="339"/>
      <c r="O77" s="165" t="s">
        <v>271</v>
      </c>
      <c r="P77" s="166" t="s">
        <v>274</v>
      </c>
      <c r="Q77" s="161" t="s">
        <v>275</v>
      </c>
      <c r="R77" s="343">
        <v>0.65999999999999659</v>
      </c>
      <c r="S77" s="343">
        <v>0.65999999999999659</v>
      </c>
      <c r="T77" s="343"/>
      <c r="U77" s="343"/>
      <c r="V77" s="343"/>
      <c r="W77" s="258"/>
    </row>
    <row r="78" spans="2:23" ht="24">
      <c r="B78" s="249" t="s">
        <v>290</v>
      </c>
      <c r="C78" s="250" t="s">
        <v>297</v>
      </c>
      <c r="D78" s="156" t="s">
        <v>294</v>
      </c>
      <c r="E78" s="246">
        <v>0.1291264266581755</v>
      </c>
      <c r="F78" s="246">
        <v>0.1291264266581755</v>
      </c>
      <c r="G78" s="246">
        <f t="shared" si="3"/>
        <v>0</v>
      </c>
      <c r="H78" s="246"/>
      <c r="I78" s="339"/>
      <c r="J78" s="339"/>
      <c r="K78" s="339"/>
      <c r="L78" s="339"/>
      <c r="O78" s="165" t="s">
        <v>271</v>
      </c>
      <c r="P78" s="166" t="s">
        <v>276</v>
      </c>
      <c r="Q78" s="161" t="s">
        <v>277</v>
      </c>
      <c r="R78" s="343">
        <v>4.7000436748273975</v>
      </c>
      <c r="S78" s="343">
        <v>4.7000436748273975</v>
      </c>
      <c r="T78" s="343"/>
      <c r="U78" s="343"/>
      <c r="V78" s="343"/>
      <c r="W78" s="258"/>
    </row>
    <row r="79" spans="2:23" ht="24">
      <c r="B79" s="249" t="s">
        <v>290</v>
      </c>
      <c r="C79" s="250" t="s">
        <v>298</v>
      </c>
      <c r="D79" s="156" t="s">
        <v>296</v>
      </c>
      <c r="E79" s="246">
        <v>13.149248800147602</v>
      </c>
      <c r="F79" s="246">
        <v>13.149248800000001</v>
      </c>
      <c r="G79" s="246">
        <f t="shared" si="3"/>
        <v>1.4760104249944561E-10</v>
      </c>
      <c r="H79" s="246"/>
      <c r="I79" s="339">
        <f t="shared" ref="I79:I86" si="8">G79</f>
        <v>1.4760104249944561E-10</v>
      </c>
      <c r="J79" s="339"/>
      <c r="K79" s="339"/>
      <c r="L79" s="339"/>
      <c r="O79" s="165" t="s">
        <v>271</v>
      </c>
      <c r="P79" s="166" t="s">
        <v>278</v>
      </c>
      <c r="Q79" s="161" t="s">
        <v>279</v>
      </c>
      <c r="R79" s="343">
        <v>2.5410799829999977</v>
      </c>
      <c r="S79" s="343">
        <v>2.5410799829999977</v>
      </c>
      <c r="T79" s="343"/>
      <c r="U79" s="343"/>
      <c r="V79" s="343"/>
      <c r="W79" s="258"/>
    </row>
    <row r="80" spans="2:23" ht="36">
      <c r="B80" s="249" t="s">
        <v>290</v>
      </c>
      <c r="C80" s="250" t="s">
        <v>299</v>
      </c>
      <c r="D80" s="156" t="s">
        <v>296</v>
      </c>
      <c r="E80" s="246">
        <v>7.0518741126241791</v>
      </c>
      <c r="F80" s="246">
        <v>3.8214019360775793</v>
      </c>
      <c r="G80" s="246">
        <f t="shared" si="3"/>
        <v>3.2304721765465998</v>
      </c>
      <c r="H80" s="246"/>
      <c r="I80" s="339">
        <f t="shared" si="8"/>
        <v>3.2304721765465998</v>
      </c>
      <c r="J80" s="339"/>
      <c r="K80" s="339"/>
      <c r="L80" s="339"/>
      <c r="O80" s="165" t="s">
        <v>271</v>
      </c>
      <c r="P80" s="166" t="s">
        <v>280</v>
      </c>
      <c r="Q80" s="161" t="s">
        <v>281</v>
      </c>
      <c r="R80" s="343">
        <v>0</v>
      </c>
      <c r="S80" s="343">
        <v>0</v>
      </c>
      <c r="T80" s="343"/>
      <c r="U80" s="343"/>
      <c r="V80" s="343"/>
      <c r="W80" s="258"/>
    </row>
    <row r="81" spans="2:23" ht="48">
      <c r="B81" s="249" t="s">
        <v>290</v>
      </c>
      <c r="C81" s="250" t="s">
        <v>300</v>
      </c>
      <c r="D81" s="156" t="s">
        <v>301</v>
      </c>
      <c r="E81" s="246">
        <v>6.9233641783699992E-2</v>
      </c>
      <c r="F81" s="246">
        <v>6.9233641783699992E-2</v>
      </c>
      <c r="G81" s="246">
        <f t="shared" ref="G81:G144" si="9">E81-F81</f>
        <v>0</v>
      </c>
      <c r="H81" s="246"/>
      <c r="I81" s="339">
        <f t="shared" si="8"/>
        <v>0</v>
      </c>
      <c r="J81" s="339"/>
      <c r="K81" s="339"/>
      <c r="L81" s="339"/>
      <c r="O81" s="165" t="s">
        <v>271</v>
      </c>
      <c r="P81" s="166" t="s">
        <v>282</v>
      </c>
      <c r="Q81" s="161" t="s">
        <v>283</v>
      </c>
      <c r="R81" s="343">
        <v>9.3837E-3</v>
      </c>
      <c r="S81" s="343">
        <v>9.3837E-3</v>
      </c>
      <c r="T81" s="343"/>
      <c r="U81" s="343"/>
      <c r="V81" s="343"/>
      <c r="W81" s="258"/>
    </row>
    <row r="82" spans="2:23" ht="48">
      <c r="B82" s="249" t="s">
        <v>290</v>
      </c>
      <c r="C82" s="250" t="s">
        <v>302</v>
      </c>
      <c r="D82" s="156" t="s">
        <v>303</v>
      </c>
      <c r="E82" s="246">
        <v>8.9999999999999996E-7</v>
      </c>
      <c r="F82" s="246">
        <v>0</v>
      </c>
      <c r="G82" s="246">
        <f t="shared" si="9"/>
        <v>8.9999999999999996E-7</v>
      </c>
      <c r="H82" s="246"/>
      <c r="I82" s="339">
        <f t="shared" si="8"/>
        <v>8.9999999999999996E-7</v>
      </c>
      <c r="J82" s="339"/>
      <c r="K82" s="339"/>
      <c r="L82" s="339"/>
      <c r="O82" s="165" t="s">
        <v>271</v>
      </c>
      <c r="P82" s="166" t="s">
        <v>284</v>
      </c>
      <c r="Q82" s="161" t="s">
        <v>279</v>
      </c>
      <c r="R82" s="343">
        <v>3.0386816123962741</v>
      </c>
      <c r="S82" s="343">
        <v>3.0386816123962741</v>
      </c>
      <c r="T82" s="343"/>
      <c r="U82" s="343"/>
      <c r="V82" s="343"/>
      <c r="W82" s="258"/>
    </row>
    <row r="83" spans="2:23" ht="48">
      <c r="B83" s="249" t="s">
        <v>290</v>
      </c>
      <c r="C83" s="250" t="s">
        <v>304</v>
      </c>
      <c r="D83" s="156" t="s">
        <v>292</v>
      </c>
      <c r="E83" s="246">
        <v>1.9611161019999999</v>
      </c>
      <c r="F83" s="246">
        <v>0</v>
      </c>
      <c r="G83" s="246">
        <f t="shared" si="9"/>
        <v>1.9611161019999999</v>
      </c>
      <c r="H83" s="246">
        <f>0.285</f>
        <v>0.28499999999999998</v>
      </c>
      <c r="I83" s="339">
        <f t="shared" si="8"/>
        <v>1.9611161019999999</v>
      </c>
      <c r="J83" s="339"/>
      <c r="K83" s="339"/>
      <c r="L83" s="339"/>
      <c r="O83" s="165" t="s">
        <v>271</v>
      </c>
      <c r="P83" s="166" t="s">
        <v>285</v>
      </c>
      <c r="Q83" s="161" t="s">
        <v>286</v>
      </c>
      <c r="R83" s="343">
        <v>0</v>
      </c>
      <c r="S83" s="343"/>
      <c r="T83" s="343"/>
      <c r="U83" s="343"/>
      <c r="V83" s="343"/>
      <c r="W83" s="258"/>
    </row>
    <row r="84" spans="2:23" ht="84">
      <c r="B84" s="249" t="s">
        <v>290</v>
      </c>
      <c r="C84" s="250" t="s">
        <v>305</v>
      </c>
      <c r="D84" s="156" t="s">
        <v>306</v>
      </c>
      <c r="E84" s="246">
        <v>1.7591544496999965</v>
      </c>
      <c r="F84" s="246">
        <v>0</v>
      </c>
      <c r="G84" s="246">
        <f t="shared" si="9"/>
        <v>1.7591544496999965</v>
      </c>
      <c r="H84" s="246"/>
      <c r="I84" s="339">
        <f t="shared" si="8"/>
        <v>1.7591544496999965</v>
      </c>
      <c r="J84" s="339"/>
      <c r="K84" s="339"/>
      <c r="L84" s="339"/>
      <c r="O84" s="165" t="s">
        <v>271</v>
      </c>
      <c r="P84" s="166" t="s">
        <v>287</v>
      </c>
      <c r="Q84" s="161" t="s">
        <v>288</v>
      </c>
      <c r="R84" s="343">
        <v>4.0000000000000001E-8</v>
      </c>
      <c r="S84" s="343">
        <v>4.0000000000000001E-8</v>
      </c>
      <c r="T84" s="343"/>
      <c r="U84" s="343"/>
      <c r="V84" s="343"/>
      <c r="W84" s="258"/>
    </row>
    <row r="85" spans="2:23" ht="48">
      <c r="B85" s="249" t="s">
        <v>290</v>
      </c>
      <c r="C85" s="250" t="s">
        <v>307</v>
      </c>
      <c r="D85" s="156" t="s">
        <v>306</v>
      </c>
      <c r="E85" s="246">
        <v>1.7723279940000001</v>
      </c>
      <c r="F85" s="246">
        <v>0</v>
      </c>
      <c r="G85" s="246">
        <f t="shared" si="9"/>
        <v>1.7723279940000001</v>
      </c>
      <c r="H85" s="246"/>
      <c r="I85" s="339">
        <f t="shared" si="8"/>
        <v>1.7723279940000001</v>
      </c>
      <c r="J85" s="339"/>
      <c r="K85" s="339"/>
      <c r="L85" s="339"/>
      <c r="O85" s="171" t="s">
        <v>271</v>
      </c>
      <c r="P85" s="172" t="s">
        <v>289</v>
      </c>
      <c r="Q85" s="161">
        <v>0</v>
      </c>
      <c r="R85" s="343">
        <v>0</v>
      </c>
      <c r="S85" s="343"/>
      <c r="T85" s="343"/>
      <c r="U85" s="343"/>
      <c r="V85" s="343"/>
      <c r="W85" s="258"/>
    </row>
    <row r="86" spans="2:23" ht="48">
      <c r="B86" s="249" t="s">
        <v>290</v>
      </c>
      <c r="C86" s="250" t="s">
        <v>308</v>
      </c>
      <c r="D86" s="156" t="s">
        <v>306</v>
      </c>
      <c r="E86" s="246">
        <v>5.4305448819999995</v>
      </c>
      <c r="F86" s="246">
        <v>0</v>
      </c>
      <c r="G86" s="246">
        <f t="shared" si="9"/>
        <v>5.4305448819999995</v>
      </c>
      <c r="H86" s="246"/>
      <c r="I86" s="339">
        <f t="shared" si="8"/>
        <v>5.4305448819999995</v>
      </c>
      <c r="J86" s="339"/>
      <c r="K86" s="339"/>
      <c r="L86" s="339"/>
      <c r="O86" s="344" t="s">
        <v>290</v>
      </c>
      <c r="P86" s="346" t="s">
        <v>291</v>
      </c>
      <c r="Q86" s="161" t="s">
        <v>292</v>
      </c>
      <c r="R86" s="343">
        <v>16.154937779999994</v>
      </c>
      <c r="S86" s="343">
        <v>16.154937779999994</v>
      </c>
      <c r="T86" s="343"/>
      <c r="U86" s="343"/>
      <c r="V86" s="343"/>
      <c r="W86" s="258"/>
    </row>
    <row r="87" spans="2:23" ht="48">
      <c r="B87" s="249" t="s">
        <v>290</v>
      </c>
      <c r="C87" s="250" t="s">
        <v>309</v>
      </c>
      <c r="D87" s="156" t="s">
        <v>310</v>
      </c>
      <c r="E87" s="246">
        <v>17.255725301694916</v>
      </c>
      <c r="F87" s="246">
        <v>0</v>
      </c>
      <c r="G87" s="246">
        <f t="shared" si="9"/>
        <v>17.255725301694916</v>
      </c>
      <c r="H87" s="246"/>
      <c r="I87" s="339"/>
      <c r="J87" s="339"/>
      <c r="K87" s="339"/>
      <c r="L87" s="339">
        <f t="shared" ref="L87:L92" si="10">G87</f>
        <v>17.255725301694916</v>
      </c>
      <c r="O87" s="344" t="s">
        <v>290</v>
      </c>
      <c r="P87" s="346" t="s">
        <v>293</v>
      </c>
      <c r="Q87" s="161" t="s">
        <v>294</v>
      </c>
      <c r="R87" s="343">
        <v>20.885416705202829</v>
      </c>
      <c r="S87" s="343">
        <v>20.885416705202829</v>
      </c>
      <c r="T87" s="343"/>
      <c r="U87" s="343"/>
      <c r="V87" s="343"/>
      <c r="W87" s="258"/>
    </row>
    <row r="88" spans="2:23" ht="48">
      <c r="B88" s="249" t="s">
        <v>290</v>
      </c>
      <c r="C88" s="229" t="s">
        <v>311</v>
      </c>
      <c r="D88" s="156" t="s">
        <v>310</v>
      </c>
      <c r="E88" s="246">
        <v>12.553772817266699</v>
      </c>
      <c r="F88" s="246">
        <v>0</v>
      </c>
      <c r="G88" s="246">
        <f t="shared" si="9"/>
        <v>12.553772817266699</v>
      </c>
      <c r="H88" s="246"/>
      <c r="I88" s="339"/>
      <c r="J88" s="339"/>
      <c r="K88" s="339"/>
      <c r="L88" s="339">
        <f t="shared" si="10"/>
        <v>12.553772817266699</v>
      </c>
      <c r="O88" s="344" t="s">
        <v>290</v>
      </c>
      <c r="P88" s="346" t="s">
        <v>295</v>
      </c>
      <c r="Q88" s="161" t="s">
        <v>296</v>
      </c>
      <c r="R88" s="343">
        <v>0.20110620977991189</v>
      </c>
      <c r="S88" s="343">
        <v>0.20110620977991189</v>
      </c>
      <c r="T88" s="343"/>
      <c r="U88" s="343"/>
      <c r="V88" s="343"/>
      <c r="W88" s="258"/>
    </row>
    <row r="89" spans="2:23" ht="60">
      <c r="B89" s="249" t="s">
        <v>290</v>
      </c>
      <c r="C89" s="250" t="s">
        <v>312</v>
      </c>
      <c r="D89" s="156" t="s">
        <v>310</v>
      </c>
      <c r="E89" s="246">
        <v>11.440566743988466</v>
      </c>
      <c r="F89" s="246">
        <v>0</v>
      </c>
      <c r="G89" s="246">
        <f t="shared" si="9"/>
        <v>11.440566743988466</v>
      </c>
      <c r="H89" s="246"/>
      <c r="I89" s="339"/>
      <c r="J89" s="339"/>
      <c r="K89" s="339"/>
      <c r="L89" s="339">
        <f t="shared" si="10"/>
        <v>11.440566743988466</v>
      </c>
      <c r="O89" s="344" t="s">
        <v>290</v>
      </c>
      <c r="P89" s="346" t="s">
        <v>297</v>
      </c>
      <c r="Q89" s="161" t="s">
        <v>294</v>
      </c>
      <c r="R89" s="343">
        <v>0</v>
      </c>
      <c r="S89" s="343"/>
      <c r="T89" s="343"/>
      <c r="U89" s="343"/>
      <c r="V89" s="343"/>
      <c r="W89" s="258"/>
    </row>
    <row r="90" spans="2:23" ht="48">
      <c r="B90" s="249" t="s">
        <v>290</v>
      </c>
      <c r="C90" s="250" t="s">
        <v>313</v>
      </c>
      <c r="D90" s="156" t="s">
        <v>310</v>
      </c>
      <c r="E90" s="246">
        <v>20.775285696800001</v>
      </c>
      <c r="F90" s="246">
        <v>0</v>
      </c>
      <c r="G90" s="246">
        <f t="shared" si="9"/>
        <v>20.775285696800001</v>
      </c>
      <c r="H90" s="246"/>
      <c r="I90" s="339"/>
      <c r="J90" s="339"/>
      <c r="K90" s="339"/>
      <c r="L90" s="339">
        <f t="shared" si="10"/>
        <v>20.775285696800001</v>
      </c>
      <c r="O90" s="344" t="s">
        <v>290</v>
      </c>
      <c r="P90" s="346" t="s">
        <v>298</v>
      </c>
      <c r="Q90" s="161" t="s">
        <v>296</v>
      </c>
      <c r="R90" s="343">
        <v>1.4760104249944561E-10</v>
      </c>
      <c r="S90" s="343">
        <v>1.4760104249944561E-10</v>
      </c>
      <c r="T90" s="343"/>
      <c r="U90" s="343"/>
      <c r="V90" s="343"/>
      <c r="W90" s="258"/>
    </row>
    <row r="91" spans="2:23" ht="48">
      <c r="B91" s="249" t="s">
        <v>290</v>
      </c>
      <c r="C91" s="250" t="s">
        <v>314</v>
      </c>
      <c r="D91" s="156" t="s">
        <v>310</v>
      </c>
      <c r="E91" s="246">
        <v>5.9401731908474602</v>
      </c>
      <c r="F91" s="246">
        <v>0</v>
      </c>
      <c r="G91" s="246">
        <f t="shared" si="9"/>
        <v>5.9401731908474602</v>
      </c>
      <c r="H91" s="246"/>
      <c r="I91" s="339"/>
      <c r="J91" s="339"/>
      <c r="K91" s="339"/>
      <c r="L91" s="339">
        <f t="shared" si="10"/>
        <v>5.9401731908474602</v>
      </c>
      <c r="O91" s="344" t="s">
        <v>290</v>
      </c>
      <c r="P91" s="346" t="s">
        <v>299</v>
      </c>
      <c r="Q91" s="161" t="s">
        <v>296</v>
      </c>
      <c r="R91" s="343">
        <v>3.2304721765465998</v>
      </c>
      <c r="S91" s="343">
        <v>3.2304721765465998</v>
      </c>
      <c r="T91" s="343"/>
      <c r="U91" s="343"/>
      <c r="V91" s="343"/>
      <c r="W91" s="258"/>
    </row>
    <row r="92" spans="2:23" ht="84">
      <c r="B92" s="249" t="s">
        <v>290</v>
      </c>
      <c r="C92" s="250" t="s">
        <v>315</v>
      </c>
      <c r="D92" s="156" t="s">
        <v>310</v>
      </c>
      <c r="E92" s="246">
        <v>5.8280719000000003</v>
      </c>
      <c r="F92" s="246">
        <v>0</v>
      </c>
      <c r="G92" s="246">
        <f t="shared" si="9"/>
        <v>5.8280719000000003</v>
      </c>
      <c r="H92" s="246"/>
      <c r="I92" s="339"/>
      <c r="J92" s="339"/>
      <c r="K92" s="339"/>
      <c r="L92" s="339">
        <f t="shared" si="10"/>
        <v>5.8280719000000003</v>
      </c>
      <c r="O92" s="344" t="s">
        <v>290</v>
      </c>
      <c r="P92" s="346" t="s">
        <v>300</v>
      </c>
      <c r="Q92" s="161" t="s">
        <v>301</v>
      </c>
      <c r="R92" s="343">
        <v>0</v>
      </c>
      <c r="S92" s="343">
        <v>0</v>
      </c>
      <c r="T92" s="343"/>
      <c r="U92" s="343"/>
      <c r="V92" s="343"/>
      <c r="W92" s="258"/>
    </row>
    <row r="93" spans="2:23" ht="84">
      <c r="B93" s="249" t="s">
        <v>316</v>
      </c>
      <c r="C93" s="248" t="s">
        <v>316</v>
      </c>
      <c r="D93" s="156" t="s">
        <v>317</v>
      </c>
      <c r="E93" s="246">
        <v>0</v>
      </c>
      <c r="F93" s="246">
        <v>0</v>
      </c>
      <c r="G93" s="246">
        <f t="shared" si="9"/>
        <v>0</v>
      </c>
      <c r="H93" s="246"/>
      <c r="I93" s="339"/>
      <c r="J93" s="339"/>
      <c r="K93" s="339"/>
      <c r="L93" s="339"/>
      <c r="O93" s="344" t="s">
        <v>290</v>
      </c>
      <c r="P93" s="346" t="s">
        <v>302</v>
      </c>
      <c r="Q93" s="161" t="s">
        <v>303</v>
      </c>
      <c r="R93" s="343">
        <v>8.9999999999999996E-7</v>
      </c>
      <c r="S93" s="343">
        <v>8.9999999999999996E-7</v>
      </c>
      <c r="T93" s="343"/>
      <c r="U93" s="343"/>
      <c r="V93" s="343"/>
      <c r="W93" s="258"/>
    </row>
    <row r="94" spans="2:23" ht="24">
      <c r="B94" s="249" t="s">
        <v>316</v>
      </c>
      <c r="C94" s="248" t="s">
        <v>316</v>
      </c>
      <c r="D94" s="156" t="s">
        <v>318</v>
      </c>
      <c r="E94" s="246">
        <v>0</v>
      </c>
      <c r="F94" s="246">
        <v>0</v>
      </c>
      <c r="G94" s="246">
        <f t="shared" si="9"/>
        <v>0</v>
      </c>
      <c r="H94" s="246"/>
      <c r="I94" s="339"/>
      <c r="J94" s="339"/>
      <c r="K94" s="339"/>
      <c r="L94" s="339"/>
      <c r="O94" s="344" t="s">
        <v>290</v>
      </c>
      <c r="P94" s="346" t="s">
        <v>304</v>
      </c>
      <c r="Q94" s="161" t="s">
        <v>292</v>
      </c>
      <c r="R94" s="343">
        <v>1.9611161019999999</v>
      </c>
      <c r="S94" s="343">
        <v>1.9611161019999999</v>
      </c>
      <c r="T94" s="343"/>
      <c r="U94" s="343"/>
      <c r="V94" s="343"/>
      <c r="W94" s="258"/>
    </row>
    <row r="95" spans="2:23" ht="72">
      <c r="B95" s="157" t="s">
        <v>245</v>
      </c>
      <c r="C95" s="158" t="s">
        <v>245</v>
      </c>
      <c r="D95" s="156" t="s">
        <v>319</v>
      </c>
      <c r="E95" s="246">
        <v>0</v>
      </c>
      <c r="F95" s="246">
        <v>0</v>
      </c>
      <c r="G95" s="246">
        <f t="shared" si="9"/>
        <v>0</v>
      </c>
      <c r="H95" s="246"/>
      <c r="I95" s="339"/>
      <c r="J95" s="339"/>
      <c r="K95" s="339"/>
      <c r="L95" s="339"/>
      <c r="O95" s="344" t="s">
        <v>290</v>
      </c>
      <c r="P95" s="346" t="s">
        <v>305</v>
      </c>
      <c r="Q95" s="161" t="s">
        <v>306</v>
      </c>
      <c r="R95" s="343">
        <v>1.7591544496999965</v>
      </c>
      <c r="S95" s="343">
        <v>1.7591544496999965</v>
      </c>
      <c r="T95" s="343"/>
      <c r="U95" s="343"/>
      <c r="V95" s="343"/>
      <c r="W95" s="258"/>
    </row>
    <row r="96" spans="2:23" ht="72">
      <c r="B96" s="157" t="s">
        <v>188</v>
      </c>
      <c r="C96" s="158" t="s">
        <v>320</v>
      </c>
      <c r="D96" s="156" t="s">
        <v>321</v>
      </c>
      <c r="E96" s="300">
        <v>5.1566233710000002</v>
      </c>
      <c r="F96" s="300">
        <v>5.1566233710000002</v>
      </c>
      <c r="G96" s="246">
        <f t="shared" si="9"/>
        <v>0</v>
      </c>
      <c r="H96" s="301">
        <v>0</v>
      </c>
      <c r="I96" s="340">
        <v>0</v>
      </c>
      <c r="J96" s="340">
        <v>0</v>
      </c>
      <c r="K96" s="340">
        <v>0</v>
      </c>
      <c r="L96" s="340">
        <v>0</v>
      </c>
      <c r="O96" s="344" t="s">
        <v>290</v>
      </c>
      <c r="P96" s="346" t="s">
        <v>307</v>
      </c>
      <c r="Q96" s="161" t="s">
        <v>306</v>
      </c>
      <c r="R96" s="343">
        <v>1.7723279940000001</v>
      </c>
      <c r="S96" s="343">
        <v>1.7723279940000001</v>
      </c>
      <c r="T96" s="343"/>
      <c r="U96" s="343"/>
      <c r="V96" s="343"/>
      <c r="W96" s="258"/>
    </row>
    <row r="97" spans="2:23" ht="72">
      <c r="B97" s="157" t="s">
        <v>188</v>
      </c>
      <c r="C97" s="158" t="s">
        <v>322</v>
      </c>
      <c r="D97" s="156" t="s">
        <v>323</v>
      </c>
      <c r="E97" s="300">
        <v>0</v>
      </c>
      <c r="F97" s="300">
        <v>0</v>
      </c>
      <c r="G97" s="246">
        <f t="shared" si="9"/>
        <v>0</v>
      </c>
      <c r="H97" s="301">
        <v>0</v>
      </c>
      <c r="I97" s="340">
        <v>0</v>
      </c>
      <c r="J97" s="340">
        <v>0</v>
      </c>
      <c r="K97" s="340">
        <v>0</v>
      </c>
      <c r="L97" s="340">
        <v>0</v>
      </c>
      <c r="O97" s="344" t="s">
        <v>290</v>
      </c>
      <c r="P97" s="346" t="s">
        <v>308</v>
      </c>
      <c r="Q97" s="161" t="s">
        <v>306</v>
      </c>
      <c r="R97" s="343">
        <v>5.4305448819999995</v>
      </c>
      <c r="S97" s="343">
        <v>5.4305448819999995</v>
      </c>
      <c r="T97" s="343"/>
      <c r="U97" s="343"/>
      <c r="V97" s="343"/>
      <c r="W97" s="258"/>
    </row>
    <row r="98" spans="2:23" ht="60" customHeight="1">
      <c r="B98" s="157" t="s">
        <v>188</v>
      </c>
      <c r="C98" s="158" t="s">
        <v>324</v>
      </c>
      <c r="D98" s="156" t="s">
        <v>190</v>
      </c>
      <c r="E98" s="300">
        <v>0</v>
      </c>
      <c r="F98" s="300">
        <v>0</v>
      </c>
      <c r="G98" s="246">
        <f t="shared" si="9"/>
        <v>0</v>
      </c>
      <c r="H98" s="301">
        <v>0</v>
      </c>
      <c r="I98" s="340">
        <v>0</v>
      </c>
      <c r="J98" s="340">
        <v>0</v>
      </c>
      <c r="K98" s="340">
        <v>0</v>
      </c>
      <c r="L98" s="340">
        <v>0</v>
      </c>
      <c r="O98" s="344" t="s">
        <v>290</v>
      </c>
      <c r="P98" s="346" t="s">
        <v>309</v>
      </c>
      <c r="Q98" s="161" t="s">
        <v>310</v>
      </c>
      <c r="R98" s="343">
        <v>17.255725301694916</v>
      </c>
      <c r="S98" s="343"/>
      <c r="T98" s="343"/>
      <c r="U98" s="343"/>
      <c r="V98" s="343">
        <v>17.255725301694916</v>
      </c>
      <c r="W98" s="258"/>
    </row>
    <row r="99" spans="2:23" ht="60" customHeight="1">
      <c r="B99" s="157" t="s">
        <v>188</v>
      </c>
      <c r="C99" s="158" t="s">
        <v>325</v>
      </c>
      <c r="D99" s="156" t="s">
        <v>190</v>
      </c>
      <c r="E99" s="300">
        <v>0</v>
      </c>
      <c r="F99" s="300">
        <v>0</v>
      </c>
      <c r="G99" s="246">
        <f t="shared" si="9"/>
        <v>0</v>
      </c>
      <c r="H99" s="301">
        <v>0</v>
      </c>
      <c r="I99" s="340">
        <v>0</v>
      </c>
      <c r="J99" s="340">
        <v>0</v>
      </c>
      <c r="K99" s="340">
        <v>0</v>
      </c>
      <c r="L99" s="340">
        <v>0</v>
      </c>
      <c r="O99" s="344" t="s">
        <v>290</v>
      </c>
      <c r="P99" s="174" t="s">
        <v>311</v>
      </c>
      <c r="Q99" s="161" t="s">
        <v>310</v>
      </c>
      <c r="R99" s="343">
        <v>12.553772817266699</v>
      </c>
      <c r="S99" s="343"/>
      <c r="T99" s="343"/>
      <c r="U99" s="343"/>
      <c r="V99" s="343">
        <v>12.553772817266699</v>
      </c>
      <c r="W99" s="258"/>
    </row>
    <row r="100" spans="2:23" ht="60" customHeight="1">
      <c r="B100" s="157" t="s">
        <v>188</v>
      </c>
      <c r="C100" s="158" t="s">
        <v>326</v>
      </c>
      <c r="D100" s="156" t="s">
        <v>190</v>
      </c>
      <c r="E100" s="300">
        <v>0</v>
      </c>
      <c r="F100" s="300">
        <v>0</v>
      </c>
      <c r="G100" s="246">
        <f t="shared" si="9"/>
        <v>0</v>
      </c>
      <c r="H100" s="301">
        <v>0</v>
      </c>
      <c r="I100" s="340">
        <v>0</v>
      </c>
      <c r="J100" s="340">
        <v>0</v>
      </c>
      <c r="K100" s="340">
        <v>0</v>
      </c>
      <c r="L100" s="340">
        <v>0</v>
      </c>
      <c r="O100" s="344" t="s">
        <v>290</v>
      </c>
      <c r="P100" s="346" t="s">
        <v>312</v>
      </c>
      <c r="Q100" s="161" t="s">
        <v>310</v>
      </c>
      <c r="R100" s="343">
        <v>11.440566743988466</v>
      </c>
      <c r="S100" s="343"/>
      <c r="T100" s="343"/>
      <c r="U100" s="343"/>
      <c r="V100" s="343">
        <v>11.440566743988466</v>
      </c>
      <c r="W100" s="258"/>
    </row>
    <row r="101" spans="2:23" ht="60" customHeight="1">
      <c r="B101" s="157" t="s">
        <v>188</v>
      </c>
      <c r="C101" s="158" t="s">
        <v>327</v>
      </c>
      <c r="D101" s="156" t="s">
        <v>190</v>
      </c>
      <c r="E101" s="300">
        <v>0</v>
      </c>
      <c r="F101" s="300">
        <v>0</v>
      </c>
      <c r="G101" s="246">
        <f t="shared" si="9"/>
        <v>0</v>
      </c>
      <c r="H101" s="301">
        <v>0</v>
      </c>
      <c r="I101" s="340">
        <v>0</v>
      </c>
      <c r="J101" s="340">
        <v>0</v>
      </c>
      <c r="K101" s="340">
        <v>0</v>
      </c>
      <c r="L101" s="340">
        <v>0</v>
      </c>
      <c r="O101" s="344" t="s">
        <v>290</v>
      </c>
      <c r="P101" s="346" t="s">
        <v>313</v>
      </c>
      <c r="Q101" s="161" t="s">
        <v>310</v>
      </c>
      <c r="R101" s="343">
        <v>20.775285696800001</v>
      </c>
      <c r="S101" s="343"/>
      <c r="T101" s="343"/>
      <c r="U101" s="343"/>
      <c r="V101" s="343">
        <v>20.775285696800001</v>
      </c>
      <c r="W101" s="258"/>
    </row>
    <row r="102" spans="2:23" ht="60" customHeight="1">
      <c r="B102" s="157" t="s">
        <v>194</v>
      </c>
      <c r="C102" s="158" t="s">
        <v>328</v>
      </c>
      <c r="D102" s="156" t="s">
        <v>199</v>
      </c>
      <c r="E102" s="300">
        <v>0</v>
      </c>
      <c r="F102" s="300">
        <v>0</v>
      </c>
      <c r="G102" s="246">
        <f t="shared" si="9"/>
        <v>0</v>
      </c>
      <c r="H102" s="301">
        <v>0</v>
      </c>
      <c r="I102" s="340">
        <v>0</v>
      </c>
      <c r="J102" s="340">
        <v>0</v>
      </c>
      <c r="K102" s="340">
        <v>0</v>
      </c>
      <c r="L102" s="340">
        <v>0</v>
      </c>
      <c r="O102" s="344" t="s">
        <v>290</v>
      </c>
      <c r="P102" s="346" t="s">
        <v>314</v>
      </c>
      <c r="Q102" s="161" t="s">
        <v>310</v>
      </c>
      <c r="R102" s="343">
        <v>5.9401731908474602</v>
      </c>
      <c r="S102" s="343"/>
      <c r="T102" s="343"/>
      <c r="U102" s="343"/>
      <c r="V102" s="343">
        <v>5.9401731908474602</v>
      </c>
      <c r="W102" s="258"/>
    </row>
    <row r="103" spans="2:23" ht="60" customHeight="1">
      <c r="B103" s="157" t="s">
        <v>194</v>
      </c>
      <c r="C103" s="158" t="s">
        <v>329</v>
      </c>
      <c r="D103" s="156" t="s">
        <v>330</v>
      </c>
      <c r="E103" s="300">
        <v>0</v>
      </c>
      <c r="F103" s="300">
        <v>0</v>
      </c>
      <c r="G103" s="246">
        <f t="shared" si="9"/>
        <v>0</v>
      </c>
      <c r="H103" s="301">
        <v>0</v>
      </c>
      <c r="I103" s="340">
        <v>0</v>
      </c>
      <c r="J103" s="340">
        <v>0</v>
      </c>
      <c r="K103" s="340">
        <v>0</v>
      </c>
      <c r="L103" s="340">
        <v>0</v>
      </c>
      <c r="O103" s="344" t="s">
        <v>290</v>
      </c>
      <c r="P103" s="346" t="s">
        <v>315</v>
      </c>
      <c r="Q103" s="161" t="s">
        <v>310</v>
      </c>
      <c r="R103" s="343">
        <v>5.8280719000000003</v>
      </c>
      <c r="S103" s="343"/>
      <c r="T103" s="343"/>
      <c r="U103" s="343"/>
      <c r="V103" s="343">
        <v>5.8280719000000003</v>
      </c>
      <c r="W103" s="258"/>
    </row>
    <row r="104" spans="2:23" ht="48">
      <c r="B104" s="157" t="s">
        <v>194</v>
      </c>
      <c r="C104" s="158" t="s">
        <v>331</v>
      </c>
      <c r="D104" s="156" t="s">
        <v>332</v>
      </c>
      <c r="E104" s="300">
        <v>1.3995323</v>
      </c>
      <c r="F104" s="300">
        <v>1.3995323</v>
      </c>
      <c r="G104" s="246">
        <f t="shared" si="9"/>
        <v>0</v>
      </c>
      <c r="H104" s="301">
        <v>0</v>
      </c>
      <c r="I104" s="340">
        <v>0</v>
      </c>
      <c r="J104" s="340">
        <v>0</v>
      </c>
      <c r="K104" s="340">
        <v>0</v>
      </c>
      <c r="L104" s="340">
        <v>0</v>
      </c>
      <c r="O104" s="484" t="s">
        <v>21</v>
      </c>
      <c r="P104" s="484"/>
      <c r="Q104" s="484"/>
      <c r="R104" s="348">
        <f>SUM(R28:R103)</f>
        <v>305.3443940517426</v>
      </c>
      <c r="S104" s="348">
        <f t="shared" ref="S104:V104" si="11">SUM(S28:S103)</f>
        <v>63.330441698600602</v>
      </c>
      <c r="T104" s="348">
        <f t="shared" si="11"/>
        <v>9.7676751000000017</v>
      </c>
      <c r="U104" s="348">
        <f t="shared" si="11"/>
        <v>10.004801963879451</v>
      </c>
      <c r="V104" s="348">
        <f t="shared" si="11"/>
        <v>222.24147528926255</v>
      </c>
      <c r="W104" s="258"/>
    </row>
    <row r="105" spans="2:23">
      <c r="B105" s="157" t="s">
        <v>194</v>
      </c>
      <c r="C105" s="158" t="s">
        <v>333</v>
      </c>
      <c r="D105" s="156" t="s">
        <v>334</v>
      </c>
      <c r="E105" s="300">
        <v>0.75336999999999998</v>
      </c>
      <c r="F105" s="300">
        <v>0.75336999999999998</v>
      </c>
      <c r="G105" s="246">
        <f t="shared" si="9"/>
        <v>0</v>
      </c>
      <c r="H105" s="301">
        <v>0</v>
      </c>
      <c r="I105" s="340">
        <v>0</v>
      </c>
      <c r="J105" s="340">
        <v>0</v>
      </c>
      <c r="K105" s="340">
        <v>0</v>
      </c>
      <c r="L105" s="340">
        <v>0</v>
      </c>
      <c r="O105" s="341"/>
      <c r="P105" s="342"/>
      <c r="Q105" s="159"/>
      <c r="R105" s="258"/>
      <c r="S105" s="258"/>
      <c r="T105" s="258"/>
      <c r="U105" s="258"/>
      <c r="V105" s="258"/>
      <c r="W105" s="258"/>
    </row>
    <row r="106" spans="2:23">
      <c r="B106" s="157" t="s">
        <v>194</v>
      </c>
      <c r="C106" s="158" t="s">
        <v>335</v>
      </c>
      <c r="D106" s="156" t="s">
        <v>334</v>
      </c>
      <c r="E106" s="300">
        <v>0.55647760000000002</v>
      </c>
      <c r="F106" s="300">
        <v>0.55647760000000002</v>
      </c>
      <c r="G106" s="246">
        <f t="shared" si="9"/>
        <v>0</v>
      </c>
      <c r="H106" s="301">
        <v>0</v>
      </c>
      <c r="I106" s="340">
        <v>0</v>
      </c>
      <c r="J106" s="340">
        <v>0</v>
      </c>
      <c r="K106" s="340">
        <v>0</v>
      </c>
      <c r="L106" s="340">
        <v>0</v>
      </c>
      <c r="O106" s="157"/>
      <c r="P106" s="158"/>
      <c r="Q106" s="156"/>
      <c r="R106" s="258"/>
      <c r="S106" s="258"/>
      <c r="T106" s="258"/>
      <c r="U106" s="258"/>
      <c r="V106" s="258"/>
      <c r="W106" s="258"/>
    </row>
    <row r="107" spans="2:23">
      <c r="B107" s="157" t="s">
        <v>194</v>
      </c>
      <c r="C107" s="158" t="s">
        <v>336</v>
      </c>
      <c r="D107" s="156" t="s">
        <v>334</v>
      </c>
      <c r="E107" s="300">
        <v>0.44349569999999999</v>
      </c>
      <c r="F107" s="300">
        <v>0.44349569999999999</v>
      </c>
      <c r="G107" s="246">
        <f t="shared" si="9"/>
        <v>0</v>
      </c>
      <c r="H107" s="301">
        <v>0</v>
      </c>
      <c r="I107" s="340">
        <v>0</v>
      </c>
      <c r="J107" s="340">
        <v>0</v>
      </c>
      <c r="K107" s="340">
        <v>0</v>
      </c>
      <c r="L107" s="340">
        <v>0</v>
      </c>
      <c r="O107" s="157"/>
      <c r="P107" s="158"/>
      <c r="Q107" s="156"/>
      <c r="R107" s="258"/>
      <c r="S107" s="258"/>
      <c r="T107" s="258"/>
      <c r="U107" s="258"/>
      <c r="V107" s="258"/>
      <c r="W107" s="258"/>
    </row>
    <row r="108" spans="2:23">
      <c r="B108" s="157" t="s">
        <v>194</v>
      </c>
      <c r="C108" s="158" t="s">
        <v>337</v>
      </c>
      <c r="D108" s="156" t="s">
        <v>334</v>
      </c>
      <c r="E108" s="300">
        <v>0.40873500000000001</v>
      </c>
      <c r="F108" s="300">
        <v>0.40873500000000001</v>
      </c>
      <c r="G108" s="246">
        <f t="shared" si="9"/>
        <v>0</v>
      </c>
      <c r="H108" s="301">
        <v>0</v>
      </c>
      <c r="I108" s="340">
        <v>0</v>
      </c>
      <c r="J108" s="340">
        <v>0</v>
      </c>
      <c r="K108" s="340">
        <v>0</v>
      </c>
      <c r="L108" s="340">
        <v>0</v>
      </c>
      <c r="O108" s="157"/>
      <c r="P108" s="158"/>
      <c r="Q108" s="156"/>
      <c r="R108" s="258"/>
      <c r="S108" s="258"/>
      <c r="T108" s="258"/>
      <c r="U108" s="258"/>
      <c r="V108" s="258"/>
      <c r="W108" s="258"/>
    </row>
    <row r="109" spans="2:23">
      <c r="B109" s="157" t="s">
        <v>194</v>
      </c>
      <c r="C109" s="158" t="s">
        <v>338</v>
      </c>
      <c r="D109" s="156" t="s">
        <v>334</v>
      </c>
      <c r="E109" s="300">
        <v>0.37879620000000003</v>
      </c>
      <c r="F109" s="300">
        <v>0.37879620000000003</v>
      </c>
      <c r="G109" s="246">
        <f t="shared" si="9"/>
        <v>0</v>
      </c>
      <c r="H109" s="301">
        <v>0</v>
      </c>
      <c r="I109" s="340">
        <v>0</v>
      </c>
      <c r="J109" s="340">
        <v>0</v>
      </c>
      <c r="K109" s="340">
        <v>0</v>
      </c>
      <c r="L109" s="340">
        <v>0</v>
      </c>
      <c r="O109" s="157"/>
      <c r="P109" s="158"/>
      <c r="Q109" s="156"/>
      <c r="R109" s="258"/>
      <c r="S109" s="258"/>
      <c r="T109" s="258"/>
      <c r="U109" s="258"/>
      <c r="V109" s="258"/>
      <c r="W109" s="258"/>
    </row>
    <row r="110" spans="2:23">
      <c r="B110" s="157" t="s">
        <v>194</v>
      </c>
      <c r="C110" s="158" t="s">
        <v>339</v>
      </c>
      <c r="D110" s="156" t="s">
        <v>334</v>
      </c>
      <c r="E110" s="300">
        <v>0.32868629999999999</v>
      </c>
      <c r="F110" s="300">
        <v>0.32868629999999999</v>
      </c>
      <c r="G110" s="246">
        <f t="shared" si="9"/>
        <v>0</v>
      </c>
      <c r="H110" s="301">
        <v>0</v>
      </c>
      <c r="I110" s="340">
        <v>0</v>
      </c>
      <c r="J110" s="340">
        <v>0</v>
      </c>
      <c r="K110" s="340">
        <v>0</v>
      </c>
      <c r="L110" s="340">
        <v>0</v>
      </c>
      <c r="O110" s="157"/>
      <c r="P110" s="158"/>
      <c r="Q110" s="156"/>
      <c r="R110" s="258"/>
      <c r="S110" s="258"/>
      <c r="T110" s="258"/>
      <c r="U110" s="258"/>
      <c r="V110" s="258"/>
      <c r="W110" s="258"/>
    </row>
    <row r="111" spans="2:23">
      <c r="B111" s="157" t="s">
        <v>194</v>
      </c>
      <c r="C111" s="158" t="s">
        <v>340</v>
      </c>
      <c r="D111" s="156" t="s">
        <v>334</v>
      </c>
      <c r="E111" s="300">
        <v>0.2318199</v>
      </c>
      <c r="F111" s="300">
        <v>0.2318199</v>
      </c>
      <c r="G111" s="246">
        <f t="shared" si="9"/>
        <v>0</v>
      </c>
      <c r="H111" s="301">
        <v>0</v>
      </c>
      <c r="I111" s="340">
        <v>0</v>
      </c>
      <c r="J111" s="340">
        <v>0</v>
      </c>
      <c r="K111" s="340">
        <v>0</v>
      </c>
      <c r="L111" s="340">
        <v>0</v>
      </c>
      <c r="O111" s="157"/>
      <c r="P111" s="158"/>
      <c r="Q111" s="156"/>
      <c r="R111" s="258"/>
      <c r="S111" s="258"/>
      <c r="T111" s="258"/>
      <c r="U111" s="258"/>
      <c r="V111" s="258"/>
      <c r="W111" s="258"/>
    </row>
    <row r="112" spans="2:23">
      <c r="B112" s="157" t="s">
        <v>194</v>
      </c>
      <c r="C112" s="158" t="s">
        <v>341</v>
      </c>
      <c r="D112" s="156" t="s">
        <v>334</v>
      </c>
      <c r="E112" s="300">
        <v>0.22871089999999999</v>
      </c>
      <c r="F112" s="300">
        <v>0.22871089999999999</v>
      </c>
      <c r="G112" s="246">
        <f t="shared" si="9"/>
        <v>0</v>
      </c>
      <c r="H112" s="301">
        <v>0</v>
      </c>
      <c r="I112" s="340">
        <v>0</v>
      </c>
      <c r="J112" s="340">
        <v>0</v>
      </c>
      <c r="K112" s="340">
        <v>0</v>
      </c>
      <c r="L112" s="340">
        <v>0</v>
      </c>
      <c r="O112" s="157"/>
      <c r="P112" s="158"/>
      <c r="Q112" s="156"/>
      <c r="R112" s="258"/>
      <c r="S112" s="258"/>
      <c r="T112" s="258"/>
      <c r="U112" s="258"/>
      <c r="V112" s="258"/>
      <c r="W112" s="258"/>
    </row>
    <row r="113" spans="2:23">
      <c r="B113" s="157" t="s">
        <v>194</v>
      </c>
      <c r="C113" s="158" t="s">
        <v>342</v>
      </c>
      <c r="D113" s="156" t="s">
        <v>334</v>
      </c>
      <c r="E113" s="300">
        <v>0.21385779999999999</v>
      </c>
      <c r="F113" s="300">
        <v>0.21385779999999999</v>
      </c>
      <c r="G113" s="246">
        <f t="shared" si="9"/>
        <v>0</v>
      </c>
      <c r="H113" s="301">
        <v>0</v>
      </c>
      <c r="I113" s="340">
        <v>0</v>
      </c>
      <c r="J113" s="340">
        <v>0</v>
      </c>
      <c r="K113" s="340">
        <v>0</v>
      </c>
      <c r="L113" s="340">
        <v>0</v>
      </c>
      <c r="O113" s="157"/>
      <c r="P113" s="158"/>
      <c r="Q113" s="156"/>
      <c r="R113" s="258"/>
      <c r="S113" s="258"/>
      <c r="T113" s="258"/>
      <c r="U113" s="258"/>
      <c r="V113" s="258"/>
      <c r="W113" s="258"/>
    </row>
    <row r="114" spans="2:23">
      <c r="B114" s="157" t="s">
        <v>194</v>
      </c>
      <c r="C114" s="158" t="s">
        <v>343</v>
      </c>
      <c r="D114" s="156" t="s">
        <v>334</v>
      </c>
      <c r="E114" s="300">
        <v>0.21324899999999999</v>
      </c>
      <c r="F114" s="300">
        <v>0.21324899999999999</v>
      </c>
      <c r="G114" s="246">
        <f t="shared" si="9"/>
        <v>0</v>
      </c>
      <c r="H114" s="301">
        <v>0</v>
      </c>
      <c r="I114" s="340">
        <v>0</v>
      </c>
      <c r="J114" s="340">
        <v>0</v>
      </c>
      <c r="K114" s="340">
        <v>0</v>
      </c>
      <c r="L114" s="340">
        <v>0</v>
      </c>
      <c r="O114" s="157"/>
      <c r="P114" s="158"/>
      <c r="Q114" s="156"/>
      <c r="R114" s="258"/>
      <c r="S114" s="258"/>
      <c r="T114" s="258"/>
      <c r="U114" s="258"/>
      <c r="V114" s="258"/>
      <c r="W114" s="258"/>
    </row>
    <row r="115" spans="2:23">
      <c r="B115" s="157" t="s">
        <v>194</v>
      </c>
      <c r="C115" s="158" t="s">
        <v>344</v>
      </c>
      <c r="D115" s="156" t="s">
        <v>334</v>
      </c>
      <c r="E115" s="300">
        <v>0.21254210000000001</v>
      </c>
      <c r="F115" s="300">
        <v>0.21254210000000001</v>
      </c>
      <c r="G115" s="246">
        <f t="shared" si="9"/>
        <v>0</v>
      </c>
      <c r="H115" s="301">
        <v>0</v>
      </c>
      <c r="I115" s="340">
        <v>0</v>
      </c>
      <c r="J115" s="340">
        <v>0</v>
      </c>
      <c r="K115" s="340">
        <v>0</v>
      </c>
      <c r="L115" s="340">
        <v>0</v>
      </c>
      <c r="O115" s="157"/>
      <c r="P115" s="158"/>
      <c r="Q115" s="156"/>
      <c r="R115" s="258"/>
      <c r="S115" s="258"/>
      <c r="T115" s="258"/>
      <c r="U115" s="258"/>
      <c r="V115" s="258"/>
      <c r="W115" s="258"/>
    </row>
    <row r="116" spans="2:23">
      <c r="B116" s="157" t="s">
        <v>194</v>
      </c>
      <c r="C116" s="158" t="s">
        <v>345</v>
      </c>
      <c r="D116" s="156" t="s">
        <v>334</v>
      </c>
      <c r="E116" s="300">
        <v>0.1990431</v>
      </c>
      <c r="F116" s="300">
        <v>0.1990431</v>
      </c>
      <c r="G116" s="246">
        <f t="shared" si="9"/>
        <v>0</v>
      </c>
      <c r="H116" s="301">
        <v>0</v>
      </c>
      <c r="I116" s="340">
        <v>0</v>
      </c>
      <c r="J116" s="340">
        <v>0</v>
      </c>
      <c r="K116" s="340">
        <v>0</v>
      </c>
      <c r="L116" s="340">
        <v>0</v>
      </c>
      <c r="O116" s="157"/>
      <c r="P116" s="158"/>
      <c r="Q116" s="156"/>
      <c r="R116" s="258"/>
      <c r="S116" s="258"/>
      <c r="T116" s="258"/>
      <c r="U116" s="258"/>
      <c r="V116" s="258"/>
      <c r="W116" s="258"/>
    </row>
    <row r="117" spans="2:23">
      <c r="B117" s="157" t="s">
        <v>194</v>
      </c>
      <c r="C117" s="158" t="s">
        <v>346</v>
      </c>
      <c r="D117" s="156" t="s">
        <v>334</v>
      </c>
      <c r="E117" s="300">
        <v>0.15839719999999999</v>
      </c>
      <c r="F117" s="300">
        <v>0.15839719999999999</v>
      </c>
      <c r="G117" s="246">
        <f t="shared" si="9"/>
        <v>0</v>
      </c>
      <c r="H117" s="301">
        <v>0</v>
      </c>
      <c r="I117" s="340">
        <v>0</v>
      </c>
      <c r="J117" s="340">
        <v>0</v>
      </c>
      <c r="K117" s="340">
        <v>0</v>
      </c>
      <c r="L117" s="340">
        <v>0</v>
      </c>
      <c r="O117" s="157"/>
      <c r="P117" s="158"/>
      <c r="Q117" s="156"/>
      <c r="R117" s="258"/>
      <c r="S117" s="258"/>
      <c r="T117" s="258"/>
      <c r="U117" s="258"/>
      <c r="V117" s="258"/>
      <c r="W117" s="258"/>
    </row>
    <row r="118" spans="2:23">
      <c r="B118" s="157" t="s">
        <v>194</v>
      </c>
      <c r="C118" s="158" t="s">
        <v>347</v>
      </c>
      <c r="D118" s="156" t="s">
        <v>334</v>
      </c>
      <c r="E118" s="300">
        <v>0.1554258</v>
      </c>
      <c r="F118" s="300">
        <v>0.1554258</v>
      </c>
      <c r="G118" s="246">
        <f t="shared" si="9"/>
        <v>0</v>
      </c>
      <c r="H118" s="301">
        <v>0</v>
      </c>
      <c r="I118" s="340">
        <v>0</v>
      </c>
      <c r="J118" s="340">
        <v>0</v>
      </c>
      <c r="K118" s="340">
        <v>0</v>
      </c>
      <c r="L118" s="340">
        <v>0</v>
      </c>
      <c r="O118" s="157"/>
      <c r="P118" s="158"/>
      <c r="Q118" s="156"/>
      <c r="R118" s="258"/>
      <c r="S118" s="258"/>
      <c r="T118" s="258"/>
      <c r="U118" s="258"/>
      <c r="V118" s="258"/>
      <c r="W118" s="258"/>
    </row>
    <row r="119" spans="2:23">
      <c r="B119" s="157" t="s">
        <v>194</v>
      </c>
      <c r="C119" s="158" t="s">
        <v>348</v>
      </c>
      <c r="D119" s="156" t="s">
        <v>334</v>
      </c>
      <c r="E119" s="300">
        <v>0.1539827</v>
      </c>
      <c r="F119" s="300">
        <v>0.1539827</v>
      </c>
      <c r="G119" s="246">
        <f t="shared" si="9"/>
        <v>0</v>
      </c>
      <c r="H119" s="301">
        <v>0</v>
      </c>
      <c r="I119" s="340">
        <v>0</v>
      </c>
      <c r="J119" s="340">
        <v>0</v>
      </c>
      <c r="K119" s="340">
        <v>0</v>
      </c>
      <c r="L119" s="340">
        <v>0</v>
      </c>
      <c r="O119" s="157"/>
      <c r="P119" s="158"/>
      <c r="Q119" s="156"/>
      <c r="R119" s="258"/>
      <c r="S119" s="258"/>
      <c r="T119" s="258"/>
      <c r="U119" s="258"/>
      <c r="V119" s="258"/>
      <c r="W119" s="258"/>
    </row>
    <row r="120" spans="2:23">
      <c r="B120" s="157" t="s">
        <v>194</v>
      </c>
      <c r="C120" s="158" t="s">
        <v>349</v>
      </c>
      <c r="D120" s="156" t="s">
        <v>334</v>
      </c>
      <c r="E120" s="300">
        <v>8.1290200000000007E-2</v>
      </c>
      <c r="F120" s="300">
        <v>8.1290200000000007E-2</v>
      </c>
      <c r="G120" s="246">
        <f t="shared" si="9"/>
        <v>0</v>
      </c>
      <c r="H120" s="301">
        <v>0</v>
      </c>
      <c r="I120" s="340">
        <v>0</v>
      </c>
      <c r="J120" s="340">
        <v>0</v>
      </c>
      <c r="K120" s="340">
        <v>0</v>
      </c>
      <c r="L120" s="340">
        <v>0</v>
      </c>
      <c r="O120" s="157"/>
      <c r="P120" s="158"/>
      <c r="Q120" s="156"/>
      <c r="R120" s="258"/>
      <c r="S120" s="258"/>
      <c r="T120" s="258"/>
      <c r="U120" s="258"/>
      <c r="V120" s="258"/>
      <c r="W120" s="258"/>
    </row>
    <row r="121" spans="2:23">
      <c r="B121" s="157" t="s">
        <v>194</v>
      </c>
      <c r="C121" s="158" t="s">
        <v>350</v>
      </c>
      <c r="D121" s="156" t="s">
        <v>334</v>
      </c>
      <c r="E121" s="300">
        <v>7.2502999999999998E-2</v>
      </c>
      <c r="F121" s="300">
        <v>7.2502999999999998E-2</v>
      </c>
      <c r="G121" s="246">
        <f t="shared" si="9"/>
        <v>0</v>
      </c>
      <c r="H121" s="301">
        <v>0</v>
      </c>
      <c r="I121" s="340">
        <v>0</v>
      </c>
      <c r="J121" s="340">
        <v>0</v>
      </c>
      <c r="K121" s="340">
        <v>0</v>
      </c>
      <c r="L121" s="340">
        <v>0</v>
      </c>
      <c r="O121" s="157"/>
      <c r="P121" s="158"/>
      <c r="Q121" s="156"/>
      <c r="R121" s="258"/>
      <c r="S121" s="258"/>
      <c r="T121" s="258"/>
      <c r="U121" s="258"/>
      <c r="V121" s="258"/>
      <c r="W121" s="258"/>
    </row>
    <row r="122" spans="2:23">
      <c r="B122" s="157" t="s">
        <v>194</v>
      </c>
      <c r="C122" s="158" t="s">
        <v>351</v>
      </c>
      <c r="D122" s="156" t="s">
        <v>334</v>
      </c>
      <c r="E122" s="300">
        <v>7.1804300000000001E-2</v>
      </c>
      <c r="F122" s="300">
        <v>7.1804300000000001E-2</v>
      </c>
      <c r="G122" s="246">
        <f t="shared" si="9"/>
        <v>0</v>
      </c>
      <c r="H122" s="301">
        <v>0</v>
      </c>
      <c r="I122" s="340">
        <v>0</v>
      </c>
      <c r="J122" s="340">
        <v>0</v>
      </c>
      <c r="K122" s="340">
        <v>0</v>
      </c>
      <c r="L122" s="340">
        <v>0</v>
      </c>
      <c r="O122" s="157"/>
      <c r="P122" s="158"/>
      <c r="Q122" s="156"/>
      <c r="R122" s="258"/>
      <c r="S122" s="258"/>
      <c r="T122" s="258"/>
      <c r="U122" s="258"/>
      <c r="V122" s="258"/>
      <c r="W122" s="258"/>
    </row>
    <row r="123" spans="2:23">
      <c r="B123" s="157" t="s">
        <v>194</v>
      </c>
      <c r="C123" s="158" t="s">
        <v>352</v>
      </c>
      <c r="D123" s="156" t="s">
        <v>334</v>
      </c>
      <c r="E123" s="300">
        <v>5.8024100000000002E-2</v>
      </c>
      <c r="F123" s="300">
        <v>5.8024100000000002E-2</v>
      </c>
      <c r="G123" s="246">
        <f t="shared" si="9"/>
        <v>0</v>
      </c>
      <c r="H123" s="301">
        <v>0</v>
      </c>
      <c r="I123" s="340">
        <v>0</v>
      </c>
      <c r="J123" s="340">
        <v>0</v>
      </c>
      <c r="K123" s="340">
        <v>0</v>
      </c>
      <c r="L123" s="340">
        <v>0</v>
      </c>
      <c r="O123" s="157"/>
      <c r="P123" s="158"/>
      <c r="Q123" s="156"/>
      <c r="R123" s="258"/>
      <c r="S123" s="258"/>
      <c r="T123" s="258"/>
      <c r="U123" s="258"/>
      <c r="V123" s="258"/>
      <c r="W123" s="258"/>
    </row>
    <row r="124" spans="2:23">
      <c r="B124" s="157" t="s">
        <v>194</v>
      </c>
      <c r="C124" s="158" t="s">
        <v>353</v>
      </c>
      <c r="D124" s="156" t="s">
        <v>334</v>
      </c>
      <c r="E124" s="300">
        <v>4.5621500000000002E-2</v>
      </c>
      <c r="F124" s="300">
        <v>4.5621500000000002E-2</v>
      </c>
      <c r="G124" s="246">
        <f t="shared" si="9"/>
        <v>0</v>
      </c>
      <c r="H124" s="301">
        <v>0</v>
      </c>
      <c r="I124" s="340">
        <v>0</v>
      </c>
      <c r="J124" s="340">
        <v>0</v>
      </c>
      <c r="K124" s="340">
        <v>0</v>
      </c>
      <c r="L124" s="340">
        <v>0</v>
      </c>
      <c r="O124" s="157"/>
      <c r="P124" s="158"/>
      <c r="Q124" s="156"/>
      <c r="R124" s="258"/>
      <c r="S124" s="258"/>
      <c r="T124" s="258"/>
      <c r="U124" s="258"/>
      <c r="V124" s="258"/>
      <c r="W124" s="258"/>
    </row>
    <row r="125" spans="2:23">
      <c r="B125" s="157" t="s">
        <v>194</v>
      </c>
      <c r="C125" s="158" t="s">
        <v>354</v>
      </c>
      <c r="D125" s="156" t="s">
        <v>334</v>
      </c>
      <c r="E125" s="300">
        <v>3.4224400000000002E-2</v>
      </c>
      <c r="F125" s="300">
        <v>3.4224400000000002E-2</v>
      </c>
      <c r="G125" s="246">
        <f t="shared" si="9"/>
        <v>0</v>
      </c>
      <c r="H125" s="301">
        <v>0</v>
      </c>
      <c r="I125" s="340">
        <v>0</v>
      </c>
      <c r="J125" s="340">
        <v>0</v>
      </c>
      <c r="K125" s="340">
        <v>0</v>
      </c>
      <c r="L125" s="340">
        <v>0</v>
      </c>
      <c r="O125" s="157"/>
      <c r="P125" s="158"/>
      <c r="Q125" s="156"/>
      <c r="R125" s="258"/>
      <c r="S125" s="258"/>
      <c r="T125" s="258"/>
      <c r="U125" s="258"/>
      <c r="V125" s="258"/>
      <c r="W125" s="258"/>
    </row>
    <row r="126" spans="2:23">
      <c r="B126" s="157" t="s">
        <v>194</v>
      </c>
      <c r="C126" s="158" t="s">
        <v>355</v>
      </c>
      <c r="D126" s="156" t="s">
        <v>334</v>
      </c>
      <c r="E126" s="300">
        <v>3.2445000000000002E-2</v>
      </c>
      <c r="F126" s="300">
        <v>3.2445000000000002E-2</v>
      </c>
      <c r="G126" s="246">
        <f t="shared" si="9"/>
        <v>0</v>
      </c>
      <c r="H126" s="301">
        <v>0</v>
      </c>
      <c r="I126" s="340">
        <v>0</v>
      </c>
      <c r="J126" s="340">
        <v>0</v>
      </c>
      <c r="K126" s="340">
        <v>0</v>
      </c>
      <c r="L126" s="340">
        <v>0</v>
      </c>
      <c r="O126" s="157"/>
      <c r="P126" s="158"/>
      <c r="Q126" s="156"/>
      <c r="R126" s="258"/>
      <c r="S126" s="258"/>
      <c r="T126" s="258"/>
      <c r="U126" s="258"/>
      <c r="V126" s="258"/>
      <c r="W126" s="258"/>
    </row>
    <row r="127" spans="2:23">
      <c r="B127" s="157" t="s">
        <v>194</v>
      </c>
      <c r="C127" s="158" t="s">
        <v>356</v>
      </c>
      <c r="D127" s="156" t="s">
        <v>334</v>
      </c>
      <c r="E127" s="300">
        <v>3.1814099999999998E-2</v>
      </c>
      <c r="F127" s="300">
        <v>3.1814099999999998E-2</v>
      </c>
      <c r="G127" s="246">
        <f t="shared" si="9"/>
        <v>0</v>
      </c>
      <c r="H127" s="301">
        <v>0</v>
      </c>
      <c r="I127" s="340">
        <v>0</v>
      </c>
      <c r="J127" s="340">
        <v>0</v>
      </c>
      <c r="K127" s="340">
        <v>0</v>
      </c>
      <c r="L127" s="340">
        <v>0</v>
      </c>
      <c r="O127" s="157"/>
      <c r="P127" s="158"/>
      <c r="Q127" s="156"/>
      <c r="R127" s="258"/>
      <c r="S127" s="258"/>
      <c r="T127" s="258"/>
      <c r="U127" s="258"/>
      <c r="V127" s="258"/>
      <c r="W127" s="258"/>
    </row>
    <row r="128" spans="2:23">
      <c r="B128" s="157" t="s">
        <v>194</v>
      </c>
      <c r="C128" s="158" t="s">
        <v>357</v>
      </c>
      <c r="D128" s="156" t="s">
        <v>334</v>
      </c>
      <c r="E128" s="300">
        <v>2.30986E-2</v>
      </c>
      <c r="F128" s="300">
        <v>2.30986E-2</v>
      </c>
      <c r="G128" s="246">
        <f t="shared" si="9"/>
        <v>0</v>
      </c>
      <c r="H128" s="301">
        <v>0</v>
      </c>
      <c r="I128" s="340">
        <v>0</v>
      </c>
      <c r="J128" s="340">
        <v>0</v>
      </c>
      <c r="K128" s="340">
        <v>0</v>
      </c>
      <c r="L128" s="340">
        <v>0</v>
      </c>
      <c r="O128" s="157"/>
      <c r="P128" s="158"/>
      <c r="Q128" s="156"/>
      <c r="R128" s="258"/>
      <c r="S128" s="258"/>
      <c r="T128" s="258"/>
      <c r="U128" s="258"/>
      <c r="V128" s="258"/>
      <c r="W128" s="258"/>
    </row>
    <row r="129" spans="2:23">
      <c r="B129" s="157" t="s">
        <v>194</v>
      </c>
      <c r="C129" s="158" t="s">
        <v>358</v>
      </c>
      <c r="D129" s="156" t="s">
        <v>334</v>
      </c>
      <c r="E129" s="300">
        <v>1.79408E-2</v>
      </c>
      <c r="F129" s="300">
        <v>1.79408E-2</v>
      </c>
      <c r="G129" s="246">
        <f t="shared" si="9"/>
        <v>0</v>
      </c>
      <c r="H129" s="301">
        <v>0</v>
      </c>
      <c r="I129" s="340">
        <v>0</v>
      </c>
      <c r="J129" s="340">
        <v>0</v>
      </c>
      <c r="K129" s="340">
        <v>0</v>
      </c>
      <c r="L129" s="340">
        <v>0</v>
      </c>
      <c r="O129" s="157"/>
      <c r="P129" s="158"/>
      <c r="Q129" s="156"/>
      <c r="R129" s="258"/>
      <c r="S129" s="258"/>
      <c r="T129" s="258"/>
      <c r="U129" s="258"/>
      <c r="V129" s="258"/>
      <c r="W129" s="258"/>
    </row>
    <row r="130" spans="2:23">
      <c r="B130" s="157" t="s">
        <v>194</v>
      </c>
      <c r="C130" s="158" t="s">
        <v>359</v>
      </c>
      <c r="D130" s="156" t="s">
        <v>334</v>
      </c>
      <c r="E130" s="300">
        <v>1.2833300000000001E-2</v>
      </c>
      <c r="F130" s="300">
        <v>1.2833300000000001E-2</v>
      </c>
      <c r="G130" s="246">
        <f t="shared" si="9"/>
        <v>0</v>
      </c>
      <c r="H130" s="301">
        <v>0</v>
      </c>
      <c r="I130" s="340">
        <v>0</v>
      </c>
      <c r="J130" s="340">
        <v>0</v>
      </c>
      <c r="K130" s="340">
        <v>0</v>
      </c>
      <c r="L130" s="340">
        <v>0</v>
      </c>
      <c r="O130" s="157"/>
      <c r="P130" s="158"/>
      <c r="Q130" s="156"/>
      <c r="R130" s="258"/>
      <c r="S130" s="258"/>
      <c r="T130" s="258"/>
      <c r="U130" s="258"/>
      <c r="V130" s="258"/>
      <c r="W130" s="258"/>
    </row>
    <row r="131" spans="2:23">
      <c r="B131" s="157" t="s">
        <v>194</v>
      </c>
      <c r="C131" s="158" t="s">
        <v>360</v>
      </c>
      <c r="D131" s="156" t="s">
        <v>334</v>
      </c>
      <c r="E131" s="300">
        <v>2.0615999999999998E-3</v>
      </c>
      <c r="F131" s="300">
        <v>2.0615999999999998E-3</v>
      </c>
      <c r="G131" s="246">
        <f t="shared" si="9"/>
        <v>0</v>
      </c>
      <c r="H131" s="301">
        <v>0</v>
      </c>
      <c r="I131" s="340">
        <v>0</v>
      </c>
      <c r="J131" s="340">
        <v>0</v>
      </c>
      <c r="K131" s="340">
        <v>0</v>
      </c>
      <c r="L131" s="340">
        <v>0</v>
      </c>
      <c r="O131" s="157"/>
      <c r="P131" s="158"/>
      <c r="Q131" s="156"/>
      <c r="R131" s="258"/>
      <c r="S131" s="258"/>
      <c r="T131" s="258"/>
      <c r="U131" s="258"/>
      <c r="V131" s="258"/>
      <c r="W131" s="258"/>
    </row>
    <row r="132" spans="2:23" ht="36">
      <c r="B132" s="157" t="s">
        <v>232</v>
      </c>
      <c r="C132" s="158" t="s">
        <v>361</v>
      </c>
      <c r="D132" s="156" t="s">
        <v>362</v>
      </c>
      <c r="E132" s="300">
        <v>0</v>
      </c>
      <c r="F132" s="300">
        <v>0</v>
      </c>
      <c r="G132" s="246">
        <f t="shared" si="9"/>
        <v>0</v>
      </c>
      <c r="H132" s="301">
        <v>0</v>
      </c>
      <c r="I132" s="340">
        <v>0</v>
      </c>
      <c r="J132" s="340">
        <v>0</v>
      </c>
      <c r="K132" s="340">
        <v>0</v>
      </c>
      <c r="L132" s="340">
        <v>0</v>
      </c>
      <c r="O132" s="157"/>
      <c r="P132" s="158"/>
      <c r="Q132" s="156"/>
      <c r="R132" s="258"/>
      <c r="S132" s="258"/>
      <c r="T132" s="258"/>
      <c r="U132" s="258"/>
      <c r="V132" s="258"/>
      <c r="W132" s="258"/>
    </row>
    <row r="133" spans="2:23">
      <c r="B133" s="157" t="s">
        <v>232</v>
      </c>
      <c r="C133" s="158" t="s">
        <v>363</v>
      </c>
      <c r="D133" s="156" t="s">
        <v>364</v>
      </c>
      <c r="E133" s="300">
        <v>0</v>
      </c>
      <c r="F133" s="300">
        <v>0</v>
      </c>
      <c r="G133" s="246">
        <f t="shared" si="9"/>
        <v>0</v>
      </c>
      <c r="H133" s="301">
        <v>0</v>
      </c>
      <c r="I133" s="340">
        <v>0</v>
      </c>
      <c r="J133" s="340">
        <v>0</v>
      </c>
      <c r="K133" s="340">
        <v>0</v>
      </c>
      <c r="L133" s="340">
        <v>0</v>
      </c>
      <c r="O133" s="157"/>
      <c r="P133" s="158"/>
      <c r="Q133" s="156"/>
      <c r="R133" s="258"/>
      <c r="S133" s="258"/>
      <c r="T133" s="258"/>
      <c r="U133" s="258"/>
      <c r="V133" s="258"/>
      <c r="W133" s="258"/>
    </row>
    <row r="134" spans="2:23" ht="36">
      <c r="B134" s="157" t="s">
        <v>245</v>
      </c>
      <c r="C134" s="158" t="s">
        <v>245</v>
      </c>
      <c r="D134" s="156" t="s">
        <v>365</v>
      </c>
      <c r="E134" s="300">
        <v>0</v>
      </c>
      <c r="F134" s="300">
        <v>0</v>
      </c>
      <c r="G134" s="246">
        <f t="shared" si="9"/>
        <v>0</v>
      </c>
      <c r="H134" s="301">
        <v>0</v>
      </c>
      <c r="I134" s="340">
        <v>0</v>
      </c>
      <c r="J134" s="340">
        <v>0</v>
      </c>
      <c r="K134" s="340">
        <v>0</v>
      </c>
      <c r="L134" s="340">
        <v>0</v>
      </c>
      <c r="O134" s="157"/>
      <c r="P134" s="158"/>
      <c r="Q134" s="156"/>
      <c r="R134" s="258"/>
      <c r="S134" s="258"/>
      <c r="T134" s="258"/>
      <c r="U134" s="258"/>
      <c r="V134" s="258"/>
      <c r="W134" s="258"/>
    </row>
    <row r="135" spans="2:23" ht="24">
      <c r="B135" s="157" t="s">
        <v>245</v>
      </c>
      <c r="C135" s="158" t="s">
        <v>245</v>
      </c>
      <c r="D135" s="156" t="s">
        <v>366</v>
      </c>
      <c r="E135" s="300">
        <v>0</v>
      </c>
      <c r="F135" s="300">
        <v>0</v>
      </c>
      <c r="G135" s="246">
        <f t="shared" si="9"/>
        <v>0</v>
      </c>
      <c r="H135" s="301">
        <v>0</v>
      </c>
      <c r="I135" s="340">
        <v>0</v>
      </c>
      <c r="J135" s="340">
        <v>0</v>
      </c>
      <c r="K135" s="340">
        <v>0</v>
      </c>
      <c r="L135" s="340">
        <v>0</v>
      </c>
      <c r="O135" s="157"/>
      <c r="P135" s="158"/>
      <c r="Q135" s="156"/>
      <c r="R135" s="258"/>
      <c r="S135" s="258"/>
      <c r="T135" s="258"/>
      <c r="U135" s="258"/>
      <c r="V135" s="258"/>
      <c r="W135" s="258"/>
    </row>
    <row r="136" spans="2:23" ht="36">
      <c r="B136" s="157" t="s">
        <v>245</v>
      </c>
      <c r="C136" s="158" t="s">
        <v>245</v>
      </c>
      <c r="D136" s="156" t="s">
        <v>367</v>
      </c>
      <c r="E136" s="300">
        <v>0</v>
      </c>
      <c r="F136" s="300">
        <v>0</v>
      </c>
      <c r="G136" s="246">
        <f t="shared" si="9"/>
        <v>0</v>
      </c>
      <c r="H136" s="301">
        <v>0</v>
      </c>
      <c r="I136" s="340">
        <v>0</v>
      </c>
      <c r="J136" s="340">
        <v>0</v>
      </c>
      <c r="K136" s="340">
        <v>0</v>
      </c>
      <c r="L136" s="340">
        <v>0</v>
      </c>
      <c r="O136" s="157"/>
      <c r="P136" s="158"/>
      <c r="Q136" s="156"/>
      <c r="R136" s="258"/>
      <c r="S136" s="258"/>
      <c r="T136" s="258"/>
      <c r="U136" s="258"/>
      <c r="V136" s="258"/>
      <c r="W136" s="258"/>
    </row>
    <row r="137" spans="2:23" ht="36">
      <c r="B137" s="157" t="s">
        <v>245</v>
      </c>
      <c r="C137" s="158" t="s">
        <v>245</v>
      </c>
      <c r="D137" s="156" t="s">
        <v>368</v>
      </c>
      <c r="E137" s="300">
        <v>0</v>
      </c>
      <c r="F137" s="300">
        <v>0</v>
      </c>
      <c r="G137" s="246">
        <f t="shared" si="9"/>
        <v>0</v>
      </c>
      <c r="H137" s="301">
        <v>0</v>
      </c>
      <c r="I137" s="340">
        <v>0</v>
      </c>
      <c r="J137" s="340">
        <v>0</v>
      </c>
      <c r="K137" s="340">
        <v>0</v>
      </c>
      <c r="L137" s="340">
        <v>0</v>
      </c>
      <c r="O137" s="157"/>
      <c r="P137" s="158"/>
      <c r="Q137" s="156"/>
      <c r="R137" s="258"/>
      <c r="S137" s="258"/>
      <c r="T137" s="258"/>
      <c r="U137" s="258"/>
      <c r="V137" s="258"/>
      <c r="W137" s="258"/>
    </row>
    <row r="138" spans="2:23" ht="24">
      <c r="B138" s="157" t="s">
        <v>369</v>
      </c>
      <c r="C138" s="158" t="s">
        <v>245</v>
      </c>
      <c r="D138" s="156" t="s">
        <v>370</v>
      </c>
      <c r="E138" s="300">
        <v>0</v>
      </c>
      <c r="F138" s="300">
        <v>0</v>
      </c>
      <c r="G138" s="246">
        <f t="shared" si="9"/>
        <v>0</v>
      </c>
      <c r="H138" s="301">
        <v>0</v>
      </c>
      <c r="I138" s="340">
        <v>0</v>
      </c>
      <c r="J138" s="340">
        <v>0</v>
      </c>
      <c r="K138" s="340">
        <v>0</v>
      </c>
      <c r="L138" s="340">
        <v>0</v>
      </c>
      <c r="O138" s="157"/>
      <c r="P138" s="158"/>
      <c r="Q138" s="156"/>
      <c r="R138" s="258"/>
      <c r="S138" s="258"/>
      <c r="T138" s="258"/>
      <c r="U138" s="258"/>
      <c r="V138" s="258"/>
      <c r="W138" s="258"/>
    </row>
    <row r="139" spans="2:23" ht="24">
      <c r="B139" s="157" t="s">
        <v>245</v>
      </c>
      <c r="C139" s="158" t="s">
        <v>245</v>
      </c>
      <c r="D139" s="156" t="s">
        <v>371</v>
      </c>
      <c r="E139" s="300">
        <v>0</v>
      </c>
      <c r="F139" s="300">
        <v>0</v>
      </c>
      <c r="G139" s="246">
        <f t="shared" si="9"/>
        <v>0</v>
      </c>
      <c r="H139" s="301">
        <v>0</v>
      </c>
      <c r="I139" s="340">
        <v>0</v>
      </c>
      <c r="J139" s="340">
        <v>0</v>
      </c>
      <c r="K139" s="340">
        <v>0</v>
      </c>
      <c r="L139" s="340">
        <v>0</v>
      </c>
      <c r="O139" s="157"/>
      <c r="P139" s="158"/>
      <c r="Q139" s="156"/>
      <c r="R139" s="258"/>
      <c r="S139" s="258"/>
      <c r="T139" s="258"/>
      <c r="U139" s="258"/>
      <c r="V139" s="258"/>
      <c r="W139" s="258"/>
    </row>
    <row r="140" spans="2:23" ht="24">
      <c r="B140" s="157" t="s">
        <v>245</v>
      </c>
      <c r="C140" s="158" t="s">
        <v>245</v>
      </c>
      <c r="D140" s="156" t="s">
        <v>372</v>
      </c>
      <c r="E140" s="300">
        <v>0</v>
      </c>
      <c r="F140" s="300">
        <v>0</v>
      </c>
      <c r="G140" s="246">
        <f t="shared" si="9"/>
        <v>0</v>
      </c>
      <c r="H140" s="301">
        <v>0</v>
      </c>
      <c r="I140" s="340">
        <v>0</v>
      </c>
      <c r="J140" s="340">
        <v>0</v>
      </c>
      <c r="K140" s="340">
        <v>0</v>
      </c>
      <c r="L140" s="340">
        <v>0</v>
      </c>
      <c r="O140" s="157"/>
      <c r="P140" s="158"/>
      <c r="Q140" s="156"/>
      <c r="R140" s="258"/>
      <c r="S140" s="258"/>
      <c r="T140" s="258"/>
      <c r="U140" s="258"/>
      <c r="V140" s="258"/>
      <c r="W140" s="258"/>
    </row>
    <row r="141" spans="2:23" ht="24">
      <c r="B141" s="157" t="s">
        <v>245</v>
      </c>
      <c r="C141" s="158" t="s">
        <v>245</v>
      </c>
      <c r="D141" s="156" t="s">
        <v>373</v>
      </c>
      <c r="E141" s="300">
        <v>0</v>
      </c>
      <c r="F141" s="300">
        <v>0</v>
      </c>
      <c r="G141" s="246">
        <f t="shared" si="9"/>
        <v>0</v>
      </c>
      <c r="H141" s="301">
        <v>0</v>
      </c>
      <c r="I141" s="340">
        <v>0</v>
      </c>
      <c r="J141" s="340">
        <v>0</v>
      </c>
      <c r="K141" s="340">
        <v>0</v>
      </c>
      <c r="L141" s="340">
        <v>0</v>
      </c>
      <c r="O141" s="157"/>
      <c r="P141" s="158"/>
      <c r="Q141" s="156"/>
      <c r="R141" s="258"/>
      <c r="S141" s="258"/>
      <c r="T141" s="258"/>
      <c r="U141" s="258"/>
      <c r="V141" s="258"/>
      <c r="W141" s="258"/>
    </row>
    <row r="142" spans="2:23" ht="24">
      <c r="B142" s="157" t="s">
        <v>245</v>
      </c>
      <c r="C142" s="158" t="s">
        <v>245</v>
      </c>
      <c r="D142" s="156" t="s">
        <v>374</v>
      </c>
      <c r="E142" s="300">
        <v>0</v>
      </c>
      <c r="F142" s="300">
        <v>0</v>
      </c>
      <c r="G142" s="246">
        <f t="shared" si="9"/>
        <v>0</v>
      </c>
      <c r="H142" s="301">
        <v>0</v>
      </c>
      <c r="I142" s="340">
        <v>0</v>
      </c>
      <c r="J142" s="340">
        <v>0</v>
      </c>
      <c r="K142" s="340">
        <v>0</v>
      </c>
      <c r="L142" s="340">
        <v>0</v>
      </c>
      <c r="O142" s="157"/>
      <c r="P142" s="158"/>
      <c r="Q142" s="156"/>
      <c r="R142" s="258"/>
      <c r="S142" s="258"/>
      <c r="T142" s="258"/>
      <c r="U142" s="258"/>
      <c r="V142" s="258"/>
      <c r="W142" s="258"/>
    </row>
    <row r="143" spans="2:23" ht="24">
      <c r="B143" s="157" t="s">
        <v>245</v>
      </c>
      <c r="C143" s="158" t="s">
        <v>245</v>
      </c>
      <c r="D143" s="156" t="s">
        <v>375</v>
      </c>
      <c r="E143" s="300">
        <v>0</v>
      </c>
      <c r="F143" s="300">
        <v>0</v>
      </c>
      <c r="G143" s="246">
        <f t="shared" si="9"/>
        <v>0</v>
      </c>
      <c r="H143" s="301">
        <v>0</v>
      </c>
      <c r="I143" s="340">
        <v>0</v>
      </c>
      <c r="J143" s="340">
        <v>0</v>
      </c>
      <c r="K143" s="340">
        <v>0</v>
      </c>
      <c r="L143" s="340">
        <v>0</v>
      </c>
      <c r="O143" s="157"/>
      <c r="P143" s="158"/>
      <c r="Q143" s="156"/>
      <c r="R143" s="258"/>
      <c r="S143" s="258"/>
      <c r="T143" s="258"/>
      <c r="U143" s="258"/>
      <c r="V143" s="258"/>
      <c r="W143" s="258"/>
    </row>
    <row r="144" spans="2:23" ht="24">
      <c r="B144" s="157" t="s">
        <v>245</v>
      </c>
      <c r="C144" s="158" t="s">
        <v>245</v>
      </c>
      <c r="D144" s="156" t="s">
        <v>376</v>
      </c>
      <c r="E144" s="300">
        <v>0</v>
      </c>
      <c r="F144" s="300">
        <v>0</v>
      </c>
      <c r="G144" s="246">
        <f t="shared" si="9"/>
        <v>0</v>
      </c>
      <c r="H144" s="301">
        <v>0</v>
      </c>
      <c r="I144" s="340">
        <v>0</v>
      </c>
      <c r="J144" s="340">
        <v>0</v>
      </c>
      <c r="K144" s="340">
        <v>0</v>
      </c>
      <c r="L144" s="340">
        <v>0</v>
      </c>
      <c r="O144" s="157"/>
      <c r="P144" s="158"/>
      <c r="Q144" s="156"/>
      <c r="R144" s="258"/>
      <c r="S144" s="258"/>
      <c r="T144" s="258"/>
      <c r="U144" s="258"/>
      <c r="V144" s="258"/>
      <c r="W144" s="258"/>
    </row>
    <row r="145" spans="2:23" ht="24">
      <c r="B145" s="157" t="s">
        <v>245</v>
      </c>
      <c r="C145" s="158" t="s">
        <v>245</v>
      </c>
      <c r="D145" s="156" t="s">
        <v>377</v>
      </c>
      <c r="E145" s="300">
        <v>0</v>
      </c>
      <c r="F145" s="300">
        <v>0</v>
      </c>
      <c r="G145" s="246">
        <f t="shared" ref="G145:G178" si="12">E145-F145</f>
        <v>0</v>
      </c>
      <c r="H145" s="301">
        <v>0</v>
      </c>
      <c r="I145" s="340">
        <v>0</v>
      </c>
      <c r="J145" s="340">
        <v>0</v>
      </c>
      <c r="K145" s="340">
        <v>0</v>
      </c>
      <c r="L145" s="340">
        <v>0</v>
      </c>
      <c r="O145" s="157"/>
      <c r="P145" s="158"/>
      <c r="Q145" s="156"/>
      <c r="R145" s="258"/>
      <c r="S145" s="258"/>
      <c r="T145" s="258"/>
      <c r="U145" s="258"/>
      <c r="V145" s="258"/>
      <c r="W145" s="258"/>
    </row>
    <row r="146" spans="2:23" ht="36">
      <c r="B146" s="157" t="s">
        <v>245</v>
      </c>
      <c r="C146" s="158" t="s">
        <v>245</v>
      </c>
      <c r="D146" s="156" t="s">
        <v>378</v>
      </c>
      <c r="E146" s="300">
        <v>0</v>
      </c>
      <c r="F146" s="300">
        <v>0</v>
      </c>
      <c r="G146" s="246">
        <f t="shared" si="12"/>
        <v>0</v>
      </c>
      <c r="H146" s="301">
        <v>0</v>
      </c>
      <c r="I146" s="340">
        <v>0</v>
      </c>
      <c r="J146" s="340">
        <v>0</v>
      </c>
      <c r="K146" s="340">
        <v>0</v>
      </c>
      <c r="L146" s="340">
        <v>0</v>
      </c>
      <c r="O146" s="157"/>
      <c r="P146" s="158"/>
      <c r="Q146" s="156"/>
      <c r="R146" s="258"/>
      <c r="S146" s="258"/>
      <c r="T146" s="258"/>
      <c r="U146" s="258"/>
      <c r="V146" s="258"/>
      <c r="W146" s="258"/>
    </row>
    <row r="147" spans="2:23" ht="48">
      <c r="B147" s="157" t="s">
        <v>245</v>
      </c>
      <c r="C147" s="158" t="s">
        <v>245</v>
      </c>
      <c r="D147" s="156" t="s">
        <v>379</v>
      </c>
      <c r="E147" s="300">
        <v>0</v>
      </c>
      <c r="F147" s="300">
        <v>0</v>
      </c>
      <c r="G147" s="246">
        <f t="shared" si="12"/>
        <v>0</v>
      </c>
      <c r="H147" s="301">
        <v>0</v>
      </c>
      <c r="I147" s="340">
        <v>0</v>
      </c>
      <c r="J147" s="340">
        <v>0</v>
      </c>
      <c r="K147" s="340">
        <v>0</v>
      </c>
      <c r="L147" s="340">
        <v>0</v>
      </c>
      <c r="O147" s="157"/>
      <c r="P147" s="158"/>
      <c r="Q147" s="156"/>
      <c r="R147" s="258"/>
      <c r="S147" s="258"/>
      <c r="T147" s="258"/>
      <c r="U147" s="258"/>
      <c r="V147" s="258"/>
      <c r="W147" s="258"/>
    </row>
    <row r="148" spans="2:23">
      <c r="B148" s="157" t="s">
        <v>245</v>
      </c>
      <c r="C148" s="158" t="s">
        <v>245</v>
      </c>
      <c r="D148" s="156" t="s">
        <v>380</v>
      </c>
      <c r="E148" s="300">
        <v>0</v>
      </c>
      <c r="F148" s="300">
        <v>0</v>
      </c>
      <c r="G148" s="246">
        <f t="shared" si="12"/>
        <v>0</v>
      </c>
      <c r="H148" s="301">
        <v>0</v>
      </c>
      <c r="I148" s="340">
        <v>0</v>
      </c>
      <c r="J148" s="340">
        <v>0</v>
      </c>
      <c r="K148" s="340">
        <v>0</v>
      </c>
      <c r="L148" s="340">
        <v>0</v>
      </c>
      <c r="O148" s="157"/>
      <c r="P148" s="158"/>
      <c r="Q148" s="156"/>
      <c r="R148" s="258"/>
      <c r="S148" s="258"/>
      <c r="T148" s="258"/>
      <c r="U148" s="258"/>
      <c r="V148" s="258"/>
      <c r="W148" s="258"/>
    </row>
    <row r="149" spans="2:23" ht="36">
      <c r="B149" s="157" t="s">
        <v>245</v>
      </c>
      <c r="C149" s="158" t="s">
        <v>245</v>
      </c>
      <c r="D149" s="156" t="s">
        <v>381</v>
      </c>
      <c r="E149" s="300">
        <v>0</v>
      </c>
      <c r="F149" s="300">
        <v>0</v>
      </c>
      <c r="G149" s="246">
        <f t="shared" si="12"/>
        <v>0</v>
      </c>
      <c r="H149" s="301">
        <v>0</v>
      </c>
      <c r="I149" s="340">
        <v>0</v>
      </c>
      <c r="J149" s="340">
        <v>0</v>
      </c>
      <c r="K149" s="340">
        <v>0</v>
      </c>
      <c r="L149" s="340">
        <v>0</v>
      </c>
      <c r="O149" s="157"/>
      <c r="P149" s="158"/>
      <c r="Q149" s="156"/>
      <c r="R149" s="258"/>
      <c r="S149" s="258"/>
      <c r="T149" s="258"/>
      <c r="U149" s="258"/>
      <c r="V149" s="258"/>
      <c r="W149" s="258"/>
    </row>
    <row r="150" spans="2:23">
      <c r="B150" s="157" t="s">
        <v>245</v>
      </c>
      <c r="C150" s="158" t="s">
        <v>245</v>
      </c>
      <c r="D150" s="156" t="s">
        <v>382</v>
      </c>
      <c r="E150" s="300">
        <v>0</v>
      </c>
      <c r="F150" s="300">
        <v>0</v>
      </c>
      <c r="G150" s="246">
        <f t="shared" si="12"/>
        <v>0</v>
      </c>
      <c r="H150" s="301">
        <v>0</v>
      </c>
      <c r="I150" s="340">
        <v>0</v>
      </c>
      <c r="J150" s="340">
        <v>0</v>
      </c>
      <c r="K150" s="340">
        <v>0</v>
      </c>
      <c r="L150" s="340">
        <v>0</v>
      </c>
      <c r="O150" s="157"/>
      <c r="P150" s="158"/>
      <c r="Q150" s="156"/>
      <c r="R150" s="258"/>
      <c r="S150" s="258"/>
      <c r="T150" s="258"/>
      <c r="U150" s="258"/>
      <c r="V150" s="258"/>
      <c r="W150" s="258"/>
    </row>
    <row r="151" spans="2:23" ht="36">
      <c r="B151" s="157" t="s">
        <v>245</v>
      </c>
      <c r="C151" s="158" t="s">
        <v>245</v>
      </c>
      <c r="D151" s="156" t="s">
        <v>383</v>
      </c>
      <c r="E151" s="300">
        <v>0</v>
      </c>
      <c r="F151" s="300">
        <v>0</v>
      </c>
      <c r="G151" s="246">
        <f t="shared" si="12"/>
        <v>0</v>
      </c>
      <c r="H151" s="301">
        <v>0</v>
      </c>
      <c r="I151" s="340">
        <v>0</v>
      </c>
      <c r="J151" s="340">
        <v>0</v>
      </c>
      <c r="K151" s="340">
        <v>0</v>
      </c>
      <c r="L151" s="340">
        <v>0</v>
      </c>
      <c r="O151" s="157"/>
      <c r="P151" s="158"/>
      <c r="Q151" s="156"/>
      <c r="R151" s="258"/>
      <c r="S151" s="258"/>
      <c r="T151" s="258"/>
      <c r="U151" s="258"/>
      <c r="V151" s="258"/>
      <c r="W151" s="258"/>
    </row>
    <row r="152" spans="2:23" ht="36">
      <c r="B152" s="157" t="s">
        <v>245</v>
      </c>
      <c r="C152" s="158" t="s">
        <v>245</v>
      </c>
      <c r="D152" s="156" t="s">
        <v>384</v>
      </c>
      <c r="E152" s="300">
        <v>0</v>
      </c>
      <c r="F152" s="300">
        <v>0</v>
      </c>
      <c r="G152" s="246">
        <f t="shared" si="12"/>
        <v>0</v>
      </c>
      <c r="H152" s="301">
        <v>0</v>
      </c>
      <c r="I152" s="340">
        <v>0</v>
      </c>
      <c r="J152" s="340">
        <v>0</v>
      </c>
      <c r="K152" s="340">
        <v>0</v>
      </c>
      <c r="L152" s="340">
        <v>0</v>
      </c>
      <c r="O152" s="157"/>
      <c r="P152" s="158"/>
      <c r="Q152" s="156"/>
      <c r="R152" s="258"/>
      <c r="S152" s="258"/>
      <c r="T152" s="258"/>
      <c r="U152" s="258"/>
      <c r="V152" s="258"/>
      <c r="W152" s="258"/>
    </row>
    <row r="153" spans="2:23" ht="24">
      <c r="B153" s="157" t="s">
        <v>245</v>
      </c>
      <c r="C153" s="158" t="s">
        <v>245</v>
      </c>
      <c r="D153" s="156" t="s">
        <v>385</v>
      </c>
      <c r="E153" s="300">
        <v>0</v>
      </c>
      <c r="F153" s="300">
        <v>0</v>
      </c>
      <c r="G153" s="246">
        <f t="shared" si="12"/>
        <v>0</v>
      </c>
      <c r="H153" s="301">
        <v>0</v>
      </c>
      <c r="I153" s="340">
        <v>0</v>
      </c>
      <c r="J153" s="340">
        <v>0</v>
      </c>
      <c r="K153" s="340">
        <v>0</v>
      </c>
      <c r="L153" s="340">
        <v>0</v>
      </c>
      <c r="O153" s="157"/>
      <c r="P153" s="158"/>
      <c r="Q153" s="156"/>
      <c r="R153" s="258"/>
      <c r="S153" s="258"/>
      <c r="T153" s="258"/>
      <c r="U153" s="258"/>
      <c r="V153" s="258"/>
      <c r="W153" s="258"/>
    </row>
    <row r="154" spans="2:23" ht="36">
      <c r="B154" s="157" t="s">
        <v>245</v>
      </c>
      <c r="C154" s="158" t="s">
        <v>245</v>
      </c>
      <c r="D154" s="156" t="s">
        <v>386</v>
      </c>
      <c r="E154" s="300">
        <v>0</v>
      </c>
      <c r="F154" s="300">
        <v>0</v>
      </c>
      <c r="G154" s="246">
        <f t="shared" si="12"/>
        <v>0</v>
      </c>
      <c r="H154" s="301">
        <v>0</v>
      </c>
      <c r="I154" s="340">
        <v>0</v>
      </c>
      <c r="J154" s="340">
        <v>0</v>
      </c>
      <c r="K154" s="340">
        <v>0</v>
      </c>
      <c r="L154" s="340">
        <v>0</v>
      </c>
      <c r="O154" s="157"/>
      <c r="P154" s="158"/>
      <c r="Q154" s="156"/>
      <c r="R154" s="258"/>
      <c r="S154" s="258"/>
      <c r="T154" s="258"/>
      <c r="U154" s="258"/>
      <c r="V154" s="258"/>
      <c r="W154" s="258"/>
    </row>
    <row r="155" spans="2:23" ht="48">
      <c r="B155" s="157" t="s">
        <v>245</v>
      </c>
      <c r="C155" s="158" t="s">
        <v>245</v>
      </c>
      <c r="D155" s="156" t="s">
        <v>387</v>
      </c>
      <c r="E155" s="300">
        <v>0</v>
      </c>
      <c r="F155" s="300">
        <v>0</v>
      </c>
      <c r="G155" s="246">
        <f t="shared" si="12"/>
        <v>0</v>
      </c>
      <c r="H155" s="301">
        <v>0</v>
      </c>
      <c r="I155" s="340">
        <v>0</v>
      </c>
      <c r="J155" s="340">
        <v>0</v>
      </c>
      <c r="K155" s="340">
        <v>0</v>
      </c>
      <c r="L155" s="340">
        <v>0</v>
      </c>
      <c r="O155" s="157"/>
      <c r="P155" s="158"/>
      <c r="Q155" s="156"/>
      <c r="R155" s="258"/>
      <c r="S155" s="258"/>
      <c r="T155" s="258"/>
      <c r="U155" s="258"/>
      <c r="V155" s="258"/>
      <c r="W155" s="258"/>
    </row>
    <row r="156" spans="2:23" ht="36">
      <c r="B156" s="157" t="s">
        <v>245</v>
      </c>
      <c r="C156" s="158" t="s">
        <v>245</v>
      </c>
      <c r="D156" s="156" t="s">
        <v>388</v>
      </c>
      <c r="E156" s="300">
        <v>0</v>
      </c>
      <c r="F156" s="300">
        <v>0</v>
      </c>
      <c r="G156" s="246">
        <f t="shared" si="12"/>
        <v>0</v>
      </c>
      <c r="H156" s="301">
        <v>0</v>
      </c>
      <c r="I156" s="340">
        <v>0</v>
      </c>
      <c r="J156" s="340">
        <v>0</v>
      </c>
      <c r="K156" s="340">
        <v>0</v>
      </c>
      <c r="L156" s="340">
        <v>0</v>
      </c>
      <c r="O156" s="157"/>
      <c r="P156" s="158"/>
      <c r="Q156" s="156"/>
      <c r="R156" s="258"/>
      <c r="S156" s="258"/>
      <c r="T156" s="258"/>
      <c r="U156" s="258"/>
      <c r="V156" s="258"/>
      <c r="W156" s="258"/>
    </row>
    <row r="157" spans="2:23" ht="36">
      <c r="B157" s="157" t="s">
        <v>253</v>
      </c>
      <c r="C157" s="158" t="s">
        <v>389</v>
      </c>
      <c r="D157" s="156" t="s">
        <v>259</v>
      </c>
      <c r="E157" s="300">
        <v>5.2030000000000002E-4</v>
      </c>
      <c r="F157" s="300">
        <v>5.2030000000000002E-4</v>
      </c>
      <c r="G157" s="246">
        <f t="shared" si="12"/>
        <v>0</v>
      </c>
      <c r="H157" s="301">
        <v>0</v>
      </c>
      <c r="I157" s="340">
        <v>0</v>
      </c>
      <c r="J157" s="340">
        <v>0</v>
      </c>
      <c r="K157" s="340">
        <v>0</v>
      </c>
      <c r="L157" s="340">
        <v>0</v>
      </c>
      <c r="O157" s="157"/>
      <c r="P157" s="158"/>
      <c r="Q157" s="156"/>
      <c r="R157" s="258"/>
      <c r="S157" s="258"/>
      <c r="T157" s="258"/>
      <c r="U157" s="258"/>
      <c r="V157" s="258"/>
      <c r="W157" s="258"/>
    </row>
    <row r="158" spans="2:23" ht="36">
      <c r="B158" s="157" t="s">
        <v>253</v>
      </c>
      <c r="C158" s="158" t="s">
        <v>390</v>
      </c>
      <c r="D158" s="156" t="s">
        <v>267</v>
      </c>
      <c r="E158" s="300">
        <v>0</v>
      </c>
      <c r="F158" s="300">
        <v>0</v>
      </c>
      <c r="G158" s="246">
        <f t="shared" si="12"/>
        <v>0</v>
      </c>
      <c r="H158" s="301">
        <v>0</v>
      </c>
      <c r="I158" s="340">
        <v>0</v>
      </c>
      <c r="J158" s="340">
        <v>0</v>
      </c>
      <c r="K158" s="340">
        <v>0</v>
      </c>
      <c r="L158" s="340">
        <v>0</v>
      </c>
      <c r="O158" s="157"/>
      <c r="P158" s="158"/>
      <c r="Q158" s="156"/>
      <c r="R158" s="258"/>
      <c r="S158" s="258"/>
      <c r="T158" s="258"/>
      <c r="U158" s="258"/>
      <c r="V158" s="258"/>
      <c r="W158" s="258"/>
    </row>
    <row r="159" spans="2:23">
      <c r="B159" s="157" t="s">
        <v>253</v>
      </c>
      <c r="C159" s="158" t="s">
        <v>391</v>
      </c>
      <c r="D159" s="156" t="s">
        <v>392</v>
      </c>
      <c r="E159" s="300">
        <v>0</v>
      </c>
      <c r="F159" s="300">
        <v>0</v>
      </c>
      <c r="G159" s="246">
        <f t="shared" si="12"/>
        <v>0</v>
      </c>
      <c r="H159" s="301">
        <v>0</v>
      </c>
      <c r="I159" s="340">
        <v>0</v>
      </c>
      <c r="J159" s="340">
        <v>0</v>
      </c>
      <c r="K159" s="340">
        <v>0</v>
      </c>
      <c r="L159" s="340">
        <v>0</v>
      </c>
      <c r="O159" s="157"/>
      <c r="P159" s="158"/>
      <c r="Q159" s="156"/>
      <c r="R159" s="258"/>
      <c r="S159" s="258"/>
      <c r="T159" s="258"/>
      <c r="U159" s="258"/>
      <c r="V159" s="258"/>
      <c r="W159" s="258"/>
    </row>
    <row r="160" spans="2:23" ht="36">
      <c r="B160" s="157" t="s">
        <v>253</v>
      </c>
      <c r="C160" s="158" t="s">
        <v>393</v>
      </c>
      <c r="D160" s="156" t="s">
        <v>267</v>
      </c>
      <c r="E160" s="300">
        <v>3.2716889</v>
      </c>
      <c r="F160" s="300">
        <v>3.2716889</v>
      </c>
      <c r="G160" s="246">
        <f t="shared" si="12"/>
        <v>0</v>
      </c>
      <c r="H160" s="301">
        <v>0</v>
      </c>
      <c r="I160" s="340">
        <v>0</v>
      </c>
      <c r="J160" s="340">
        <v>0</v>
      </c>
      <c r="K160" s="340">
        <v>0</v>
      </c>
      <c r="L160" s="340">
        <v>0</v>
      </c>
      <c r="O160" s="157"/>
      <c r="P160" s="158"/>
      <c r="Q160" s="156"/>
      <c r="R160" s="258"/>
      <c r="S160" s="258"/>
      <c r="T160" s="258"/>
      <c r="U160" s="258"/>
      <c r="V160" s="258"/>
      <c r="W160" s="258"/>
    </row>
    <row r="161" spans="2:23" ht="36">
      <c r="B161" s="157" t="s">
        <v>253</v>
      </c>
      <c r="C161" s="158" t="s">
        <v>394</v>
      </c>
      <c r="D161" s="156" t="s">
        <v>395</v>
      </c>
      <c r="E161" s="300">
        <v>0</v>
      </c>
      <c r="F161" s="300">
        <v>0</v>
      </c>
      <c r="G161" s="246">
        <f t="shared" si="12"/>
        <v>0</v>
      </c>
      <c r="H161" s="301">
        <v>0</v>
      </c>
      <c r="I161" s="340">
        <v>0</v>
      </c>
      <c r="J161" s="340">
        <v>0</v>
      </c>
      <c r="K161" s="340">
        <v>0</v>
      </c>
      <c r="L161" s="340">
        <v>0</v>
      </c>
      <c r="O161" s="157"/>
      <c r="P161" s="158"/>
      <c r="Q161" s="156"/>
      <c r="R161" s="258"/>
      <c r="S161" s="258"/>
      <c r="T161" s="258"/>
      <c r="U161" s="258"/>
      <c r="V161" s="258"/>
      <c r="W161" s="258"/>
    </row>
    <row r="162" spans="2:23" ht="36">
      <c r="B162" s="157" t="s">
        <v>253</v>
      </c>
      <c r="C162" s="158" t="s">
        <v>396</v>
      </c>
      <c r="D162" s="156" t="s">
        <v>397</v>
      </c>
      <c r="E162" s="300">
        <v>0.4307877</v>
      </c>
      <c r="F162" s="300">
        <v>0.4307877</v>
      </c>
      <c r="G162" s="246">
        <f t="shared" si="12"/>
        <v>0</v>
      </c>
      <c r="H162" s="301">
        <v>0</v>
      </c>
      <c r="I162" s="340">
        <v>0</v>
      </c>
      <c r="J162" s="340">
        <v>0</v>
      </c>
      <c r="K162" s="340">
        <v>0</v>
      </c>
      <c r="L162" s="340">
        <v>0</v>
      </c>
      <c r="O162" s="157"/>
      <c r="P162" s="158"/>
      <c r="Q162" s="156"/>
      <c r="R162" s="258"/>
      <c r="S162" s="258"/>
      <c r="T162" s="258"/>
      <c r="U162" s="258"/>
      <c r="V162" s="258"/>
      <c r="W162" s="258"/>
    </row>
    <row r="163" spans="2:23" ht="24">
      <c r="B163" s="157" t="s">
        <v>271</v>
      </c>
      <c r="C163" s="158" t="s">
        <v>398</v>
      </c>
      <c r="D163" s="156" t="s">
        <v>399</v>
      </c>
      <c r="E163" s="300">
        <v>3.1685197000000001</v>
      </c>
      <c r="F163" s="300">
        <v>3.1685197000000001</v>
      </c>
      <c r="G163" s="246">
        <f t="shared" si="12"/>
        <v>0</v>
      </c>
      <c r="H163" s="301">
        <v>0</v>
      </c>
      <c r="I163" s="340">
        <v>0</v>
      </c>
      <c r="J163" s="340">
        <v>0</v>
      </c>
      <c r="K163" s="340">
        <v>0</v>
      </c>
      <c r="L163" s="340">
        <v>0</v>
      </c>
      <c r="O163" s="157"/>
      <c r="P163" s="158"/>
      <c r="Q163" s="156"/>
      <c r="R163" s="258"/>
      <c r="S163" s="258"/>
      <c r="T163" s="258"/>
      <c r="U163" s="258"/>
      <c r="V163" s="258"/>
      <c r="W163" s="258"/>
    </row>
    <row r="164" spans="2:23">
      <c r="B164" s="157" t="s">
        <v>271</v>
      </c>
      <c r="C164" s="158" t="s">
        <v>400</v>
      </c>
      <c r="D164" s="156" t="s">
        <v>401</v>
      </c>
      <c r="E164" s="300">
        <v>0.41891309999999998</v>
      </c>
      <c r="F164" s="300">
        <v>0.41891309999999998</v>
      </c>
      <c r="G164" s="246">
        <f t="shared" si="12"/>
        <v>0</v>
      </c>
      <c r="H164" s="301">
        <v>0</v>
      </c>
      <c r="I164" s="340">
        <v>0</v>
      </c>
      <c r="J164" s="340">
        <v>0</v>
      </c>
      <c r="K164" s="340">
        <v>0</v>
      </c>
      <c r="L164" s="340">
        <v>0</v>
      </c>
      <c r="O164" s="157"/>
      <c r="P164" s="158"/>
      <c r="Q164" s="156"/>
      <c r="R164" s="258"/>
      <c r="S164" s="258"/>
      <c r="T164" s="258"/>
      <c r="U164" s="258"/>
      <c r="V164" s="258"/>
      <c r="W164" s="258"/>
    </row>
    <row r="165" spans="2:23" ht="48">
      <c r="B165" s="157" t="s">
        <v>271</v>
      </c>
      <c r="C165" s="158" t="s">
        <v>402</v>
      </c>
      <c r="D165" s="156" t="s">
        <v>403</v>
      </c>
      <c r="E165" s="300">
        <v>0</v>
      </c>
      <c r="F165" s="300">
        <v>0</v>
      </c>
      <c r="G165" s="246">
        <f t="shared" si="12"/>
        <v>0</v>
      </c>
      <c r="H165" s="301">
        <v>0</v>
      </c>
      <c r="I165" s="340">
        <v>0</v>
      </c>
      <c r="J165" s="340">
        <v>0</v>
      </c>
      <c r="K165" s="340">
        <v>0</v>
      </c>
      <c r="L165" s="340">
        <v>0</v>
      </c>
      <c r="O165" s="157"/>
      <c r="P165" s="158"/>
      <c r="Q165" s="156"/>
      <c r="R165" s="258"/>
      <c r="S165" s="258"/>
      <c r="T165" s="258"/>
      <c r="U165" s="258"/>
      <c r="V165" s="258"/>
      <c r="W165" s="258"/>
    </row>
    <row r="166" spans="2:23">
      <c r="B166" s="157" t="s">
        <v>271</v>
      </c>
      <c r="C166" s="158" t="s">
        <v>404</v>
      </c>
      <c r="D166" s="156" t="s">
        <v>405</v>
      </c>
      <c r="E166" s="300">
        <v>0</v>
      </c>
      <c r="F166" s="300">
        <v>0</v>
      </c>
      <c r="G166" s="246">
        <f t="shared" si="12"/>
        <v>0</v>
      </c>
      <c r="H166" s="301">
        <v>0</v>
      </c>
      <c r="I166" s="340">
        <v>0</v>
      </c>
      <c r="J166" s="340">
        <v>0</v>
      </c>
      <c r="K166" s="340">
        <v>0</v>
      </c>
      <c r="L166" s="340">
        <v>0</v>
      </c>
      <c r="O166" s="157"/>
      <c r="P166" s="158"/>
      <c r="Q166" s="156"/>
      <c r="R166" s="258"/>
      <c r="S166" s="258"/>
      <c r="T166" s="258"/>
      <c r="U166" s="258"/>
      <c r="V166" s="258"/>
      <c r="W166" s="258"/>
    </row>
    <row r="167" spans="2:23" ht="24">
      <c r="B167" s="157" t="s">
        <v>271</v>
      </c>
      <c r="C167" s="158" t="s">
        <v>406</v>
      </c>
      <c r="D167" s="156" t="s">
        <v>407</v>
      </c>
      <c r="E167" s="300">
        <v>5.8776000000000002E-3</v>
      </c>
      <c r="F167" s="300">
        <v>5.8776000000000002E-3</v>
      </c>
      <c r="G167" s="246">
        <f t="shared" si="12"/>
        <v>0</v>
      </c>
      <c r="H167" s="301">
        <v>0</v>
      </c>
      <c r="I167" s="340">
        <v>0</v>
      </c>
      <c r="J167" s="340">
        <v>0</v>
      </c>
      <c r="K167" s="340">
        <v>0</v>
      </c>
      <c r="L167" s="340">
        <v>0</v>
      </c>
      <c r="O167" s="157"/>
      <c r="P167" s="158"/>
      <c r="Q167" s="156"/>
      <c r="R167" s="258"/>
      <c r="S167" s="258"/>
      <c r="T167" s="258"/>
      <c r="U167" s="258"/>
      <c r="V167" s="258"/>
      <c r="W167" s="258"/>
    </row>
    <row r="168" spans="2:23">
      <c r="B168" s="157" t="s">
        <v>271</v>
      </c>
      <c r="C168" s="158" t="s">
        <v>408</v>
      </c>
      <c r="D168" s="156" t="s">
        <v>401</v>
      </c>
      <c r="E168" s="300">
        <v>0</v>
      </c>
      <c r="F168" s="300">
        <v>0</v>
      </c>
      <c r="G168" s="246">
        <f t="shared" si="12"/>
        <v>0</v>
      </c>
      <c r="H168" s="301">
        <v>0</v>
      </c>
      <c r="I168" s="340">
        <v>0</v>
      </c>
      <c r="J168" s="340">
        <v>0</v>
      </c>
      <c r="K168" s="340">
        <v>0</v>
      </c>
      <c r="L168" s="340">
        <v>0</v>
      </c>
      <c r="O168" s="157"/>
      <c r="P168" s="158"/>
      <c r="Q168" s="156"/>
      <c r="R168" s="258"/>
      <c r="S168" s="258"/>
      <c r="T168" s="258"/>
      <c r="U168" s="258"/>
      <c r="V168" s="258"/>
      <c r="W168" s="258"/>
    </row>
    <row r="169" spans="2:23">
      <c r="B169" s="157" t="s">
        <v>271</v>
      </c>
      <c r="C169" s="158" t="s">
        <v>409</v>
      </c>
      <c r="D169" s="156" t="s">
        <v>410</v>
      </c>
      <c r="E169" s="300">
        <v>0</v>
      </c>
      <c r="F169" s="300">
        <v>0</v>
      </c>
      <c r="G169" s="246">
        <f t="shared" si="12"/>
        <v>0</v>
      </c>
      <c r="H169" s="301">
        <v>0</v>
      </c>
      <c r="I169" s="340">
        <v>0</v>
      </c>
      <c r="J169" s="340">
        <v>0</v>
      </c>
      <c r="K169" s="340">
        <v>0</v>
      </c>
      <c r="L169" s="340">
        <v>0</v>
      </c>
      <c r="O169" s="157"/>
      <c r="P169" s="158"/>
      <c r="Q169" s="156"/>
      <c r="R169" s="258"/>
      <c r="S169" s="258"/>
      <c r="T169" s="258"/>
      <c r="U169" s="258"/>
      <c r="V169" s="258"/>
      <c r="W169" s="258"/>
    </row>
    <row r="170" spans="2:23" ht="48">
      <c r="B170" s="157" t="s">
        <v>271</v>
      </c>
      <c r="C170" s="158" t="s">
        <v>411</v>
      </c>
      <c r="D170" s="156" t="s">
        <v>412</v>
      </c>
      <c r="E170" s="300">
        <v>6.3113799999999998E-2</v>
      </c>
      <c r="F170" s="300">
        <v>6.3113799999999998E-2</v>
      </c>
      <c r="G170" s="246">
        <f t="shared" si="12"/>
        <v>0</v>
      </c>
      <c r="H170" s="301">
        <v>0</v>
      </c>
      <c r="I170" s="340">
        <v>0</v>
      </c>
      <c r="J170" s="340">
        <v>0</v>
      </c>
      <c r="K170" s="340">
        <v>0</v>
      </c>
      <c r="L170" s="340">
        <v>0</v>
      </c>
      <c r="O170" s="157"/>
      <c r="P170" s="158"/>
      <c r="Q170" s="156"/>
      <c r="R170" s="258"/>
      <c r="S170" s="258"/>
      <c r="T170" s="258"/>
      <c r="U170" s="258"/>
      <c r="V170" s="258"/>
      <c r="W170" s="258"/>
    </row>
    <row r="171" spans="2:23">
      <c r="B171" s="157" t="s">
        <v>271</v>
      </c>
      <c r="C171" s="158" t="s">
        <v>413</v>
      </c>
      <c r="D171" s="156">
        <v>0</v>
      </c>
      <c r="E171" s="300">
        <v>0</v>
      </c>
      <c r="F171" s="300">
        <v>0</v>
      </c>
      <c r="G171" s="246">
        <f t="shared" si="12"/>
        <v>0</v>
      </c>
      <c r="H171" s="301">
        <v>0</v>
      </c>
      <c r="I171" s="340">
        <v>0</v>
      </c>
      <c r="J171" s="340">
        <v>0</v>
      </c>
      <c r="K171" s="340">
        <v>0</v>
      </c>
      <c r="L171" s="340">
        <v>0</v>
      </c>
      <c r="O171" s="157"/>
      <c r="P171" s="158"/>
      <c r="Q171" s="156"/>
      <c r="R171" s="258"/>
      <c r="S171" s="258"/>
      <c r="T171" s="258"/>
      <c r="U171" s="258"/>
      <c r="V171" s="258"/>
      <c r="W171" s="258"/>
    </row>
    <row r="172" spans="2:23">
      <c r="B172" s="157" t="s">
        <v>271</v>
      </c>
      <c r="C172" s="158" t="s">
        <v>414</v>
      </c>
      <c r="D172" s="156">
        <v>0</v>
      </c>
      <c r="E172" s="300">
        <v>0</v>
      </c>
      <c r="F172" s="300">
        <v>0</v>
      </c>
      <c r="G172" s="246">
        <f t="shared" si="12"/>
        <v>0</v>
      </c>
      <c r="H172" s="301">
        <v>0</v>
      </c>
      <c r="I172" s="340">
        <v>0</v>
      </c>
      <c r="J172" s="340">
        <v>0</v>
      </c>
      <c r="K172" s="340">
        <v>0</v>
      </c>
      <c r="L172" s="340">
        <v>0</v>
      </c>
      <c r="O172" s="157"/>
      <c r="P172" s="158"/>
      <c r="Q172" s="156"/>
      <c r="R172" s="258"/>
      <c r="S172" s="258"/>
      <c r="T172" s="258"/>
      <c r="U172" s="258"/>
      <c r="V172" s="258"/>
      <c r="W172" s="258"/>
    </row>
    <row r="173" spans="2:23">
      <c r="B173" s="157" t="s">
        <v>271</v>
      </c>
      <c r="C173" s="158" t="s">
        <v>289</v>
      </c>
      <c r="D173" s="156">
        <v>0</v>
      </c>
      <c r="E173" s="300">
        <v>0</v>
      </c>
      <c r="F173" s="300">
        <v>0</v>
      </c>
      <c r="G173" s="246">
        <f t="shared" si="12"/>
        <v>0</v>
      </c>
      <c r="H173" s="301">
        <v>0</v>
      </c>
      <c r="I173" s="340">
        <v>0</v>
      </c>
      <c r="J173" s="340">
        <v>0</v>
      </c>
      <c r="K173" s="340">
        <v>0</v>
      </c>
      <c r="L173" s="340">
        <v>0</v>
      </c>
      <c r="O173" s="157"/>
      <c r="P173" s="158"/>
      <c r="Q173" s="156"/>
      <c r="R173" s="258"/>
      <c r="S173" s="258"/>
      <c r="T173" s="258"/>
      <c r="U173" s="258"/>
      <c r="V173" s="258"/>
      <c r="W173" s="258"/>
    </row>
    <row r="174" spans="2:23">
      <c r="B174" s="157" t="s">
        <v>290</v>
      </c>
      <c r="C174" s="158" t="s">
        <v>415</v>
      </c>
      <c r="D174" s="156" t="s">
        <v>415</v>
      </c>
      <c r="E174" s="300">
        <v>21.314058899000003</v>
      </c>
      <c r="F174" s="300">
        <v>21.314058899000003</v>
      </c>
      <c r="G174" s="246">
        <f t="shared" si="12"/>
        <v>0</v>
      </c>
      <c r="H174" s="301">
        <v>0</v>
      </c>
      <c r="I174" s="340">
        <v>0</v>
      </c>
      <c r="J174" s="340">
        <v>0</v>
      </c>
      <c r="K174" s="340">
        <v>0</v>
      </c>
      <c r="L174" s="340">
        <v>0</v>
      </c>
      <c r="O174" s="157"/>
      <c r="P174" s="158"/>
      <c r="Q174" s="156"/>
      <c r="R174" s="258"/>
      <c r="S174" s="258"/>
      <c r="T174" s="258"/>
      <c r="U174" s="258"/>
      <c r="V174" s="258"/>
      <c r="W174" s="258"/>
    </row>
    <row r="175" spans="2:23">
      <c r="B175" s="157" t="s">
        <v>290</v>
      </c>
      <c r="C175" s="158" t="s">
        <v>416</v>
      </c>
      <c r="D175" s="156" t="s">
        <v>292</v>
      </c>
      <c r="E175" s="300">
        <v>0</v>
      </c>
      <c r="F175" s="300">
        <v>0</v>
      </c>
      <c r="G175" s="246">
        <f t="shared" si="12"/>
        <v>0</v>
      </c>
      <c r="H175" s="301">
        <v>0</v>
      </c>
      <c r="I175" s="340">
        <v>0</v>
      </c>
      <c r="J175" s="340">
        <v>0</v>
      </c>
      <c r="K175" s="340">
        <v>0</v>
      </c>
      <c r="L175" s="340">
        <v>0</v>
      </c>
      <c r="O175" s="157"/>
      <c r="P175" s="158"/>
      <c r="Q175" s="156"/>
      <c r="R175" s="258"/>
      <c r="S175" s="258"/>
      <c r="T175" s="258"/>
      <c r="U175" s="258"/>
      <c r="V175" s="258"/>
      <c r="W175" s="258"/>
    </row>
    <row r="176" spans="2:23" ht="24">
      <c r="B176" s="157" t="s">
        <v>316</v>
      </c>
      <c r="C176" s="158" t="s">
        <v>316</v>
      </c>
      <c r="D176" s="156" t="s">
        <v>417</v>
      </c>
      <c r="E176" s="300">
        <v>0</v>
      </c>
      <c r="F176" s="300">
        <v>0</v>
      </c>
      <c r="G176" s="246">
        <f t="shared" si="12"/>
        <v>0</v>
      </c>
      <c r="H176" s="301">
        <v>0</v>
      </c>
      <c r="I176" s="340">
        <v>0</v>
      </c>
      <c r="J176" s="340">
        <v>0</v>
      </c>
      <c r="K176" s="340">
        <v>0</v>
      </c>
      <c r="L176" s="340">
        <v>0</v>
      </c>
      <c r="O176" s="157"/>
      <c r="P176" s="158"/>
      <c r="Q176" s="156"/>
      <c r="R176" s="258"/>
      <c r="S176" s="258"/>
      <c r="T176" s="258"/>
      <c r="U176" s="258"/>
      <c r="V176" s="258"/>
      <c r="W176" s="258"/>
    </row>
    <row r="177" spans="2:23" ht="24">
      <c r="B177" s="157" t="s">
        <v>316</v>
      </c>
      <c r="C177" s="158" t="s">
        <v>316</v>
      </c>
      <c r="D177" s="156" t="s">
        <v>418</v>
      </c>
      <c r="E177" s="300">
        <v>0</v>
      </c>
      <c r="F177" s="300">
        <v>0</v>
      </c>
      <c r="G177" s="246">
        <f t="shared" si="12"/>
        <v>0</v>
      </c>
      <c r="H177" s="301">
        <v>0</v>
      </c>
      <c r="I177" s="340">
        <v>0</v>
      </c>
      <c r="J177" s="340">
        <v>0</v>
      </c>
      <c r="K177" s="340">
        <v>0</v>
      </c>
      <c r="L177" s="340">
        <v>0</v>
      </c>
      <c r="O177" s="157"/>
      <c r="P177" s="158"/>
      <c r="Q177" s="156"/>
      <c r="R177" s="258"/>
      <c r="S177" s="258"/>
      <c r="T177" s="258"/>
      <c r="U177" s="258"/>
      <c r="V177" s="258"/>
      <c r="W177" s="258"/>
    </row>
    <row r="178" spans="2:23" ht="36">
      <c r="B178" s="157" t="s">
        <v>245</v>
      </c>
      <c r="C178" s="158" t="s">
        <v>245</v>
      </c>
      <c r="D178" s="156" t="s">
        <v>419</v>
      </c>
      <c r="E178" s="300">
        <v>0</v>
      </c>
      <c r="F178" s="300">
        <v>0</v>
      </c>
      <c r="G178" s="246">
        <f t="shared" si="12"/>
        <v>0</v>
      </c>
      <c r="H178" s="301">
        <v>0</v>
      </c>
      <c r="I178" s="340">
        <v>0</v>
      </c>
      <c r="J178" s="340">
        <v>0</v>
      </c>
      <c r="K178" s="340">
        <v>0</v>
      </c>
      <c r="L178" s="340">
        <v>0</v>
      </c>
      <c r="O178" s="157"/>
      <c r="P178" s="158"/>
      <c r="Q178" s="156"/>
      <c r="R178" s="258"/>
      <c r="S178" s="258"/>
      <c r="T178" s="258"/>
      <c r="U178" s="258"/>
      <c r="V178" s="258"/>
      <c r="W178" s="258"/>
    </row>
    <row r="179" spans="2:23">
      <c r="O179" s="157"/>
      <c r="P179" s="158"/>
      <c r="Q179" s="156"/>
      <c r="R179" s="258"/>
      <c r="S179" s="258"/>
      <c r="T179" s="258"/>
      <c r="U179" s="258"/>
      <c r="V179" s="258"/>
      <c r="W179" s="258"/>
    </row>
    <row r="180" spans="2:23">
      <c r="O180" s="157"/>
      <c r="P180" s="158"/>
      <c r="Q180" s="156"/>
      <c r="R180" s="258"/>
      <c r="S180" s="258"/>
      <c r="T180" s="258"/>
      <c r="U180" s="258"/>
      <c r="V180" s="258"/>
      <c r="W180" s="258"/>
    </row>
    <row r="181" spans="2:23">
      <c r="O181" s="157"/>
      <c r="P181" s="158"/>
      <c r="Q181" s="156"/>
      <c r="R181" s="258"/>
      <c r="S181" s="258"/>
      <c r="T181" s="258"/>
      <c r="U181" s="258"/>
      <c r="V181" s="258"/>
      <c r="W181" s="258"/>
    </row>
    <row r="182" spans="2:23">
      <c r="O182" s="157"/>
      <c r="P182" s="158"/>
      <c r="Q182" s="156"/>
      <c r="R182" s="258"/>
      <c r="S182" s="258"/>
      <c r="T182" s="258"/>
      <c r="U182" s="258"/>
      <c r="V182" s="258"/>
      <c r="W182" s="258"/>
    </row>
    <row r="183" spans="2:23">
      <c r="O183" s="157"/>
      <c r="P183" s="158"/>
      <c r="Q183" s="156"/>
      <c r="R183" s="258"/>
      <c r="S183" s="258"/>
      <c r="T183" s="258"/>
      <c r="U183" s="258"/>
      <c r="V183" s="258"/>
      <c r="W183" s="258"/>
    </row>
    <row r="184" spans="2:23">
      <c r="O184" s="157"/>
      <c r="P184" s="158"/>
      <c r="Q184" s="156"/>
      <c r="R184" s="258"/>
      <c r="S184" s="258"/>
      <c r="T184" s="258"/>
      <c r="U184" s="258"/>
      <c r="V184" s="258"/>
      <c r="W184" s="258"/>
    </row>
    <row r="185" spans="2:23">
      <c r="O185" s="157"/>
      <c r="P185" s="158"/>
      <c r="Q185" s="156"/>
      <c r="R185" s="258"/>
      <c r="S185" s="258"/>
      <c r="T185" s="258"/>
      <c r="U185" s="258"/>
      <c r="V185" s="258"/>
      <c r="W185" s="258"/>
    </row>
    <row r="186" spans="2:23">
      <c r="O186" s="157"/>
      <c r="P186" s="158"/>
      <c r="Q186" s="156"/>
      <c r="R186" s="258"/>
      <c r="S186" s="258"/>
      <c r="T186" s="258"/>
      <c r="U186" s="258"/>
      <c r="V186" s="258"/>
      <c r="W186" s="258"/>
    </row>
    <row r="187" spans="2:23">
      <c r="O187" s="157"/>
      <c r="P187" s="158"/>
      <c r="Q187" s="156"/>
      <c r="R187" s="258"/>
      <c r="S187" s="258"/>
      <c r="T187" s="258"/>
      <c r="U187" s="258"/>
      <c r="V187" s="258"/>
      <c r="W187" s="258"/>
    </row>
    <row r="188" spans="2:23">
      <c r="O188" s="157"/>
      <c r="P188" s="158"/>
      <c r="Q188" s="156"/>
      <c r="R188" s="258"/>
      <c r="S188" s="258"/>
      <c r="T188" s="258"/>
      <c r="U188" s="258"/>
      <c r="V188" s="258"/>
      <c r="W188" s="258"/>
    </row>
    <row r="189" spans="2:23">
      <c r="O189" s="157"/>
      <c r="P189" s="158"/>
      <c r="Q189" s="156"/>
      <c r="R189" s="258"/>
      <c r="S189" s="258"/>
      <c r="T189" s="258"/>
      <c r="U189" s="258"/>
      <c r="V189" s="258"/>
      <c r="W189" s="258"/>
    </row>
  </sheetData>
  <mergeCells count="17">
    <mergeCell ref="S26:V26"/>
    <mergeCell ref="I15:L15"/>
    <mergeCell ref="D4:H4"/>
    <mergeCell ref="B3:K3"/>
    <mergeCell ref="B2:K2"/>
    <mergeCell ref="B9:K9"/>
    <mergeCell ref="B10:K10"/>
    <mergeCell ref="B15:B16"/>
    <mergeCell ref="C15:C16"/>
    <mergeCell ref="D15:D16"/>
    <mergeCell ref="H15:H16"/>
    <mergeCell ref="B6:K6"/>
    <mergeCell ref="O104:Q104"/>
    <mergeCell ref="O26:O27"/>
    <mergeCell ref="P26:P27"/>
    <mergeCell ref="Q26:Q27"/>
    <mergeCell ref="R26:R2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6" tint="-0.249977111117893"/>
  </sheetPr>
  <dimension ref="B2:K13"/>
  <sheetViews>
    <sheetView workbookViewId="0">
      <selection activeCell="B2" sqref="B2:G2"/>
    </sheetView>
  </sheetViews>
  <sheetFormatPr defaultRowHeight="14.4"/>
  <cols>
    <col min="3" max="3" width="11.109375" customWidth="1"/>
    <col min="6" max="6" width="12.109375" customWidth="1"/>
    <col min="7" max="7" width="32.33203125" customWidth="1"/>
  </cols>
  <sheetData>
    <row r="2" spans="2:11">
      <c r="B2" s="418" t="s">
        <v>100</v>
      </c>
      <c r="C2" s="418"/>
      <c r="D2" s="418"/>
      <c r="E2" s="418"/>
      <c r="F2" s="418"/>
      <c r="G2" s="418"/>
    </row>
    <row r="3" spans="2:11">
      <c r="B3" s="419" t="str">
        <f>'SUMMARY-2023'!B3</f>
        <v>Details as on 31st March 2023</v>
      </c>
      <c r="C3" s="419"/>
      <c r="D3" s="419"/>
      <c r="E3" s="419"/>
      <c r="F3" s="419"/>
      <c r="G3" s="419"/>
    </row>
    <row r="4" spans="2:11" ht="48">
      <c r="B4" s="86" t="s">
        <v>101</v>
      </c>
      <c r="C4" s="86" t="s">
        <v>1</v>
      </c>
      <c r="D4" s="37" t="s">
        <v>64</v>
      </c>
      <c r="E4" s="86" t="s">
        <v>97</v>
      </c>
      <c r="F4" s="86" t="s">
        <v>125</v>
      </c>
      <c r="G4" s="86" t="s">
        <v>22</v>
      </c>
    </row>
    <row r="5" spans="2:11">
      <c r="B5" s="492" t="str">
        <f>'SUMMARY-2023'!B5</f>
        <v>Figures in INR Crores</v>
      </c>
      <c r="C5" s="492"/>
      <c r="D5" s="492"/>
      <c r="E5" s="492"/>
      <c r="F5" s="492"/>
      <c r="G5" s="492"/>
    </row>
    <row r="6" spans="2:11" ht="100.8">
      <c r="B6" s="95">
        <v>1</v>
      </c>
      <c r="C6" s="92" t="s">
        <v>124</v>
      </c>
      <c r="D6" s="96">
        <v>10.36</v>
      </c>
      <c r="E6" s="96" t="s">
        <v>137</v>
      </c>
      <c r="F6" s="83" t="s">
        <v>137</v>
      </c>
      <c r="G6" s="84" t="s">
        <v>136</v>
      </c>
    </row>
    <row r="7" spans="2:11">
      <c r="B7" s="93"/>
      <c r="C7" s="94"/>
      <c r="D7" s="67">
        <f>SUM(D6)</f>
        <v>10.36</v>
      </c>
      <c r="E7" s="71">
        <f t="shared" ref="E7:F7" si="0">SUM(E6)</f>
        <v>0</v>
      </c>
      <c r="F7" s="71">
        <f t="shared" si="0"/>
        <v>0</v>
      </c>
      <c r="G7" s="68"/>
      <c r="K7" s="78"/>
    </row>
    <row r="8" spans="2:11">
      <c r="B8" s="493"/>
      <c r="C8" s="493"/>
      <c r="D8" s="493"/>
      <c r="E8" s="493"/>
      <c r="F8" s="493"/>
      <c r="G8" s="493"/>
    </row>
    <row r="9" spans="2:11">
      <c r="B9" s="494" t="s">
        <v>20</v>
      </c>
      <c r="C9" s="494"/>
      <c r="D9" s="494"/>
      <c r="E9" s="494"/>
      <c r="F9" s="494"/>
      <c r="G9" s="494"/>
    </row>
    <row r="10" spans="2:11" ht="39" customHeight="1">
      <c r="B10" s="491" t="s">
        <v>102</v>
      </c>
      <c r="C10" s="491"/>
      <c r="D10" s="491"/>
      <c r="E10" s="491"/>
      <c r="F10" s="491"/>
      <c r="G10" s="491"/>
    </row>
    <row r="11" spans="2:11" ht="49.5" customHeight="1">
      <c r="B11" s="491" t="s">
        <v>103</v>
      </c>
      <c r="C11" s="491"/>
      <c r="D11" s="491"/>
      <c r="E11" s="491"/>
      <c r="F11" s="491"/>
      <c r="G11" s="491"/>
    </row>
    <row r="12" spans="2:11" ht="60" customHeight="1">
      <c r="B12" s="491" t="s">
        <v>104</v>
      </c>
      <c r="C12" s="491"/>
      <c r="D12" s="491"/>
      <c r="E12" s="491"/>
      <c r="F12" s="491"/>
      <c r="G12" s="491"/>
    </row>
    <row r="13" spans="2:11" ht="91.5" customHeight="1">
      <c r="B13" s="491" t="s">
        <v>105</v>
      </c>
      <c r="C13" s="491"/>
      <c r="D13" s="491"/>
      <c r="E13" s="491"/>
      <c r="F13" s="491"/>
      <c r="G13" s="491"/>
    </row>
  </sheetData>
  <mergeCells count="9">
    <mergeCell ref="B13:G13"/>
    <mergeCell ref="B2:G2"/>
    <mergeCell ref="B3:G3"/>
    <mergeCell ref="B5:G5"/>
    <mergeCell ref="B8:G8"/>
    <mergeCell ref="B9:G9"/>
    <mergeCell ref="B10:G10"/>
    <mergeCell ref="B11:G11"/>
    <mergeCell ref="B12:G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N32"/>
  <sheetViews>
    <sheetView tabSelected="1" zoomScaleNormal="100" workbookViewId="0">
      <pane ySplit="4" topLeftCell="A5" activePane="bottomLeft" state="frozen"/>
      <selection pane="bottomLeft" activeCell="C6" sqref="C6"/>
    </sheetView>
  </sheetViews>
  <sheetFormatPr defaultColWidth="9" defaultRowHeight="13.2"/>
  <cols>
    <col min="1" max="1" width="9" style="28"/>
    <col min="2" max="2" width="7" style="28" bestFit="1" customWidth="1"/>
    <col min="3" max="3" width="37.44140625" style="28" bestFit="1" customWidth="1"/>
    <col min="4" max="4" width="19.109375" style="29" customWidth="1"/>
    <col min="5" max="5" width="17.5546875" style="29" bestFit="1" customWidth="1"/>
    <col min="6" max="6" width="17.5546875" style="29" customWidth="1"/>
    <col min="7" max="7" width="10.6640625" style="28" bestFit="1" customWidth="1"/>
    <col min="8" max="8" width="11" style="28" bestFit="1" customWidth="1"/>
    <col min="9" max="9" width="16.88671875" style="28" customWidth="1"/>
    <col min="10" max="10" width="15.6640625" style="28" customWidth="1"/>
    <col min="11" max="16384" width="9" style="28"/>
  </cols>
  <sheetData>
    <row r="2" spans="2:7">
      <c r="B2" s="393" t="s">
        <v>65</v>
      </c>
      <c r="C2" s="393"/>
      <c r="D2" s="393"/>
      <c r="E2" s="393"/>
      <c r="F2" s="394"/>
      <c r="G2" s="393"/>
    </row>
    <row r="3" spans="2:7">
      <c r="B3" s="401" t="s">
        <v>93</v>
      </c>
      <c r="C3" s="401"/>
      <c r="D3" s="401"/>
      <c r="E3" s="401"/>
      <c r="F3" s="402"/>
      <c r="G3" s="401"/>
    </row>
    <row r="4" spans="2:7" ht="46.5" customHeight="1">
      <c r="B4" s="30" t="s">
        <v>24</v>
      </c>
      <c r="C4" s="30" t="s">
        <v>2</v>
      </c>
      <c r="D4" s="31" t="s">
        <v>64</v>
      </c>
      <c r="E4" s="31" t="s">
        <v>28</v>
      </c>
      <c r="F4" s="31" t="s">
        <v>117</v>
      </c>
      <c r="G4" s="30" t="s">
        <v>25</v>
      </c>
    </row>
    <row r="5" spans="2:7">
      <c r="B5" s="403" t="s">
        <v>92</v>
      </c>
      <c r="C5" s="403"/>
      <c r="D5" s="403"/>
      <c r="E5" s="403"/>
      <c r="F5" s="404"/>
      <c r="G5" s="403"/>
    </row>
    <row r="6" spans="2:7">
      <c r="B6" s="39">
        <v>1</v>
      </c>
      <c r="C6" s="27" t="s">
        <v>669</v>
      </c>
      <c r="D6" s="69">
        <v>4.78</v>
      </c>
      <c r="E6" s="62">
        <v>1.83</v>
      </c>
      <c r="F6" s="62">
        <v>1.28</v>
      </c>
      <c r="G6" s="62" t="s">
        <v>181</v>
      </c>
    </row>
    <row r="7" spans="2:7">
      <c r="B7" s="39">
        <v>2</v>
      </c>
      <c r="C7" s="27" t="s">
        <v>670</v>
      </c>
      <c r="D7" s="69">
        <v>34.340000000000003</v>
      </c>
      <c r="E7" s="62">
        <v>56.57</v>
      </c>
      <c r="F7" s="62">
        <v>44.2</v>
      </c>
      <c r="G7" s="62" t="s">
        <v>181</v>
      </c>
    </row>
    <row r="8" spans="2:7">
      <c r="B8" s="39">
        <v>3</v>
      </c>
      <c r="C8" s="27" t="s">
        <v>10</v>
      </c>
      <c r="D8" s="62">
        <v>10.36</v>
      </c>
      <c r="E8" s="519">
        <v>21.47</v>
      </c>
      <c r="F8" s="519">
        <v>16.100000000000001</v>
      </c>
      <c r="G8" s="62" t="s">
        <v>181</v>
      </c>
    </row>
    <row r="9" spans="2:7">
      <c r="B9" s="39">
        <v>4</v>
      </c>
      <c r="C9" s="27" t="s">
        <v>671</v>
      </c>
      <c r="D9" s="62">
        <v>2.91</v>
      </c>
      <c r="E9" s="62" t="s">
        <v>181</v>
      </c>
      <c r="F9" s="62" t="s">
        <v>181</v>
      </c>
      <c r="G9" s="62" t="s">
        <v>181</v>
      </c>
    </row>
    <row r="10" spans="2:7">
      <c r="B10" s="39">
        <v>5</v>
      </c>
      <c r="C10" s="27" t="s">
        <v>86</v>
      </c>
      <c r="D10" s="324">
        <f>'NCI-I'!D10</f>
        <v>47.47</v>
      </c>
      <c r="E10" s="324">
        <f>'NCI-I'!H10</f>
        <v>7.2314197199999999</v>
      </c>
      <c r="F10" s="324">
        <f>'NCI-I'!I10</f>
        <v>7.2314197199999999</v>
      </c>
      <c r="G10" s="40" t="s">
        <v>30</v>
      </c>
    </row>
    <row r="11" spans="2:7">
      <c r="B11" s="39">
        <v>6</v>
      </c>
      <c r="C11" s="27" t="s">
        <v>98</v>
      </c>
      <c r="D11" s="324">
        <f>'Trade Receivable-II'!D8</f>
        <v>124.86</v>
      </c>
      <c r="E11" s="324">
        <f>'Trade Receivable-II'!I8</f>
        <v>89.367943742580479</v>
      </c>
      <c r="F11" s="324">
        <f>'Trade Receivable-II'!J8</f>
        <v>49.638978032347239</v>
      </c>
      <c r="G11" s="40" t="s">
        <v>73</v>
      </c>
    </row>
    <row r="12" spans="2:7">
      <c r="B12" s="39">
        <v>7</v>
      </c>
      <c r="C12" s="27" t="s">
        <v>118</v>
      </c>
      <c r="D12" s="325">
        <f>'Loans-III'!E8</f>
        <v>10.049999999999999</v>
      </c>
      <c r="E12" s="325">
        <f>'Loans-III'!I8</f>
        <v>0.02</v>
      </c>
      <c r="F12" s="325">
        <f>'Loans-III'!J8</f>
        <v>0.02</v>
      </c>
      <c r="G12" s="40" t="s">
        <v>74</v>
      </c>
    </row>
    <row r="13" spans="2:7">
      <c r="B13" s="39">
        <v>8</v>
      </c>
      <c r="C13" s="323" t="s">
        <v>663</v>
      </c>
      <c r="D13" s="325">
        <f>'Interest Accrued-IV'!E7</f>
        <v>217.08</v>
      </c>
      <c r="E13" s="325">
        <f>'Interest Accrued-IV'!J7</f>
        <v>131.53842139229843</v>
      </c>
      <c r="F13" s="325">
        <f>'Interest Accrued-IV'!K7</f>
        <v>3.0757775250000008</v>
      </c>
      <c r="G13" s="40" t="s">
        <v>31</v>
      </c>
    </row>
    <row r="14" spans="2:7">
      <c r="B14" s="39">
        <v>9</v>
      </c>
      <c r="C14" s="323" t="s">
        <v>673</v>
      </c>
      <c r="D14" s="324">
        <f>'Claim for PBG-V'!D7</f>
        <v>1.56</v>
      </c>
      <c r="E14" s="324">
        <f>'Claim for PBG-V'!E7</f>
        <v>1.2480000000000002</v>
      </c>
      <c r="F14" s="324">
        <f>'Claim for PBG-V'!F7</f>
        <v>0.62400000000000011</v>
      </c>
      <c r="G14" s="40" t="s">
        <v>84</v>
      </c>
    </row>
    <row r="15" spans="2:7">
      <c r="B15" s="39">
        <v>10</v>
      </c>
      <c r="C15" s="27" t="s">
        <v>123</v>
      </c>
      <c r="D15" s="324">
        <f>'Other Receivables-VI'!D7</f>
        <v>1.4</v>
      </c>
      <c r="E15" s="324">
        <f>'Other Receivables-VI'!G7</f>
        <v>1.1783519905731838</v>
      </c>
      <c r="F15" s="324">
        <f>'Other Receivables-VI'!H7</f>
        <v>0</v>
      </c>
      <c r="G15" s="62" t="s">
        <v>85</v>
      </c>
    </row>
    <row r="16" spans="2:7">
      <c r="B16" s="39">
        <v>11</v>
      </c>
      <c r="C16" s="27" t="s">
        <v>664</v>
      </c>
      <c r="D16" s="325">
        <f>'Margin Money-VII'!D7</f>
        <v>24.2</v>
      </c>
      <c r="E16" s="325">
        <f>'Margin Money-VII'!E7</f>
        <v>24.2</v>
      </c>
      <c r="F16" s="325">
        <f>'Margin Money-VII'!F7</f>
        <v>24.2</v>
      </c>
      <c r="G16" s="62" t="s">
        <v>88</v>
      </c>
    </row>
    <row r="17" spans="2:14">
      <c r="B17" s="39">
        <v>12</v>
      </c>
      <c r="C17" s="27" t="s">
        <v>612</v>
      </c>
      <c r="D17" s="325">
        <f>'Tax Assets-VIII'!D7</f>
        <v>61.69</v>
      </c>
      <c r="E17" s="325">
        <f>'Tax Assets-VIII'!E7</f>
        <v>60.442583199999994</v>
      </c>
      <c r="F17" s="325">
        <f>'Tax Assets-VIII'!F7</f>
        <v>0</v>
      </c>
      <c r="G17" s="69" t="s">
        <v>89</v>
      </c>
    </row>
    <row r="18" spans="2:14">
      <c r="B18" s="39">
        <v>13</v>
      </c>
      <c r="C18" s="27" t="s">
        <v>665</v>
      </c>
      <c r="D18" s="325">
        <f>'Deposits-IX'!D7</f>
        <v>3.33</v>
      </c>
      <c r="E18" s="324">
        <f>'Deposits-IX'!H7</f>
        <v>2.804554158032214</v>
      </c>
      <c r="F18" s="324">
        <f>'Deposits-IX'!I7</f>
        <v>2.1325407864000008</v>
      </c>
      <c r="G18" s="62" t="s">
        <v>90</v>
      </c>
    </row>
    <row r="19" spans="2:14">
      <c r="B19" s="39">
        <v>14</v>
      </c>
      <c r="C19" s="27" t="s">
        <v>666</v>
      </c>
      <c r="D19" s="325">
        <f>'Advances to Vendor-X'!D7</f>
        <v>31.830000000000002</v>
      </c>
      <c r="E19" s="325">
        <f>'Advances to Vendor-X'!E7</f>
        <v>39.885949376999946</v>
      </c>
      <c r="F19" s="325">
        <f>'Advances to Vendor-X'!F7</f>
        <v>34.080957165999941</v>
      </c>
      <c r="G19" s="62" t="s">
        <v>91</v>
      </c>
      <c r="I19" s="32"/>
    </row>
    <row r="20" spans="2:14">
      <c r="B20" s="39">
        <v>15</v>
      </c>
      <c r="C20" s="27" t="s">
        <v>667</v>
      </c>
      <c r="D20" s="325">
        <f>'Balance - Satutory Authority-XI'!D7</f>
        <v>125.14</v>
      </c>
      <c r="E20" s="325">
        <f>'Balance - Satutory Authority-XI'!E7</f>
        <v>87.17</v>
      </c>
      <c r="F20" s="325">
        <f>'Balance - Satutory Authority-XI'!F7</f>
        <v>0</v>
      </c>
      <c r="G20" s="62" t="s">
        <v>183</v>
      </c>
      <c r="I20" s="303"/>
      <c r="J20" s="303"/>
    </row>
    <row r="21" spans="2:14">
      <c r="B21" s="39">
        <v>16</v>
      </c>
      <c r="C21" s="27" t="s">
        <v>668</v>
      </c>
      <c r="D21" s="325">
        <f>'Contract Assets-WIP-XII'!D7</f>
        <v>486.83</v>
      </c>
      <c r="E21" s="325">
        <f>'Contract Assets-WIP-XII'!I7</f>
        <v>383.53130505851493</v>
      </c>
      <c r="F21" s="325">
        <f>'Contract Assets-WIP-XII'!J7</f>
        <v>106.56593626978322</v>
      </c>
      <c r="G21" s="40" t="s">
        <v>674</v>
      </c>
      <c r="I21" s="303"/>
      <c r="J21" s="303"/>
      <c r="L21" s="318"/>
      <c r="M21" s="318"/>
      <c r="N21" s="318"/>
    </row>
    <row r="22" spans="2:14">
      <c r="B22" s="39">
        <v>17</v>
      </c>
      <c r="C22" s="27" t="s">
        <v>182</v>
      </c>
      <c r="D22" s="325">
        <f>'Retention Money-XIII'!D8</f>
        <v>305.34999999999997</v>
      </c>
      <c r="E22" s="325">
        <f>'Retention Money-XIII'!I8</f>
        <v>240.72922863640167</v>
      </c>
      <c r="F22" s="325">
        <f>'Retention Money-XIII'!J8</f>
        <v>58.849221070890181</v>
      </c>
      <c r="G22" s="40" t="s">
        <v>675</v>
      </c>
      <c r="I22" s="303"/>
      <c r="J22" s="303"/>
      <c r="L22" s="318"/>
      <c r="M22" s="318"/>
      <c r="N22" s="318"/>
    </row>
    <row r="23" spans="2:14">
      <c r="B23" s="39">
        <v>18</v>
      </c>
      <c r="C23" s="27" t="s">
        <v>677</v>
      </c>
      <c r="D23" s="324">
        <f>'Cash &amp; Cash Equivalents-XIV'!D10</f>
        <v>330.90999999999997</v>
      </c>
      <c r="E23" s="324">
        <f>'Cash &amp; Cash Equivalents-XIV'!E10</f>
        <v>392.61754150000002</v>
      </c>
      <c r="F23" s="324">
        <f>'Cash &amp; Cash Equivalents-XIV'!F10</f>
        <v>392.61754150000002</v>
      </c>
      <c r="G23" s="62" t="s">
        <v>676</v>
      </c>
    </row>
    <row r="24" spans="2:14">
      <c r="B24" s="399" t="s">
        <v>21</v>
      </c>
      <c r="C24" s="400"/>
      <c r="D24" s="326">
        <f>SUM(D6:D23)</f>
        <v>1824.0900000000001</v>
      </c>
      <c r="E24" s="326">
        <f>SUM(E6:E23)</f>
        <v>1541.8352987754008</v>
      </c>
      <c r="F24" s="326">
        <f>SUM(F6:F23)</f>
        <v>740.61637207042054</v>
      </c>
      <c r="G24" s="30"/>
      <c r="I24" s="303"/>
      <c r="J24" s="303"/>
    </row>
    <row r="25" spans="2:14" ht="12" customHeight="1">
      <c r="B25" s="396" t="s">
        <v>20</v>
      </c>
      <c r="C25" s="397"/>
      <c r="D25" s="397"/>
      <c r="E25" s="397"/>
      <c r="F25" s="397"/>
      <c r="G25" s="398"/>
      <c r="K25" s="320"/>
      <c r="L25" s="321"/>
      <c r="M25" s="321"/>
      <c r="N25" s="321"/>
    </row>
    <row r="26" spans="2:14" ht="292.5" customHeight="1">
      <c r="B26" s="395" t="s">
        <v>148</v>
      </c>
      <c r="C26" s="395"/>
      <c r="D26" s="395"/>
      <c r="E26" s="395"/>
      <c r="F26" s="395"/>
      <c r="G26" s="395"/>
    </row>
    <row r="27" spans="2:14" ht="33.75" customHeight="1">
      <c r="B27" s="33"/>
      <c r="C27" s="33"/>
      <c r="D27" s="33"/>
      <c r="E27" s="33"/>
      <c r="F27" s="33"/>
      <c r="G27" s="33"/>
    </row>
    <row r="28" spans="2:14" ht="23.25" customHeight="1">
      <c r="B28" s="34"/>
      <c r="C28" s="34"/>
      <c r="D28" s="34"/>
      <c r="E28" s="34"/>
      <c r="F28" s="34"/>
      <c r="G28" s="34"/>
    </row>
    <row r="29" spans="2:14" ht="36" customHeight="1">
      <c r="B29" s="33"/>
      <c r="C29" s="33"/>
      <c r="D29" s="33"/>
      <c r="E29" s="33"/>
      <c r="F29" s="33"/>
      <c r="G29" s="33"/>
    </row>
    <row r="30" spans="2:14" ht="33.75" customHeight="1">
      <c r="B30" s="33"/>
      <c r="C30" s="33"/>
      <c r="D30" s="33"/>
      <c r="E30" s="33"/>
      <c r="F30" s="33"/>
      <c r="G30" s="33"/>
    </row>
    <row r="31" spans="2:14" ht="30" customHeight="1">
      <c r="B31" s="35"/>
      <c r="C31" s="35"/>
      <c r="D31" s="35"/>
      <c r="E31" s="35"/>
      <c r="F31" s="35"/>
      <c r="G31" s="35"/>
    </row>
    <row r="32" spans="2:14" ht="48.75" customHeight="1">
      <c r="B32" s="35"/>
      <c r="C32" s="35"/>
      <c r="D32" s="35"/>
      <c r="E32" s="35"/>
      <c r="F32" s="35"/>
      <c r="G32" s="35"/>
    </row>
  </sheetData>
  <mergeCells count="6">
    <mergeCell ref="B2:G2"/>
    <mergeCell ref="B26:G26"/>
    <mergeCell ref="B25:G25"/>
    <mergeCell ref="B24:C24"/>
    <mergeCell ref="B3:G3"/>
    <mergeCell ref="B5:G5"/>
  </mergeCells>
  <pageMargins left="0.7" right="0.7" top="0.75" bottom="0.75" header="0.3" footer="0.3"/>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sheetPr>
  <dimension ref="B2:J22"/>
  <sheetViews>
    <sheetView topLeftCell="A10" workbookViewId="0">
      <selection activeCell="B15" sqref="B15:G15"/>
    </sheetView>
  </sheetViews>
  <sheetFormatPr defaultRowHeight="14.4"/>
  <cols>
    <col min="3" max="3" width="17.6640625" customWidth="1"/>
    <col min="4" max="4" width="13.33203125" customWidth="1"/>
    <col min="5" max="5" width="13" customWidth="1"/>
    <col min="6" max="6" width="12.6640625" customWidth="1"/>
    <col min="7" max="7" width="75.33203125" customWidth="1"/>
    <col min="9" max="9" width="12.6640625" customWidth="1"/>
  </cols>
  <sheetData>
    <row r="2" spans="2:10">
      <c r="B2" s="504" t="s">
        <v>116</v>
      </c>
      <c r="C2" s="504"/>
      <c r="D2" s="504"/>
      <c r="E2" s="504"/>
      <c r="F2" s="504"/>
      <c r="G2" s="504"/>
    </row>
    <row r="3" spans="2:10">
      <c r="B3" s="419" t="str">
        <f>'SUMMARY-2023'!B3</f>
        <v>Details as on 31st March 2023</v>
      </c>
      <c r="C3" s="419"/>
      <c r="D3" s="419"/>
      <c r="E3" s="419"/>
      <c r="F3" s="419"/>
      <c r="G3" s="419"/>
    </row>
    <row r="4" spans="2:10" ht="42.6" customHeight="1">
      <c r="B4" s="67" t="s">
        <v>24</v>
      </c>
      <c r="C4" s="91" t="s">
        <v>1</v>
      </c>
      <c r="D4" s="86" t="s">
        <v>64</v>
      </c>
      <c r="E4" s="24" t="s">
        <v>142</v>
      </c>
      <c r="F4" s="24" t="s">
        <v>143</v>
      </c>
      <c r="G4" s="86" t="s">
        <v>22</v>
      </c>
    </row>
    <row r="5" spans="2:10">
      <c r="B5" s="424" t="str">
        <f>'SUMMARY-2023'!B5</f>
        <v>Figures in INR Crores</v>
      </c>
      <c r="C5" s="424"/>
      <c r="D5" s="424"/>
      <c r="E5" s="424"/>
      <c r="F5" s="424"/>
      <c r="G5" s="424"/>
    </row>
    <row r="6" spans="2:10">
      <c r="B6" s="511" t="s">
        <v>106</v>
      </c>
      <c r="C6" s="511"/>
      <c r="D6" s="511"/>
      <c r="E6" s="511"/>
      <c r="F6" s="511"/>
      <c r="G6" s="511"/>
    </row>
    <row r="7" spans="2:10" ht="63.75" customHeight="1">
      <c r="B7" s="83" t="s">
        <v>107</v>
      </c>
      <c r="C7" s="85" t="s">
        <v>126</v>
      </c>
      <c r="D7" s="117">
        <v>0.04</v>
      </c>
      <c r="E7" s="117">
        <f>D7*H7</f>
        <v>0.04</v>
      </c>
      <c r="F7" s="96">
        <f>E7*I7</f>
        <v>0.04</v>
      </c>
      <c r="G7" s="98" t="s">
        <v>147</v>
      </c>
      <c r="H7" s="47">
        <v>1</v>
      </c>
      <c r="I7" s="116">
        <v>1</v>
      </c>
    </row>
    <row r="8" spans="2:10" ht="115.2">
      <c r="B8" s="83">
        <v>2</v>
      </c>
      <c r="C8" s="85" t="s">
        <v>127</v>
      </c>
      <c r="D8" s="117">
        <v>147.28</v>
      </c>
      <c r="E8" s="333">
        <f>D8*H8+'NCI-I'!P8+'NCI-I'!P12</f>
        <v>210.29754150000002</v>
      </c>
      <c r="F8" s="70">
        <f>E8*I8</f>
        <v>210.29754150000002</v>
      </c>
      <c r="G8" s="119" t="s">
        <v>521</v>
      </c>
      <c r="H8" s="47">
        <v>1</v>
      </c>
      <c r="I8" s="116">
        <v>1</v>
      </c>
    </row>
    <row r="9" spans="2:10" ht="100.8">
      <c r="B9" s="83">
        <v>3</v>
      </c>
      <c r="C9" s="85" t="s">
        <v>128</v>
      </c>
      <c r="D9" s="117">
        <v>183.59</v>
      </c>
      <c r="E9" s="117">
        <v>182.28</v>
      </c>
      <c r="F9" s="96">
        <v>182.28</v>
      </c>
      <c r="G9" s="118" t="s">
        <v>149</v>
      </c>
      <c r="J9" s="114" t="s">
        <v>146</v>
      </c>
    </row>
    <row r="10" spans="2:10">
      <c r="B10" s="82"/>
      <c r="C10" s="86" t="s">
        <v>21</v>
      </c>
      <c r="D10" s="87">
        <f t="shared" ref="D10:E10" si="0">SUM(D7:D9)</f>
        <v>330.90999999999997</v>
      </c>
      <c r="E10" s="87">
        <f t="shared" si="0"/>
        <v>392.61754150000002</v>
      </c>
      <c r="F10" s="87">
        <f>SUM(F7:F9)</f>
        <v>392.61754150000002</v>
      </c>
      <c r="G10" s="88"/>
    </row>
    <row r="11" spans="2:10">
      <c r="B11" s="512" t="s">
        <v>138</v>
      </c>
      <c r="C11" s="512"/>
      <c r="D11" s="512"/>
      <c r="E11" s="512"/>
      <c r="F11" s="512"/>
      <c r="G11" s="512"/>
    </row>
    <row r="12" spans="2:10">
      <c r="B12" s="505" t="s">
        <v>112</v>
      </c>
      <c r="C12" s="506"/>
      <c r="D12" s="506"/>
      <c r="E12" s="506"/>
      <c r="F12" s="506"/>
      <c r="G12" s="507"/>
    </row>
    <row r="13" spans="2:10">
      <c r="B13" s="505" t="s">
        <v>113</v>
      </c>
      <c r="C13" s="506"/>
      <c r="D13" s="506"/>
      <c r="E13" s="506"/>
      <c r="F13" s="506"/>
      <c r="G13" s="507"/>
    </row>
    <row r="14" spans="2:10">
      <c r="B14" s="505" t="s">
        <v>114</v>
      </c>
      <c r="C14" s="506"/>
      <c r="D14" s="506"/>
      <c r="E14" s="506"/>
      <c r="F14" s="506"/>
      <c r="G14" s="507"/>
    </row>
    <row r="15" spans="2:10">
      <c r="B15" s="508" t="s">
        <v>115</v>
      </c>
      <c r="C15" s="509"/>
      <c r="D15" s="509"/>
      <c r="E15" s="509"/>
      <c r="F15" s="509"/>
      <c r="G15" s="510"/>
    </row>
    <row r="18" spans="5:7" ht="47.25" customHeight="1">
      <c r="E18" s="495" t="s">
        <v>108</v>
      </c>
      <c r="F18" s="496"/>
      <c r="G18" s="497"/>
    </row>
    <row r="19" spans="5:7" ht="31.5" customHeight="1">
      <c r="E19" s="498" t="s">
        <v>109</v>
      </c>
      <c r="F19" s="499"/>
      <c r="G19" s="500"/>
    </row>
    <row r="20" spans="5:7" ht="104.25" customHeight="1">
      <c r="E20" s="498" t="s">
        <v>110</v>
      </c>
      <c r="F20" s="499"/>
      <c r="G20" s="500"/>
    </row>
    <row r="21" spans="5:7">
      <c r="E21" s="89"/>
      <c r="G21" s="90"/>
    </row>
    <row r="22" spans="5:7" ht="92.25" customHeight="1">
      <c r="E22" s="501" t="s">
        <v>111</v>
      </c>
      <c r="F22" s="502"/>
      <c r="G22" s="503"/>
    </row>
  </sheetData>
  <mergeCells count="13">
    <mergeCell ref="E18:G18"/>
    <mergeCell ref="E19:G19"/>
    <mergeCell ref="E20:G20"/>
    <mergeCell ref="E22:G22"/>
    <mergeCell ref="B2:G2"/>
    <mergeCell ref="B3:G3"/>
    <mergeCell ref="B14:G14"/>
    <mergeCell ref="B15:G15"/>
    <mergeCell ref="B5:G5"/>
    <mergeCell ref="B6:G6"/>
    <mergeCell ref="B11:G11"/>
    <mergeCell ref="B12:G12"/>
    <mergeCell ref="B13:G13"/>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3BDB5-2330-4CA0-BF59-31FC92E766ED}">
  <dimension ref="B1:D8"/>
  <sheetViews>
    <sheetView zoomScale="102" zoomScaleNormal="102" workbookViewId="0">
      <selection activeCell="F13" sqref="F13"/>
    </sheetView>
  </sheetViews>
  <sheetFormatPr defaultColWidth="8.77734375" defaultRowHeight="14.4"/>
  <cols>
    <col min="2" max="2" width="17.44140625" customWidth="1"/>
    <col min="3" max="3" width="10" customWidth="1"/>
    <col min="4" max="4" width="14.21875" customWidth="1"/>
  </cols>
  <sheetData>
    <row r="1" spans="2:4">
      <c r="B1" s="513" t="s">
        <v>93</v>
      </c>
      <c r="C1" s="513"/>
    </row>
    <row r="2" spans="2:4" s="387" customFormat="1" ht="45.6" customHeight="1">
      <c r="B2" s="386" t="s">
        <v>619</v>
      </c>
      <c r="C2" s="386" t="s">
        <v>717</v>
      </c>
    </row>
    <row r="3" spans="2:4" s="387" customFormat="1" ht="15.6" customHeight="1">
      <c r="B3" s="513" t="s">
        <v>718</v>
      </c>
      <c r="C3" s="513"/>
    </row>
    <row r="4" spans="2:4">
      <c r="B4" s="120" t="s">
        <v>719</v>
      </c>
      <c r="C4" s="388">
        <f>[3]DDPL!C10+[3]BAPL!C10</f>
        <v>61.798072041666671</v>
      </c>
    </row>
    <row r="5" spans="2:4">
      <c r="B5" s="120" t="s">
        <v>720</v>
      </c>
      <c r="C5" s="388">
        <f>[3]Nagaland!C12+[3]HEL!C11+[3]CEL!C11+[3]BETL!C12+[3]PTTL!C12</f>
        <v>756.50948570297851</v>
      </c>
    </row>
    <row r="6" spans="2:4" s="3" customFormat="1">
      <c r="B6" s="389" t="s">
        <v>21</v>
      </c>
      <c r="C6" s="390">
        <f>SUM(C4:C5)</f>
        <v>818.30755774464524</v>
      </c>
    </row>
    <row r="7" spans="2:4">
      <c r="B7" s="120" t="s">
        <v>721</v>
      </c>
      <c r="C7" s="388">
        <v>252.63</v>
      </c>
      <c r="D7" s="391"/>
    </row>
    <row r="8" spans="2:4">
      <c r="B8" s="389" t="s">
        <v>717</v>
      </c>
      <c r="C8" s="390">
        <f>C6-C7</f>
        <v>565.67755774464524</v>
      </c>
    </row>
  </sheetData>
  <mergeCells count="2">
    <mergeCell ref="B1:C1"/>
    <mergeCell ref="B3:C3"/>
  </mergeCells>
  <pageMargins left="0.7" right="0.7" top="0.75" bottom="0.7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91B32-0DA6-4FDB-B82E-4A83D39B02FD}">
  <sheetPr>
    <pageSetUpPr fitToPage="1"/>
  </sheetPr>
  <dimension ref="B2:G25"/>
  <sheetViews>
    <sheetView zoomScaleNormal="100" workbookViewId="0">
      <pane ySplit="4" topLeftCell="A5" activePane="bottomLeft" state="frozen"/>
      <selection pane="bottomLeft" activeCell="M14" sqref="M14"/>
    </sheetView>
  </sheetViews>
  <sheetFormatPr defaultColWidth="9" defaultRowHeight="13.2"/>
  <cols>
    <col min="1" max="1" width="11" style="28" bestFit="1" customWidth="1"/>
    <col min="2" max="2" width="16.88671875" style="28" customWidth="1"/>
    <col min="3" max="3" width="31.33203125" style="28" customWidth="1"/>
    <col min="4" max="16384" width="9" style="28"/>
  </cols>
  <sheetData>
    <row r="2" spans="2:7">
      <c r="B2" s="394" t="s">
        <v>65</v>
      </c>
      <c r="C2" s="394"/>
      <c r="D2" s="394"/>
      <c r="E2" s="394"/>
      <c r="F2" s="394"/>
      <c r="G2" s="394"/>
    </row>
    <row r="3" spans="2:7">
      <c r="B3" s="402" t="s">
        <v>707</v>
      </c>
      <c r="C3" s="402"/>
      <c r="D3" s="402"/>
      <c r="E3" s="402"/>
      <c r="F3" s="402"/>
      <c r="G3" s="402"/>
    </row>
    <row r="4" spans="2:7" ht="46.5" customHeight="1">
      <c r="B4" s="382" t="s">
        <v>24</v>
      </c>
      <c r="C4" s="382" t="s">
        <v>2</v>
      </c>
      <c r="D4" s="383" t="s">
        <v>64</v>
      </c>
      <c r="E4" s="383" t="s">
        <v>28</v>
      </c>
      <c r="F4" s="383" t="s">
        <v>117</v>
      </c>
      <c r="G4" s="382" t="s">
        <v>25</v>
      </c>
    </row>
    <row r="5" spans="2:7">
      <c r="B5" s="404" t="s">
        <v>92</v>
      </c>
      <c r="C5" s="404"/>
      <c r="D5" s="404"/>
      <c r="E5" s="404"/>
      <c r="F5" s="404"/>
      <c r="G5" s="404"/>
    </row>
    <row r="6" spans="2:7">
      <c r="B6" s="39">
        <v>1</v>
      </c>
      <c r="C6" s="27" t="s">
        <v>669</v>
      </c>
      <c r="D6" s="69">
        <v>4.78</v>
      </c>
      <c r="E6" s="62">
        <v>1.37</v>
      </c>
      <c r="F6" s="62">
        <v>0.96</v>
      </c>
      <c r="G6" s="62" t="s">
        <v>181</v>
      </c>
    </row>
    <row r="7" spans="2:7">
      <c r="B7" s="39">
        <v>2</v>
      </c>
      <c r="C7" s="27" t="s">
        <v>670</v>
      </c>
      <c r="D7" s="69">
        <v>128.63999999999999</v>
      </c>
      <c r="E7" s="62">
        <v>95.27</v>
      </c>
      <c r="F7" s="62">
        <v>62.61</v>
      </c>
      <c r="G7" s="62" t="s">
        <v>181</v>
      </c>
    </row>
    <row r="8" spans="2:7">
      <c r="B8" s="39">
        <v>3</v>
      </c>
      <c r="C8" s="27" t="s">
        <v>10</v>
      </c>
      <c r="D8" s="69">
        <v>111.66</v>
      </c>
      <c r="E8" s="62">
        <v>118.44</v>
      </c>
      <c r="F8" s="62">
        <v>88.83</v>
      </c>
      <c r="G8" s="62" t="s">
        <v>181</v>
      </c>
    </row>
    <row r="9" spans="2:7">
      <c r="B9" s="39">
        <v>4</v>
      </c>
      <c r="C9" s="27" t="s">
        <v>708</v>
      </c>
      <c r="D9" s="69">
        <v>3.75</v>
      </c>
      <c r="E9" s="62" t="s">
        <v>181</v>
      </c>
      <c r="F9" s="62" t="s">
        <v>181</v>
      </c>
      <c r="G9" s="62" t="s">
        <v>181</v>
      </c>
    </row>
    <row r="10" spans="2:7">
      <c r="B10" s="39">
        <v>5</v>
      </c>
      <c r="C10" s="27" t="s">
        <v>709</v>
      </c>
      <c r="D10" s="69">
        <v>0.65</v>
      </c>
      <c r="E10" s="62" t="s">
        <v>181</v>
      </c>
      <c r="F10" s="62" t="s">
        <v>181</v>
      </c>
      <c r="G10" s="62" t="s">
        <v>181</v>
      </c>
    </row>
    <row r="11" spans="2:7">
      <c r="B11" s="39">
        <v>6</v>
      </c>
      <c r="C11" s="27" t="s">
        <v>86</v>
      </c>
      <c r="D11" s="69">
        <f>'[4]NCI-I'!D10</f>
        <v>56.55</v>
      </c>
      <c r="E11" s="69">
        <f>'[4]NCI-I'!H10</f>
        <v>60.997381557744873</v>
      </c>
      <c r="F11" s="69">
        <f>'[4]NCI-I'!I10</f>
        <v>60.997381557744873</v>
      </c>
      <c r="G11" s="40" t="s">
        <v>30</v>
      </c>
    </row>
    <row r="12" spans="2:7">
      <c r="B12" s="39">
        <v>7</v>
      </c>
      <c r="C12" s="27" t="s">
        <v>98</v>
      </c>
      <c r="D12" s="69">
        <f>'[4]Trade Receivable-II'!D8</f>
        <v>264.43521027179679</v>
      </c>
      <c r="E12" s="69">
        <f>'[4]Trade Receivable-II'!K8</f>
        <v>170.01901940781846</v>
      </c>
      <c r="F12" s="69">
        <f>'[4]Trade Receivable-II'!L8</f>
        <v>84.594992611175982</v>
      </c>
      <c r="G12" s="40" t="s">
        <v>73</v>
      </c>
    </row>
    <row r="13" spans="2:7">
      <c r="B13" s="39">
        <v>8</v>
      </c>
      <c r="C13" s="27" t="s">
        <v>710</v>
      </c>
      <c r="D13" s="69">
        <f>'[4]Loans and Other Assets-III'!D12</f>
        <v>635.41533778271639</v>
      </c>
      <c r="E13" s="69">
        <f>'[4]Loans and Other Assets-III'!K12</f>
        <v>470.2370652978916</v>
      </c>
      <c r="F13" s="69">
        <f>'[4]Loans and Other Assets-III'!L12</f>
        <v>347.84566351703859</v>
      </c>
      <c r="G13" s="40" t="s">
        <v>74</v>
      </c>
    </row>
    <row r="14" spans="2:7">
      <c r="B14" s="39">
        <v>9</v>
      </c>
      <c r="C14" s="27" t="s">
        <v>122</v>
      </c>
      <c r="D14" s="69">
        <f>'[4]Interest Accrued-IV'!D7</f>
        <v>285.63818505399996</v>
      </c>
      <c r="E14" s="69">
        <f>'[4]Interest Accrued-IV'!K6</f>
        <v>113.77301613212488</v>
      </c>
      <c r="F14" s="69">
        <f>'[4]Interest Accrued-IV'!L6</f>
        <v>25.9081778796</v>
      </c>
      <c r="G14" s="40" t="s">
        <v>31</v>
      </c>
    </row>
    <row r="15" spans="2:7">
      <c r="B15" s="39">
        <v>10</v>
      </c>
      <c r="C15" s="27" t="s">
        <v>711</v>
      </c>
      <c r="D15" s="69">
        <f>'[4]Claim for PBG-V'!D6</f>
        <v>29.18</v>
      </c>
      <c r="E15" s="69">
        <f>'[4]Claim for PBG-V'!E6</f>
        <v>23.344000000000001</v>
      </c>
      <c r="F15" s="69">
        <f>'[4]Claim for PBG-V'!F6</f>
        <v>11.672000000000001</v>
      </c>
      <c r="G15" s="40" t="s">
        <v>84</v>
      </c>
    </row>
    <row r="16" spans="2:7">
      <c r="B16" s="39">
        <v>11</v>
      </c>
      <c r="C16" s="28" t="s">
        <v>123</v>
      </c>
      <c r="D16" s="69">
        <f>'[4]Other Receivables-VI'!D7</f>
        <v>30.369999999999997</v>
      </c>
      <c r="E16" s="69">
        <f>'[4]Other Receivables-VI'!K7</f>
        <v>16.851640622297648</v>
      </c>
      <c r="F16" s="69">
        <f>'[4]Other Receivables-VI'!L7</f>
        <v>0</v>
      </c>
      <c r="G16" s="62" t="s">
        <v>85</v>
      </c>
    </row>
    <row r="17" spans="2:7">
      <c r="B17" s="39">
        <v>12</v>
      </c>
      <c r="C17" s="27" t="s">
        <v>712</v>
      </c>
      <c r="D17" s="69">
        <f>'[4]Margin Money-VII'!D7</f>
        <v>10.35</v>
      </c>
      <c r="E17" s="69">
        <f>'[4]Margin Money-VII'!E7</f>
        <v>10.35</v>
      </c>
      <c r="F17" s="69">
        <f>'[4]Margin Money-VII'!F7</f>
        <v>10.35</v>
      </c>
      <c r="G17" s="62" t="s">
        <v>88</v>
      </c>
    </row>
    <row r="18" spans="2:7">
      <c r="B18" s="39">
        <v>13</v>
      </c>
      <c r="C18" s="27" t="s">
        <v>612</v>
      </c>
      <c r="D18" s="69">
        <f>'[4]Tax Assets-VIII'!D8</f>
        <v>370.88</v>
      </c>
      <c r="E18" s="69">
        <f>'[4]Tax Assets-VIII'!E8</f>
        <v>370.88</v>
      </c>
      <c r="F18" s="69">
        <f>'[4]Tax Assets-VIII'!F8</f>
        <v>0</v>
      </c>
      <c r="G18" s="69" t="s">
        <v>89</v>
      </c>
    </row>
    <row r="19" spans="2:7">
      <c r="B19" s="39">
        <v>14</v>
      </c>
      <c r="C19" s="27" t="s">
        <v>713</v>
      </c>
      <c r="D19" s="69">
        <f>'[4]Non-Current Inventories-IX'!D7+0.01</f>
        <v>882.09</v>
      </c>
      <c r="E19" s="62">
        <f>'[4]Non-Current Inventories-IX'!K7</f>
        <v>398.35932722178131</v>
      </c>
      <c r="F19" s="62">
        <f>'[4]Non-Current Inventories-IX'!L7</f>
        <v>168.62164770212416</v>
      </c>
      <c r="G19" s="62" t="s">
        <v>90</v>
      </c>
    </row>
    <row r="20" spans="2:7">
      <c r="B20" s="39">
        <v>15</v>
      </c>
      <c r="C20" s="27" t="s">
        <v>182</v>
      </c>
      <c r="D20" s="69">
        <f>'[4]Retention Money-X'!D7+0.01</f>
        <v>485.19</v>
      </c>
      <c r="E20" s="69">
        <f>'[4]Retention Money-X'!K7</f>
        <v>233.40788922954471</v>
      </c>
      <c r="F20" s="69">
        <f>'[4]Retention Money-X'!L7</f>
        <v>111.08067567965</v>
      </c>
      <c r="G20" s="62" t="s">
        <v>91</v>
      </c>
    </row>
    <row r="21" spans="2:7" ht="15" customHeight="1">
      <c r="B21" s="39">
        <v>16</v>
      </c>
      <c r="C21" s="27" t="s">
        <v>714</v>
      </c>
      <c r="D21" s="69">
        <f>'[4]Cash &amp; Cash Equivalents-XI'!D10</f>
        <v>22.660000000000004</v>
      </c>
      <c r="E21" s="69">
        <f>'[4]Cash &amp; Cash Equivalents-XI'!E10</f>
        <v>18.11</v>
      </c>
      <c r="F21" s="69">
        <f>'[4]Cash &amp; Cash Equivalents-XI'!F10</f>
        <v>18.11</v>
      </c>
      <c r="G21" s="62" t="s">
        <v>183</v>
      </c>
    </row>
    <row r="22" spans="2:7" ht="16.2" customHeight="1">
      <c r="B22" s="514" t="s">
        <v>21</v>
      </c>
      <c r="C22" s="514"/>
      <c r="D22" s="384">
        <f>SUM(D6:D21)</f>
        <v>3322.2387331085129</v>
      </c>
      <c r="E22" s="384">
        <f>SUM(E6:E21)</f>
        <v>2101.4093394692036</v>
      </c>
      <c r="F22" s="384">
        <f>SUM(F6:F21)</f>
        <v>991.58053894733371</v>
      </c>
      <c r="G22" s="385"/>
    </row>
    <row r="23" spans="2:7" ht="16.2" customHeight="1">
      <c r="B23" s="396" t="s">
        <v>20</v>
      </c>
      <c r="C23" s="397"/>
      <c r="D23" s="397"/>
      <c r="E23" s="397"/>
      <c r="F23" s="397"/>
      <c r="G23" s="398"/>
    </row>
    <row r="24" spans="2:7" ht="184.2" customHeight="1">
      <c r="B24" s="395" t="s">
        <v>715</v>
      </c>
      <c r="C24" s="395"/>
      <c r="D24" s="395"/>
      <c r="E24" s="395"/>
      <c r="F24" s="395"/>
      <c r="G24" s="395"/>
    </row>
    <row r="25" spans="2:7" ht="48.75" customHeight="1"/>
  </sheetData>
  <mergeCells count="6">
    <mergeCell ref="B24:G24"/>
    <mergeCell ref="B2:G2"/>
    <mergeCell ref="B3:G3"/>
    <mergeCell ref="B5:G5"/>
    <mergeCell ref="B22:C22"/>
    <mergeCell ref="B23:G23"/>
  </mergeCells>
  <pageMargins left="0.7" right="0.7" top="0.75" bottom="0.75" header="0.3" footer="0.3"/>
  <pageSetup paperSize="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7DA62-1FD6-49C0-B5B8-FCBC86C0B380}">
  <dimension ref="B1:C5"/>
  <sheetViews>
    <sheetView zoomScale="102" zoomScaleNormal="102" workbookViewId="0">
      <selection activeCell="J15" sqref="J15"/>
    </sheetView>
  </sheetViews>
  <sheetFormatPr defaultColWidth="8.77734375" defaultRowHeight="14.4"/>
  <cols>
    <col min="2" max="2" width="17.44140625" customWidth="1"/>
    <col min="3" max="3" width="10" customWidth="1"/>
    <col min="4" max="4" width="14.21875" customWidth="1"/>
  </cols>
  <sheetData>
    <row r="1" spans="2:3">
      <c r="B1" s="513" t="s">
        <v>716</v>
      </c>
      <c r="C1" s="513"/>
    </row>
    <row r="2" spans="2:3" s="387" customFormat="1" ht="45.6" customHeight="1">
      <c r="B2" s="386" t="s">
        <v>619</v>
      </c>
      <c r="C2" s="386" t="s">
        <v>717</v>
      </c>
    </row>
    <row r="3" spans="2:3" s="387" customFormat="1" ht="15.6" customHeight="1">
      <c r="B3" s="513" t="s">
        <v>718</v>
      </c>
      <c r="C3" s="513"/>
    </row>
    <row r="4" spans="2:3">
      <c r="B4" s="120" t="s">
        <v>719</v>
      </c>
      <c r="C4" s="388">
        <f>'[5]AS-17'!C10+'[5]AS-19'!C10</f>
        <v>267.52747000000005</v>
      </c>
    </row>
    <row r="5" spans="2:3" s="3" customFormat="1">
      <c r="B5" s="389" t="s">
        <v>717</v>
      </c>
      <c r="C5" s="390">
        <f>SUM(C4:C4)</f>
        <v>267.52747000000005</v>
      </c>
    </row>
  </sheetData>
  <mergeCells count="2">
    <mergeCell ref="B1:C1"/>
    <mergeCell ref="B3:C3"/>
  </mergeCells>
  <pageMargins left="0.7" right="0.7" top="0.75" bottom="0.7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I14"/>
  <sheetViews>
    <sheetView topLeftCell="A4" workbookViewId="0">
      <selection activeCell="G7" sqref="G7"/>
    </sheetView>
  </sheetViews>
  <sheetFormatPr defaultRowHeight="14.4"/>
  <cols>
    <col min="3" max="3" width="22.88671875" customWidth="1"/>
    <col min="4" max="4" width="12.33203125" customWidth="1"/>
    <col min="5" max="5" width="15.33203125" customWidth="1"/>
    <col min="6" max="6" width="16.6640625" customWidth="1"/>
    <col min="7" max="7" width="55" customWidth="1"/>
  </cols>
  <sheetData>
    <row r="2" spans="2:9">
      <c r="B2" s="459" t="s">
        <v>129</v>
      </c>
      <c r="C2" s="460"/>
      <c r="D2" s="460"/>
      <c r="E2" s="460"/>
      <c r="F2" s="460"/>
      <c r="G2" s="461"/>
    </row>
    <row r="3" spans="2:9" ht="14.4" customHeight="1">
      <c r="B3" s="435" t="str">
        <f>'SUMMARY-2023'!B3</f>
        <v>Details as on 31st March 2023</v>
      </c>
      <c r="C3" s="462"/>
      <c r="D3" s="462"/>
      <c r="E3" s="462"/>
      <c r="F3" s="462"/>
      <c r="G3" s="463"/>
    </row>
    <row r="4" spans="2:9" ht="36">
      <c r="B4" s="24" t="s">
        <v>0</v>
      </c>
      <c r="C4" s="24" t="s">
        <v>69</v>
      </c>
      <c r="D4" s="37" t="s">
        <v>64</v>
      </c>
      <c r="E4" s="24" t="s">
        <v>142</v>
      </c>
      <c r="F4" s="24" t="s">
        <v>143</v>
      </c>
      <c r="G4" s="24" t="s">
        <v>22</v>
      </c>
    </row>
    <row r="5" spans="2:9">
      <c r="B5" s="435" t="str">
        <f>'SUMMARY-2023'!B5</f>
        <v>Figures in INR Crores</v>
      </c>
      <c r="C5" s="436"/>
      <c r="D5" s="436"/>
      <c r="E5" s="436"/>
      <c r="F5" s="436"/>
      <c r="G5" s="437"/>
    </row>
    <row r="6" spans="2:9" ht="99.6" customHeight="1">
      <c r="B6" s="54">
        <v>1</v>
      </c>
      <c r="C6" s="59" t="s">
        <v>122</v>
      </c>
      <c r="D6" s="60">
        <v>17.52</v>
      </c>
      <c r="E6" s="60">
        <f>0+0.34+0.47*80%+3.37</f>
        <v>4.0860000000000003</v>
      </c>
      <c r="F6" s="60">
        <f>0+0.34+0.47*50%+3.37</f>
        <v>3.9450000000000003</v>
      </c>
      <c r="G6" s="75" t="s">
        <v>150</v>
      </c>
      <c r="H6" s="47"/>
      <c r="I6" s="47"/>
    </row>
    <row r="7" spans="2:9" ht="91.2">
      <c r="B7" s="54">
        <v>2</v>
      </c>
      <c r="C7" s="59" t="s">
        <v>123</v>
      </c>
      <c r="D7" s="60">
        <v>0.02</v>
      </c>
      <c r="E7" s="60">
        <f>D7*H7</f>
        <v>0.02</v>
      </c>
      <c r="F7" s="60">
        <f>E7*I7</f>
        <v>0.02</v>
      </c>
      <c r="G7" s="75" t="s">
        <v>144</v>
      </c>
      <c r="H7" s="47">
        <v>1</v>
      </c>
      <c r="I7" s="47">
        <v>1</v>
      </c>
    </row>
    <row r="8" spans="2:9">
      <c r="B8" s="38"/>
      <c r="C8" s="36" t="s">
        <v>23</v>
      </c>
      <c r="D8" s="61">
        <f>SUM(D6:D7)</f>
        <v>17.54</v>
      </c>
      <c r="E8" s="61">
        <f t="shared" ref="E8:F8" si="0">SUM(E6:E7)</f>
        <v>4.1059999999999999</v>
      </c>
      <c r="F8" s="61">
        <f t="shared" si="0"/>
        <v>3.9650000000000003</v>
      </c>
      <c r="G8" s="38"/>
    </row>
    <row r="9" spans="2:9">
      <c r="B9" s="406" t="s">
        <v>20</v>
      </c>
      <c r="C9" s="407"/>
      <c r="D9" s="407"/>
      <c r="E9" s="407"/>
      <c r="F9" s="407"/>
      <c r="G9" s="438"/>
    </row>
    <row r="10" spans="2:9" ht="105" customHeight="1">
      <c r="B10" s="409" t="s">
        <v>80</v>
      </c>
      <c r="C10" s="409"/>
      <c r="D10" s="409"/>
      <c r="E10" s="409"/>
      <c r="F10" s="409"/>
      <c r="G10" s="409"/>
    </row>
    <row r="14" spans="2:9" ht="112.5" customHeight="1">
      <c r="C14" s="515" t="s">
        <v>82</v>
      </c>
      <c r="D14" s="516"/>
      <c r="E14" s="516"/>
      <c r="F14" s="516"/>
      <c r="G14" s="516"/>
    </row>
  </sheetData>
  <mergeCells count="6">
    <mergeCell ref="C14:G14"/>
    <mergeCell ref="B2:G2"/>
    <mergeCell ref="B3:G3"/>
    <mergeCell ref="B5:G5"/>
    <mergeCell ref="B9:G9"/>
    <mergeCell ref="B10:G10"/>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I16"/>
  <sheetViews>
    <sheetView workbookViewId="0">
      <selection activeCell="D6" sqref="D6"/>
    </sheetView>
  </sheetViews>
  <sheetFormatPr defaultRowHeight="14.4"/>
  <cols>
    <col min="2" max="2" width="5.6640625" customWidth="1"/>
    <col min="3" max="3" width="22.33203125" customWidth="1"/>
    <col min="4" max="4" width="13.109375" customWidth="1"/>
    <col min="5" max="5" width="15.44140625" customWidth="1"/>
    <col min="6" max="6" width="14.5546875" customWidth="1"/>
    <col min="7" max="7" width="44" customWidth="1"/>
  </cols>
  <sheetData>
    <row r="2" spans="2:9">
      <c r="B2" s="459" t="s">
        <v>588</v>
      </c>
      <c r="C2" s="460"/>
      <c r="D2" s="460"/>
      <c r="E2" s="460"/>
      <c r="F2" s="460"/>
      <c r="G2" s="461"/>
    </row>
    <row r="3" spans="2:9">
      <c r="B3" s="435" t="str">
        <f>'SUMMARY-2023'!B3</f>
        <v>Details as on 31st March 2023</v>
      </c>
      <c r="C3" s="436"/>
      <c r="D3" s="436"/>
      <c r="E3" s="436"/>
      <c r="F3" s="436"/>
      <c r="G3" s="437"/>
    </row>
    <row r="4" spans="2:9" ht="24">
      <c r="B4" s="24" t="s">
        <v>0</v>
      </c>
      <c r="C4" s="24" t="s">
        <v>69</v>
      </c>
      <c r="D4" s="37" t="s">
        <v>64</v>
      </c>
      <c r="E4" s="24" t="s">
        <v>142</v>
      </c>
      <c r="F4" s="24" t="s">
        <v>143</v>
      </c>
      <c r="G4" s="24" t="s">
        <v>22</v>
      </c>
    </row>
    <row r="5" spans="2:9">
      <c r="B5" s="435" t="str">
        <f>'SUMMARY-2023'!B5</f>
        <v>Figures in INR Crores</v>
      </c>
      <c r="C5" s="436"/>
      <c r="D5" s="436"/>
      <c r="E5" s="436"/>
      <c r="F5" s="436"/>
      <c r="G5" s="437"/>
    </row>
    <row r="6" spans="2:9" ht="129.75" customHeight="1">
      <c r="B6" s="41">
        <v>1</v>
      </c>
      <c r="C6" s="59" t="s">
        <v>87</v>
      </c>
      <c r="D6" s="60">
        <v>41.38</v>
      </c>
      <c r="E6" s="59">
        <f>$D$6*H6</f>
        <v>41.38</v>
      </c>
      <c r="F6" s="59">
        <f>$D$6*I6</f>
        <v>41.38</v>
      </c>
      <c r="G6" s="98" t="s">
        <v>171</v>
      </c>
      <c r="H6" s="47">
        <v>1</v>
      </c>
      <c r="I6" s="47">
        <v>1</v>
      </c>
    </row>
    <row r="7" spans="2:9">
      <c r="B7" s="38"/>
      <c r="C7" s="79" t="s">
        <v>130</v>
      </c>
      <c r="D7" s="61">
        <f>SUM(D6:D6)</f>
        <v>41.38</v>
      </c>
      <c r="E7" s="61">
        <f>SUM(E6:E6)</f>
        <v>41.38</v>
      </c>
      <c r="F7" s="61">
        <f>SUM(F6:F6)</f>
        <v>41.38</v>
      </c>
      <c r="G7" s="38"/>
    </row>
    <row r="8" spans="2:9">
      <c r="B8" s="406" t="str">
        <f>[2]SUMMARY!B16</f>
        <v>REMARKS &amp; NOTES:-</v>
      </c>
      <c r="C8" s="407"/>
      <c r="D8" s="407"/>
      <c r="E8" s="407"/>
      <c r="F8" s="407"/>
      <c r="G8" s="438"/>
    </row>
    <row r="9" spans="2:9" ht="124.5" customHeight="1">
      <c r="B9" s="409" t="s">
        <v>80</v>
      </c>
      <c r="C9" s="409"/>
      <c r="D9" s="409"/>
      <c r="E9" s="409"/>
      <c r="F9" s="409"/>
      <c r="G9" s="409"/>
    </row>
    <row r="12" spans="2:9" ht="134.25" customHeight="1">
      <c r="C12" s="517" t="s">
        <v>82</v>
      </c>
      <c r="D12" s="517"/>
      <c r="E12" s="517"/>
      <c r="F12" s="517"/>
      <c r="G12" s="517"/>
    </row>
    <row r="14" spans="2:9" ht="70.5" customHeight="1">
      <c r="C14" s="517" t="s">
        <v>81</v>
      </c>
      <c r="D14" s="517"/>
      <c r="E14" s="517"/>
      <c r="F14" s="517"/>
      <c r="G14" s="517"/>
    </row>
    <row r="16" spans="2:9" ht="73.5" customHeight="1">
      <c r="C16" s="517" t="s">
        <v>83</v>
      </c>
      <c r="D16" s="517"/>
      <c r="E16" s="517"/>
      <c r="F16" s="517"/>
      <c r="G16" s="517"/>
    </row>
  </sheetData>
  <mergeCells count="8">
    <mergeCell ref="C14:G14"/>
    <mergeCell ref="C16:G16"/>
    <mergeCell ref="B2:G2"/>
    <mergeCell ref="B3:G3"/>
    <mergeCell ref="B5:G5"/>
    <mergeCell ref="B8:G8"/>
    <mergeCell ref="B9:G9"/>
    <mergeCell ref="C12:G12"/>
  </mergeCells>
  <pageMargins left="0.7" right="0.7" top="0.75" bottom="0.75" header="0.3" footer="0.3"/>
  <pageSetup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N105"/>
  <sheetViews>
    <sheetView topLeftCell="A9" workbookViewId="0">
      <selection activeCell="D9" sqref="D9"/>
    </sheetView>
  </sheetViews>
  <sheetFormatPr defaultRowHeight="14.4"/>
  <cols>
    <col min="2" max="2" width="5.6640625" customWidth="1"/>
    <col min="3" max="3" width="22.33203125" customWidth="1"/>
    <col min="4" max="4" width="13.109375" customWidth="1"/>
    <col min="5" max="5" width="15.44140625" customWidth="1"/>
    <col min="6" max="6" width="14.5546875" customWidth="1"/>
    <col min="7" max="7" width="44" customWidth="1"/>
    <col min="8" max="8" width="8.88671875" customWidth="1"/>
    <col min="9" max="9" width="11.44140625" customWidth="1"/>
    <col min="10" max="10" width="12.33203125" customWidth="1"/>
    <col min="11" max="11" width="11.88671875" customWidth="1"/>
  </cols>
  <sheetData>
    <row r="2" spans="2:14">
      <c r="B2" s="459" t="s">
        <v>32</v>
      </c>
      <c r="C2" s="460"/>
      <c r="D2" s="460"/>
      <c r="E2" s="460"/>
      <c r="F2" s="460"/>
      <c r="G2" s="461"/>
    </row>
    <row r="3" spans="2:14">
      <c r="B3" s="435" t="str">
        <f>'SUMMARY-2023'!B3</f>
        <v>Details as on 31st March 2023</v>
      </c>
      <c r="C3" s="436"/>
      <c r="D3" s="436"/>
      <c r="E3" s="436"/>
      <c r="F3" s="436"/>
      <c r="G3" s="437"/>
    </row>
    <row r="4" spans="2:14">
      <c r="B4" s="24" t="s">
        <v>0</v>
      </c>
      <c r="C4" s="24" t="s">
        <v>69</v>
      </c>
      <c r="D4" s="37" t="s">
        <v>63</v>
      </c>
      <c r="E4" s="24" t="s">
        <v>142</v>
      </c>
      <c r="F4" s="24" t="s">
        <v>143</v>
      </c>
      <c r="G4" s="24" t="s">
        <v>22</v>
      </c>
    </row>
    <row r="5" spans="2:14">
      <c r="B5" s="435" t="str">
        <f>'SUMMARY-2023'!B5</f>
        <v>Figures in INR Crores</v>
      </c>
      <c r="C5" s="436"/>
      <c r="D5" s="436"/>
      <c r="E5" s="436"/>
      <c r="F5" s="436"/>
      <c r="G5" s="437"/>
    </row>
    <row r="6" spans="2:14" ht="129.75" customHeight="1">
      <c r="B6" s="41">
        <v>1</v>
      </c>
      <c r="C6" s="59" t="s">
        <v>131</v>
      </c>
      <c r="D6" s="60">
        <v>2.13</v>
      </c>
      <c r="E6" s="60">
        <f t="shared" ref="E6:F9" si="0">D6*H6</f>
        <v>0</v>
      </c>
      <c r="F6" s="60">
        <f t="shared" si="0"/>
        <v>0</v>
      </c>
      <c r="G6" s="110" t="s">
        <v>173</v>
      </c>
      <c r="H6" s="47">
        <v>0</v>
      </c>
      <c r="I6" s="47">
        <v>0</v>
      </c>
    </row>
    <row r="7" spans="2:14" ht="139.19999999999999" customHeight="1">
      <c r="B7" s="54">
        <v>2</v>
      </c>
      <c r="C7" s="59" t="s">
        <v>132</v>
      </c>
      <c r="D7" s="60">
        <v>13.32</v>
      </c>
      <c r="E7" s="60">
        <v>7.14</v>
      </c>
      <c r="F7" s="60">
        <v>7.14</v>
      </c>
      <c r="G7" s="112" t="s">
        <v>174</v>
      </c>
      <c r="H7" s="47">
        <v>0</v>
      </c>
      <c r="I7" s="47">
        <v>0.75</v>
      </c>
    </row>
    <row r="8" spans="2:14" ht="193.8">
      <c r="B8" s="41">
        <v>3</v>
      </c>
      <c r="C8" s="80" t="s">
        <v>135</v>
      </c>
      <c r="D8" s="76">
        <v>88.58</v>
      </c>
      <c r="E8" s="76">
        <f t="shared" si="0"/>
        <v>0</v>
      </c>
      <c r="F8" s="76">
        <f t="shared" si="0"/>
        <v>0</v>
      </c>
      <c r="G8" s="111" t="s">
        <v>177</v>
      </c>
      <c r="H8" s="47">
        <v>0</v>
      </c>
      <c r="I8" s="47">
        <v>0</v>
      </c>
    </row>
    <row r="9" spans="2:14" ht="262.2">
      <c r="B9" s="41">
        <v>4</v>
      </c>
      <c r="C9" s="59" t="s">
        <v>134</v>
      </c>
      <c r="D9" s="76">
        <v>109.33</v>
      </c>
      <c r="E9" s="76">
        <f t="shared" si="0"/>
        <v>87.463999999999999</v>
      </c>
      <c r="F9" s="76">
        <f t="shared" si="0"/>
        <v>52.478400000000001</v>
      </c>
      <c r="G9" s="75" t="s">
        <v>176</v>
      </c>
      <c r="H9" s="47">
        <v>0.8</v>
      </c>
      <c r="I9" s="47">
        <v>0.6</v>
      </c>
    </row>
    <row r="10" spans="2:14">
      <c r="B10" s="38"/>
      <c r="C10" s="36" t="s">
        <v>23</v>
      </c>
      <c r="D10" s="61">
        <f>SUM(D6:D9)</f>
        <v>213.36</v>
      </c>
      <c r="E10" s="61">
        <f>SUM(E6:E9)</f>
        <v>94.603999999999999</v>
      </c>
      <c r="F10" s="61">
        <f>SUM(F6:F9)</f>
        <v>59.618400000000001</v>
      </c>
      <c r="G10" s="38"/>
    </row>
    <row r="11" spans="2:14">
      <c r="B11" s="469" t="str">
        <f>[2]SUMMARY!B16</f>
        <v>REMARKS &amp; NOTES:-</v>
      </c>
      <c r="C11" s="470"/>
      <c r="D11" s="470"/>
      <c r="E11" s="470"/>
      <c r="F11" s="470"/>
      <c r="G11" s="471"/>
    </row>
    <row r="12" spans="2:14" ht="124.5" customHeight="1">
      <c r="B12" s="409" t="s">
        <v>80</v>
      </c>
      <c r="C12" s="409"/>
      <c r="D12" s="409"/>
      <c r="E12" s="409"/>
      <c r="F12" s="409"/>
      <c r="G12" s="409"/>
    </row>
    <row r="15" spans="2:14">
      <c r="G15" s="179" t="s">
        <v>513</v>
      </c>
      <c r="H15" s="209">
        <f>H30+H32+H69+H70+H76+H85+H100</f>
        <v>11.066314516</v>
      </c>
      <c r="I15" s="211"/>
      <c r="J15" s="120"/>
      <c r="K15" s="120"/>
    </row>
    <row r="16" spans="2:14">
      <c r="G16" s="203" t="s">
        <v>512</v>
      </c>
      <c r="H16" s="190">
        <f>SUBTOTAL(9,H18:H105)</f>
        <v>13.335400552849967</v>
      </c>
      <c r="I16" s="190"/>
      <c r="J16" s="179"/>
      <c r="K16" s="179"/>
      <c r="N16" s="177"/>
    </row>
    <row r="17" spans="3:11" ht="36.6" customHeight="1">
      <c r="C17" s="518" t="s">
        <v>420</v>
      </c>
      <c r="D17" s="518"/>
      <c r="E17" s="518"/>
      <c r="G17" s="204" t="s">
        <v>421</v>
      </c>
      <c r="H17" s="205" t="s">
        <v>422</v>
      </c>
      <c r="I17" s="206" t="s">
        <v>457</v>
      </c>
      <c r="J17" s="206" t="s">
        <v>458</v>
      </c>
      <c r="K17" s="207" t="s">
        <v>507</v>
      </c>
    </row>
    <row r="18" spans="3:11">
      <c r="C18" s="180" t="s">
        <v>185</v>
      </c>
      <c r="D18" s="180" t="s">
        <v>421</v>
      </c>
      <c r="E18" s="180" t="s">
        <v>422</v>
      </c>
      <c r="G18" s="208" t="s">
        <v>424</v>
      </c>
      <c r="H18" s="210">
        <v>0</v>
      </c>
      <c r="I18" s="191" t="s">
        <v>459</v>
      </c>
      <c r="J18" s="192">
        <v>42811</v>
      </c>
      <c r="K18" s="189" t="s">
        <v>508</v>
      </c>
    </row>
    <row r="19" spans="3:11">
      <c r="C19" s="179" t="s">
        <v>290</v>
      </c>
      <c r="D19" s="179" t="s">
        <v>424</v>
      </c>
      <c r="E19" s="178"/>
      <c r="G19" s="208" t="s">
        <v>460</v>
      </c>
      <c r="H19" s="210">
        <v>5.8710000000000001E-4</v>
      </c>
      <c r="I19" s="191" t="s">
        <v>461</v>
      </c>
      <c r="J19" s="193">
        <v>43101</v>
      </c>
      <c r="K19" s="189" t="s">
        <v>508</v>
      </c>
    </row>
    <row r="20" spans="3:11">
      <c r="C20" s="179" t="s">
        <v>290</v>
      </c>
      <c r="D20" s="179" t="s">
        <v>425</v>
      </c>
      <c r="E20" s="178"/>
      <c r="G20" s="208" t="s">
        <v>425</v>
      </c>
      <c r="H20" s="210">
        <v>0</v>
      </c>
      <c r="I20" s="191" t="s">
        <v>459</v>
      </c>
      <c r="J20" s="192">
        <v>42811</v>
      </c>
      <c r="K20" s="189" t="s">
        <v>508</v>
      </c>
    </row>
    <row r="21" spans="3:11">
      <c r="C21" s="179" t="s">
        <v>271</v>
      </c>
      <c r="D21" s="179" t="s">
        <v>426</v>
      </c>
      <c r="E21" s="178">
        <v>3.3432000000000003E-2</v>
      </c>
      <c r="G21" s="208" t="s">
        <v>426</v>
      </c>
      <c r="H21" s="210">
        <v>0.19077128099999965</v>
      </c>
      <c r="I21" s="191" t="s">
        <v>459</v>
      </c>
      <c r="J21" s="193">
        <v>43252</v>
      </c>
      <c r="K21" s="189" t="s">
        <v>508</v>
      </c>
    </row>
    <row r="22" spans="3:11">
      <c r="C22" s="179" t="s">
        <v>427</v>
      </c>
      <c r="D22" s="179" t="s">
        <v>428</v>
      </c>
      <c r="E22" s="178">
        <v>1.2999999999999999E-3</v>
      </c>
      <c r="G22" s="208" t="s">
        <v>463</v>
      </c>
      <c r="H22" s="210">
        <v>-6.4041000000000002E-3</v>
      </c>
      <c r="I22" s="191" t="s">
        <v>459</v>
      </c>
      <c r="J22" s="192">
        <v>43160</v>
      </c>
      <c r="K22" s="189" t="s">
        <v>508</v>
      </c>
    </row>
    <row r="23" spans="3:11">
      <c r="C23" s="179" t="s">
        <v>290</v>
      </c>
      <c r="D23" s="179" t="s">
        <v>429</v>
      </c>
      <c r="E23" s="178">
        <v>0</v>
      </c>
      <c r="G23" s="208" t="s">
        <v>464</v>
      </c>
      <c r="H23" s="210">
        <v>-6.9999999999999999E-6</v>
      </c>
      <c r="I23" s="191" t="s">
        <v>459</v>
      </c>
      <c r="J23" s="193">
        <v>41699</v>
      </c>
      <c r="K23" s="189" t="s">
        <v>508</v>
      </c>
    </row>
    <row r="24" spans="3:11">
      <c r="C24" s="179" t="s">
        <v>253</v>
      </c>
      <c r="D24" s="179" t="s">
        <v>264</v>
      </c>
      <c r="E24" s="178">
        <v>5.0033300000000003E-2</v>
      </c>
      <c r="G24" s="208" t="s">
        <v>428</v>
      </c>
      <c r="H24" s="210">
        <v>0.26529915800000003</v>
      </c>
      <c r="I24" s="191" t="s">
        <v>459</v>
      </c>
      <c r="J24" s="193">
        <v>41699</v>
      </c>
      <c r="K24" s="189" t="s">
        <v>508</v>
      </c>
    </row>
    <row r="25" spans="3:11">
      <c r="C25" s="179" t="s">
        <v>232</v>
      </c>
      <c r="D25" s="179" t="s">
        <v>430</v>
      </c>
      <c r="E25" s="178">
        <v>0</v>
      </c>
      <c r="G25" s="208" t="s">
        <v>465</v>
      </c>
      <c r="H25" s="210">
        <v>1.8999999994412065E-8</v>
      </c>
      <c r="I25" s="191" t="s">
        <v>459</v>
      </c>
      <c r="J25" s="192">
        <v>42430</v>
      </c>
      <c r="K25" s="189" t="s">
        <v>508</v>
      </c>
    </row>
    <row r="26" spans="3:11">
      <c r="C26" s="179" t="s">
        <v>232</v>
      </c>
      <c r="D26" s="179" t="s">
        <v>431</v>
      </c>
      <c r="E26" s="178">
        <v>0.21413450000000001</v>
      </c>
      <c r="G26" s="208" t="s">
        <v>466</v>
      </c>
      <c r="H26" s="210">
        <v>0.1806555</v>
      </c>
      <c r="I26" s="191" t="s">
        <v>459</v>
      </c>
      <c r="J26" s="193">
        <v>42795</v>
      </c>
      <c r="K26" s="189" t="s">
        <v>508</v>
      </c>
    </row>
    <row r="27" spans="3:11">
      <c r="C27" s="179" t="s">
        <v>290</v>
      </c>
      <c r="D27" s="179" t="s">
        <v>432</v>
      </c>
      <c r="E27" s="178">
        <v>0</v>
      </c>
      <c r="G27" s="208" t="s">
        <v>467</v>
      </c>
      <c r="H27" s="210">
        <v>2.9120000000000001E-3</v>
      </c>
      <c r="I27" s="191" t="s">
        <v>468</v>
      </c>
      <c r="J27" s="192">
        <v>43983</v>
      </c>
      <c r="K27" s="191" t="s">
        <v>509</v>
      </c>
    </row>
    <row r="28" spans="3:11">
      <c r="C28" s="179" t="s">
        <v>290</v>
      </c>
      <c r="D28" s="179" t="s">
        <v>415</v>
      </c>
      <c r="E28" s="178">
        <v>0</v>
      </c>
      <c r="G28" s="208" t="s">
        <v>429</v>
      </c>
      <c r="H28" s="210">
        <v>0</v>
      </c>
      <c r="I28" s="191" t="s">
        <v>459</v>
      </c>
      <c r="J28" s="192">
        <v>43176</v>
      </c>
      <c r="K28" s="189" t="s">
        <v>508</v>
      </c>
    </row>
    <row r="29" spans="3:11">
      <c r="C29" s="179" t="s">
        <v>232</v>
      </c>
      <c r="D29" s="179" t="s">
        <v>363</v>
      </c>
      <c r="E29" s="178">
        <v>0</v>
      </c>
      <c r="G29" s="208" t="s">
        <v>469</v>
      </c>
      <c r="H29" s="210">
        <v>0</v>
      </c>
      <c r="I29" s="191" t="s">
        <v>459</v>
      </c>
      <c r="J29" s="192">
        <v>43176</v>
      </c>
      <c r="K29" s="189" t="s">
        <v>508</v>
      </c>
    </row>
    <row r="30" spans="3:11">
      <c r="C30" s="179" t="s">
        <v>271</v>
      </c>
      <c r="D30" s="179" t="s">
        <v>433</v>
      </c>
      <c r="E30" s="178">
        <v>0.58840982600000002</v>
      </c>
      <c r="G30" s="208" t="s">
        <v>264</v>
      </c>
      <c r="H30" s="210">
        <v>1.0744310990000001</v>
      </c>
      <c r="I30" s="191" t="s">
        <v>470</v>
      </c>
      <c r="J30" s="193">
        <v>44713</v>
      </c>
      <c r="K30" s="191" t="s">
        <v>510</v>
      </c>
    </row>
    <row r="31" spans="3:11">
      <c r="C31" s="179" t="s">
        <v>434</v>
      </c>
      <c r="D31" s="179" t="s">
        <v>434</v>
      </c>
      <c r="E31" s="178">
        <v>-0.25</v>
      </c>
      <c r="G31" s="208" t="s">
        <v>430</v>
      </c>
      <c r="H31" s="210">
        <v>1.6270210738500002</v>
      </c>
      <c r="I31" s="191" t="s">
        <v>461</v>
      </c>
      <c r="J31" s="192">
        <v>43176</v>
      </c>
      <c r="K31" s="189" t="s">
        <v>508</v>
      </c>
    </row>
    <row r="32" spans="3:11">
      <c r="C32" s="179" t="s">
        <v>290</v>
      </c>
      <c r="D32" s="179" t="s">
        <v>435</v>
      </c>
      <c r="E32" s="178">
        <v>2.1000000000000002E-9</v>
      </c>
      <c r="G32" s="208" t="s">
        <v>431</v>
      </c>
      <c r="H32" s="210">
        <v>1.6445185610000002</v>
      </c>
      <c r="I32" s="191" t="s">
        <v>470</v>
      </c>
      <c r="J32" s="192">
        <v>43160</v>
      </c>
      <c r="K32" s="191" t="s">
        <v>510</v>
      </c>
    </row>
    <row r="33" spans="3:11">
      <c r="C33" s="179" t="s">
        <v>290</v>
      </c>
      <c r="D33" s="179" t="s">
        <v>436</v>
      </c>
      <c r="E33" s="178">
        <v>0</v>
      </c>
      <c r="G33" s="208" t="s">
        <v>432</v>
      </c>
      <c r="H33" s="210">
        <v>0</v>
      </c>
      <c r="I33" s="191" t="s">
        <v>459</v>
      </c>
      <c r="J33" s="192">
        <v>42446</v>
      </c>
      <c r="K33" s="189" t="s">
        <v>508</v>
      </c>
    </row>
    <row r="34" spans="3:11">
      <c r="C34" s="179" t="s">
        <v>290</v>
      </c>
      <c r="D34" s="179" t="s">
        <v>437</v>
      </c>
      <c r="E34" s="178">
        <v>3.7000000000000002E-3</v>
      </c>
      <c r="G34" s="208" t="s">
        <v>471</v>
      </c>
      <c r="H34" s="210">
        <v>0</v>
      </c>
      <c r="I34" s="191" t="s">
        <v>459</v>
      </c>
      <c r="J34" s="192">
        <v>42446</v>
      </c>
      <c r="K34" s="189" t="s">
        <v>508</v>
      </c>
    </row>
    <row r="35" spans="3:11">
      <c r="C35" s="179" t="s">
        <v>271</v>
      </c>
      <c r="D35" s="179" t="s">
        <v>438</v>
      </c>
      <c r="E35" s="178">
        <v>0.13893</v>
      </c>
      <c r="G35" s="208" t="s">
        <v>415</v>
      </c>
      <c r="H35" s="210">
        <v>-2.1229715579999997</v>
      </c>
      <c r="I35" s="191" t="s">
        <v>459</v>
      </c>
      <c r="J35" s="193">
        <v>41699</v>
      </c>
      <c r="K35" s="189" t="s">
        <v>508</v>
      </c>
    </row>
    <row r="36" spans="3:11">
      <c r="C36" s="179" t="s">
        <v>271</v>
      </c>
      <c r="D36" s="179" t="s">
        <v>439</v>
      </c>
      <c r="E36" s="178">
        <v>5.5530000000000003E-2</v>
      </c>
      <c r="G36" s="208" t="s">
        <v>363</v>
      </c>
      <c r="H36" s="210">
        <v>0.67584870099999994</v>
      </c>
      <c r="I36" s="191" t="s">
        <v>461</v>
      </c>
      <c r="J36" s="192">
        <v>43160</v>
      </c>
      <c r="K36" s="189" t="s">
        <v>508</v>
      </c>
    </row>
    <row r="37" spans="3:11">
      <c r="C37" s="179" t="s">
        <v>434</v>
      </c>
      <c r="D37" s="179" t="s">
        <v>440</v>
      </c>
      <c r="E37" s="178">
        <v>0</v>
      </c>
      <c r="G37" s="208" t="s">
        <v>433</v>
      </c>
      <c r="H37" s="210">
        <v>1.8003814E-2</v>
      </c>
      <c r="I37" s="191" t="s">
        <v>459</v>
      </c>
      <c r="J37" s="192">
        <v>43160</v>
      </c>
      <c r="K37" s="189" t="s">
        <v>508</v>
      </c>
    </row>
    <row r="38" spans="3:11">
      <c r="C38" s="179" t="s">
        <v>290</v>
      </c>
      <c r="D38" s="179" t="s">
        <v>441</v>
      </c>
      <c r="E38" s="178">
        <v>2.1000000000000001E-2</v>
      </c>
      <c r="G38" s="208" t="s">
        <v>434</v>
      </c>
      <c r="H38" s="210">
        <v>-33.792299110000002</v>
      </c>
      <c r="I38" s="191" t="s">
        <v>472</v>
      </c>
      <c r="J38" s="193">
        <v>42064</v>
      </c>
      <c r="K38" s="189" t="s">
        <v>508</v>
      </c>
    </row>
    <row r="39" spans="3:11">
      <c r="C39" s="179" t="s">
        <v>290</v>
      </c>
      <c r="D39" s="179" t="s">
        <v>442</v>
      </c>
      <c r="E39" s="178">
        <v>-5.0000000000000001E-4</v>
      </c>
      <c r="G39" s="208" t="s">
        <v>327</v>
      </c>
      <c r="H39" s="210">
        <v>0.81897162799999978</v>
      </c>
      <c r="I39" s="191" t="s">
        <v>468</v>
      </c>
      <c r="J39" s="192">
        <v>43313</v>
      </c>
      <c r="K39" s="189" t="s">
        <v>508</v>
      </c>
    </row>
    <row r="40" spans="3:11">
      <c r="C40" s="179" t="s">
        <v>188</v>
      </c>
      <c r="D40" s="179" t="s">
        <v>443</v>
      </c>
      <c r="E40" s="178">
        <v>-1.6499999999999996E-3</v>
      </c>
      <c r="G40" s="208" t="s">
        <v>435</v>
      </c>
      <c r="H40" s="210">
        <v>0.43460923000000035</v>
      </c>
      <c r="I40" s="191" t="s">
        <v>459</v>
      </c>
      <c r="J40" s="192">
        <v>43177</v>
      </c>
      <c r="K40" s="189" t="s">
        <v>508</v>
      </c>
    </row>
    <row r="41" spans="3:11">
      <c r="C41" s="179" t="s">
        <v>188</v>
      </c>
      <c r="D41" s="179" t="s">
        <v>444</v>
      </c>
      <c r="E41" s="178">
        <v>6.0000000000000001E-3</v>
      </c>
      <c r="G41" s="208" t="s">
        <v>473</v>
      </c>
      <c r="H41" s="210">
        <v>0.5709136499999995</v>
      </c>
      <c r="I41" s="191" t="s">
        <v>461</v>
      </c>
      <c r="J41" s="192">
        <v>43177</v>
      </c>
      <c r="K41" s="189" t="s">
        <v>508</v>
      </c>
    </row>
    <row r="42" spans="3:11">
      <c r="C42" s="179" t="s">
        <v>188</v>
      </c>
      <c r="D42" s="179" t="s">
        <v>445</v>
      </c>
      <c r="E42" s="178">
        <v>5.7000000000000002E-3</v>
      </c>
      <c r="G42" s="208" t="s">
        <v>474</v>
      </c>
      <c r="H42" s="210">
        <v>0</v>
      </c>
      <c r="I42" s="191" t="s">
        <v>468</v>
      </c>
      <c r="J42" s="192">
        <v>42812</v>
      </c>
      <c r="K42" s="189" t="s">
        <v>508</v>
      </c>
    </row>
    <row r="43" spans="3:11">
      <c r="C43" s="179" t="s">
        <v>188</v>
      </c>
      <c r="D43" s="179" t="s">
        <v>446</v>
      </c>
      <c r="E43" s="178">
        <v>0.53138839999999998</v>
      </c>
      <c r="G43" s="208" t="s">
        <v>436</v>
      </c>
      <c r="H43" s="210">
        <v>0</v>
      </c>
      <c r="I43" s="191" t="s">
        <v>468</v>
      </c>
      <c r="J43" s="192">
        <v>42812</v>
      </c>
      <c r="K43" s="189" t="s">
        <v>508</v>
      </c>
    </row>
    <row r="44" spans="3:11">
      <c r="C44" s="179" t="s">
        <v>427</v>
      </c>
      <c r="D44" s="179" t="s">
        <v>203</v>
      </c>
      <c r="E44" s="178">
        <v>1.0425E-3</v>
      </c>
      <c r="G44" s="208" t="s">
        <v>254</v>
      </c>
      <c r="H44" s="210">
        <v>-2.58276499999881E-2</v>
      </c>
      <c r="I44" s="191" t="s">
        <v>459</v>
      </c>
      <c r="J44" s="192">
        <v>42430</v>
      </c>
      <c r="K44" s="189" t="s">
        <v>508</v>
      </c>
    </row>
    <row r="45" spans="3:11">
      <c r="C45" s="179" t="s">
        <v>188</v>
      </c>
      <c r="D45" s="179" t="s">
        <v>447</v>
      </c>
      <c r="E45" s="178">
        <v>7.5665800000000005E-2</v>
      </c>
      <c r="G45" s="208" t="s">
        <v>475</v>
      </c>
      <c r="H45" s="210">
        <v>-5.0489999999999997E-4</v>
      </c>
      <c r="I45" s="191" t="s">
        <v>468</v>
      </c>
      <c r="J45" s="192">
        <v>43891</v>
      </c>
      <c r="K45" s="191" t="s">
        <v>509</v>
      </c>
    </row>
    <row r="46" spans="3:11">
      <c r="C46" s="179" t="s">
        <v>232</v>
      </c>
      <c r="D46" s="179" t="s">
        <v>243</v>
      </c>
      <c r="E46" s="178">
        <v>0</v>
      </c>
      <c r="G46" s="208" t="s">
        <v>476</v>
      </c>
      <c r="H46" s="210">
        <v>0</v>
      </c>
      <c r="I46" s="191" t="s">
        <v>477</v>
      </c>
      <c r="J46" s="192">
        <v>40969</v>
      </c>
      <c r="K46" s="189" t="s">
        <v>508</v>
      </c>
    </row>
    <row r="47" spans="3:11">
      <c r="C47" s="179" t="s">
        <v>427</v>
      </c>
      <c r="D47" s="179" t="s">
        <v>448</v>
      </c>
      <c r="E47" s="178">
        <v>0</v>
      </c>
      <c r="G47" s="208" t="s">
        <v>478</v>
      </c>
      <c r="H47" s="210">
        <v>7.5718000000000001E-3</v>
      </c>
      <c r="I47" s="191" t="s">
        <v>459</v>
      </c>
      <c r="J47" s="192">
        <v>43160</v>
      </c>
      <c r="K47" s="189" t="s">
        <v>508</v>
      </c>
    </row>
    <row r="48" spans="3:11">
      <c r="C48" s="179" t="s">
        <v>232</v>
      </c>
      <c r="D48" s="179" t="s">
        <v>241</v>
      </c>
      <c r="E48" s="178">
        <v>0</v>
      </c>
      <c r="G48" s="208" t="s">
        <v>479</v>
      </c>
      <c r="H48" s="210">
        <v>0</v>
      </c>
      <c r="I48" s="191" t="s">
        <v>468</v>
      </c>
      <c r="J48" s="192">
        <v>43177</v>
      </c>
      <c r="K48" s="189" t="s">
        <v>508</v>
      </c>
    </row>
    <row r="49" spans="3:11">
      <c r="C49" s="179" t="s">
        <v>290</v>
      </c>
      <c r="D49" s="179" t="s">
        <v>449</v>
      </c>
      <c r="E49" s="178">
        <v>8.8999999999999999E-3</v>
      </c>
      <c r="G49" s="208" t="s">
        <v>480</v>
      </c>
      <c r="H49" s="210">
        <v>0.3109454790000003</v>
      </c>
      <c r="I49" s="191" t="s">
        <v>459</v>
      </c>
      <c r="J49" s="192">
        <v>43160</v>
      </c>
      <c r="K49" s="189" t="s">
        <v>508</v>
      </c>
    </row>
    <row r="50" spans="3:11">
      <c r="C50" s="179" t="s">
        <v>188</v>
      </c>
      <c r="D50" s="179" t="s">
        <v>189</v>
      </c>
      <c r="E50" s="178">
        <v>0.19450000000000001</v>
      </c>
      <c r="G50" s="208" t="s">
        <v>328</v>
      </c>
      <c r="H50" s="210">
        <v>0</v>
      </c>
      <c r="I50" s="191" t="s">
        <v>459</v>
      </c>
      <c r="J50" s="192">
        <v>40969</v>
      </c>
      <c r="K50" s="189" t="s">
        <v>508</v>
      </c>
    </row>
    <row r="51" spans="3:11">
      <c r="C51" s="179" t="s">
        <v>427</v>
      </c>
      <c r="D51" s="179" t="s">
        <v>198</v>
      </c>
      <c r="E51" s="178">
        <v>2.6679999999999998E-3</v>
      </c>
      <c r="G51" s="208" t="s">
        <v>481</v>
      </c>
      <c r="H51" s="210">
        <v>-9.4214999999999993E-3</v>
      </c>
      <c r="I51" s="191" t="s">
        <v>459</v>
      </c>
      <c r="J51" s="193">
        <v>42064</v>
      </c>
      <c r="K51" s="189" t="s">
        <v>508</v>
      </c>
    </row>
    <row r="52" spans="3:11">
      <c r="C52" s="179" t="s">
        <v>434</v>
      </c>
      <c r="D52" s="179" t="s">
        <v>450</v>
      </c>
      <c r="E52" s="178">
        <v>0</v>
      </c>
      <c r="G52" s="208" t="s">
        <v>437</v>
      </c>
      <c r="H52" s="210">
        <v>0.27156270099999913</v>
      </c>
      <c r="I52" s="191" t="s">
        <v>459</v>
      </c>
      <c r="J52" s="192">
        <v>43177</v>
      </c>
      <c r="K52" s="189" t="s">
        <v>508</v>
      </c>
    </row>
    <row r="53" spans="3:11">
      <c r="C53" s="179" t="s">
        <v>290</v>
      </c>
      <c r="D53" s="179" t="s">
        <v>451</v>
      </c>
      <c r="E53" s="178">
        <v>-4.1355000000000003E-3</v>
      </c>
      <c r="G53" s="208" t="s">
        <v>438</v>
      </c>
      <c r="H53" s="210">
        <v>0.30928799000000001</v>
      </c>
      <c r="I53" s="191" t="s">
        <v>472</v>
      </c>
      <c r="J53" s="193">
        <v>42064</v>
      </c>
      <c r="K53" s="189" t="s">
        <v>508</v>
      </c>
    </row>
    <row r="54" spans="3:11">
      <c r="C54" s="179" t="s">
        <v>290</v>
      </c>
      <c r="D54" s="179" t="s">
        <v>452</v>
      </c>
      <c r="E54" s="178">
        <v>3.81E-3</v>
      </c>
      <c r="G54" s="208" t="s">
        <v>439</v>
      </c>
      <c r="H54" s="210">
        <v>0.24369222199999999</v>
      </c>
      <c r="I54" s="191" t="s">
        <v>461</v>
      </c>
      <c r="J54" s="192">
        <v>43160</v>
      </c>
      <c r="K54" s="189" t="s">
        <v>508</v>
      </c>
    </row>
    <row r="55" spans="3:11">
      <c r="C55" s="179" t="s">
        <v>232</v>
      </c>
      <c r="D55" s="179" t="s">
        <v>453</v>
      </c>
      <c r="E55" s="178">
        <v>0.44840000000000002</v>
      </c>
      <c r="G55" s="208" t="s">
        <v>197</v>
      </c>
      <c r="H55" s="210">
        <v>3.4957540000000002E-3</v>
      </c>
      <c r="I55" s="191" t="s">
        <v>459</v>
      </c>
      <c r="J55" s="193">
        <v>41699</v>
      </c>
      <c r="K55" s="189" t="s">
        <v>508</v>
      </c>
    </row>
    <row r="56" spans="3:11">
      <c r="C56" s="179" t="s">
        <v>427</v>
      </c>
      <c r="D56" s="179" t="s">
        <v>202</v>
      </c>
      <c r="E56" s="178">
        <v>0</v>
      </c>
      <c r="G56" s="208" t="s">
        <v>482</v>
      </c>
      <c r="H56" s="210">
        <v>-2.4300000000000001E-5</v>
      </c>
      <c r="I56" s="191" t="s">
        <v>472</v>
      </c>
      <c r="J56" s="192">
        <v>43160</v>
      </c>
      <c r="K56" s="189" t="s">
        <v>508</v>
      </c>
    </row>
    <row r="57" spans="3:11">
      <c r="C57" s="179" t="s">
        <v>427</v>
      </c>
      <c r="D57" s="179" t="s">
        <v>215</v>
      </c>
      <c r="E57" s="178">
        <v>-1.33E-3</v>
      </c>
      <c r="G57" s="208" t="s">
        <v>483</v>
      </c>
      <c r="H57" s="210">
        <v>1.3465381E-2</v>
      </c>
      <c r="I57" s="191" t="s">
        <v>459</v>
      </c>
      <c r="J57" s="192">
        <v>43160</v>
      </c>
      <c r="K57" s="189" t="s">
        <v>508</v>
      </c>
    </row>
    <row r="58" spans="3:11">
      <c r="C58" s="179" t="s">
        <v>271</v>
      </c>
      <c r="D58" s="179" t="s">
        <v>454</v>
      </c>
      <c r="E58" s="178">
        <v>2.0000000000000235E-3</v>
      </c>
      <c r="G58" s="208" t="s">
        <v>484</v>
      </c>
      <c r="H58" s="210">
        <v>-6.9960145000036597E-2</v>
      </c>
      <c r="I58" s="191" t="s">
        <v>459</v>
      </c>
      <c r="J58" s="193">
        <v>42064</v>
      </c>
      <c r="K58" s="189" t="s">
        <v>508</v>
      </c>
    </row>
    <row r="59" spans="3:11">
      <c r="C59" s="179" t="s">
        <v>290</v>
      </c>
      <c r="D59" s="179" t="s">
        <v>455</v>
      </c>
      <c r="E59" s="178">
        <v>0</v>
      </c>
      <c r="G59" s="208" t="s">
        <v>485</v>
      </c>
      <c r="H59" s="210">
        <v>0.44979829999999998</v>
      </c>
      <c r="I59" s="191" t="s">
        <v>472</v>
      </c>
      <c r="J59" s="193">
        <v>43160</v>
      </c>
      <c r="K59" s="189" t="s">
        <v>508</v>
      </c>
    </row>
    <row r="60" spans="3:11">
      <c r="C60" s="483" t="s">
        <v>21</v>
      </c>
      <c r="D60" s="483"/>
      <c r="E60" s="181">
        <f>SUM(E21:E59)</f>
        <v>2.1289288281000003</v>
      </c>
      <c r="G60" s="208" t="s">
        <v>486</v>
      </c>
      <c r="H60" s="210">
        <v>0</v>
      </c>
      <c r="I60" s="191" t="s">
        <v>472</v>
      </c>
      <c r="J60" s="193">
        <v>40969</v>
      </c>
      <c r="K60" s="189" t="s">
        <v>508</v>
      </c>
    </row>
    <row r="61" spans="3:11">
      <c r="G61" s="208" t="s">
        <v>487</v>
      </c>
      <c r="H61" s="210">
        <v>-1.7262599999999999E-2</v>
      </c>
      <c r="I61" s="191" t="s">
        <v>472</v>
      </c>
      <c r="J61" s="192">
        <v>42795</v>
      </c>
      <c r="K61" s="189" t="s">
        <v>508</v>
      </c>
    </row>
    <row r="62" spans="3:11">
      <c r="G62" s="208" t="s">
        <v>488</v>
      </c>
      <c r="H62" s="210">
        <v>4.9841299999999998E-2</v>
      </c>
      <c r="I62" s="191" t="s">
        <v>472</v>
      </c>
      <c r="J62" s="192">
        <v>42795</v>
      </c>
      <c r="K62" s="189" t="s">
        <v>508</v>
      </c>
    </row>
    <row r="63" spans="3:11">
      <c r="G63" s="208" t="s">
        <v>440</v>
      </c>
      <c r="H63" s="210">
        <v>1.4955000000000001E-3</v>
      </c>
      <c r="I63" s="191" t="s">
        <v>472</v>
      </c>
      <c r="J63" s="192">
        <v>42795</v>
      </c>
      <c r="K63" s="189" t="s">
        <v>508</v>
      </c>
    </row>
    <row r="64" spans="3:11">
      <c r="G64" s="208" t="s">
        <v>489</v>
      </c>
      <c r="H64" s="210">
        <v>-1.3035199999999996E-3</v>
      </c>
      <c r="I64" s="191" t="s">
        <v>459</v>
      </c>
      <c r="J64" s="193">
        <v>42064</v>
      </c>
      <c r="K64" s="189" t="s">
        <v>508</v>
      </c>
    </row>
    <row r="65" spans="7:11">
      <c r="G65" s="208" t="s">
        <v>490</v>
      </c>
      <c r="H65" s="210">
        <v>-1.000000000003638E-8</v>
      </c>
      <c r="I65" s="191" t="s">
        <v>459</v>
      </c>
      <c r="J65" s="193">
        <v>42064</v>
      </c>
      <c r="K65" s="189" t="s">
        <v>508</v>
      </c>
    </row>
    <row r="66" spans="7:11">
      <c r="G66" s="208" t="s">
        <v>441</v>
      </c>
      <c r="H66" s="210">
        <v>4.217445259999999</v>
      </c>
      <c r="I66" s="191" t="s">
        <v>459</v>
      </c>
      <c r="J66" s="192">
        <v>43177</v>
      </c>
      <c r="K66" s="189" t="s">
        <v>508</v>
      </c>
    </row>
    <row r="67" spans="7:11">
      <c r="G67" s="208" t="s">
        <v>442</v>
      </c>
      <c r="H67" s="210">
        <v>0</v>
      </c>
      <c r="I67" s="191" t="s">
        <v>468</v>
      </c>
      <c r="J67" s="192">
        <v>43177</v>
      </c>
      <c r="K67" s="189" t="s">
        <v>508</v>
      </c>
    </row>
    <row r="68" spans="7:11">
      <c r="G68" s="208" t="s">
        <v>491</v>
      </c>
      <c r="H68" s="210">
        <v>-1.2524000000000001E-3</v>
      </c>
      <c r="I68" s="191" t="s">
        <v>459</v>
      </c>
      <c r="J68" s="193">
        <v>41699</v>
      </c>
      <c r="K68" s="189" t="s">
        <v>508</v>
      </c>
    </row>
    <row r="69" spans="7:11">
      <c r="G69" s="208" t="s">
        <v>444</v>
      </c>
      <c r="H69" s="210">
        <v>0.7538158989999999</v>
      </c>
      <c r="I69" s="191" t="s">
        <v>470</v>
      </c>
      <c r="J69" s="192">
        <v>43160</v>
      </c>
      <c r="K69" s="191" t="s">
        <v>510</v>
      </c>
    </row>
    <row r="70" spans="7:11">
      <c r="G70" s="208" t="s">
        <v>445</v>
      </c>
      <c r="H70" s="210">
        <v>0.3167613629999998</v>
      </c>
      <c r="I70" s="191" t="s">
        <v>470</v>
      </c>
      <c r="J70" s="192">
        <v>43070</v>
      </c>
      <c r="K70" s="191" t="s">
        <v>510</v>
      </c>
    </row>
    <row r="71" spans="7:11">
      <c r="G71" s="208" t="s">
        <v>446</v>
      </c>
      <c r="H71" s="210">
        <v>8.3200756000000195E-2</v>
      </c>
      <c r="I71" s="191" t="s">
        <v>459</v>
      </c>
      <c r="J71" s="192">
        <v>43191</v>
      </c>
      <c r="K71" s="189" t="s">
        <v>508</v>
      </c>
    </row>
    <row r="72" spans="7:11">
      <c r="G72" s="208" t="s">
        <v>492</v>
      </c>
      <c r="H72" s="210">
        <v>0</v>
      </c>
      <c r="I72" s="191" t="s">
        <v>459</v>
      </c>
      <c r="J72" s="191">
        <v>2012</v>
      </c>
      <c r="K72" s="189" t="s">
        <v>508</v>
      </c>
    </row>
    <row r="73" spans="7:11">
      <c r="G73" s="208" t="s">
        <v>239</v>
      </c>
      <c r="H73" s="210">
        <v>1.565417933</v>
      </c>
      <c r="I73" s="191" t="s">
        <v>468</v>
      </c>
      <c r="J73" s="191">
        <v>2018</v>
      </c>
      <c r="K73" s="189" t="s">
        <v>508</v>
      </c>
    </row>
    <row r="74" spans="7:11">
      <c r="G74" s="208" t="s">
        <v>493</v>
      </c>
      <c r="H74" s="210">
        <v>0.76660439999999996</v>
      </c>
      <c r="I74" s="191" t="s">
        <v>459</v>
      </c>
      <c r="J74" s="192">
        <v>43160</v>
      </c>
      <c r="K74" s="189" t="s">
        <v>508</v>
      </c>
    </row>
    <row r="75" spans="7:11">
      <c r="G75" s="208" t="s">
        <v>494</v>
      </c>
      <c r="H75" s="210">
        <v>-5.6449999999999998E-3</v>
      </c>
      <c r="I75" s="191" t="s">
        <v>461</v>
      </c>
      <c r="J75" s="193">
        <v>42064</v>
      </c>
      <c r="K75" s="189" t="s">
        <v>508</v>
      </c>
    </row>
    <row r="76" spans="7:11">
      <c r="G76" s="208" t="s">
        <v>203</v>
      </c>
      <c r="H76" s="210">
        <v>0.13362340499999997</v>
      </c>
      <c r="I76" s="191" t="s">
        <v>470</v>
      </c>
      <c r="J76" s="191">
        <v>2018</v>
      </c>
      <c r="K76" s="191" t="s">
        <v>510</v>
      </c>
    </row>
    <row r="77" spans="7:11">
      <c r="G77" s="208" t="s">
        <v>495</v>
      </c>
      <c r="H77" s="210">
        <v>-5.2809780000000008E-2</v>
      </c>
      <c r="I77" s="191" t="s">
        <v>459</v>
      </c>
      <c r="J77" s="193">
        <v>42064</v>
      </c>
      <c r="K77" s="189" t="s">
        <v>508</v>
      </c>
    </row>
    <row r="78" spans="7:11">
      <c r="G78" s="208" t="s">
        <v>496</v>
      </c>
      <c r="H78" s="210">
        <v>-0.40204210100001087</v>
      </c>
      <c r="I78" s="191" t="s">
        <v>459</v>
      </c>
      <c r="J78" s="193">
        <v>42064</v>
      </c>
      <c r="K78" s="189" t="s">
        <v>508</v>
      </c>
    </row>
    <row r="79" spans="7:11">
      <c r="G79" s="208" t="s">
        <v>447</v>
      </c>
      <c r="H79" s="210">
        <v>0.50842014300000005</v>
      </c>
      <c r="I79" s="191" t="s">
        <v>459</v>
      </c>
      <c r="J79" s="192">
        <v>42887</v>
      </c>
      <c r="K79" s="189" t="s">
        <v>508</v>
      </c>
    </row>
    <row r="80" spans="7:11">
      <c r="G80" s="208" t="s">
        <v>243</v>
      </c>
      <c r="H80" s="210">
        <v>15.263965016</v>
      </c>
      <c r="I80" s="191" t="s">
        <v>459</v>
      </c>
      <c r="J80" s="191">
        <v>2018</v>
      </c>
      <c r="K80" s="189" t="s">
        <v>508</v>
      </c>
    </row>
    <row r="81" spans="7:11">
      <c r="G81" s="208" t="s">
        <v>497</v>
      </c>
      <c r="H81" s="210">
        <v>0</v>
      </c>
      <c r="I81" s="191" t="s">
        <v>468</v>
      </c>
      <c r="J81" s="192">
        <v>42795</v>
      </c>
      <c r="K81" s="189" t="s">
        <v>508</v>
      </c>
    </row>
    <row r="82" spans="7:11">
      <c r="G82" s="208" t="s">
        <v>256</v>
      </c>
      <c r="H82" s="210">
        <v>1.8030899999999999E-2</v>
      </c>
      <c r="I82" s="191" t="s">
        <v>468</v>
      </c>
      <c r="J82" s="192">
        <v>40969</v>
      </c>
      <c r="K82" s="189" t="s">
        <v>508</v>
      </c>
    </row>
    <row r="83" spans="7:11">
      <c r="G83" s="208" t="s">
        <v>498</v>
      </c>
      <c r="H83" s="210">
        <v>-1.7131299999999999E-2</v>
      </c>
      <c r="I83" s="191" t="s">
        <v>459</v>
      </c>
      <c r="J83" s="193">
        <v>42064</v>
      </c>
      <c r="K83" s="189" t="s">
        <v>508</v>
      </c>
    </row>
    <row r="84" spans="7:11">
      <c r="G84" s="208" t="s">
        <v>241</v>
      </c>
      <c r="H84" s="210">
        <v>3.3297044169999994</v>
      </c>
      <c r="I84" s="191" t="s">
        <v>468</v>
      </c>
      <c r="J84" s="191">
        <v>2018</v>
      </c>
      <c r="K84" s="189" t="s">
        <v>508</v>
      </c>
    </row>
    <row r="85" spans="7:11">
      <c r="G85" s="208" t="s">
        <v>499</v>
      </c>
      <c r="H85" s="210">
        <v>8.0988999999999993E-5</v>
      </c>
      <c r="I85" s="191" t="s">
        <v>472</v>
      </c>
      <c r="J85" s="192">
        <v>43466</v>
      </c>
      <c r="K85" s="191" t="s">
        <v>509</v>
      </c>
    </row>
    <row r="86" spans="7:11">
      <c r="G86" s="208" t="s">
        <v>500</v>
      </c>
      <c r="H86" s="210">
        <v>0.3723677570000008</v>
      </c>
      <c r="I86" s="191" t="s">
        <v>459</v>
      </c>
      <c r="J86" s="192">
        <v>43160</v>
      </c>
      <c r="K86" s="189" t="s">
        <v>508</v>
      </c>
    </row>
    <row r="87" spans="7:11">
      <c r="G87" s="208" t="s">
        <v>449</v>
      </c>
      <c r="H87" s="210">
        <v>1.1520422259999998</v>
      </c>
      <c r="I87" s="191" t="s">
        <v>459</v>
      </c>
      <c r="J87" s="192">
        <v>43177</v>
      </c>
      <c r="K87" s="189" t="s">
        <v>508</v>
      </c>
    </row>
    <row r="88" spans="7:11">
      <c r="G88" s="208" t="s">
        <v>501</v>
      </c>
      <c r="H88" s="210">
        <v>1.581797823999995</v>
      </c>
      <c r="I88" s="191" t="s">
        <v>461</v>
      </c>
      <c r="J88" s="192">
        <v>43160</v>
      </c>
      <c r="K88" s="189" t="s">
        <v>508</v>
      </c>
    </row>
    <row r="89" spans="7:11">
      <c r="G89" s="208" t="s">
        <v>189</v>
      </c>
      <c r="H89" s="210">
        <v>0.28011751599999979</v>
      </c>
      <c r="I89" s="191" t="s">
        <v>468</v>
      </c>
      <c r="J89" s="192">
        <v>43252</v>
      </c>
      <c r="K89" s="189" t="s">
        <v>508</v>
      </c>
    </row>
    <row r="90" spans="7:11">
      <c r="G90" s="208" t="s">
        <v>502</v>
      </c>
      <c r="H90" s="210">
        <v>-1.8563603999999997E-2</v>
      </c>
      <c r="I90" s="191" t="s">
        <v>459</v>
      </c>
      <c r="J90" s="192">
        <v>43160</v>
      </c>
      <c r="K90" s="189" t="s">
        <v>508</v>
      </c>
    </row>
    <row r="91" spans="7:11">
      <c r="G91" s="208" t="s">
        <v>198</v>
      </c>
      <c r="H91" s="210">
        <v>-1.45040474</v>
      </c>
      <c r="I91" s="191" t="s">
        <v>461</v>
      </c>
      <c r="J91" s="191">
        <v>2018</v>
      </c>
      <c r="K91" s="189" t="s">
        <v>508</v>
      </c>
    </row>
    <row r="92" spans="7:11">
      <c r="G92" s="208" t="s">
        <v>192</v>
      </c>
      <c r="H92" s="210">
        <v>2.9726942859999999</v>
      </c>
      <c r="I92" s="191" t="s">
        <v>477</v>
      </c>
      <c r="J92" s="192">
        <v>41699</v>
      </c>
      <c r="K92" s="189" t="s">
        <v>508</v>
      </c>
    </row>
    <row r="93" spans="7:11">
      <c r="G93" s="208" t="s">
        <v>503</v>
      </c>
      <c r="H93" s="210">
        <v>0</v>
      </c>
      <c r="I93" s="191" t="s">
        <v>459</v>
      </c>
      <c r="J93" s="191">
        <v>2019</v>
      </c>
      <c r="K93" s="189" t="s">
        <v>508</v>
      </c>
    </row>
    <row r="94" spans="7:11">
      <c r="G94" s="208" t="s">
        <v>266</v>
      </c>
      <c r="H94" s="210">
        <v>2.18496E-2</v>
      </c>
      <c r="I94" s="191" t="s">
        <v>459</v>
      </c>
      <c r="J94" s="192">
        <v>40969</v>
      </c>
      <c r="K94" s="189" t="s">
        <v>508</v>
      </c>
    </row>
    <row r="95" spans="7:11">
      <c r="G95" s="208" t="s">
        <v>450</v>
      </c>
      <c r="H95" s="210">
        <v>1.3266500000000001E-2</v>
      </c>
      <c r="I95" s="191" t="s">
        <v>472</v>
      </c>
      <c r="J95" s="192">
        <v>43177</v>
      </c>
      <c r="K95" s="189" t="s">
        <v>508</v>
      </c>
    </row>
    <row r="96" spans="7:11">
      <c r="G96" s="208" t="s">
        <v>451</v>
      </c>
      <c r="H96" s="210">
        <v>0</v>
      </c>
      <c r="I96" s="191" t="s">
        <v>468</v>
      </c>
      <c r="J96" s="192">
        <v>43177</v>
      </c>
      <c r="K96" s="189" t="s">
        <v>508</v>
      </c>
    </row>
    <row r="97" spans="7:11">
      <c r="G97" s="208" t="s">
        <v>504</v>
      </c>
      <c r="H97" s="210">
        <v>-2.4230690999999999E-2</v>
      </c>
      <c r="I97" s="191" t="s">
        <v>472</v>
      </c>
      <c r="J97" s="193">
        <v>42064</v>
      </c>
      <c r="K97" s="189" t="s">
        <v>508</v>
      </c>
    </row>
    <row r="98" spans="7:11">
      <c r="G98" s="208" t="s">
        <v>452</v>
      </c>
      <c r="H98" s="210">
        <v>0.82249444399999971</v>
      </c>
      <c r="I98" s="191" t="s">
        <v>459</v>
      </c>
      <c r="J98" s="192">
        <v>43177</v>
      </c>
      <c r="K98" s="189" t="s">
        <v>508</v>
      </c>
    </row>
    <row r="99" spans="7:11">
      <c r="G99" s="208" t="s">
        <v>505</v>
      </c>
      <c r="H99" s="210">
        <v>9.7676216999999996E-2</v>
      </c>
      <c r="I99" s="191" t="s">
        <v>459</v>
      </c>
      <c r="J99" s="192">
        <v>40986</v>
      </c>
      <c r="K99" s="189" t="s">
        <v>508</v>
      </c>
    </row>
    <row r="100" spans="7:11">
      <c r="G100" s="208" t="s">
        <v>453</v>
      </c>
      <c r="H100" s="210">
        <v>7.1430832000000004</v>
      </c>
      <c r="I100" s="191" t="s">
        <v>470</v>
      </c>
      <c r="J100" s="192">
        <v>44986</v>
      </c>
      <c r="K100" s="191" t="s">
        <v>510</v>
      </c>
    </row>
    <row r="101" spans="7:11">
      <c r="G101" s="208" t="s">
        <v>202</v>
      </c>
      <c r="H101" s="210">
        <v>0.14379750499999999</v>
      </c>
      <c r="I101" s="191" t="s">
        <v>459</v>
      </c>
      <c r="J101" s="192">
        <v>40986</v>
      </c>
      <c r="K101" s="189" t="s">
        <v>508</v>
      </c>
    </row>
    <row r="102" spans="7:11">
      <c r="G102" s="208" t="s">
        <v>215</v>
      </c>
      <c r="H102" s="210">
        <v>0</v>
      </c>
      <c r="I102" s="191" t="s">
        <v>459</v>
      </c>
      <c r="J102" s="192">
        <v>40986</v>
      </c>
      <c r="K102" s="189" t="s">
        <v>508</v>
      </c>
    </row>
    <row r="103" spans="7:11">
      <c r="G103" s="208" t="s">
        <v>454</v>
      </c>
      <c r="H103" s="210">
        <v>0.6295097640000058</v>
      </c>
      <c r="I103" s="191" t="s">
        <v>459</v>
      </c>
      <c r="J103" s="192">
        <v>43160</v>
      </c>
      <c r="K103" s="189" t="s">
        <v>508</v>
      </c>
    </row>
    <row r="104" spans="7:11">
      <c r="G104" s="208" t="s">
        <v>455</v>
      </c>
      <c r="H104" s="210">
        <v>0</v>
      </c>
      <c r="I104" s="191" t="s">
        <v>459</v>
      </c>
      <c r="J104" s="192">
        <v>42812</v>
      </c>
      <c r="K104" s="189" t="s">
        <v>508</v>
      </c>
    </row>
    <row r="105" spans="7:11">
      <c r="G105" s="208" t="s">
        <v>506</v>
      </c>
      <c r="H105" s="210">
        <v>0</v>
      </c>
      <c r="I105" s="191" t="s">
        <v>468</v>
      </c>
      <c r="J105" s="192">
        <v>43177</v>
      </c>
      <c r="K105" s="189" t="s">
        <v>508</v>
      </c>
    </row>
  </sheetData>
  <mergeCells count="7">
    <mergeCell ref="C60:D60"/>
    <mergeCell ref="C17:E17"/>
    <mergeCell ref="B2:G2"/>
    <mergeCell ref="B3:G3"/>
    <mergeCell ref="B5:G5"/>
    <mergeCell ref="B11:G11"/>
    <mergeCell ref="B12:G12"/>
  </mergeCells>
  <hyperlinks>
    <hyperlink ref="H16:I16" r:id="rId1" display="=@subtotal(9,F3:F21)" xr:uid="{00000000-0004-0000-1600-000000000000}"/>
  </hyperlinks>
  <pageMargins left="0.7" right="0.7" top="0.75" bottom="0.75" header="0.3" footer="0.3"/>
  <pageSetup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L30"/>
  <sheetViews>
    <sheetView workbookViewId="0">
      <selection activeCell="K23" sqref="K23"/>
    </sheetView>
  </sheetViews>
  <sheetFormatPr defaultRowHeight="14.4"/>
  <cols>
    <col min="2" max="2" width="22" customWidth="1"/>
    <col min="3" max="3" width="13.6640625" bestFit="1" customWidth="1"/>
    <col min="4" max="5" width="15.33203125" bestFit="1" customWidth="1"/>
    <col min="7" max="7" width="15.33203125" bestFit="1" customWidth="1"/>
    <col min="10" max="10" width="12" customWidth="1"/>
    <col min="11" max="11" width="14.5546875" customWidth="1"/>
    <col min="12" max="12" width="10.44140625" bestFit="1" customWidth="1"/>
  </cols>
  <sheetData>
    <row r="2" spans="2:12">
      <c r="B2" s="120" t="s">
        <v>151</v>
      </c>
      <c r="C2" s="121">
        <v>45016</v>
      </c>
    </row>
    <row r="3" spans="2:12">
      <c r="B3" s="120" t="s">
        <v>152</v>
      </c>
      <c r="C3" s="122">
        <f>D26/4</f>
        <v>3.3287499999999998E-2</v>
      </c>
    </row>
    <row r="5" spans="2:12">
      <c r="D5" s="123" t="s">
        <v>153</v>
      </c>
      <c r="E5" s="123" t="s">
        <v>154</v>
      </c>
      <c r="F5" s="123" t="s">
        <v>155</v>
      </c>
      <c r="G5" s="123" t="s">
        <v>156</v>
      </c>
    </row>
    <row r="6" spans="2:12">
      <c r="D6" s="124">
        <v>45107</v>
      </c>
      <c r="E6" s="125">
        <f>K26</f>
        <v>634.26575000000003</v>
      </c>
      <c r="F6" s="126">
        <f>(D6-$C$2)/91.25</f>
        <v>0.99726027397260275</v>
      </c>
      <c r="G6" s="127">
        <f>E6/(1+$C$3)^F6</f>
        <v>613.88786259538961</v>
      </c>
    </row>
    <row r="7" spans="2:12">
      <c r="D7" s="124">
        <f>EDATE(D6,3)</f>
        <v>45199</v>
      </c>
      <c r="E7" s="125">
        <f>E6</f>
        <v>634.26575000000003</v>
      </c>
      <c r="F7" s="126">
        <f t="shared" ref="F7:F19" si="0">(D7-$C$2)/91.25</f>
        <v>2.0054794520547947</v>
      </c>
      <c r="G7" s="127">
        <f t="shared" ref="G7:G19" si="1">E7/(1+$C$3)^F7</f>
        <v>593.95150192162123</v>
      </c>
    </row>
    <row r="8" spans="2:12">
      <c r="D8" s="124">
        <f>EDATE(D7,3)</f>
        <v>45290</v>
      </c>
      <c r="E8" s="125">
        <f t="shared" ref="E8:E18" si="2">E7</f>
        <v>634.26575000000003</v>
      </c>
      <c r="F8" s="126">
        <f t="shared" si="0"/>
        <v>3.0027397260273974</v>
      </c>
      <c r="G8" s="127">
        <f t="shared" si="1"/>
        <v>574.86884322539174</v>
      </c>
    </row>
    <row r="9" spans="2:12">
      <c r="D9" s="124">
        <f t="shared" ref="D9:D18" si="3">EDATE(D8,3)</f>
        <v>45381</v>
      </c>
      <c r="E9" s="125">
        <f t="shared" si="2"/>
        <v>634.26575000000003</v>
      </c>
      <c r="F9" s="126">
        <f t="shared" si="0"/>
        <v>4</v>
      </c>
      <c r="G9" s="127">
        <f t="shared" si="1"/>
        <v>556.39927812643191</v>
      </c>
      <c r="K9" t="s">
        <v>151</v>
      </c>
      <c r="L9" s="121">
        <v>45016</v>
      </c>
    </row>
    <row r="10" spans="2:12">
      <c r="D10" s="124">
        <f t="shared" si="3"/>
        <v>45473</v>
      </c>
      <c r="E10" s="125">
        <f t="shared" si="2"/>
        <v>634.26575000000003</v>
      </c>
      <c r="F10" s="126">
        <f t="shared" si="0"/>
        <v>5.0082191780821921</v>
      </c>
      <c r="G10" s="127">
        <f t="shared" si="1"/>
        <v>538.32989222840172</v>
      </c>
      <c r="L10" s="124">
        <v>45107</v>
      </c>
    </row>
    <row r="11" spans="2:12">
      <c r="D11" s="124">
        <f t="shared" si="3"/>
        <v>45565</v>
      </c>
      <c r="E11" s="125">
        <f t="shared" si="2"/>
        <v>634.26575000000003</v>
      </c>
      <c r="F11" s="126">
        <f t="shared" si="0"/>
        <v>6.0164383561643833</v>
      </c>
      <c r="G11" s="127">
        <f t="shared" si="1"/>
        <v>520.84732000818838</v>
      </c>
      <c r="K11" t="s">
        <v>157</v>
      </c>
      <c r="L11" s="128">
        <v>46226</v>
      </c>
    </row>
    <row r="12" spans="2:12">
      <c r="D12" s="124">
        <f t="shared" si="3"/>
        <v>45656</v>
      </c>
      <c r="E12" s="125">
        <f t="shared" si="2"/>
        <v>634.26575000000003</v>
      </c>
      <c r="F12" s="126">
        <f t="shared" si="0"/>
        <v>7.0136986301369859</v>
      </c>
      <c r="G12" s="127">
        <f t="shared" si="1"/>
        <v>504.11337521908388</v>
      </c>
      <c r="L12" s="128">
        <v>46203</v>
      </c>
    </row>
    <row r="13" spans="2:12">
      <c r="D13" s="124">
        <f t="shared" si="3"/>
        <v>45746</v>
      </c>
      <c r="E13" s="125">
        <f t="shared" si="2"/>
        <v>634.26575000000003</v>
      </c>
      <c r="F13" s="126">
        <f t="shared" si="0"/>
        <v>8</v>
      </c>
      <c r="G13" s="127">
        <f t="shared" si="1"/>
        <v>488.09218643701723</v>
      </c>
      <c r="L13">
        <f>(L12-L10)/90</f>
        <v>12.177777777777777</v>
      </c>
    </row>
    <row r="14" spans="2:12">
      <c r="D14" s="124">
        <f t="shared" si="3"/>
        <v>45838</v>
      </c>
      <c r="E14" s="125">
        <f t="shared" si="2"/>
        <v>634.26575000000003</v>
      </c>
      <c r="F14" s="126">
        <f t="shared" si="0"/>
        <v>9.0082191780821912</v>
      </c>
      <c r="G14" s="127">
        <f t="shared" si="1"/>
        <v>472.24111254590451</v>
      </c>
    </row>
    <row r="15" spans="2:12">
      <c r="D15" s="124">
        <f t="shared" si="3"/>
        <v>45930</v>
      </c>
      <c r="E15" s="125">
        <f t="shared" si="2"/>
        <v>634.26575000000003</v>
      </c>
      <c r="F15" s="126">
        <f t="shared" si="0"/>
        <v>10.016438356164384</v>
      </c>
      <c r="G15" s="127">
        <f t="shared" si="1"/>
        <v>456.90481137700186</v>
      </c>
    </row>
    <row r="16" spans="2:12">
      <c r="D16" s="124">
        <f t="shared" si="3"/>
        <v>46021</v>
      </c>
      <c r="E16" s="125">
        <f t="shared" si="2"/>
        <v>634.26575000000003</v>
      </c>
      <c r="F16" s="126">
        <f t="shared" si="0"/>
        <v>11.013698630136986</v>
      </c>
      <c r="G16" s="127">
        <f t="shared" si="1"/>
        <v>442.22523140462386</v>
      </c>
    </row>
    <row r="17" spans="1:11">
      <c r="D17" s="124">
        <f t="shared" si="3"/>
        <v>46111</v>
      </c>
      <c r="E17" s="125">
        <f t="shared" si="2"/>
        <v>634.26575000000003</v>
      </c>
      <c r="F17" s="126">
        <f t="shared" si="0"/>
        <v>12</v>
      </c>
      <c r="G17" s="127">
        <f t="shared" si="1"/>
        <v>428.17090500741716</v>
      </c>
    </row>
    <row r="18" spans="1:11">
      <c r="D18" s="124">
        <f t="shared" si="3"/>
        <v>46203</v>
      </c>
      <c r="E18" s="125">
        <f t="shared" si="2"/>
        <v>634.26575000000003</v>
      </c>
      <c r="F18" s="126">
        <f t="shared" si="0"/>
        <v>13.008219178082191</v>
      </c>
      <c r="G18" s="127">
        <f t="shared" si="1"/>
        <v>414.26580912206634</v>
      </c>
    </row>
    <row r="19" spans="1:11">
      <c r="D19" s="124">
        <v>46226</v>
      </c>
      <c r="E19" s="125">
        <v>253706300</v>
      </c>
      <c r="F19" s="126">
        <f t="shared" si="0"/>
        <v>13.260273972602739</v>
      </c>
      <c r="G19" s="127">
        <f t="shared" si="1"/>
        <v>164344270.01701111</v>
      </c>
    </row>
    <row r="20" spans="1:11">
      <c r="D20" s="129"/>
      <c r="E20" s="130">
        <f>SUM(E6:E19)</f>
        <v>253714545.45475</v>
      </c>
      <c r="F20" s="129"/>
      <c r="G20" s="131">
        <f>SUM(G6:G19)</f>
        <v>164350874.31514034</v>
      </c>
    </row>
    <row r="23" spans="1:11">
      <c r="E23" t="s">
        <v>158</v>
      </c>
    </row>
    <row r="24" spans="1:11" ht="28.8">
      <c r="C24" s="98" t="s">
        <v>159</v>
      </c>
      <c r="D24" s="132">
        <v>7.3150000000000007E-2</v>
      </c>
      <c r="J24" t="s">
        <v>160</v>
      </c>
      <c r="K24">
        <v>253706300</v>
      </c>
    </row>
    <row r="25" spans="1:11">
      <c r="B25" s="133" t="s">
        <v>161</v>
      </c>
      <c r="C25" s="134" t="s">
        <v>162</v>
      </c>
      <c r="D25" s="132">
        <v>0.06</v>
      </c>
      <c r="J25" t="s">
        <v>163</v>
      </c>
      <c r="K25" s="135">
        <f>(0.001/4)%</f>
        <v>2.5000000000000002E-6</v>
      </c>
    </row>
    <row r="26" spans="1:11">
      <c r="C26" s="136" t="s">
        <v>164</v>
      </c>
      <c r="D26" s="137">
        <f>SUM(D24:D25)</f>
        <v>0.13314999999999999</v>
      </c>
      <c r="K26">
        <f>K24*K25</f>
        <v>634.26575000000003</v>
      </c>
    </row>
    <row r="28" spans="1:11">
      <c r="B28" s="120" t="s">
        <v>165</v>
      </c>
      <c r="C28" s="120"/>
      <c r="D28" s="138">
        <f>G20</f>
        <v>164350874.31514034</v>
      </c>
    </row>
    <row r="29" spans="1:11" ht="27.75" customHeight="1">
      <c r="A29" s="133" t="s">
        <v>166</v>
      </c>
      <c r="B29" s="119" t="s">
        <v>167</v>
      </c>
      <c r="C29" s="139">
        <v>0.75</v>
      </c>
      <c r="D29" s="138">
        <f>D28*C29</f>
        <v>123263155.73635525</v>
      </c>
      <c r="F29">
        <f>(SUM(E19:E19)/D30)^(1/15)-1</f>
        <v>0.12903641177426617</v>
      </c>
    </row>
    <row r="30" spans="1:11">
      <c r="B30" s="140" t="s">
        <v>168</v>
      </c>
      <c r="C30" s="140"/>
      <c r="D30" s="141">
        <f>D28-D29</f>
        <v>41087718.578785092</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X41"/>
  <sheetViews>
    <sheetView workbookViewId="0">
      <selection activeCell="G29" sqref="G29"/>
    </sheetView>
  </sheetViews>
  <sheetFormatPr defaultRowHeight="14.4"/>
  <cols>
    <col min="2" max="2" width="22" customWidth="1"/>
    <col min="3" max="3" width="13.6640625" bestFit="1" customWidth="1"/>
    <col min="4" max="5" width="15.33203125" bestFit="1" customWidth="1"/>
    <col min="7" max="7" width="15.33203125" bestFit="1" customWidth="1"/>
    <col min="9" max="9" width="14.88671875" bestFit="1" customWidth="1"/>
    <col min="10" max="10" width="12" customWidth="1"/>
    <col min="11" max="11" width="14.5546875" customWidth="1"/>
    <col min="12" max="12" width="10.44140625" bestFit="1" customWidth="1"/>
    <col min="14" max="14" width="10.33203125" bestFit="1" customWidth="1"/>
    <col min="15" max="15" width="13.88671875" bestFit="1" customWidth="1"/>
    <col min="17" max="17" width="13.88671875" style="142" bestFit="1" customWidth="1"/>
    <col min="20" max="20" width="12" bestFit="1" customWidth="1"/>
    <col min="21" max="21" width="10.33203125" bestFit="1" customWidth="1"/>
    <col min="22" max="22" width="12.33203125" bestFit="1" customWidth="1"/>
    <col min="24" max="24" width="12.33203125" customWidth="1"/>
  </cols>
  <sheetData>
    <row r="2" spans="1:24">
      <c r="B2" s="120" t="s">
        <v>151</v>
      </c>
      <c r="C2" s="121">
        <v>45016</v>
      </c>
    </row>
    <row r="3" spans="1:24">
      <c r="B3" s="120" t="s">
        <v>152</v>
      </c>
      <c r="C3" s="122">
        <f>D34/4</f>
        <v>3.4999999999999996E-2</v>
      </c>
    </row>
    <row r="5" spans="1:24">
      <c r="N5" s="123" t="s">
        <v>153</v>
      </c>
      <c r="O5" s="123" t="s">
        <v>154</v>
      </c>
      <c r="P5" s="123" t="s">
        <v>155</v>
      </c>
      <c r="Q5" s="143" t="s">
        <v>156</v>
      </c>
      <c r="U5" s="123" t="s">
        <v>153</v>
      </c>
      <c r="V5" s="123" t="s">
        <v>154</v>
      </c>
      <c r="W5" s="123" t="s">
        <v>155</v>
      </c>
      <c r="X5" s="143" t="s">
        <v>156</v>
      </c>
    </row>
    <row r="6" spans="1:24">
      <c r="D6" s="124"/>
      <c r="E6" s="144"/>
      <c r="F6" s="126"/>
      <c r="G6" s="127"/>
      <c r="N6" s="124"/>
      <c r="O6" s="125"/>
      <c r="P6" s="126"/>
      <c r="Q6" s="145"/>
      <c r="U6" s="124"/>
      <c r="V6" s="125"/>
      <c r="W6" s="126"/>
      <c r="X6" s="145"/>
    </row>
    <row r="7" spans="1:24">
      <c r="D7" s="124"/>
      <c r="E7" s="144"/>
      <c r="F7" s="126"/>
      <c r="G7" s="127"/>
      <c r="N7" s="124"/>
      <c r="O7" s="125"/>
      <c r="P7" s="126"/>
      <c r="Q7" s="145"/>
      <c r="U7" s="124"/>
      <c r="V7" s="125"/>
      <c r="W7" s="126"/>
      <c r="X7" s="145"/>
    </row>
    <row r="8" spans="1:24">
      <c r="A8" t="s">
        <v>151</v>
      </c>
      <c r="B8" s="128">
        <v>45016</v>
      </c>
      <c r="D8" s="124"/>
      <c r="E8" s="144"/>
      <c r="F8" s="126"/>
      <c r="G8" s="127"/>
      <c r="K8" t="s">
        <v>151</v>
      </c>
      <c r="L8" s="128">
        <v>45016</v>
      </c>
      <c r="N8" s="124"/>
      <c r="O8" s="125"/>
      <c r="P8" s="126"/>
      <c r="Q8" s="145"/>
      <c r="S8" t="s">
        <v>151</v>
      </c>
      <c r="T8" s="128">
        <v>45016</v>
      </c>
      <c r="U8" s="124"/>
      <c r="V8" s="125"/>
      <c r="W8" s="126"/>
      <c r="X8" s="145"/>
    </row>
    <row r="9" spans="1:24">
      <c r="B9" s="128">
        <v>45107</v>
      </c>
      <c r="D9" s="124"/>
      <c r="E9" s="144"/>
      <c r="F9" s="126"/>
      <c r="G9" s="127"/>
      <c r="L9" s="128">
        <v>45107</v>
      </c>
      <c r="N9" s="124"/>
      <c r="O9" s="125"/>
      <c r="P9" s="126"/>
      <c r="Q9" s="145"/>
      <c r="T9" s="128">
        <v>45107</v>
      </c>
      <c r="U9" s="124"/>
      <c r="V9" s="125"/>
      <c r="W9" s="126"/>
      <c r="X9" s="145"/>
    </row>
    <row r="10" spans="1:24">
      <c r="A10" t="s">
        <v>157</v>
      </c>
      <c r="B10" s="128">
        <v>45382</v>
      </c>
      <c r="D10" s="124"/>
      <c r="E10" s="144"/>
      <c r="F10" s="126"/>
      <c r="G10" s="127"/>
      <c r="K10" t="s">
        <v>157</v>
      </c>
      <c r="L10" s="128">
        <v>45747</v>
      </c>
      <c r="N10" s="124"/>
      <c r="O10" s="125"/>
      <c r="P10" s="126"/>
      <c r="Q10" s="145"/>
      <c r="S10" t="s">
        <v>157</v>
      </c>
      <c r="T10" s="128">
        <v>46112</v>
      </c>
      <c r="U10" s="124"/>
      <c r="V10" s="125"/>
      <c r="W10" s="126"/>
      <c r="X10" s="145"/>
    </row>
    <row r="11" spans="1:24">
      <c r="B11">
        <f>(B10-B9)/90</f>
        <v>3.0555555555555554</v>
      </c>
      <c r="D11" s="124"/>
      <c r="E11" s="144"/>
      <c r="F11" s="126"/>
      <c r="G11" s="127"/>
      <c r="L11">
        <f>(L10-L9)/90</f>
        <v>7.1111111111111107</v>
      </c>
      <c r="N11" s="124"/>
      <c r="O11" s="125"/>
      <c r="P11" s="126"/>
      <c r="Q11" s="145"/>
      <c r="T11">
        <f>(T10-T9)/90</f>
        <v>11.166666666666666</v>
      </c>
      <c r="U11" s="124"/>
      <c r="V11" s="125"/>
      <c r="W11" s="126"/>
      <c r="X11" s="145"/>
    </row>
    <row r="12" spans="1:24">
      <c r="D12" s="124"/>
      <c r="E12" s="144"/>
      <c r="F12" s="126"/>
      <c r="G12" s="127"/>
      <c r="N12" s="124"/>
      <c r="O12" s="125"/>
      <c r="P12" s="126"/>
      <c r="Q12" s="145"/>
      <c r="U12" s="124"/>
      <c r="V12" s="125"/>
      <c r="W12" s="126"/>
      <c r="X12" s="145"/>
    </row>
    <row r="13" spans="1:24">
      <c r="D13" s="124"/>
      <c r="E13" s="144"/>
      <c r="F13" s="126"/>
      <c r="G13" s="127"/>
      <c r="N13" s="124"/>
      <c r="O13" s="125"/>
      <c r="P13" s="126"/>
      <c r="Q13" s="145"/>
      <c r="U13" s="124"/>
      <c r="V13" s="125"/>
      <c r="W13" s="126"/>
      <c r="X13" s="145"/>
    </row>
    <row r="14" spans="1:24">
      <c r="D14" s="124"/>
      <c r="E14" s="144"/>
      <c r="F14" s="126"/>
      <c r="G14" s="127"/>
      <c r="N14" s="124"/>
      <c r="O14" s="125"/>
      <c r="P14" s="126"/>
      <c r="Q14" s="145"/>
      <c r="U14" s="124"/>
      <c r="V14" s="125"/>
      <c r="W14" s="126"/>
      <c r="X14" s="145"/>
    </row>
    <row r="15" spans="1:24">
      <c r="D15" s="124"/>
      <c r="E15" s="144"/>
      <c r="F15" s="126"/>
      <c r="G15" s="127"/>
      <c r="N15" s="124"/>
      <c r="O15" s="125"/>
      <c r="P15" s="126"/>
      <c r="Q15" s="145"/>
      <c r="U15" s="124"/>
      <c r="V15" s="125"/>
      <c r="W15" s="126"/>
      <c r="X15" s="145"/>
    </row>
    <row r="16" spans="1:24">
      <c r="D16" s="124"/>
      <c r="E16" s="144"/>
      <c r="F16" s="126"/>
      <c r="G16" s="127"/>
      <c r="N16" s="124"/>
      <c r="O16" s="125"/>
      <c r="P16" s="126"/>
      <c r="Q16" s="145"/>
      <c r="U16" s="124"/>
      <c r="V16" s="125"/>
      <c r="W16" s="126"/>
      <c r="X16" s="145"/>
    </row>
    <row r="17" spans="3:24">
      <c r="D17" s="124"/>
      <c r="E17" s="144"/>
      <c r="F17" s="126"/>
      <c r="G17" s="127"/>
      <c r="N17" s="124"/>
      <c r="O17" s="125"/>
      <c r="P17" s="126"/>
      <c r="Q17" s="145"/>
      <c r="U17" s="124"/>
      <c r="V17" s="125"/>
      <c r="W17" s="126"/>
      <c r="X17" s="145"/>
    </row>
    <row r="18" spans="3:24">
      <c r="D18" s="124"/>
      <c r="E18" s="144"/>
      <c r="F18" s="126"/>
      <c r="G18" s="127"/>
      <c r="N18" s="124"/>
      <c r="O18" s="125"/>
      <c r="P18" s="126"/>
      <c r="Q18" s="145"/>
      <c r="U18" s="124"/>
      <c r="V18" s="125"/>
      <c r="W18" s="126"/>
      <c r="X18" s="145"/>
    </row>
    <row r="19" spans="3:24">
      <c r="D19" s="124"/>
      <c r="E19" s="144"/>
      <c r="F19" s="126"/>
      <c r="G19" s="127"/>
      <c r="N19" s="124"/>
      <c r="O19" s="125"/>
      <c r="P19" s="126"/>
      <c r="Q19" s="145"/>
      <c r="U19" s="124"/>
      <c r="V19" s="125"/>
      <c r="W19" s="126"/>
      <c r="X19" s="145"/>
    </row>
    <row r="20" spans="3:24">
      <c r="D20" s="124"/>
      <c r="E20" s="144"/>
      <c r="F20" s="126"/>
      <c r="G20" s="127"/>
      <c r="N20" s="124"/>
      <c r="O20" s="125"/>
      <c r="P20" s="126"/>
      <c r="Q20" s="145"/>
      <c r="U20" s="124"/>
      <c r="V20" s="125"/>
      <c r="W20" s="126"/>
      <c r="X20" s="145"/>
    </row>
    <row r="21" spans="3:24">
      <c r="D21" s="124"/>
      <c r="E21" s="144"/>
      <c r="F21" s="126"/>
      <c r="G21" s="127"/>
      <c r="N21" s="124"/>
      <c r="O21" s="125"/>
      <c r="P21" s="126"/>
      <c r="Q21" s="145"/>
      <c r="U21" s="124"/>
      <c r="V21" s="125"/>
      <c r="W21" s="126"/>
      <c r="X21" s="145"/>
    </row>
    <row r="22" spans="3:24">
      <c r="D22" s="124"/>
      <c r="E22" s="144"/>
      <c r="F22" s="126"/>
      <c r="G22" s="127"/>
      <c r="N22" s="124"/>
      <c r="O22" s="125"/>
      <c r="P22" s="126"/>
      <c r="Q22" s="145"/>
      <c r="U22" s="124"/>
      <c r="V22" s="125"/>
      <c r="W22" s="126"/>
      <c r="X22" s="145"/>
    </row>
    <row r="23" spans="3:24">
      <c r="D23" s="123" t="s">
        <v>153</v>
      </c>
      <c r="E23" s="123" t="s">
        <v>154</v>
      </c>
      <c r="F23" s="123" t="s">
        <v>155</v>
      </c>
      <c r="G23" s="123" t="s">
        <v>156</v>
      </c>
      <c r="N23" s="124"/>
      <c r="O23" s="125"/>
      <c r="P23" s="126"/>
      <c r="Q23" s="145"/>
      <c r="U23" s="124"/>
      <c r="V23" s="125"/>
      <c r="W23" s="126"/>
      <c r="X23" s="145"/>
    </row>
    <row r="24" spans="3:24">
      <c r="D24" s="124">
        <v>45107</v>
      </c>
      <c r="E24" s="144">
        <f>K34</f>
        <v>1831500</v>
      </c>
      <c r="F24" s="126">
        <f t="shared" ref="F24:F28" si="0">(D24-$C$2)/91.25</f>
        <v>0.99726027397260275</v>
      </c>
      <c r="G24" s="127">
        <f t="shared" ref="G24:G28" si="1">E24/(1+$C$3)^F24</f>
        <v>1769732.0076296979</v>
      </c>
      <c r="N24" s="124">
        <v>45107</v>
      </c>
      <c r="O24" s="125">
        <f>O39</f>
        <v>1831500</v>
      </c>
      <c r="P24" s="126">
        <f t="shared" ref="P24:P31" si="2">(N24-$C$2)/91.25</f>
        <v>0.99726027397260275</v>
      </c>
      <c r="Q24" s="145">
        <f t="shared" ref="Q24:Q31" si="3">O24/(1+$C$3)^P24</f>
        <v>1769732.0076296979</v>
      </c>
      <c r="U24" s="124">
        <v>45107</v>
      </c>
      <c r="V24" s="125">
        <f>V41</f>
        <v>1831500</v>
      </c>
      <c r="W24" s="126">
        <f t="shared" ref="W24:W36" si="4">(U24-$C$2)/91.25</f>
        <v>0.99726027397260275</v>
      </c>
      <c r="X24" s="145">
        <f t="shared" ref="X24:X36" si="5">V24/(1+$C$3)^W24</f>
        <v>1769732.0076296979</v>
      </c>
    </row>
    <row r="25" spans="3:24">
      <c r="D25" s="124">
        <f t="shared" ref="D25:D27" si="6">EDATE(D24,3)</f>
        <v>45199</v>
      </c>
      <c r="E25" s="144">
        <f t="shared" ref="E25:E27" si="7">E24</f>
        <v>1831500</v>
      </c>
      <c r="F25" s="126">
        <f t="shared" si="0"/>
        <v>2.0054794520547947</v>
      </c>
      <c r="G25" s="127">
        <f t="shared" si="1"/>
        <v>1709402.59330531</v>
      </c>
      <c r="N25" s="124">
        <f t="shared" ref="N25:N31" si="8">EDATE(N24,3)</f>
        <v>45199</v>
      </c>
      <c r="O25" s="125">
        <f t="shared" ref="O25:O31" si="9">O24</f>
        <v>1831500</v>
      </c>
      <c r="P25" s="126">
        <f t="shared" si="2"/>
        <v>2.0054794520547947</v>
      </c>
      <c r="Q25" s="145">
        <f t="shared" si="3"/>
        <v>1709402.59330531</v>
      </c>
      <c r="U25" s="124">
        <f t="shared" ref="U25:U35" si="10">EDATE(U24,3)</f>
        <v>45199</v>
      </c>
      <c r="V25" s="125">
        <f t="shared" ref="V25:V35" si="11">V24</f>
        <v>1831500</v>
      </c>
      <c r="W25" s="126">
        <f t="shared" si="4"/>
        <v>2.0054794520547947</v>
      </c>
      <c r="X25" s="145">
        <f t="shared" si="5"/>
        <v>1709402.59330531</v>
      </c>
    </row>
    <row r="26" spans="3:24">
      <c r="D26" s="124">
        <f t="shared" si="6"/>
        <v>45290</v>
      </c>
      <c r="E26" s="144">
        <f t="shared" si="7"/>
        <v>1831500</v>
      </c>
      <c r="F26" s="126">
        <f t="shared" si="0"/>
        <v>3.0027397260273974</v>
      </c>
      <c r="G26" s="127">
        <f t="shared" si="1"/>
        <v>1651752.3796328793</v>
      </c>
      <c r="N26" s="124">
        <f t="shared" si="8"/>
        <v>45290</v>
      </c>
      <c r="O26" s="125">
        <f t="shared" si="9"/>
        <v>1831500</v>
      </c>
      <c r="P26" s="126">
        <f t="shared" si="2"/>
        <v>3.0027397260273974</v>
      </c>
      <c r="Q26" s="145">
        <f t="shared" si="3"/>
        <v>1651752.3796328793</v>
      </c>
      <c r="U26" s="124">
        <f t="shared" si="10"/>
        <v>45290</v>
      </c>
      <c r="V26" s="125">
        <f t="shared" si="11"/>
        <v>1831500</v>
      </c>
      <c r="W26" s="126">
        <f t="shared" si="4"/>
        <v>3.0027397260273974</v>
      </c>
      <c r="X26" s="145">
        <f t="shared" si="5"/>
        <v>1651752.3796328793</v>
      </c>
    </row>
    <row r="27" spans="3:24">
      <c r="D27" s="124">
        <f t="shared" si="6"/>
        <v>45381</v>
      </c>
      <c r="E27" s="144">
        <f t="shared" si="7"/>
        <v>1831500</v>
      </c>
      <c r="F27" s="126">
        <f t="shared" si="0"/>
        <v>4</v>
      </c>
      <c r="G27" s="127">
        <f t="shared" si="1"/>
        <v>1596046.4400299354</v>
      </c>
      <c r="N27" s="124">
        <f t="shared" si="8"/>
        <v>45381</v>
      </c>
      <c r="O27" s="125">
        <f t="shared" si="9"/>
        <v>1831500</v>
      </c>
      <c r="P27" s="126">
        <f t="shared" si="2"/>
        <v>4</v>
      </c>
      <c r="Q27" s="145">
        <f t="shared" si="3"/>
        <v>1596046.4400299354</v>
      </c>
      <c r="U27" s="124">
        <f t="shared" si="10"/>
        <v>45381</v>
      </c>
      <c r="V27" s="125">
        <f t="shared" si="11"/>
        <v>1831500</v>
      </c>
      <c r="W27" s="126">
        <f t="shared" si="4"/>
        <v>4</v>
      </c>
      <c r="X27" s="145">
        <f t="shared" si="5"/>
        <v>1596046.4400299354</v>
      </c>
    </row>
    <row r="28" spans="3:24">
      <c r="D28" s="124">
        <v>45382</v>
      </c>
      <c r="E28" s="146">
        <v>81400000</v>
      </c>
      <c r="F28" s="126">
        <f t="shared" si="0"/>
        <v>4.0109589041095894</v>
      </c>
      <c r="G28" s="127">
        <f t="shared" si="1"/>
        <v>70908659.592900038</v>
      </c>
      <c r="N28" s="124">
        <f t="shared" si="8"/>
        <v>45473</v>
      </c>
      <c r="O28" s="125">
        <f t="shared" si="9"/>
        <v>1831500</v>
      </c>
      <c r="P28" s="126">
        <f t="shared" si="2"/>
        <v>5.0082191780821921</v>
      </c>
      <c r="Q28" s="145">
        <f t="shared" si="3"/>
        <v>1541637.8931163859</v>
      </c>
      <c r="U28" s="124">
        <f t="shared" si="10"/>
        <v>45473</v>
      </c>
      <c r="V28" s="125">
        <f t="shared" si="11"/>
        <v>1831500</v>
      </c>
      <c r="W28" s="126">
        <f t="shared" si="4"/>
        <v>5.0082191780821921</v>
      </c>
      <c r="X28" s="145">
        <f t="shared" si="5"/>
        <v>1541637.8931163859</v>
      </c>
    </row>
    <row r="29" spans="3:24">
      <c r="D29" s="129"/>
      <c r="E29" s="130">
        <f>SUM(E24:E28)</f>
        <v>88726000</v>
      </c>
      <c r="F29" s="129"/>
      <c r="G29" s="131">
        <f>SUM(G24:G28)</f>
        <v>77635593.013497859</v>
      </c>
      <c r="N29" s="124">
        <f t="shared" si="8"/>
        <v>45565</v>
      </c>
      <c r="O29" s="125">
        <f t="shared" si="9"/>
        <v>1831500</v>
      </c>
      <c r="P29" s="126">
        <f t="shared" si="2"/>
        <v>6.0164383561643833</v>
      </c>
      <c r="Q29" s="145">
        <f t="shared" si="3"/>
        <v>1489084.110514825</v>
      </c>
      <c r="U29" s="124">
        <f t="shared" si="10"/>
        <v>45565</v>
      </c>
      <c r="V29" s="125">
        <f t="shared" si="11"/>
        <v>1831500</v>
      </c>
      <c r="W29" s="126">
        <f t="shared" si="4"/>
        <v>6.0164383561643833</v>
      </c>
      <c r="X29" s="145">
        <f t="shared" si="5"/>
        <v>1489084.110514825</v>
      </c>
    </row>
    <row r="30" spans="3:24">
      <c r="N30" s="124">
        <f t="shared" si="8"/>
        <v>45656</v>
      </c>
      <c r="O30" s="125">
        <f t="shared" si="9"/>
        <v>1831500</v>
      </c>
      <c r="P30" s="126">
        <f t="shared" si="2"/>
        <v>7.0136986301369859</v>
      </c>
      <c r="Q30" s="145">
        <f t="shared" si="3"/>
        <v>1438864.2164514794</v>
      </c>
      <c r="U30" s="124">
        <f t="shared" si="10"/>
        <v>45656</v>
      </c>
      <c r="V30" s="125">
        <f t="shared" si="11"/>
        <v>1831500</v>
      </c>
      <c r="W30" s="126">
        <f t="shared" si="4"/>
        <v>7.0136986301369859</v>
      </c>
      <c r="X30" s="145">
        <f t="shared" si="5"/>
        <v>1438864.2164514794</v>
      </c>
    </row>
    <row r="31" spans="3:24">
      <c r="N31" s="124">
        <f t="shared" si="8"/>
        <v>45746</v>
      </c>
      <c r="O31" s="125">
        <f t="shared" si="9"/>
        <v>1831500</v>
      </c>
      <c r="P31" s="126">
        <f t="shared" si="2"/>
        <v>8</v>
      </c>
      <c r="Q31" s="145">
        <f t="shared" si="3"/>
        <v>1390862.265210063</v>
      </c>
      <c r="U31" s="124">
        <f t="shared" si="10"/>
        <v>45746</v>
      </c>
      <c r="V31" s="125">
        <f t="shared" si="11"/>
        <v>1831500</v>
      </c>
      <c r="W31" s="126">
        <f t="shared" si="4"/>
        <v>8</v>
      </c>
      <c r="X31" s="145">
        <f t="shared" si="5"/>
        <v>1390862.265210063</v>
      </c>
    </row>
    <row r="32" spans="3:24" ht="28.8">
      <c r="C32" s="98" t="s">
        <v>169</v>
      </c>
      <c r="D32" s="132">
        <v>0.12</v>
      </c>
      <c r="E32" t="s">
        <v>158</v>
      </c>
      <c r="J32" s="120" t="s">
        <v>160</v>
      </c>
      <c r="K32" s="146">
        <v>81400000</v>
      </c>
      <c r="N32" s="124">
        <v>45747</v>
      </c>
      <c r="O32" s="146">
        <v>81400000</v>
      </c>
      <c r="P32" s="126">
        <f>(N32-$C$2)/91.25</f>
        <v>8.0109589041095894</v>
      </c>
      <c r="Q32" s="145">
        <f>O32/(1+$C$3)^P32</f>
        <v>61792800.278756544</v>
      </c>
      <c r="U32" s="124">
        <f t="shared" si="10"/>
        <v>45838</v>
      </c>
      <c r="V32" s="125">
        <f t="shared" si="11"/>
        <v>1831500</v>
      </c>
      <c r="W32" s="126">
        <f t="shared" si="4"/>
        <v>9.0082191780821912</v>
      </c>
      <c r="X32" s="145">
        <f t="shared" si="5"/>
        <v>1343448.359881877</v>
      </c>
    </row>
    <row r="33" spans="1:24">
      <c r="B33" s="133" t="s">
        <v>161</v>
      </c>
      <c r="C33" s="134" t="s">
        <v>162</v>
      </c>
      <c r="D33" s="132">
        <v>0.02</v>
      </c>
      <c r="J33" s="120" t="s">
        <v>163</v>
      </c>
      <c r="K33" s="147">
        <f>(9/4)%</f>
        <v>2.2499999999999999E-2</v>
      </c>
      <c r="N33" s="129"/>
      <c r="O33" s="148">
        <f>SUM(O24:O32)</f>
        <v>96052000</v>
      </c>
      <c r="P33" s="129"/>
      <c r="Q33" s="149">
        <f>SUM(Q24:Q32)</f>
        <v>74380182.184647113</v>
      </c>
      <c r="U33" s="124">
        <f t="shared" si="10"/>
        <v>45930</v>
      </c>
      <c r="V33" s="125">
        <f t="shared" si="11"/>
        <v>1831500</v>
      </c>
      <c r="W33" s="126">
        <f t="shared" si="4"/>
        <v>10.016438356164384</v>
      </c>
      <c r="X33" s="145">
        <f t="shared" si="5"/>
        <v>1297650.7744975863</v>
      </c>
    </row>
    <row r="34" spans="1:24">
      <c r="C34" s="136" t="s">
        <v>164</v>
      </c>
      <c r="D34" s="137">
        <f>SUM(D32:D33)</f>
        <v>0.13999999999999999</v>
      </c>
      <c r="J34" s="120"/>
      <c r="K34" s="120">
        <f>K32*K33</f>
        <v>1831500</v>
      </c>
      <c r="U34" s="124">
        <f t="shared" si="10"/>
        <v>46021</v>
      </c>
      <c r="V34" s="125">
        <f t="shared" si="11"/>
        <v>1831500</v>
      </c>
      <c r="W34" s="126">
        <f t="shared" si="4"/>
        <v>11.013698630136986</v>
      </c>
      <c r="X34" s="145">
        <f t="shared" si="5"/>
        <v>1253887.038140238</v>
      </c>
    </row>
    <row r="35" spans="1:24">
      <c r="U35" s="124">
        <f t="shared" si="10"/>
        <v>46111</v>
      </c>
      <c r="V35" s="125">
        <f t="shared" si="11"/>
        <v>1831500</v>
      </c>
      <c r="W35" s="126">
        <f t="shared" si="4"/>
        <v>12</v>
      </c>
      <c r="X35" s="145">
        <f t="shared" si="5"/>
        <v>1212056.1108165397</v>
      </c>
    </row>
    <row r="36" spans="1:24">
      <c r="B36" s="120" t="s">
        <v>165</v>
      </c>
      <c r="C36" s="120"/>
      <c r="D36" s="138">
        <f>G29</f>
        <v>77635593.013497859</v>
      </c>
      <c r="U36" s="124">
        <v>46112</v>
      </c>
      <c r="V36" s="146">
        <v>81400000</v>
      </c>
      <c r="W36" s="126">
        <f t="shared" si="4"/>
        <v>12.010958904109589</v>
      </c>
      <c r="X36" s="145">
        <f t="shared" si="5"/>
        <v>53848855.530652568</v>
      </c>
    </row>
    <row r="37" spans="1:24" ht="27.75" customHeight="1">
      <c r="A37" s="133" t="s">
        <v>166</v>
      </c>
      <c r="B37" s="119" t="s">
        <v>167</v>
      </c>
      <c r="C37" s="139">
        <v>0.75</v>
      </c>
      <c r="D37" s="138">
        <f>D36*C37</f>
        <v>58226694.760123394</v>
      </c>
      <c r="N37" s="120" t="s">
        <v>160</v>
      </c>
      <c r="O37" s="146">
        <v>81400000</v>
      </c>
      <c r="U37" s="129"/>
      <c r="V37" s="148">
        <f>SUM(V24:V36)</f>
        <v>103378000</v>
      </c>
      <c r="W37" s="129"/>
      <c r="X37" s="149">
        <f>SUM(X24:X36)</f>
        <v>71543279.719879389</v>
      </c>
    </row>
    <row r="38" spans="1:24">
      <c r="B38" s="140" t="s">
        <v>168</v>
      </c>
      <c r="C38" s="140"/>
      <c r="D38" s="141">
        <f>D36-D37</f>
        <v>19408898.253374465</v>
      </c>
      <c r="F38">
        <f>(SUM(E28:E28)/D38)^(1/15)-1</f>
        <v>0.10029270803070389</v>
      </c>
      <c r="N38" s="120" t="s">
        <v>163</v>
      </c>
      <c r="O38" s="147">
        <f>(9/4)%</f>
        <v>2.2499999999999999E-2</v>
      </c>
    </row>
    <row r="39" spans="1:24">
      <c r="N39" s="120"/>
      <c r="O39" s="120">
        <f>O37*O38</f>
        <v>1831500</v>
      </c>
      <c r="U39" s="120" t="s">
        <v>160</v>
      </c>
      <c r="V39" s="146">
        <v>81400000</v>
      </c>
    </row>
    <row r="40" spans="1:24">
      <c r="H40" t="s">
        <v>170</v>
      </c>
      <c r="I40" s="150">
        <f>G29+Q33+X37</f>
        <v>223559054.91802436</v>
      </c>
      <c r="U40" s="120" t="s">
        <v>163</v>
      </c>
      <c r="V40" s="147">
        <f>(9/4)%</f>
        <v>2.2499999999999999E-2</v>
      </c>
    </row>
    <row r="41" spans="1:24">
      <c r="U41" s="120"/>
      <c r="V41" s="120">
        <f>V39*V40</f>
        <v>1831500</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C6"/>
  <sheetViews>
    <sheetView workbookViewId="0">
      <selection activeCell="B6" sqref="B6"/>
    </sheetView>
  </sheetViews>
  <sheetFormatPr defaultRowHeight="14.4"/>
  <cols>
    <col min="3" max="3" width="12" bestFit="1" customWidth="1"/>
  </cols>
  <sheetData>
    <row r="2" spans="2:3">
      <c r="B2" t="s">
        <v>6</v>
      </c>
      <c r="C2" t="e">
        <f>#REF!/2</f>
        <v>#REF!</v>
      </c>
    </row>
    <row r="3" spans="2:3">
      <c r="B3" t="s">
        <v>33</v>
      </c>
      <c r="C3" t="e">
        <f>SUM(#REF!)</f>
        <v>#REF!</v>
      </c>
    </row>
    <row r="4" spans="2:3">
      <c r="B4" t="s">
        <v>34</v>
      </c>
      <c r="C4" t="e">
        <f>#REF!</f>
        <v>#REF!</v>
      </c>
    </row>
    <row r="6" spans="2:3">
      <c r="B6" t="s">
        <v>21</v>
      </c>
      <c r="C6" t="e">
        <f>SUM(C2:C4)</f>
        <v>#REF!</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B1:P25"/>
  <sheetViews>
    <sheetView zoomScaleNormal="100" workbookViewId="0">
      <pane ySplit="1" topLeftCell="A2" activePane="bottomLeft" state="frozen"/>
      <selection pane="bottomLeft" activeCell="J6" sqref="J6"/>
    </sheetView>
  </sheetViews>
  <sheetFormatPr defaultColWidth="9.109375" defaultRowHeight="11.4"/>
  <cols>
    <col min="1" max="1" width="4.5546875" style="22" customWidth="1"/>
    <col min="2" max="2" width="10.109375" style="22" customWidth="1"/>
    <col min="3" max="3" width="30.88671875" style="22" customWidth="1"/>
    <col min="4" max="4" width="15.109375" style="22" customWidth="1"/>
    <col min="5" max="5" width="9.6640625" style="22" hidden="1" customWidth="1"/>
    <col min="6" max="6" width="10.109375" style="22" hidden="1" customWidth="1"/>
    <col min="7" max="7" width="13.44140625" style="22" hidden="1" customWidth="1"/>
    <col min="8" max="9" width="11" style="22" customWidth="1"/>
    <col min="10" max="10" width="52.5546875" style="22" customWidth="1"/>
    <col min="11" max="14" width="9.109375" style="22"/>
    <col min="15" max="15" width="25.33203125" style="22" customWidth="1"/>
    <col min="16" max="16" width="20.33203125" style="22" customWidth="1"/>
    <col min="17" max="16384" width="9.109375" style="22"/>
  </cols>
  <sheetData>
    <row r="1" spans="2:16" ht="0.6" customHeight="1"/>
    <row r="2" spans="2:16" ht="12">
      <c r="B2" s="405" t="s">
        <v>70</v>
      </c>
      <c r="C2" s="405"/>
      <c r="D2" s="405"/>
      <c r="E2" s="405"/>
      <c r="F2" s="405"/>
      <c r="G2" s="405"/>
      <c r="H2" s="405"/>
      <c r="I2" s="405"/>
      <c r="J2" s="405"/>
    </row>
    <row r="3" spans="2:16" ht="15" customHeight="1">
      <c r="B3" s="410" t="str">
        <f>'SUMMARY-2023'!B3</f>
        <v>Details as on 31st March 2023</v>
      </c>
      <c r="C3" s="411"/>
      <c r="D3" s="411"/>
      <c r="E3" s="411"/>
      <c r="F3" s="411"/>
      <c r="G3" s="411"/>
      <c r="H3" s="411"/>
      <c r="I3" s="411"/>
      <c r="J3" s="412"/>
    </row>
    <row r="4" spans="2:16" ht="24">
      <c r="B4" s="37" t="s">
        <v>0</v>
      </c>
      <c r="C4" s="37" t="s">
        <v>71</v>
      </c>
      <c r="D4" s="37" t="s">
        <v>64</v>
      </c>
      <c r="E4" s="37" t="s">
        <v>72</v>
      </c>
      <c r="F4" s="37" t="s">
        <v>77</v>
      </c>
      <c r="G4" s="24" t="s">
        <v>75</v>
      </c>
      <c r="H4" s="37" t="s">
        <v>142</v>
      </c>
      <c r="I4" s="37" t="s">
        <v>143</v>
      </c>
      <c r="J4" s="37" t="s">
        <v>22</v>
      </c>
      <c r="O4" s="37" t="s">
        <v>2</v>
      </c>
      <c r="P4" s="37" t="s">
        <v>456</v>
      </c>
    </row>
    <row r="5" spans="2:16" ht="14.4">
      <c r="B5" s="413" t="str">
        <f>'SUMMARY-2023'!B5</f>
        <v>Figures in INR Crores</v>
      </c>
      <c r="C5" s="414"/>
      <c r="D5" s="414"/>
      <c r="E5" s="414"/>
      <c r="F5" s="414"/>
      <c r="G5" s="414"/>
      <c r="H5" s="414"/>
      <c r="I5" s="414"/>
      <c r="J5" s="415"/>
      <c r="O5" s="212" t="s">
        <v>514</v>
      </c>
      <c r="P5" s="213">
        <v>253452594</v>
      </c>
    </row>
    <row r="6" spans="2:16" ht="125.4">
      <c r="B6" s="50">
        <v>1</v>
      </c>
      <c r="C6" s="63" t="s">
        <v>94</v>
      </c>
      <c r="D6" s="45">
        <v>11.83</v>
      </c>
      <c r="E6" s="48">
        <v>100000</v>
      </c>
      <c r="F6" s="49">
        <f t="shared" ref="F6:F9" si="0">(D6*100000)/E6</f>
        <v>11.83</v>
      </c>
      <c r="G6" s="44" t="s">
        <v>76</v>
      </c>
      <c r="H6" s="58">
        <f>14.1939*50%</f>
        <v>7.0969499999999996</v>
      </c>
      <c r="I6" s="58">
        <f>14.1939*50%</f>
        <v>7.0969499999999996</v>
      </c>
      <c r="J6" s="65" t="s">
        <v>697</v>
      </c>
      <c r="O6" s="212" t="s">
        <v>515</v>
      </c>
      <c r="P6" s="213">
        <v>132769687</v>
      </c>
    </row>
    <row r="7" spans="2:16" ht="114">
      <c r="B7" s="51">
        <v>2</v>
      </c>
      <c r="C7" s="64" t="s">
        <v>95</v>
      </c>
      <c r="D7" s="45">
        <v>0.25</v>
      </c>
      <c r="E7" s="48">
        <v>10000</v>
      </c>
      <c r="F7" s="49">
        <f t="shared" si="0"/>
        <v>2.5</v>
      </c>
      <c r="G7" s="44" t="s">
        <v>76</v>
      </c>
      <c r="H7" s="58">
        <f>0.3388*39.69%</f>
        <v>0.13446971999999999</v>
      </c>
      <c r="I7" s="58">
        <f>0.3388*39.69%</f>
        <v>0.13446971999999999</v>
      </c>
      <c r="J7" s="65" t="s">
        <v>698</v>
      </c>
      <c r="O7" s="212" t="s">
        <v>516</v>
      </c>
      <c r="P7" s="213">
        <v>12320</v>
      </c>
    </row>
    <row r="8" spans="2:16" ht="91.2">
      <c r="B8" s="51">
        <v>3</v>
      </c>
      <c r="C8" s="64" t="s">
        <v>141</v>
      </c>
      <c r="D8" s="45">
        <v>18.86</v>
      </c>
      <c r="E8" s="48">
        <v>10000</v>
      </c>
      <c r="F8" s="49">
        <f t="shared" si="0"/>
        <v>188.6</v>
      </c>
      <c r="G8" s="44" t="s">
        <v>76</v>
      </c>
      <c r="H8" s="58">
        <v>0</v>
      </c>
      <c r="I8" s="58">
        <v>0</v>
      </c>
      <c r="J8" s="65" t="s">
        <v>684</v>
      </c>
      <c r="K8" s="113"/>
      <c r="L8" s="113"/>
      <c r="O8" s="215" t="s">
        <v>517</v>
      </c>
      <c r="P8" s="216">
        <f>(P5+P6+P7)/10^7</f>
        <v>38.623460100000003</v>
      </c>
    </row>
    <row r="9" spans="2:16" ht="79.8">
      <c r="B9" s="51">
        <v>4</v>
      </c>
      <c r="C9" s="64" t="s">
        <v>96</v>
      </c>
      <c r="D9" s="45">
        <v>16.53</v>
      </c>
      <c r="E9" s="48">
        <v>50000</v>
      </c>
      <c r="F9" s="49">
        <f t="shared" si="0"/>
        <v>33.06</v>
      </c>
      <c r="G9" s="44" t="s">
        <v>76</v>
      </c>
      <c r="H9" s="58">
        <v>0</v>
      </c>
      <c r="I9" s="58">
        <v>0</v>
      </c>
      <c r="J9" s="65" t="s">
        <v>685</v>
      </c>
      <c r="K9" s="151"/>
      <c r="L9" s="113"/>
      <c r="O9" s="214"/>
      <c r="P9" s="214"/>
    </row>
    <row r="10" spans="2:16" ht="14.4">
      <c r="B10" s="38"/>
      <c r="C10" s="52" t="s">
        <v>23</v>
      </c>
      <c r="D10" s="53">
        <f>SUM(D6:D9)</f>
        <v>47.47</v>
      </c>
      <c r="E10" s="43"/>
      <c r="F10" s="43"/>
      <c r="G10" s="57"/>
      <c r="H10" s="53">
        <f t="shared" ref="H10:I10" si="1">SUM(H6:H9)</f>
        <v>7.2314197199999999</v>
      </c>
      <c r="I10" s="53">
        <f t="shared" si="1"/>
        <v>7.2314197199999999</v>
      </c>
      <c r="J10" s="42"/>
      <c r="O10" s="120" t="s">
        <v>518</v>
      </c>
      <c r="P10" s="146">
        <v>24394081</v>
      </c>
    </row>
    <row r="11" spans="2:16" ht="14.4">
      <c r="B11" s="406" t="str">
        <f>'Loans-III'!B9:K9</f>
        <v>REMARKS &amp; NOTES:-</v>
      </c>
      <c r="C11" s="407"/>
      <c r="D11" s="407"/>
      <c r="E11" s="407"/>
      <c r="F11" s="408"/>
      <c r="G11" s="407"/>
      <c r="H11" s="407"/>
      <c r="I11" s="407"/>
      <c r="J11" s="407"/>
      <c r="O11" s="120" t="s">
        <v>519</v>
      </c>
      <c r="P11" s="146">
        <v>219546733</v>
      </c>
    </row>
    <row r="12" spans="2:16" ht="83.25" customHeight="1">
      <c r="B12" s="409" t="s">
        <v>694</v>
      </c>
      <c r="C12" s="409"/>
      <c r="D12" s="409"/>
      <c r="E12" s="409"/>
      <c r="F12" s="409"/>
      <c r="G12" s="409"/>
      <c r="H12" s="409"/>
      <c r="I12" s="409"/>
      <c r="J12" s="409"/>
      <c r="O12" s="215" t="s">
        <v>520</v>
      </c>
      <c r="P12" s="216">
        <f>(P10+P11)/10^7</f>
        <v>24.394081400000001</v>
      </c>
    </row>
    <row r="16" spans="2:16" ht="12" customHeight="1">
      <c r="J16" s="109"/>
    </row>
    <row r="17" spans="2:9" ht="46.2" customHeight="1">
      <c r="B17" s="104"/>
      <c r="I17" s="108"/>
    </row>
    <row r="18" spans="2:9" ht="46.2" customHeight="1">
      <c r="B18" s="104"/>
    </row>
    <row r="19" spans="2:9" ht="46.2" customHeight="1">
      <c r="B19" s="104"/>
    </row>
    <row r="21" spans="2:9">
      <c r="B21" s="104"/>
    </row>
    <row r="22" spans="2:9">
      <c r="C22" s="105"/>
    </row>
    <row r="23" spans="2:9">
      <c r="B23" s="104"/>
      <c r="C23" s="106"/>
    </row>
    <row r="24" spans="2:9">
      <c r="B24" s="104"/>
    </row>
    <row r="25" spans="2:9">
      <c r="B25" s="104"/>
      <c r="C25" s="107"/>
    </row>
  </sheetData>
  <mergeCells count="5">
    <mergeCell ref="B2:J2"/>
    <mergeCell ref="B11:J11"/>
    <mergeCell ref="B12:J12"/>
    <mergeCell ref="B3:J3"/>
    <mergeCell ref="B5:J5"/>
  </mergeCells>
  <pageMargins left="0.7" right="0.7" top="0.75" bottom="0.75" header="0.3" footer="0.3"/>
  <pageSetup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D5"/>
  <sheetViews>
    <sheetView topLeftCell="B1" workbookViewId="0">
      <selection activeCell="D5" sqref="D5"/>
    </sheetView>
  </sheetViews>
  <sheetFormatPr defaultRowHeight="14.4"/>
  <cols>
    <col min="2" max="2" width="22.5546875" bestFit="1" customWidth="1"/>
    <col min="4" max="4" width="14.88671875" bestFit="1" customWidth="1"/>
  </cols>
  <sheetData>
    <row r="2" spans="2:4">
      <c r="B2" t="s">
        <v>32</v>
      </c>
      <c r="D2" s="20" t="e">
        <f>#REF!</f>
        <v>#REF!</v>
      </c>
    </row>
    <row r="3" spans="2:4">
      <c r="B3" t="s">
        <v>62</v>
      </c>
      <c r="D3" t="e">
        <f>+#REF!+#REF!</f>
        <v>#REF!</v>
      </c>
    </row>
    <row r="5" spans="2:4">
      <c r="D5" s="21" t="e">
        <f>SUM(D2:D3)</f>
        <v>#REF!</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C11"/>
  <sheetViews>
    <sheetView workbookViewId="0">
      <selection activeCell="C11" sqref="C11"/>
    </sheetView>
  </sheetViews>
  <sheetFormatPr defaultRowHeight="14.4"/>
  <cols>
    <col min="2" max="2" width="4.88671875" bestFit="1" customWidth="1"/>
    <col min="3" max="3" width="14.33203125" bestFit="1" customWidth="1"/>
  </cols>
  <sheetData>
    <row r="2" spans="2:3">
      <c r="B2" t="s">
        <v>35</v>
      </c>
      <c r="C2" s="20">
        <v>50414099.780000001</v>
      </c>
    </row>
    <row r="5" spans="2:3">
      <c r="C5" s="21" t="e">
        <f>C2+'SECL Assets'!D2</f>
        <v>#REF!</v>
      </c>
    </row>
    <row r="8" spans="2:3">
      <c r="C8">
        <v>892500000</v>
      </c>
    </row>
    <row r="11" spans="2:3">
      <c r="C11" s="21" t="e">
        <f>+C5-C8</f>
        <v>#REF!</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E30"/>
  <sheetViews>
    <sheetView topLeftCell="A10" workbookViewId="0">
      <selection activeCell="D25" sqref="D25"/>
    </sheetView>
  </sheetViews>
  <sheetFormatPr defaultRowHeight="14.4"/>
  <cols>
    <col min="2" max="2" width="55.109375" bestFit="1" customWidth="1"/>
    <col min="3" max="3" width="14.6640625" bestFit="1" customWidth="1"/>
    <col min="4" max="4" width="12.6640625" bestFit="1" customWidth="1"/>
  </cols>
  <sheetData>
    <row r="2" spans="2:4">
      <c r="B2" t="s">
        <v>36</v>
      </c>
    </row>
    <row r="3" spans="2:4">
      <c r="C3" t="s">
        <v>37</v>
      </c>
    </row>
    <row r="4" spans="2:4">
      <c r="B4" t="s">
        <v>38</v>
      </c>
      <c r="C4" t="s">
        <v>39</v>
      </c>
      <c r="D4" t="s">
        <v>40</v>
      </c>
    </row>
    <row r="5" spans="2:4">
      <c r="B5" t="s">
        <v>41</v>
      </c>
      <c r="D5">
        <v>955</v>
      </c>
    </row>
    <row r="6" spans="2:4">
      <c r="B6" t="s">
        <v>42</v>
      </c>
      <c r="C6">
        <v>0.14000000000000001</v>
      </c>
      <c r="D6">
        <v>133.70000000000002</v>
      </c>
    </row>
    <row r="7" spans="2:4">
      <c r="B7" t="s">
        <v>43</v>
      </c>
      <c r="C7">
        <v>0</v>
      </c>
      <c r="D7">
        <v>0</v>
      </c>
    </row>
    <row r="8" spans="2:4">
      <c r="B8" t="s">
        <v>44</v>
      </c>
      <c r="C8">
        <v>87</v>
      </c>
      <c r="D8">
        <v>87</v>
      </c>
    </row>
    <row r="9" spans="2:4">
      <c r="B9" t="s">
        <v>45</v>
      </c>
      <c r="C9">
        <v>0.3</v>
      </c>
      <c r="D9">
        <v>40.110000000000007</v>
      </c>
    </row>
    <row r="10" spans="2:4">
      <c r="B10" t="s">
        <v>46</v>
      </c>
      <c r="C10">
        <v>0.02</v>
      </c>
      <c r="D10">
        <v>2.6740000000000004</v>
      </c>
    </row>
    <row r="11" spans="2:4">
      <c r="B11" t="s">
        <v>47</v>
      </c>
      <c r="C11">
        <v>7.5</v>
      </c>
      <c r="D11">
        <v>7.5</v>
      </c>
    </row>
    <row r="12" spans="2:4">
      <c r="B12" t="s">
        <v>48</v>
      </c>
      <c r="C12">
        <v>7.5</v>
      </c>
      <c r="D12">
        <v>7.5</v>
      </c>
    </row>
    <row r="13" spans="2:4">
      <c r="B13" t="s">
        <v>49</v>
      </c>
      <c r="C13">
        <v>0</v>
      </c>
      <c r="D13">
        <v>0</v>
      </c>
    </row>
    <row r="14" spans="2:4">
      <c r="B14" t="s">
        <v>50</v>
      </c>
      <c r="C14">
        <v>400</v>
      </c>
      <c r="D14">
        <v>400</v>
      </c>
    </row>
    <row r="15" spans="2:4">
      <c r="B15" t="s">
        <v>51</v>
      </c>
      <c r="C15">
        <v>1.04</v>
      </c>
      <c r="D15">
        <v>1.04</v>
      </c>
    </row>
    <row r="16" spans="2:4">
      <c r="B16" t="s">
        <v>52</v>
      </c>
      <c r="C16">
        <v>0.05</v>
      </c>
      <c r="D16">
        <v>65.5762</v>
      </c>
    </row>
    <row r="17" spans="2:5">
      <c r="B17" t="s">
        <v>53</v>
      </c>
      <c r="D17">
        <v>77</v>
      </c>
    </row>
    <row r="18" spans="2:5">
      <c r="B18" t="s">
        <v>21</v>
      </c>
      <c r="D18">
        <v>1777.1001999999999</v>
      </c>
    </row>
    <row r="20" spans="2:5">
      <c r="B20" t="s">
        <v>54</v>
      </c>
      <c r="C20">
        <v>1537</v>
      </c>
      <c r="D20">
        <v>1537</v>
      </c>
    </row>
    <row r="21" spans="2:5">
      <c r="B21" t="s">
        <v>55</v>
      </c>
      <c r="D21">
        <v>0</v>
      </c>
    </row>
    <row r="22" spans="2:5">
      <c r="B22" t="s">
        <v>56</v>
      </c>
      <c r="D22">
        <v>0</v>
      </c>
    </row>
    <row r="23" spans="2:5">
      <c r="B23" t="s">
        <v>57</v>
      </c>
      <c r="C23">
        <v>0</v>
      </c>
      <c r="D23">
        <v>0</v>
      </c>
    </row>
    <row r="24" spans="2:5">
      <c r="B24" t="s">
        <v>58</v>
      </c>
      <c r="C24">
        <v>0</v>
      </c>
      <c r="D24">
        <v>0</v>
      </c>
    </row>
    <row r="25" spans="2:5">
      <c r="B25" t="s">
        <v>52</v>
      </c>
      <c r="C25">
        <v>0.05</v>
      </c>
      <c r="D25">
        <v>76.850000000000009</v>
      </c>
    </row>
    <row r="26" spans="2:5">
      <c r="B26" t="s">
        <v>59</v>
      </c>
      <c r="D26">
        <v>1613.85</v>
      </c>
      <c r="E26">
        <f>D26/D30</f>
        <v>0.43191919835968068</v>
      </c>
    </row>
    <row r="28" spans="2:5">
      <c r="B28" t="s">
        <v>60</v>
      </c>
      <c r="C28">
        <v>345.51256000000001</v>
      </c>
      <c r="D28">
        <v>345.51256000000001</v>
      </c>
    </row>
    <row r="30" spans="2:5">
      <c r="B30" t="s">
        <v>61</v>
      </c>
      <c r="D30">
        <v>3736.4627599999999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2:M166"/>
  <sheetViews>
    <sheetView workbookViewId="0">
      <selection activeCell="K31" sqref="K31"/>
    </sheetView>
  </sheetViews>
  <sheetFormatPr defaultRowHeight="14.4"/>
  <cols>
    <col min="1" max="1" width="24.6640625" customWidth="1"/>
  </cols>
  <sheetData>
    <row r="2" spans="1:13">
      <c r="B2" s="217" t="s">
        <v>184</v>
      </c>
      <c r="C2" s="218"/>
      <c r="D2" s="218"/>
      <c r="E2" s="219">
        <f>SUBTOTAL(9,E5:E166)</f>
        <v>273.22992206699996</v>
      </c>
      <c r="F2" s="219">
        <f>SUBTOTAL(9,F5:F166)</f>
        <v>235.26110614211305</v>
      </c>
      <c r="G2" s="219">
        <f>SUBTOTAL(9,G5:G166)</f>
        <v>37.96881592488694</v>
      </c>
      <c r="H2" s="150">
        <f>SUM(H5:H162)</f>
        <v>128.96841961669702</v>
      </c>
      <c r="I2" s="254">
        <f>H2/F2</f>
        <v>0.54819269420076466</v>
      </c>
    </row>
    <row r="3" spans="1:13">
      <c r="B3" s="416" t="s">
        <v>185</v>
      </c>
      <c r="C3" s="416" t="s">
        <v>186</v>
      </c>
      <c r="D3" s="416" t="s">
        <v>187</v>
      </c>
      <c r="E3" s="417" t="s">
        <v>6</v>
      </c>
      <c r="F3" s="417"/>
      <c r="G3" s="417"/>
    </row>
    <row r="4" spans="1:13" ht="22.8">
      <c r="B4" s="416"/>
      <c r="C4" s="416"/>
      <c r="D4" s="416"/>
      <c r="E4" s="220" t="s">
        <v>523</v>
      </c>
      <c r="F4" s="220" t="s">
        <v>524</v>
      </c>
      <c r="G4" s="220" t="s">
        <v>525</v>
      </c>
      <c r="H4" s="253" t="s">
        <v>554</v>
      </c>
      <c r="K4" s="252" t="s">
        <v>553</v>
      </c>
      <c r="L4">
        <v>261.36419721795426</v>
      </c>
      <c r="M4" s="3">
        <f>L4*54.82%</f>
        <v>143.27985291488253</v>
      </c>
    </row>
    <row r="5" spans="1:13" ht="24">
      <c r="A5" s="247" t="s">
        <v>541</v>
      </c>
      <c r="B5" s="221" t="s">
        <v>188</v>
      </c>
      <c r="C5" s="156" t="s">
        <v>189</v>
      </c>
      <c r="D5" s="156" t="s">
        <v>190</v>
      </c>
      <c r="E5" s="246">
        <v>2.1787622230000001</v>
      </c>
      <c r="F5" s="246">
        <v>2.9633582230000006</v>
      </c>
      <c r="G5" s="246">
        <f t="shared" ref="G5:G36" si="0">E5-F5</f>
        <v>-0.78459600000000052</v>
      </c>
      <c r="H5" s="235">
        <f>F5*70%</f>
        <v>2.0743507561000003</v>
      </c>
    </row>
    <row r="6" spans="1:13" ht="24" hidden="1">
      <c r="B6" s="221" t="s">
        <v>188</v>
      </c>
      <c r="C6" s="156" t="s">
        <v>191</v>
      </c>
      <c r="D6" s="156" t="s">
        <v>190</v>
      </c>
      <c r="E6" s="246">
        <v>3.915725031</v>
      </c>
      <c r="F6" s="246">
        <v>1.4197314731806352</v>
      </c>
      <c r="G6" s="246">
        <f t="shared" si="0"/>
        <v>2.4959935578193648</v>
      </c>
    </row>
    <row r="7" spans="1:13" ht="24" hidden="1">
      <c r="B7" s="221" t="s">
        <v>192</v>
      </c>
      <c r="C7" s="156" t="s">
        <v>192</v>
      </c>
      <c r="D7" s="156" t="s">
        <v>193</v>
      </c>
      <c r="E7" s="246">
        <v>0.72045250000000005</v>
      </c>
      <c r="F7" s="246">
        <v>0</v>
      </c>
      <c r="G7" s="246">
        <f t="shared" si="0"/>
        <v>0.72045250000000005</v>
      </c>
    </row>
    <row r="8" spans="1:13" ht="24" hidden="1">
      <c r="B8" s="249" t="s">
        <v>194</v>
      </c>
      <c r="C8" s="222" t="s">
        <v>195</v>
      </c>
      <c r="D8" s="156" t="s">
        <v>196</v>
      </c>
      <c r="E8" s="246">
        <v>1.6074655</v>
      </c>
      <c r="F8" s="246">
        <v>1.6074657000000001</v>
      </c>
      <c r="G8" s="246">
        <f t="shared" si="0"/>
        <v>-2.0000000011677344E-7</v>
      </c>
    </row>
    <row r="9" spans="1:13" hidden="1">
      <c r="B9" s="249" t="s">
        <v>194</v>
      </c>
      <c r="C9" s="222" t="s">
        <v>197</v>
      </c>
      <c r="D9" s="156" t="s">
        <v>197</v>
      </c>
      <c r="E9" s="246">
        <v>0</v>
      </c>
      <c r="F9" s="246">
        <v>0</v>
      </c>
      <c r="G9" s="246">
        <f t="shared" si="0"/>
        <v>0</v>
      </c>
    </row>
    <row r="10" spans="1:13" ht="24" hidden="1">
      <c r="B10" s="249" t="s">
        <v>194</v>
      </c>
      <c r="C10" s="222" t="s">
        <v>198</v>
      </c>
      <c r="D10" s="156" t="s">
        <v>199</v>
      </c>
      <c r="E10" s="246">
        <v>0.83869740000000004</v>
      </c>
      <c r="F10" s="246">
        <v>0.71331160000000005</v>
      </c>
      <c r="G10" s="246">
        <f t="shared" si="0"/>
        <v>0.12538579999999999</v>
      </c>
    </row>
    <row r="11" spans="1:13" ht="24" hidden="1">
      <c r="B11" s="249" t="s">
        <v>194</v>
      </c>
      <c r="C11" s="222" t="s">
        <v>200</v>
      </c>
      <c r="D11" s="156" t="s">
        <v>201</v>
      </c>
      <c r="E11" s="246">
        <v>0</v>
      </c>
      <c r="F11" s="246">
        <v>0</v>
      </c>
      <c r="G11" s="246">
        <f t="shared" si="0"/>
        <v>0</v>
      </c>
    </row>
    <row r="12" spans="1:13" ht="24" hidden="1">
      <c r="B12" s="249" t="s">
        <v>194</v>
      </c>
      <c r="C12" s="222" t="s">
        <v>202</v>
      </c>
      <c r="D12" s="156" t="s">
        <v>201</v>
      </c>
      <c r="E12" s="246">
        <v>0</v>
      </c>
      <c r="F12" s="246">
        <v>0</v>
      </c>
      <c r="G12" s="246">
        <f t="shared" si="0"/>
        <v>0</v>
      </c>
    </row>
    <row r="13" spans="1:13" ht="24" hidden="1">
      <c r="B13" s="249" t="s">
        <v>194</v>
      </c>
      <c r="C13" s="222" t="s">
        <v>203</v>
      </c>
      <c r="D13" s="156" t="s">
        <v>199</v>
      </c>
      <c r="E13" s="246">
        <v>1.3248826</v>
      </c>
      <c r="F13" s="246">
        <v>0</v>
      </c>
      <c r="G13" s="246">
        <f t="shared" si="0"/>
        <v>1.3248826</v>
      </c>
    </row>
    <row r="14" spans="1:13" ht="36" hidden="1">
      <c r="B14" s="249" t="s">
        <v>194</v>
      </c>
      <c r="C14" s="222" t="s">
        <v>204</v>
      </c>
      <c r="D14" s="156" t="s">
        <v>205</v>
      </c>
      <c r="E14" s="246">
        <v>0</v>
      </c>
      <c r="F14" s="246">
        <v>0</v>
      </c>
      <c r="G14" s="246">
        <f t="shared" si="0"/>
        <v>0</v>
      </c>
    </row>
    <row r="15" spans="1:13" ht="48" hidden="1">
      <c r="B15" s="249" t="s">
        <v>194</v>
      </c>
      <c r="C15" s="222" t="s">
        <v>206</v>
      </c>
      <c r="D15" s="156" t="s">
        <v>207</v>
      </c>
      <c r="E15" s="246">
        <v>0</v>
      </c>
      <c r="F15" s="246">
        <v>0</v>
      </c>
      <c r="G15" s="246">
        <f t="shared" si="0"/>
        <v>0</v>
      </c>
    </row>
    <row r="16" spans="1:13" ht="48" hidden="1">
      <c r="B16" s="249" t="s">
        <v>194</v>
      </c>
      <c r="C16" s="222" t="s">
        <v>208</v>
      </c>
      <c r="D16" s="156" t="s">
        <v>209</v>
      </c>
      <c r="E16" s="246">
        <v>0.12815779999999999</v>
      </c>
      <c r="F16" s="246">
        <v>3.5884184E-2</v>
      </c>
      <c r="G16" s="246">
        <f t="shared" si="0"/>
        <v>9.2273615999999989E-2</v>
      </c>
    </row>
    <row r="17" spans="2:13" ht="36" hidden="1">
      <c r="B17" s="249" t="s">
        <v>194</v>
      </c>
      <c r="C17" s="222" t="s">
        <v>210</v>
      </c>
      <c r="D17" s="156" t="s">
        <v>211</v>
      </c>
      <c r="E17" s="246">
        <v>9.7881624E-2</v>
      </c>
      <c r="F17" s="246">
        <v>0</v>
      </c>
      <c r="G17" s="246">
        <f t="shared" si="0"/>
        <v>9.7881624E-2</v>
      </c>
    </row>
    <row r="18" spans="2:13" ht="36" hidden="1">
      <c r="B18" s="249" t="s">
        <v>194</v>
      </c>
      <c r="C18" s="222" t="s">
        <v>212</v>
      </c>
      <c r="D18" s="156" t="s">
        <v>213</v>
      </c>
      <c r="E18" s="246">
        <v>0</v>
      </c>
      <c r="F18" s="246">
        <v>0</v>
      </c>
      <c r="G18" s="246">
        <f t="shared" si="0"/>
        <v>0</v>
      </c>
    </row>
    <row r="19" spans="2:13" ht="24" hidden="1">
      <c r="B19" s="249" t="s">
        <v>194</v>
      </c>
      <c r="C19" s="222" t="s">
        <v>214</v>
      </c>
      <c r="D19" s="156" t="s">
        <v>201</v>
      </c>
      <c r="E19" s="246">
        <v>0</v>
      </c>
      <c r="F19" s="246">
        <v>0</v>
      </c>
      <c r="G19" s="246">
        <f t="shared" si="0"/>
        <v>0</v>
      </c>
    </row>
    <row r="20" spans="2:13" ht="36" hidden="1">
      <c r="B20" s="249" t="s">
        <v>194</v>
      </c>
      <c r="C20" s="222" t="s">
        <v>215</v>
      </c>
      <c r="D20" s="156" t="s">
        <v>216</v>
      </c>
      <c r="E20" s="246">
        <v>0.35679793999999998</v>
      </c>
      <c r="F20" s="246">
        <v>6.3656415199999997E-2</v>
      </c>
      <c r="G20" s="246">
        <f t="shared" si="0"/>
        <v>0.2931415248</v>
      </c>
    </row>
    <row r="21" spans="2:13" ht="24" hidden="1">
      <c r="B21" s="249" t="s">
        <v>194</v>
      </c>
      <c r="C21" s="222" t="s">
        <v>217</v>
      </c>
      <c r="D21" s="156" t="s">
        <v>201</v>
      </c>
      <c r="E21" s="246">
        <v>0</v>
      </c>
      <c r="F21" s="246">
        <v>0</v>
      </c>
      <c r="G21" s="246">
        <f t="shared" si="0"/>
        <v>0</v>
      </c>
    </row>
    <row r="22" spans="2:13" ht="24" hidden="1">
      <c r="B22" s="249" t="s">
        <v>194</v>
      </c>
      <c r="C22" s="222" t="s">
        <v>218</v>
      </c>
      <c r="D22" s="156" t="s">
        <v>219</v>
      </c>
      <c r="E22" s="246">
        <v>0</v>
      </c>
      <c r="F22" s="246">
        <v>0</v>
      </c>
      <c r="G22" s="246">
        <f t="shared" si="0"/>
        <v>0</v>
      </c>
    </row>
    <row r="23" spans="2:13" ht="36" hidden="1">
      <c r="B23" s="249" t="s">
        <v>194</v>
      </c>
      <c r="C23" s="222" t="s">
        <v>220</v>
      </c>
      <c r="D23" s="156" t="s">
        <v>221</v>
      </c>
      <c r="E23" s="246">
        <v>0</v>
      </c>
      <c r="F23" s="246">
        <v>0</v>
      </c>
      <c r="G23" s="246">
        <f t="shared" si="0"/>
        <v>0</v>
      </c>
    </row>
    <row r="24" spans="2:13" ht="48" hidden="1">
      <c r="B24" s="249" t="s">
        <v>194</v>
      </c>
      <c r="C24" s="222" t="s">
        <v>222</v>
      </c>
      <c r="D24" s="156" t="s">
        <v>223</v>
      </c>
      <c r="E24" s="246">
        <v>0</v>
      </c>
      <c r="F24" s="246">
        <v>0</v>
      </c>
      <c r="G24" s="246">
        <f t="shared" si="0"/>
        <v>0</v>
      </c>
    </row>
    <row r="25" spans="2:13" ht="36" hidden="1">
      <c r="B25" s="249" t="s">
        <v>194</v>
      </c>
      <c r="C25" s="222" t="s">
        <v>224</v>
      </c>
      <c r="D25" s="156" t="s">
        <v>205</v>
      </c>
      <c r="E25" s="246">
        <v>0</v>
      </c>
      <c r="F25" s="246">
        <v>0</v>
      </c>
      <c r="G25" s="246">
        <f t="shared" si="0"/>
        <v>0</v>
      </c>
    </row>
    <row r="26" spans="2:13" ht="36" hidden="1">
      <c r="B26" s="249" t="s">
        <v>194</v>
      </c>
      <c r="C26" s="222" t="s">
        <v>225</v>
      </c>
      <c r="D26" s="156" t="s">
        <v>226</v>
      </c>
      <c r="E26" s="246">
        <v>1.9307999999999999E-2</v>
      </c>
      <c r="F26" s="246">
        <v>5.4062400000000005E-3</v>
      </c>
      <c r="G26" s="246">
        <f t="shared" si="0"/>
        <v>1.3901759999999999E-2</v>
      </c>
    </row>
    <row r="27" spans="2:13" ht="36" hidden="1">
      <c r="B27" s="249" t="s">
        <v>194</v>
      </c>
      <c r="C27" s="222" t="s">
        <v>227</v>
      </c>
      <c r="D27" s="156" t="s">
        <v>228</v>
      </c>
      <c r="E27" s="246">
        <v>7.5644779999999995E-3</v>
      </c>
      <c r="F27" s="246">
        <v>0</v>
      </c>
      <c r="G27" s="246">
        <f t="shared" si="0"/>
        <v>7.5644779999999995E-3</v>
      </c>
    </row>
    <row r="28" spans="2:13" ht="48" hidden="1">
      <c r="B28" s="249" t="s">
        <v>194</v>
      </c>
      <c r="C28" s="222" t="s">
        <v>229</v>
      </c>
      <c r="D28" s="156" t="s">
        <v>209</v>
      </c>
      <c r="E28" s="246">
        <v>0</v>
      </c>
      <c r="F28" s="246">
        <v>0</v>
      </c>
      <c r="G28" s="246">
        <f t="shared" si="0"/>
        <v>0</v>
      </c>
    </row>
    <row r="29" spans="2:13" ht="24" hidden="1">
      <c r="B29" s="249" t="s">
        <v>194</v>
      </c>
      <c r="C29" s="251" t="s">
        <v>230</v>
      </c>
      <c r="D29" s="156" t="s">
        <v>231</v>
      </c>
      <c r="E29" s="246">
        <v>2E-3</v>
      </c>
      <c r="F29" s="246">
        <v>0</v>
      </c>
      <c r="G29" s="246">
        <f t="shared" si="0"/>
        <v>2E-3</v>
      </c>
    </row>
    <row r="30" spans="2:13" ht="24" hidden="1">
      <c r="B30" s="157" t="s">
        <v>232</v>
      </c>
      <c r="C30" s="223" t="s">
        <v>233</v>
      </c>
      <c r="D30" s="156" t="s">
        <v>234</v>
      </c>
      <c r="E30" s="246">
        <v>0.88555509900000007</v>
      </c>
      <c r="F30" s="246">
        <v>0.88555505379608701</v>
      </c>
      <c r="G30" s="246">
        <f t="shared" si="0"/>
        <v>4.5203913057179079E-8</v>
      </c>
    </row>
    <row r="31" spans="2:13" ht="24">
      <c r="B31" s="157" t="s">
        <v>232</v>
      </c>
      <c r="C31" s="223" t="s">
        <v>235</v>
      </c>
      <c r="D31" s="156" t="s">
        <v>236</v>
      </c>
      <c r="E31" s="246">
        <v>7.255328016</v>
      </c>
      <c r="F31" s="246">
        <v>5.7903438251659196</v>
      </c>
      <c r="G31" s="246">
        <f t="shared" si="0"/>
        <v>1.4649841908340804</v>
      </c>
      <c r="H31" s="235">
        <f>F31*50%</f>
        <v>2.8951719125829598</v>
      </c>
      <c r="K31" t="s">
        <v>143</v>
      </c>
      <c r="M31" s="150">
        <f>H5+H36+H37+H43+H45+H47+H49+H68+H76+H85+H86+H145+H151</f>
        <v>99.753717544970158</v>
      </c>
    </row>
    <row r="32" spans="2:13" ht="36" hidden="1">
      <c r="B32" s="157" t="s">
        <v>232</v>
      </c>
      <c r="C32" s="223" t="s">
        <v>237</v>
      </c>
      <c r="D32" s="156" t="s">
        <v>238</v>
      </c>
      <c r="E32" s="246">
        <v>2.5312781630000032</v>
      </c>
      <c r="F32" s="246">
        <v>0.35354265282000003</v>
      </c>
      <c r="G32" s="246">
        <f t="shared" si="0"/>
        <v>2.1777355101800033</v>
      </c>
    </row>
    <row r="33" spans="1:8" ht="36" hidden="1">
      <c r="B33" s="157" t="s">
        <v>232</v>
      </c>
      <c r="C33" s="223" t="s">
        <v>239</v>
      </c>
      <c r="D33" s="156" t="s">
        <v>240</v>
      </c>
      <c r="E33" s="246">
        <v>5.1205800000002607E-3</v>
      </c>
      <c r="F33" s="246">
        <v>7.1688400000000021E-4</v>
      </c>
      <c r="G33" s="246">
        <f t="shared" si="0"/>
        <v>4.4036960000002606E-3</v>
      </c>
    </row>
    <row r="34" spans="1:8" ht="36" hidden="1">
      <c r="B34" s="157" t="s">
        <v>232</v>
      </c>
      <c r="C34" s="223" t="s">
        <v>241</v>
      </c>
      <c r="D34" s="156" t="s">
        <v>242</v>
      </c>
      <c r="E34" s="246">
        <v>30.884673516000003</v>
      </c>
      <c r="F34" s="246">
        <v>0.40941890261999997</v>
      </c>
      <c r="G34" s="246">
        <f t="shared" si="0"/>
        <v>30.475254613380002</v>
      </c>
    </row>
    <row r="35" spans="1:8" ht="96" hidden="1">
      <c r="B35" s="157" t="s">
        <v>232</v>
      </c>
      <c r="C35" s="224" t="s">
        <v>243</v>
      </c>
      <c r="D35" s="156" t="s">
        <v>244</v>
      </c>
      <c r="E35" s="246">
        <v>1.1970801410000005</v>
      </c>
      <c r="F35" s="246">
        <v>0</v>
      </c>
      <c r="G35" s="246">
        <f t="shared" si="0"/>
        <v>1.1970801410000005</v>
      </c>
    </row>
    <row r="36" spans="1:8" ht="48">
      <c r="A36" s="115" t="s">
        <v>552</v>
      </c>
      <c r="B36" s="157" t="s">
        <v>245</v>
      </c>
      <c r="C36" s="158" t="s">
        <v>245</v>
      </c>
      <c r="D36" s="156" t="s">
        <v>246</v>
      </c>
      <c r="E36" s="246">
        <v>11.895599799999999</v>
      </c>
      <c r="F36" s="246">
        <v>11.8451906</v>
      </c>
      <c r="G36" s="246">
        <f t="shared" si="0"/>
        <v>5.0409199999998933E-2</v>
      </c>
      <c r="H36" s="235">
        <f>F36*70%</f>
        <v>8.2916334200000001</v>
      </c>
    </row>
    <row r="37" spans="1:8" ht="48">
      <c r="A37" s="115" t="s">
        <v>552</v>
      </c>
      <c r="B37" s="157" t="s">
        <v>245</v>
      </c>
      <c r="C37" s="158" t="s">
        <v>245</v>
      </c>
      <c r="D37" s="156" t="s">
        <v>247</v>
      </c>
      <c r="E37" s="246">
        <v>9.0653637000000007</v>
      </c>
      <c r="F37" s="246">
        <v>9.075366279999999</v>
      </c>
      <c r="G37" s="246">
        <f t="shared" ref="G37:G68" si="1">E37-F37</f>
        <v>-1.0002579999998318E-2</v>
      </c>
      <c r="H37" s="235">
        <f>F37*70%</f>
        <v>6.3527563959999993</v>
      </c>
    </row>
    <row r="38" spans="1:8" ht="48" hidden="1">
      <c r="B38" s="157" t="s">
        <v>245</v>
      </c>
      <c r="C38" s="158" t="s">
        <v>245</v>
      </c>
      <c r="D38" s="156" t="s">
        <v>248</v>
      </c>
      <c r="E38" s="246">
        <v>3.4458510000000002</v>
      </c>
      <c r="F38" s="246">
        <v>0</v>
      </c>
      <c r="G38" s="246">
        <f t="shared" si="1"/>
        <v>3.4458510000000002</v>
      </c>
    </row>
    <row r="39" spans="1:8" ht="60" hidden="1">
      <c r="B39" s="157" t="s">
        <v>245</v>
      </c>
      <c r="C39" s="158" t="s">
        <v>245</v>
      </c>
      <c r="D39" s="156" t="s">
        <v>249</v>
      </c>
      <c r="E39" s="246">
        <v>-0.19346379999999999</v>
      </c>
      <c r="F39" s="246">
        <v>0</v>
      </c>
      <c r="G39" s="246">
        <f t="shared" si="1"/>
        <v>-0.19346379999999999</v>
      </c>
    </row>
    <row r="40" spans="1:8" ht="48" hidden="1">
      <c r="B40" s="157" t="s">
        <v>245</v>
      </c>
      <c r="C40" s="158" t="s">
        <v>245</v>
      </c>
      <c r="D40" s="156" t="s">
        <v>250</v>
      </c>
      <c r="E40" s="246">
        <v>3.6050000000000001E-3</v>
      </c>
      <c r="F40" s="246">
        <v>3.0049E-3</v>
      </c>
      <c r="G40" s="246">
        <f t="shared" si="1"/>
        <v>6.0010000000000011E-4</v>
      </c>
    </row>
    <row r="41" spans="1:8" ht="24" hidden="1">
      <c r="B41" s="157" t="s">
        <v>245</v>
      </c>
      <c r="C41" s="158" t="s">
        <v>245</v>
      </c>
      <c r="D41" s="156" t="s">
        <v>251</v>
      </c>
      <c r="E41" s="246">
        <v>7.3472700000000002E-2</v>
      </c>
      <c r="F41" s="246">
        <v>0.23296239999999999</v>
      </c>
      <c r="G41" s="246">
        <f t="shared" si="1"/>
        <v>-0.15948969999999998</v>
      </c>
    </row>
    <row r="42" spans="1:8" ht="36" hidden="1">
      <c r="B42" s="157" t="s">
        <v>245</v>
      </c>
      <c r="C42" s="158" t="s">
        <v>245</v>
      </c>
      <c r="D42" s="156" t="s">
        <v>252</v>
      </c>
      <c r="E42" s="246">
        <v>7.7830994000000001E-2</v>
      </c>
      <c r="F42" s="246">
        <v>9.5554600000000003E-2</v>
      </c>
      <c r="G42" s="246">
        <f t="shared" si="1"/>
        <v>-1.7723606000000003E-2</v>
      </c>
    </row>
    <row r="43" spans="1:8" ht="43.2">
      <c r="A43" s="115" t="s">
        <v>551</v>
      </c>
      <c r="B43" s="225" t="s">
        <v>253</v>
      </c>
      <c r="C43" s="226" t="s">
        <v>254</v>
      </c>
      <c r="D43" s="156" t="s">
        <v>255</v>
      </c>
      <c r="E43" s="246">
        <v>34.739175361999997</v>
      </c>
      <c r="F43" s="246">
        <v>17.234742575101695</v>
      </c>
      <c r="G43" s="246">
        <f t="shared" si="1"/>
        <v>17.504432786898303</v>
      </c>
      <c r="H43" s="235">
        <f>F43</f>
        <v>17.234742575101695</v>
      </c>
    </row>
    <row r="44" spans="1:8" ht="48" hidden="1">
      <c r="B44" s="225" t="s">
        <v>253</v>
      </c>
      <c r="C44" s="226" t="s">
        <v>256</v>
      </c>
      <c r="D44" s="156" t="s">
        <v>257</v>
      </c>
      <c r="E44" s="246">
        <v>1.316238</v>
      </c>
      <c r="F44" s="246">
        <v>0.39508776789041095</v>
      </c>
      <c r="G44" s="246">
        <f t="shared" si="1"/>
        <v>0.92115023210958902</v>
      </c>
    </row>
    <row r="45" spans="1:8" ht="60">
      <c r="A45" t="s">
        <v>540</v>
      </c>
      <c r="B45" s="225" t="s">
        <v>253</v>
      </c>
      <c r="C45" s="226" t="s">
        <v>258</v>
      </c>
      <c r="D45" s="156" t="s">
        <v>259</v>
      </c>
      <c r="E45" s="246">
        <v>8.0556628799999999</v>
      </c>
      <c r="F45" s="246">
        <v>8.0556628799999999</v>
      </c>
      <c r="G45" s="246">
        <f t="shared" si="1"/>
        <v>0</v>
      </c>
      <c r="H45" s="235">
        <f>F45</f>
        <v>8.0556628799999999</v>
      </c>
    </row>
    <row r="46" spans="1:8" ht="36" hidden="1">
      <c r="B46" s="225" t="s">
        <v>253</v>
      </c>
      <c r="C46" s="226" t="s">
        <v>260</v>
      </c>
      <c r="D46" s="156" t="s">
        <v>261</v>
      </c>
      <c r="E46" s="246">
        <v>4.0000000000000001E-8</v>
      </c>
      <c r="F46" s="246">
        <v>0</v>
      </c>
      <c r="G46" s="246">
        <f t="shared" si="1"/>
        <v>4.0000000000000001E-8</v>
      </c>
    </row>
    <row r="47" spans="1:8" ht="60">
      <c r="A47" t="s">
        <v>540</v>
      </c>
      <c r="B47" s="225" t="s">
        <v>253</v>
      </c>
      <c r="C47" s="226" t="s">
        <v>262</v>
      </c>
      <c r="D47" s="156" t="s">
        <v>259</v>
      </c>
      <c r="E47" s="246">
        <v>3.9665639100000001</v>
      </c>
      <c r="F47" s="246">
        <v>3.9665639000000001</v>
      </c>
      <c r="G47" s="246">
        <f t="shared" si="1"/>
        <v>9.9999999392252903E-9</v>
      </c>
      <c r="H47" s="235">
        <f>F47</f>
        <v>3.9665639000000001</v>
      </c>
    </row>
    <row r="48" spans="1:8" ht="60" hidden="1">
      <c r="B48" s="225" t="s">
        <v>253</v>
      </c>
      <c r="C48" s="226" t="s">
        <v>263</v>
      </c>
      <c r="D48" s="156" t="s">
        <v>259</v>
      </c>
      <c r="E48" s="246">
        <v>0</v>
      </c>
      <c r="F48" s="246">
        <v>0</v>
      </c>
      <c r="G48" s="246">
        <f t="shared" si="1"/>
        <v>0</v>
      </c>
    </row>
    <row r="49" spans="1:8" ht="84">
      <c r="A49" t="s">
        <v>550</v>
      </c>
      <c r="B49" s="225" t="s">
        <v>253</v>
      </c>
      <c r="C49" s="226" t="s">
        <v>264</v>
      </c>
      <c r="D49" s="156" t="s">
        <v>549</v>
      </c>
      <c r="E49" s="246">
        <v>24.253834600000001</v>
      </c>
      <c r="F49" s="246">
        <v>11.291144110879999</v>
      </c>
      <c r="G49" s="246">
        <f t="shared" si="1"/>
        <v>12.962690489120002</v>
      </c>
      <c r="H49" s="235">
        <f>F49</f>
        <v>11.291144110879999</v>
      </c>
    </row>
    <row r="50" spans="1:8" ht="60" hidden="1">
      <c r="B50" s="225" t="s">
        <v>253</v>
      </c>
      <c r="C50" s="226" t="s">
        <v>266</v>
      </c>
      <c r="D50" s="156" t="s">
        <v>267</v>
      </c>
      <c r="E50" s="246">
        <v>3.5999999999999998E-8</v>
      </c>
      <c r="F50" s="246">
        <v>0</v>
      </c>
      <c r="G50" s="246">
        <f t="shared" si="1"/>
        <v>3.5999999999999998E-8</v>
      </c>
    </row>
    <row r="51" spans="1:8" hidden="1">
      <c r="B51" s="225" t="s">
        <v>253</v>
      </c>
      <c r="C51" s="226" t="s">
        <v>268</v>
      </c>
      <c r="D51" s="156" t="s">
        <v>265</v>
      </c>
      <c r="E51" s="246">
        <v>0.95592719999999998</v>
      </c>
      <c r="F51" s="246">
        <v>0</v>
      </c>
      <c r="G51" s="246">
        <f t="shared" si="1"/>
        <v>0.95592719999999998</v>
      </c>
    </row>
    <row r="52" spans="1:8" ht="36" hidden="1">
      <c r="B52" s="225" t="s">
        <v>253</v>
      </c>
      <c r="C52" s="226" t="s">
        <v>269</v>
      </c>
      <c r="D52" s="156" t="s">
        <v>270</v>
      </c>
      <c r="E52" s="246">
        <v>0.35787007799999998</v>
      </c>
      <c r="F52" s="246">
        <v>0.35787010000000002</v>
      </c>
      <c r="G52" s="246">
        <f t="shared" si="1"/>
        <v>-2.2000000043931323E-8</v>
      </c>
    </row>
    <row r="53" spans="1:8" ht="36" hidden="1">
      <c r="B53" s="157" t="s">
        <v>271</v>
      </c>
      <c r="C53" s="223" t="s">
        <v>272</v>
      </c>
      <c r="D53" s="156" t="s">
        <v>273</v>
      </c>
      <c r="E53" s="246">
        <v>2.3000000000000001E-8</v>
      </c>
      <c r="F53" s="246">
        <v>0</v>
      </c>
      <c r="G53" s="246">
        <f t="shared" si="1"/>
        <v>2.3000000000000001E-8</v>
      </c>
    </row>
    <row r="54" spans="1:8">
      <c r="A54" t="s">
        <v>181</v>
      </c>
      <c r="B54" s="157" t="s">
        <v>271</v>
      </c>
      <c r="C54" s="223" t="s">
        <v>274</v>
      </c>
      <c r="D54" s="156" t="s">
        <v>275</v>
      </c>
      <c r="E54" s="246">
        <v>3.8153676000000001</v>
      </c>
      <c r="F54" s="246">
        <v>3.8153676000000001</v>
      </c>
      <c r="G54" s="246">
        <f t="shared" si="1"/>
        <v>0</v>
      </c>
      <c r="H54" s="235">
        <f>F54*50%</f>
        <v>1.9076838</v>
      </c>
    </row>
    <row r="55" spans="1:8" hidden="1">
      <c r="B55" s="157" t="s">
        <v>271</v>
      </c>
      <c r="C55" s="223" t="s">
        <v>276</v>
      </c>
      <c r="D55" s="156" t="s">
        <v>277</v>
      </c>
      <c r="E55" s="246">
        <v>3.4046518369999998</v>
      </c>
      <c r="F55" s="246">
        <v>0.24556648717999999</v>
      </c>
      <c r="G55" s="246">
        <f t="shared" si="1"/>
        <v>3.1590853498199998</v>
      </c>
    </row>
    <row r="56" spans="1:8" ht="24" hidden="1">
      <c r="B56" s="157" t="s">
        <v>271</v>
      </c>
      <c r="C56" s="223" t="s">
        <v>278</v>
      </c>
      <c r="D56" s="156" t="s">
        <v>279</v>
      </c>
      <c r="E56" s="246">
        <v>4.4364648569999998</v>
      </c>
      <c r="F56" s="246">
        <v>0</v>
      </c>
      <c r="G56" s="246">
        <f t="shared" si="1"/>
        <v>4.4364648569999998</v>
      </c>
    </row>
    <row r="57" spans="1:8" ht="36" hidden="1">
      <c r="B57" s="157" t="s">
        <v>271</v>
      </c>
      <c r="C57" s="223" t="s">
        <v>280</v>
      </c>
      <c r="D57" s="156" t="s">
        <v>281</v>
      </c>
      <c r="E57" s="246">
        <v>0</v>
      </c>
      <c r="F57" s="246">
        <v>0.27999956600000003</v>
      </c>
      <c r="G57" s="246">
        <f t="shared" si="1"/>
        <v>-0.27999956600000003</v>
      </c>
    </row>
    <row r="58" spans="1:8" ht="48">
      <c r="A58" t="s">
        <v>548</v>
      </c>
      <c r="B58" s="157" t="s">
        <v>271</v>
      </c>
      <c r="C58" s="223" t="s">
        <v>282</v>
      </c>
      <c r="D58" s="156" t="s">
        <v>283</v>
      </c>
      <c r="E58" s="246">
        <v>19.760966116999999</v>
      </c>
      <c r="F58" s="246">
        <v>19.770349817</v>
      </c>
      <c r="G58" s="246">
        <f t="shared" si="1"/>
        <v>-9.383700000000772E-3</v>
      </c>
      <c r="H58" s="235">
        <v>0</v>
      </c>
    </row>
    <row r="59" spans="1:8" ht="24" hidden="1">
      <c r="B59" s="157" t="s">
        <v>271</v>
      </c>
      <c r="C59" s="223" t="s">
        <v>284</v>
      </c>
      <c r="D59" s="156" t="s">
        <v>279</v>
      </c>
      <c r="E59" s="246">
        <v>2.069273913</v>
      </c>
      <c r="F59" s="246">
        <v>0.95573876999999996</v>
      </c>
      <c r="G59" s="246">
        <f t="shared" si="1"/>
        <v>1.113535143</v>
      </c>
    </row>
    <row r="60" spans="1:8" ht="48" hidden="1">
      <c r="B60" s="157" t="s">
        <v>271</v>
      </c>
      <c r="C60" s="223" t="s">
        <v>285</v>
      </c>
      <c r="D60" s="156" t="s">
        <v>286</v>
      </c>
      <c r="E60" s="246">
        <v>2.2640555</v>
      </c>
      <c r="F60" s="246">
        <v>0.63393554000000008</v>
      </c>
      <c r="G60" s="246">
        <f t="shared" si="1"/>
        <v>1.63011996</v>
      </c>
    </row>
    <row r="61" spans="1:8" ht="84" hidden="1">
      <c r="B61" s="157" t="s">
        <v>271</v>
      </c>
      <c r="C61" s="223" t="s">
        <v>287</v>
      </c>
      <c r="D61" s="156" t="s">
        <v>288</v>
      </c>
      <c r="E61" s="246">
        <v>1.7264860929999999</v>
      </c>
      <c r="F61" s="246">
        <v>1.7264860929999999</v>
      </c>
      <c r="G61" s="246">
        <f t="shared" si="1"/>
        <v>0</v>
      </c>
    </row>
    <row r="62" spans="1:8" hidden="1">
      <c r="B62" s="227" t="s">
        <v>271</v>
      </c>
      <c r="C62" s="228" t="s">
        <v>289</v>
      </c>
      <c r="D62" s="156">
        <v>0</v>
      </c>
      <c r="E62" s="246">
        <v>3.8999999999999998E-8</v>
      </c>
      <c r="F62" s="246">
        <v>0</v>
      </c>
      <c r="G62" s="246">
        <f t="shared" si="1"/>
        <v>3.8999999999999998E-8</v>
      </c>
    </row>
    <row r="63" spans="1:8" ht="100.8">
      <c r="A63" s="115" t="s">
        <v>547</v>
      </c>
      <c r="B63" s="249" t="s">
        <v>290</v>
      </c>
      <c r="C63" s="250" t="s">
        <v>291</v>
      </c>
      <c r="D63" s="156" t="s">
        <v>546</v>
      </c>
      <c r="E63" s="246">
        <v>3.5687547999999998</v>
      </c>
      <c r="F63" s="246">
        <v>6.0965330067769861</v>
      </c>
      <c r="G63" s="246">
        <f t="shared" si="1"/>
        <v>-2.5277782067769863</v>
      </c>
      <c r="H63" s="235">
        <f>F63*70%</f>
        <v>4.2675731047438896</v>
      </c>
    </row>
    <row r="64" spans="1:8" ht="24" hidden="1">
      <c r="B64" s="249" t="s">
        <v>290</v>
      </c>
      <c r="C64" s="250" t="s">
        <v>293</v>
      </c>
      <c r="D64" s="156" t="s">
        <v>294</v>
      </c>
      <c r="E64" s="246">
        <v>8.7857592407787732E-2</v>
      </c>
      <c r="F64" s="246">
        <v>8.7857592407787732E-2</v>
      </c>
      <c r="G64" s="246">
        <f t="shared" si="1"/>
        <v>0</v>
      </c>
    </row>
    <row r="65" spans="1:8" ht="24" hidden="1">
      <c r="B65" s="249" t="s">
        <v>290</v>
      </c>
      <c r="C65" s="250" t="s">
        <v>295</v>
      </c>
      <c r="D65" s="156" t="s">
        <v>296</v>
      </c>
      <c r="E65" s="246">
        <v>4.5505006269999981</v>
      </c>
      <c r="F65" s="246">
        <v>0</v>
      </c>
      <c r="G65" s="246">
        <f t="shared" si="1"/>
        <v>4.5505006269999981</v>
      </c>
    </row>
    <row r="66" spans="1:8" ht="60" hidden="1">
      <c r="B66" s="249" t="s">
        <v>290</v>
      </c>
      <c r="C66" s="250" t="s">
        <v>297</v>
      </c>
      <c r="D66" s="156" t="s">
        <v>294</v>
      </c>
      <c r="E66" s="246">
        <v>0.83837542399999998</v>
      </c>
      <c r="F66" s="246">
        <v>0.83837543519373792</v>
      </c>
      <c r="G66" s="246">
        <f t="shared" si="1"/>
        <v>-1.119373793656564E-8</v>
      </c>
    </row>
    <row r="67" spans="1:8" ht="24" hidden="1">
      <c r="B67" s="249" t="s">
        <v>290</v>
      </c>
      <c r="C67" s="250" t="s">
        <v>298</v>
      </c>
      <c r="D67" s="156" t="s">
        <v>296</v>
      </c>
      <c r="E67" s="246">
        <v>4.0528300000000002</v>
      </c>
      <c r="F67" s="246">
        <v>0</v>
      </c>
      <c r="G67" s="246">
        <f t="shared" si="1"/>
        <v>4.0528300000000002</v>
      </c>
    </row>
    <row r="68" spans="1:8" ht="86.4">
      <c r="A68" s="115" t="s">
        <v>545</v>
      </c>
      <c r="B68" s="249" t="s">
        <v>290</v>
      </c>
      <c r="C68" s="250" t="s">
        <v>299</v>
      </c>
      <c r="D68" s="156" t="s">
        <v>544</v>
      </c>
      <c r="E68" s="246">
        <v>4.0372884999999998</v>
      </c>
      <c r="F68" s="246">
        <v>4.0372884878894997</v>
      </c>
      <c r="G68" s="246">
        <f t="shared" si="1"/>
        <v>1.2110500158257764E-8</v>
      </c>
      <c r="H68" s="235">
        <f>F68</f>
        <v>4.0372884878894997</v>
      </c>
    </row>
    <row r="69" spans="1:8" ht="84" hidden="1">
      <c r="B69" s="249" t="s">
        <v>290</v>
      </c>
      <c r="C69" s="250" t="s">
        <v>300</v>
      </c>
      <c r="D69" s="156" t="s">
        <v>301</v>
      </c>
      <c r="E69" s="246">
        <v>3.3893966369999999</v>
      </c>
      <c r="F69" s="246">
        <v>0</v>
      </c>
      <c r="G69" s="246">
        <f t="shared" ref="G69:G100" si="2">E69-F69</f>
        <v>3.3893966369999999</v>
      </c>
    </row>
    <row r="70" spans="1:8" ht="84" hidden="1">
      <c r="B70" s="249" t="s">
        <v>290</v>
      </c>
      <c r="C70" s="250" t="s">
        <v>302</v>
      </c>
      <c r="D70" s="156" t="s">
        <v>303</v>
      </c>
      <c r="E70" s="246">
        <v>1.3637971</v>
      </c>
      <c r="F70" s="246">
        <v>0</v>
      </c>
      <c r="G70" s="246">
        <f t="shared" si="2"/>
        <v>1.3637971</v>
      </c>
    </row>
    <row r="71" spans="1:8" ht="24" hidden="1">
      <c r="B71" s="249" t="s">
        <v>290</v>
      </c>
      <c r="C71" s="250" t="s">
        <v>304</v>
      </c>
      <c r="D71" s="156" t="s">
        <v>292</v>
      </c>
      <c r="E71" s="246">
        <v>0.29525269799999998</v>
      </c>
      <c r="F71" s="246">
        <v>0</v>
      </c>
      <c r="G71" s="246">
        <f t="shared" si="2"/>
        <v>0.29525269799999998</v>
      </c>
    </row>
    <row r="72" spans="1:8" ht="72" hidden="1">
      <c r="B72" s="249" t="s">
        <v>290</v>
      </c>
      <c r="C72" s="250" t="s">
        <v>305</v>
      </c>
      <c r="D72" s="156" t="s">
        <v>306</v>
      </c>
      <c r="E72" s="246">
        <v>10.520797629</v>
      </c>
      <c r="F72" s="246">
        <v>0</v>
      </c>
      <c r="G72" s="246">
        <f t="shared" si="2"/>
        <v>10.520797629</v>
      </c>
    </row>
    <row r="73" spans="1:8" ht="72" hidden="1">
      <c r="B73" s="249" t="s">
        <v>290</v>
      </c>
      <c r="C73" s="250" t="s">
        <v>307</v>
      </c>
      <c r="D73" s="156" t="s">
        <v>306</v>
      </c>
      <c r="E73" s="246">
        <v>0.29999221700000006</v>
      </c>
      <c r="F73" s="246">
        <v>0</v>
      </c>
      <c r="G73" s="246">
        <f t="shared" si="2"/>
        <v>0.29999221700000006</v>
      </c>
    </row>
    <row r="74" spans="1:8" ht="72" hidden="1">
      <c r="B74" s="249" t="s">
        <v>290</v>
      </c>
      <c r="C74" s="250" t="s">
        <v>308</v>
      </c>
      <c r="D74" s="156" t="s">
        <v>306</v>
      </c>
      <c r="E74" s="246">
        <v>4.1268917329999999</v>
      </c>
      <c r="F74" s="246">
        <v>0</v>
      </c>
      <c r="G74" s="246">
        <f t="shared" si="2"/>
        <v>4.1268917329999999</v>
      </c>
    </row>
    <row r="75" spans="1:8" ht="60" hidden="1">
      <c r="B75" s="249" t="s">
        <v>290</v>
      </c>
      <c r="C75" s="250" t="s">
        <v>309</v>
      </c>
      <c r="D75" s="156" t="s">
        <v>310</v>
      </c>
      <c r="E75" s="246">
        <v>1.1357434237288157E-2</v>
      </c>
      <c r="F75" s="246">
        <v>3.1800815864406842E-3</v>
      </c>
      <c r="G75" s="246">
        <f t="shared" si="2"/>
        <v>8.1773526508474737E-3</v>
      </c>
    </row>
    <row r="76" spans="1:8" ht="72">
      <c r="A76" s="115" t="s">
        <v>543</v>
      </c>
      <c r="B76" s="249" t="s">
        <v>290</v>
      </c>
      <c r="C76" s="229" t="s">
        <v>311</v>
      </c>
      <c r="D76" s="156" t="s">
        <v>310</v>
      </c>
      <c r="E76" s="246">
        <v>12.9417496</v>
      </c>
      <c r="F76" s="246">
        <v>3.6236898772989603</v>
      </c>
      <c r="G76" s="246">
        <f t="shared" si="2"/>
        <v>9.3180597227010402</v>
      </c>
      <c r="H76" s="235">
        <f>F76</f>
        <v>3.6236898772989603</v>
      </c>
    </row>
    <row r="77" spans="1:8" ht="60" hidden="1">
      <c r="B77" s="249" t="s">
        <v>290</v>
      </c>
      <c r="C77" s="250" t="s">
        <v>312</v>
      </c>
      <c r="D77" s="156" t="s">
        <v>310</v>
      </c>
      <c r="E77" s="246">
        <v>2.5741438482613961</v>
      </c>
      <c r="F77" s="246">
        <v>0.72076027751319105</v>
      </c>
      <c r="G77" s="246">
        <f t="shared" si="2"/>
        <v>1.8533835707482051</v>
      </c>
    </row>
    <row r="78" spans="1:8" ht="60" hidden="1">
      <c r="B78" s="249" t="s">
        <v>290</v>
      </c>
      <c r="C78" s="250" t="s">
        <v>313</v>
      </c>
      <c r="D78" s="156" t="s">
        <v>310</v>
      </c>
      <c r="E78" s="246">
        <v>3.7333640122508442</v>
      </c>
      <c r="F78" s="246">
        <v>1.3031451631811077</v>
      </c>
      <c r="G78" s="246">
        <f t="shared" si="2"/>
        <v>2.4302188490697363</v>
      </c>
    </row>
    <row r="79" spans="1:8" ht="60" hidden="1">
      <c r="B79" s="249" t="s">
        <v>290</v>
      </c>
      <c r="C79" s="250" t="s">
        <v>314</v>
      </c>
      <c r="D79" s="156" t="s">
        <v>310</v>
      </c>
      <c r="E79" s="246">
        <v>0</v>
      </c>
      <c r="F79" s="246">
        <v>0</v>
      </c>
      <c r="G79" s="246">
        <f t="shared" si="2"/>
        <v>0</v>
      </c>
    </row>
    <row r="80" spans="1:8" ht="60" hidden="1">
      <c r="B80" s="249" t="s">
        <v>290</v>
      </c>
      <c r="C80" s="250" t="s">
        <v>315</v>
      </c>
      <c r="D80" s="156" t="s">
        <v>310</v>
      </c>
      <c r="E80" s="246">
        <v>0</v>
      </c>
      <c r="F80" s="246">
        <v>0</v>
      </c>
      <c r="G80" s="246">
        <f t="shared" si="2"/>
        <v>0</v>
      </c>
    </row>
    <row r="81" spans="1:8" ht="36" hidden="1">
      <c r="B81" s="249" t="s">
        <v>316</v>
      </c>
      <c r="C81" s="248" t="s">
        <v>316</v>
      </c>
      <c r="D81" s="156" t="s">
        <v>317</v>
      </c>
      <c r="E81" s="246">
        <v>2.3379999999999998E-3</v>
      </c>
      <c r="F81" s="246">
        <v>3.2661832271781002E-2</v>
      </c>
      <c r="G81" s="246">
        <f t="shared" si="2"/>
        <v>-3.0323832271781002E-2</v>
      </c>
    </row>
    <row r="82" spans="1:8" hidden="1">
      <c r="B82" s="249" t="s">
        <v>316</v>
      </c>
      <c r="C82" s="248" t="s">
        <v>316</v>
      </c>
      <c r="D82" s="156" t="s">
        <v>318</v>
      </c>
      <c r="E82" s="246">
        <v>3.0323800000000001E-2</v>
      </c>
      <c r="F82" s="246">
        <v>0</v>
      </c>
      <c r="G82" s="246">
        <f t="shared" si="2"/>
        <v>3.0323800000000001E-2</v>
      </c>
    </row>
    <row r="83" spans="1:8" ht="60" hidden="1">
      <c r="B83" s="157" t="s">
        <v>245</v>
      </c>
      <c r="C83" s="158" t="s">
        <v>245</v>
      </c>
      <c r="D83" s="156" t="s">
        <v>319</v>
      </c>
      <c r="E83" s="246">
        <v>7.7210799999999996E-2</v>
      </c>
      <c r="F83" s="246">
        <v>0.10843700000000001</v>
      </c>
      <c r="G83" s="246">
        <f t="shared" si="2"/>
        <v>-3.122620000000001E-2</v>
      </c>
    </row>
    <row r="84" spans="1:8" ht="24" hidden="1">
      <c r="B84" s="157" t="s">
        <v>188</v>
      </c>
      <c r="C84" s="158" t="s">
        <v>320</v>
      </c>
      <c r="D84" s="156" t="s">
        <v>321</v>
      </c>
      <c r="E84" s="246">
        <v>0.72889458899999993</v>
      </c>
      <c r="F84" s="246">
        <v>0.72889458899999993</v>
      </c>
      <c r="G84" s="246">
        <f t="shared" si="2"/>
        <v>0</v>
      </c>
    </row>
    <row r="85" spans="1:8" ht="115.2">
      <c r="A85" s="115" t="s">
        <v>542</v>
      </c>
      <c r="B85" s="157" t="s">
        <v>188</v>
      </c>
      <c r="C85" s="158" t="s">
        <v>322</v>
      </c>
      <c r="D85" s="156" t="s">
        <v>323</v>
      </c>
      <c r="E85" s="246">
        <v>4.5</v>
      </c>
      <c r="F85" s="246">
        <v>4.5</v>
      </c>
      <c r="G85" s="246">
        <f t="shared" si="2"/>
        <v>0</v>
      </c>
      <c r="H85" s="235">
        <f>F85*70%</f>
        <v>3.15</v>
      </c>
    </row>
    <row r="86" spans="1:8" ht="24">
      <c r="A86" s="247" t="s">
        <v>541</v>
      </c>
      <c r="B86" s="157" t="s">
        <v>188</v>
      </c>
      <c r="C86" s="158" t="s">
        <v>324</v>
      </c>
      <c r="D86" s="156" t="s">
        <v>190</v>
      </c>
      <c r="E86" s="246">
        <v>5.6918976909999994</v>
      </c>
      <c r="F86" s="246">
        <v>5.6918976909999994</v>
      </c>
      <c r="G86" s="246">
        <f t="shared" si="2"/>
        <v>0</v>
      </c>
      <c r="H86" s="235">
        <f>F86*70%</f>
        <v>3.9843283836999994</v>
      </c>
    </row>
    <row r="87" spans="1:8" ht="24" hidden="1">
      <c r="B87" s="157" t="s">
        <v>188</v>
      </c>
      <c r="C87" s="158" t="s">
        <v>325</v>
      </c>
      <c r="D87" s="156" t="s">
        <v>190</v>
      </c>
      <c r="E87" s="246">
        <v>1.225947388</v>
      </c>
      <c r="F87" s="246">
        <v>1.225947388</v>
      </c>
      <c r="G87" s="246">
        <f t="shared" si="2"/>
        <v>0</v>
      </c>
    </row>
    <row r="88" spans="1:8" ht="24" hidden="1">
      <c r="B88" s="157" t="s">
        <v>188</v>
      </c>
      <c r="C88" s="158" t="s">
        <v>326</v>
      </c>
      <c r="D88" s="156" t="s">
        <v>190</v>
      </c>
      <c r="E88" s="246">
        <v>0</v>
      </c>
      <c r="F88" s="246">
        <v>0</v>
      </c>
      <c r="G88" s="246">
        <f t="shared" si="2"/>
        <v>0</v>
      </c>
    </row>
    <row r="89" spans="1:8" ht="24" hidden="1">
      <c r="B89" s="157" t="s">
        <v>188</v>
      </c>
      <c r="C89" s="158" t="s">
        <v>327</v>
      </c>
      <c r="D89" s="156" t="s">
        <v>190</v>
      </c>
      <c r="E89" s="246">
        <v>1.5848475369999999</v>
      </c>
      <c r="F89" s="246">
        <v>1.5848475369999999</v>
      </c>
      <c r="G89" s="246">
        <f t="shared" si="2"/>
        <v>0</v>
      </c>
    </row>
    <row r="90" spans="1:8" ht="24" hidden="1">
      <c r="B90" s="157" t="s">
        <v>194</v>
      </c>
      <c r="C90" s="158" t="s">
        <v>328</v>
      </c>
      <c r="D90" s="156" t="s">
        <v>199</v>
      </c>
      <c r="E90" s="246">
        <v>0</v>
      </c>
      <c r="F90" s="246">
        <v>0</v>
      </c>
      <c r="G90" s="246">
        <f t="shared" si="2"/>
        <v>0</v>
      </c>
    </row>
    <row r="91" spans="1:8" ht="24" hidden="1">
      <c r="B91" s="157" t="s">
        <v>194</v>
      </c>
      <c r="C91" s="158" t="s">
        <v>329</v>
      </c>
      <c r="D91" s="156" t="s">
        <v>330</v>
      </c>
      <c r="E91" s="246">
        <v>0</v>
      </c>
      <c r="F91" s="246">
        <v>0</v>
      </c>
      <c r="G91" s="246">
        <f t="shared" si="2"/>
        <v>0</v>
      </c>
    </row>
    <row r="92" spans="1:8" ht="60" hidden="1">
      <c r="B92" s="157" t="s">
        <v>194</v>
      </c>
      <c r="C92" s="158" t="s">
        <v>331</v>
      </c>
      <c r="D92" s="156" t="s">
        <v>332</v>
      </c>
      <c r="E92" s="246">
        <v>0</v>
      </c>
      <c r="F92" s="246">
        <v>0</v>
      </c>
      <c r="G92" s="246">
        <f t="shared" si="2"/>
        <v>0</v>
      </c>
    </row>
    <row r="93" spans="1:8" hidden="1">
      <c r="B93" s="157" t="s">
        <v>194</v>
      </c>
      <c r="C93" s="158" t="s">
        <v>333</v>
      </c>
      <c r="D93" s="156" t="s">
        <v>334</v>
      </c>
      <c r="E93" s="246">
        <v>0</v>
      </c>
      <c r="F93" s="246">
        <v>0</v>
      </c>
      <c r="G93" s="246">
        <f t="shared" si="2"/>
        <v>0</v>
      </c>
    </row>
    <row r="94" spans="1:8" hidden="1">
      <c r="B94" s="157" t="s">
        <v>194</v>
      </c>
      <c r="C94" s="158" t="s">
        <v>335</v>
      </c>
      <c r="D94" s="156" t="s">
        <v>334</v>
      </c>
      <c r="E94" s="246">
        <v>0</v>
      </c>
      <c r="F94" s="246">
        <v>0</v>
      </c>
      <c r="G94" s="246">
        <f t="shared" si="2"/>
        <v>0</v>
      </c>
    </row>
    <row r="95" spans="1:8" hidden="1">
      <c r="B95" s="157" t="s">
        <v>194</v>
      </c>
      <c r="C95" s="158" t="s">
        <v>336</v>
      </c>
      <c r="D95" s="156" t="s">
        <v>334</v>
      </c>
      <c r="E95" s="246">
        <v>0</v>
      </c>
      <c r="F95" s="246">
        <v>0</v>
      </c>
      <c r="G95" s="246">
        <f t="shared" si="2"/>
        <v>0</v>
      </c>
    </row>
    <row r="96" spans="1:8" hidden="1">
      <c r="B96" s="157" t="s">
        <v>194</v>
      </c>
      <c r="C96" s="158" t="s">
        <v>337</v>
      </c>
      <c r="D96" s="156" t="s">
        <v>334</v>
      </c>
      <c r="E96" s="246">
        <v>0</v>
      </c>
      <c r="F96" s="246">
        <v>0</v>
      </c>
      <c r="G96" s="246">
        <f t="shared" si="2"/>
        <v>0</v>
      </c>
    </row>
    <row r="97" spans="2:7" hidden="1">
      <c r="B97" s="157" t="s">
        <v>194</v>
      </c>
      <c r="C97" s="158" t="s">
        <v>338</v>
      </c>
      <c r="D97" s="156" t="s">
        <v>334</v>
      </c>
      <c r="E97" s="246">
        <v>0</v>
      </c>
      <c r="F97" s="246">
        <v>0</v>
      </c>
      <c r="G97" s="246">
        <f t="shared" si="2"/>
        <v>0</v>
      </c>
    </row>
    <row r="98" spans="2:7" hidden="1">
      <c r="B98" s="157" t="s">
        <v>194</v>
      </c>
      <c r="C98" s="158" t="s">
        <v>339</v>
      </c>
      <c r="D98" s="156" t="s">
        <v>334</v>
      </c>
      <c r="E98" s="246">
        <v>0</v>
      </c>
      <c r="F98" s="246">
        <v>0</v>
      </c>
      <c r="G98" s="246">
        <f t="shared" si="2"/>
        <v>0</v>
      </c>
    </row>
    <row r="99" spans="2:7" hidden="1">
      <c r="B99" s="157" t="s">
        <v>194</v>
      </c>
      <c r="C99" s="158" t="s">
        <v>340</v>
      </c>
      <c r="D99" s="156" t="s">
        <v>334</v>
      </c>
      <c r="E99" s="246">
        <v>0</v>
      </c>
      <c r="F99" s="246">
        <v>0</v>
      </c>
      <c r="G99" s="246">
        <f t="shared" si="2"/>
        <v>0</v>
      </c>
    </row>
    <row r="100" spans="2:7" hidden="1">
      <c r="B100" s="157" t="s">
        <v>194</v>
      </c>
      <c r="C100" s="158" t="s">
        <v>341</v>
      </c>
      <c r="D100" s="156" t="s">
        <v>334</v>
      </c>
      <c r="E100" s="246">
        <v>0</v>
      </c>
      <c r="F100" s="246">
        <v>0</v>
      </c>
      <c r="G100" s="246">
        <f t="shared" si="2"/>
        <v>0</v>
      </c>
    </row>
    <row r="101" spans="2:7" hidden="1">
      <c r="B101" s="157" t="s">
        <v>194</v>
      </c>
      <c r="C101" s="158" t="s">
        <v>342</v>
      </c>
      <c r="D101" s="156" t="s">
        <v>334</v>
      </c>
      <c r="E101" s="246">
        <v>0</v>
      </c>
      <c r="F101" s="246">
        <v>0</v>
      </c>
      <c r="G101" s="246">
        <f t="shared" ref="G101:G132" si="3">E101-F101</f>
        <v>0</v>
      </c>
    </row>
    <row r="102" spans="2:7" hidden="1">
      <c r="B102" s="157" t="s">
        <v>194</v>
      </c>
      <c r="C102" s="158" t="s">
        <v>343</v>
      </c>
      <c r="D102" s="156" t="s">
        <v>334</v>
      </c>
      <c r="E102" s="246">
        <v>0</v>
      </c>
      <c r="F102" s="246">
        <v>0</v>
      </c>
      <c r="G102" s="246">
        <f t="shared" si="3"/>
        <v>0</v>
      </c>
    </row>
    <row r="103" spans="2:7" hidden="1">
      <c r="B103" s="157" t="s">
        <v>194</v>
      </c>
      <c r="C103" s="158" t="s">
        <v>344</v>
      </c>
      <c r="D103" s="156" t="s">
        <v>334</v>
      </c>
      <c r="E103" s="246">
        <v>0</v>
      </c>
      <c r="F103" s="246">
        <v>0</v>
      </c>
      <c r="G103" s="246">
        <f t="shared" si="3"/>
        <v>0</v>
      </c>
    </row>
    <row r="104" spans="2:7" hidden="1">
      <c r="B104" s="157" t="s">
        <v>194</v>
      </c>
      <c r="C104" s="158" t="s">
        <v>345</v>
      </c>
      <c r="D104" s="156" t="s">
        <v>334</v>
      </c>
      <c r="E104" s="246">
        <v>0</v>
      </c>
      <c r="F104" s="246">
        <v>0</v>
      </c>
      <c r="G104" s="246">
        <f t="shared" si="3"/>
        <v>0</v>
      </c>
    </row>
    <row r="105" spans="2:7" hidden="1">
      <c r="B105" s="157" t="s">
        <v>194</v>
      </c>
      <c r="C105" s="158" t="s">
        <v>346</v>
      </c>
      <c r="D105" s="156" t="s">
        <v>334</v>
      </c>
      <c r="E105" s="246">
        <v>0</v>
      </c>
      <c r="F105" s="246">
        <v>0</v>
      </c>
      <c r="G105" s="246">
        <f t="shared" si="3"/>
        <v>0</v>
      </c>
    </row>
    <row r="106" spans="2:7" hidden="1">
      <c r="B106" s="157" t="s">
        <v>194</v>
      </c>
      <c r="C106" s="158" t="s">
        <v>347</v>
      </c>
      <c r="D106" s="156" t="s">
        <v>334</v>
      </c>
      <c r="E106" s="246">
        <v>0</v>
      </c>
      <c r="F106" s="246">
        <v>0</v>
      </c>
      <c r="G106" s="246">
        <f t="shared" si="3"/>
        <v>0</v>
      </c>
    </row>
    <row r="107" spans="2:7" hidden="1">
      <c r="B107" s="157" t="s">
        <v>194</v>
      </c>
      <c r="C107" s="158" t="s">
        <v>348</v>
      </c>
      <c r="D107" s="156" t="s">
        <v>334</v>
      </c>
      <c r="E107" s="246">
        <v>0</v>
      </c>
      <c r="F107" s="246">
        <v>0</v>
      </c>
      <c r="G107" s="246">
        <f t="shared" si="3"/>
        <v>0</v>
      </c>
    </row>
    <row r="108" spans="2:7" hidden="1">
      <c r="B108" s="157" t="s">
        <v>194</v>
      </c>
      <c r="C108" s="158" t="s">
        <v>349</v>
      </c>
      <c r="D108" s="156" t="s">
        <v>334</v>
      </c>
      <c r="E108" s="246">
        <v>0</v>
      </c>
      <c r="F108" s="246">
        <v>0</v>
      </c>
      <c r="G108" s="246">
        <f t="shared" si="3"/>
        <v>0</v>
      </c>
    </row>
    <row r="109" spans="2:7" hidden="1">
      <c r="B109" s="157" t="s">
        <v>194</v>
      </c>
      <c r="C109" s="158" t="s">
        <v>350</v>
      </c>
      <c r="D109" s="156" t="s">
        <v>334</v>
      </c>
      <c r="E109" s="246">
        <v>0</v>
      </c>
      <c r="F109" s="246">
        <v>0</v>
      </c>
      <c r="G109" s="246">
        <f t="shared" si="3"/>
        <v>0</v>
      </c>
    </row>
    <row r="110" spans="2:7" hidden="1">
      <c r="B110" s="157" t="s">
        <v>194</v>
      </c>
      <c r="C110" s="158" t="s">
        <v>351</v>
      </c>
      <c r="D110" s="156" t="s">
        <v>334</v>
      </c>
      <c r="E110" s="246">
        <v>0</v>
      </c>
      <c r="F110" s="246">
        <v>0</v>
      </c>
      <c r="G110" s="246">
        <f t="shared" si="3"/>
        <v>0</v>
      </c>
    </row>
    <row r="111" spans="2:7" hidden="1">
      <c r="B111" s="157" t="s">
        <v>194</v>
      </c>
      <c r="C111" s="158" t="s">
        <v>352</v>
      </c>
      <c r="D111" s="156" t="s">
        <v>334</v>
      </c>
      <c r="E111" s="246">
        <v>0</v>
      </c>
      <c r="F111" s="246">
        <v>0</v>
      </c>
      <c r="G111" s="246">
        <f t="shared" si="3"/>
        <v>0</v>
      </c>
    </row>
    <row r="112" spans="2:7" hidden="1">
      <c r="B112" s="157" t="s">
        <v>194</v>
      </c>
      <c r="C112" s="158" t="s">
        <v>353</v>
      </c>
      <c r="D112" s="156" t="s">
        <v>334</v>
      </c>
      <c r="E112" s="246">
        <v>0</v>
      </c>
      <c r="F112" s="246">
        <v>0</v>
      </c>
      <c r="G112" s="246">
        <f t="shared" si="3"/>
        <v>0</v>
      </c>
    </row>
    <row r="113" spans="2:7" hidden="1">
      <c r="B113" s="157" t="s">
        <v>194</v>
      </c>
      <c r="C113" s="158" t="s">
        <v>354</v>
      </c>
      <c r="D113" s="156" t="s">
        <v>334</v>
      </c>
      <c r="E113" s="246">
        <v>0</v>
      </c>
      <c r="F113" s="246">
        <v>0</v>
      </c>
      <c r="G113" s="246">
        <f t="shared" si="3"/>
        <v>0</v>
      </c>
    </row>
    <row r="114" spans="2:7" hidden="1">
      <c r="B114" s="157" t="s">
        <v>194</v>
      </c>
      <c r="C114" s="158" t="s">
        <v>355</v>
      </c>
      <c r="D114" s="156" t="s">
        <v>334</v>
      </c>
      <c r="E114" s="246">
        <v>0</v>
      </c>
      <c r="F114" s="246">
        <v>0</v>
      </c>
      <c r="G114" s="246">
        <f t="shared" si="3"/>
        <v>0</v>
      </c>
    </row>
    <row r="115" spans="2:7" hidden="1">
      <c r="B115" s="157" t="s">
        <v>194</v>
      </c>
      <c r="C115" s="158" t="s">
        <v>356</v>
      </c>
      <c r="D115" s="156" t="s">
        <v>334</v>
      </c>
      <c r="E115" s="246">
        <v>0</v>
      </c>
      <c r="F115" s="246">
        <v>0</v>
      </c>
      <c r="G115" s="246">
        <f t="shared" si="3"/>
        <v>0</v>
      </c>
    </row>
    <row r="116" spans="2:7" hidden="1">
      <c r="B116" s="157" t="s">
        <v>194</v>
      </c>
      <c r="C116" s="158" t="s">
        <v>357</v>
      </c>
      <c r="D116" s="156" t="s">
        <v>334</v>
      </c>
      <c r="E116" s="246">
        <v>0</v>
      </c>
      <c r="F116" s="246">
        <v>0</v>
      </c>
      <c r="G116" s="246">
        <f t="shared" si="3"/>
        <v>0</v>
      </c>
    </row>
    <row r="117" spans="2:7" hidden="1">
      <c r="B117" s="157" t="s">
        <v>194</v>
      </c>
      <c r="C117" s="158" t="s">
        <v>358</v>
      </c>
      <c r="D117" s="156" t="s">
        <v>334</v>
      </c>
      <c r="E117" s="246">
        <v>0</v>
      </c>
      <c r="F117" s="246">
        <v>0</v>
      </c>
      <c r="G117" s="246">
        <f t="shared" si="3"/>
        <v>0</v>
      </c>
    </row>
    <row r="118" spans="2:7" hidden="1">
      <c r="B118" s="157" t="s">
        <v>194</v>
      </c>
      <c r="C118" s="158" t="s">
        <v>359</v>
      </c>
      <c r="D118" s="156" t="s">
        <v>334</v>
      </c>
      <c r="E118" s="246">
        <v>0</v>
      </c>
      <c r="F118" s="246">
        <v>0</v>
      </c>
      <c r="G118" s="246">
        <f t="shared" si="3"/>
        <v>0</v>
      </c>
    </row>
    <row r="119" spans="2:7" hidden="1">
      <c r="B119" s="157" t="s">
        <v>194</v>
      </c>
      <c r="C119" s="158" t="s">
        <v>360</v>
      </c>
      <c r="D119" s="156" t="s">
        <v>334</v>
      </c>
      <c r="E119" s="246">
        <v>0</v>
      </c>
      <c r="F119" s="246">
        <v>0</v>
      </c>
      <c r="G119" s="246">
        <f t="shared" si="3"/>
        <v>0</v>
      </c>
    </row>
    <row r="120" spans="2:7" ht="60" hidden="1">
      <c r="B120" s="157" t="s">
        <v>232</v>
      </c>
      <c r="C120" s="158" t="s">
        <v>361</v>
      </c>
      <c r="D120" s="156" t="s">
        <v>362</v>
      </c>
      <c r="E120" s="246">
        <v>0</v>
      </c>
      <c r="F120" s="246">
        <v>0</v>
      </c>
      <c r="G120" s="246">
        <f t="shared" si="3"/>
        <v>0</v>
      </c>
    </row>
    <row r="121" spans="2:7" ht="24" hidden="1">
      <c r="B121" s="157" t="s">
        <v>232</v>
      </c>
      <c r="C121" s="158" t="s">
        <v>363</v>
      </c>
      <c r="D121" s="156" t="s">
        <v>364</v>
      </c>
      <c r="E121" s="246">
        <v>0</v>
      </c>
      <c r="F121" s="246">
        <v>0</v>
      </c>
      <c r="G121" s="246">
        <f t="shared" si="3"/>
        <v>0</v>
      </c>
    </row>
    <row r="122" spans="2:7" ht="60" hidden="1">
      <c r="B122" s="157" t="s">
        <v>245</v>
      </c>
      <c r="C122" s="158" t="s">
        <v>245</v>
      </c>
      <c r="D122" s="156" t="s">
        <v>365</v>
      </c>
      <c r="E122" s="246">
        <v>0</v>
      </c>
      <c r="F122" s="246">
        <v>0</v>
      </c>
      <c r="G122" s="246">
        <f t="shared" si="3"/>
        <v>0</v>
      </c>
    </row>
    <row r="123" spans="2:7" ht="48" hidden="1">
      <c r="B123" s="157" t="s">
        <v>245</v>
      </c>
      <c r="C123" s="158" t="s">
        <v>245</v>
      </c>
      <c r="D123" s="156" t="s">
        <v>366</v>
      </c>
      <c r="E123" s="246">
        <v>9.8831137999999985E-2</v>
      </c>
      <c r="F123" s="246">
        <v>9.8831137999999985E-2</v>
      </c>
      <c r="G123" s="246">
        <f t="shared" si="3"/>
        <v>0</v>
      </c>
    </row>
    <row r="124" spans="2:7" ht="60" hidden="1">
      <c r="B124" s="157" t="s">
        <v>245</v>
      </c>
      <c r="C124" s="158" t="s">
        <v>245</v>
      </c>
      <c r="D124" s="156" t="s">
        <v>367</v>
      </c>
      <c r="E124" s="246">
        <v>0.31169970000000002</v>
      </c>
      <c r="F124" s="246">
        <v>0.31169970000000002</v>
      </c>
      <c r="G124" s="246">
        <f t="shared" si="3"/>
        <v>0</v>
      </c>
    </row>
    <row r="125" spans="2:7" ht="36" hidden="1">
      <c r="B125" s="157" t="s">
        <v>245</v>
      </c>
      <c r="C125" s="158" t="s">
        <v>245</v>
      </c>
      <c r="D125" s="156" t="s">
        <v>368</v>
      </c>
      <c r="E125" s="246">
        <v>6.7202799999999993E-2</v>
      </c>
      <c r="F125" s="246">
        <v>6.7202799999999993E-2</v>
      </c>
      <c r="G125" s="246">
        <f t="shared" si="3"/>
        <v>0</v>
      </c>
    </row>
    <row r="126" spans="2:7" ht="36" hidden="1">
      <c r="B126" s="157" t="s">
        <v>369</v>
      </c>
      <c r="C126" s="158" t="s">
        <v>245</v>
      </c>
      <c r="D126" s="156" t="s">
        <v>370</v>
      </c>
      <c r="E126" s="246">
        <v>0.398729</v>
      </c>
      <c r="F126" s="246">
        <v>0.398729</v>
      </c>
      <c r="G126" s="246">
        <f t="shared" si="3"/>
        <v>0</v>
      </c>
    </row>
    <row r="127" spans="2:7" ht="24" hidden="1">
      <c r="B127" s="157" t="s">
        <v>245</v>
      </c>
      <c r="C127" s="158" t="s">
        <v>245</v>
      </c>
      <c r="D127" s="156" t="s">
        <v>371</v>
      </c>
      <c r="E127" s="246">
        <v>3.5723499999999998E-2</v>
      </c>
      <c r="F127" s="246">
        <v>3.5723499999999998E-2</v>
      </c>
      <c r="G127" s="246">
        <f t="shared" si="3"/>
        <v>0</v>
      </c>
    </row>
    <row r="128" spans="2:7" ht="48" hidden="1">
      <c r="B128" s="157" t="s">
        <v>245</v>
      </c>
      <c r="C128" s="158" t="s">
        <v>245</v>
      </c>
      <c r="D128" s="156" t="s">
        <v>372</v>
      </c>
      <c r="E128" s="246">
        <v>1.4745899999999999E-2</v>
      </c>
      <c r="F128" s="246">
        <v>1.4745899999999999E-2</v>
      </c>
      <c r="G128" s="246">
        <f t="shared" si="3"/>
        <v>0</v>
      </c>
    </row>
    <row r="129" spans="2:7" ht="36" hidden="1">
      <c r="B129" s="157" t="s">
        <v>245</v>
      </c>
      <c r="C129" s="158" t="s">
        <v>245</v>
      </c>
      <c r="D129" s="156" t="s">
        <v>373</v>
      </c>
      <c r="E129" s="246">
        <v>1.2774499999999999E-2</v>
      </c>
      <c r="F129" s="246">
        <v>1.2774499999999999E-2</v>
      </c>
      <c r="G129" s="246">
        <f t="shared" si="3"/>
        <v>0</v>
      </c>
    </row>
    <row r="130" spans="2:7" ht="36" hidden="1">
      <c r="B130" s="157" t="s">
        <v>245</v>
      </c>
      <c r="C130" s="158" t="s">
        <v>245</v>
      </c>
      <c r="D130" s="156" t="s">
        <v>374</v>
      </c>
      <c r="E130" s="246">
        <v>1.65281E-2</v>
      </c>
      <c r="F130" s="246">
        <v>1.65281E-2</v>
      </c>
      <c r="G130" s="246">
        <f t="shared" si="3"/>
        <v>0</v>
      </c>
    </row>
    <row r="131" spans="2:7" ht="36" hidden="1">
      <c r="B131" s="157" t="s">
        <v>245</v>
      </c>
      <c r="C131" s="158" t="s">
        <v>245</v>
      </c>
      <c r="D131" s="156" t="s">
        <v>375</v>
      </c>
      <c r="E131" s="246">
        <v>6.3699999999999998E-3</v>
      </c>
      <c r="F131" s="246">
        <v>6.3699999999999998E-3</v>
      </c>
      <c r="G131" s="246">
        <f t="shared" si="3"/>
        <v>0</v>
      </c>
    </row>
    <row r="132" spans="2:7" ht="36" hidden="1">
      <c r="B132" s="157" t="s">
        <v>245</v>
      </c>
      <c r="C132" s="158" t="s">
        <v>245</v>
      </c>
      <c r="D132" s="156" t="s">
        <v>376</v>
      </c>
      <c r="E132" s="246">
        <v>0.65155700000000005</v>
      </c>
      <c r="F132" s="246">
        <v>0.65155700000000005</v>
      </c>
      <c r="G132" s="246">
        <f t="shared" si="3"/>
        <v>0</v>
      </c>
    </row>
    <row r="133" spans="2:7" ht="24" hidden="1">
      <c r="B133" s="157" t="s">
        <v>245</v>
      </c>
      <c r="C133" s="158" t="s">
        <v>245</v>
      </c>
      <c r="D133" s="156" t="s">
        <v>377</v>
      </c>
      <c r="E133" s="246">
        <v>0.25609470000000001</v>
      </c>
      <c r="F133" s="246">
        <v>0.25609470000000001</v>
      </c>
      <c r="G133" s="246">
        <f t="shared" ref="G133:G164" si="4">E133-F133</f>
        <v>0</v>
      </c>
    </row>
    <row r="134" spans="2:7" ht="48" hidden="1">
      <c r="B134" s="157" t="s">
        <v>245</v>
      </c>
      <c r="C134" s="158" t="s">
        <v>245</v>
      </c>
      <c r="D134" s="156" t="s">
        <v>378</v>
      </c>
      <c r="E134" s="246">
        <v>8.9845800000000003E-2</v>
      </c>
      <c r="F134" s="246">
        <v>8.9845800000000003E-2</v>
      </c>
      <c r="G134" s="246">
        <f t="shared" si="4"/>
        <v>0</v>
      </c>
    </row>
    <row r="135" spans="2:7" ht="72" hidden="1">
      <c r="B135" s="157" t="s">
        <v>245</v>
      </c>
      <c r="C135" s="158" t="s">
        <v>245</v>
      </c>
      <c r="D135" s="156" t="s">
        <v>379</v>
      </c>
      <c r="E135" s="246">
        <v>8.9403200000000002E-2</v>
      </c>
      <c r="F135" s="246">
        <v>8.9403200000000002E-2</v>
      </c>
      <c r="G135" s="246">
        <f t="shared" si="4"/>
        <v>0</v>
      </c>
    </row>
    <row r="136" spans="2:7" ht="24" hidden="1">
      <c r="B136" s="157" t="s">
        <v>245</v>
      </c>
      <c r="C136" s="158" t="s">
        <v>245</v>
      </c>
      <c r="D136" s="156" t="s">
        <v>380</v>
      </c>
      <c r="E136" s="246">
        <v>6.8242300000000006E-2</v>
      </c>
      <c r="F136" s="246">
        <v>6.8242300000000006E-2</v>
      </c>
      <c r="G136" s="246">
        <f t="shared" si="4"/>
        <v>0</v>
      </c>
    </row>
    <row r="137" spans="2:7" ht="48" hidden="1">
      <c r="B137" s="157" t="s">
        <v>245</v>
      </c>
      <c r="C137" s="158" t="s">
        <v>245</v>
      </c>
      <c r="D137" s="156" t="s">
        <v>381</v>
      </c>
      <c r="E137" s="246">
        <v>4.2346700000000001E-2</v>
      </c>
      <c r="F137" s="246">
        <v>4.2346700000000001E-2</v>
      </c>
      <c r="G137" s="246">
        <f t="shared" si="4"/>
        <v>0</v>
      </c>
    </row>
    <row r="138" spans="2:7" ht="36" hidden="1">
      <c r="B138" s="157" t="s">
        <v>245</v>
      </c>
      <c r="C138" s="158" t="s">
        <v>245</v>
      </c>
      <c r="D138" s="156" t="s">
        <v>382</v>
      </c>
      <c r="E138" s="246">
        <v>3.07137E-2</v>
      </c>
      <c r="F138" s="246">
        <v>3.07137E-2</v>
      </c>
      <c r="G138" s="246">
        <f t="shared" si="4"/>
        <v>0</v>
      </c>
    </row>
    <row r="139" spans="2:7" ht="60" hidden="1">
      <c r="B139" s="157" t="s">
        <v>245</v>
      </c>
      <c r="C139" s="158" t="s">
        <v>245</v>
      </c>
      <c r="D139" s="156" t="s">
        <v>383</v>
      </c>
      <c r="E139" s="246">
        <v>0</v>
      </c>
      <c r="F139" s="246">
        <v>0</v>
      </c>
      <c r="G139" s="246">
        <f t="shared" si="4"/>
        <v>0</v>
      </c>
    </row>
    <row r="140" spans="2:7" ht="48" hidden="1">
      <c r="B140" s="157" t="s">
        <v>245</v>
      </c>
      <c r="C140" s="158" t="s">
        <v>245</v>
      </c>
      <c r="D140" s="156" t="s">
        <v>384</v>
      </c>
      <c r="E140" s="246">
        <v>2.6562000000000001E-3</v>
      </c>
      <c r="F140" s="246">
        <v>2.6562000000000001E-3</v>
      </c>
      <c r="G140" s="246">
        <f t="shared" si="4"/>
        <v>0</v>
      </c>
    </row>
    <row r="141" spans="2:7" ht="36" hidden="1">
      <c r="B141" s="157" t="s">
        <v>245</v>
      </c>
      <c r="C141" s="158" t="s">
        <v>245</v>
      </c>
      <c r="D141" s="156" t="s">
        <v>385</v>
      </c>
      <c r="E141" s="246">
        <v>1.5549109000000001</v>
      </c>
      <c r="F141" s="246">
        <v>1.5549109000000001</v>
      </c>
      <c r="G141" s="246">
        <f t="shared" si="4"/>
        <v>0</v>
      </c>
    </row>
    <row r="142" spans="2:7" ht="60" hidden="1">
      <c r="B142" s="157" t="s">
        <v>245</v>
      </c>
      <c r="C142" s="158" t="s">
        <v>245</v>
      </c>
      <c r="D142" s="156" t="s">
        <v>386</v>
      </c>
      <c r="E142" s="246">
        <v>4.3647E-3</v>
      </c>
      <c r="F142" s="246">
        <v>4.3647E-3</v>
      </c>
      <c r="G142" s="246">
        <f t="shared" si="4"/>
        <v>0</v>
      </c>
    </row>
    <row r="143" spans="2:7" ht="60" hidden="1">
      <c r="B143" s="157" t="s">
        <v>245</v>
      </c>
      <c r="C143" s="158" t="s">
        <v>245</v>
      </c>
      <c r="D143" s="156" t="s">
        <v>387</v>
      </c>
      <c r="E143" s="246">
        <v>0.12776399999999999</v>
      </c>
      <c r="F143" s="246">
        <v>0.12776399999999999</v>
      </c>
      <c r="G143" s="246">
        <f t="shared" si="4"/>
        <v>0</v>
      </c>
    </row>
    <row r="144" spans="2:7" ht="36" hidden="1">
      <c r="B144" s="157" t="s">
        <v>245</v>
      </c>
      <c r="C144" s="158" t="s">
        <v>245</v>
      </c>
      <c r="D144" s="156" t="s">
        <v>388</v>
      </c>
      <c r="E144" s="246">
        <v>5.7997699999999999E-2</v>
      </c>
      <c r="F144" s="246">
        <v>5.7997699999999999E-2</v>
      </c>
      <c r="G144" s="246">
        <f t="shared" si="4"/>
        <v>0</v>
      </c>
    </row>
    <row r="145" spans="1:8" ht="60">
      <c r="A145" t="s">
        <v>540</v>
      </c>
      <c r="B145" s="157" t="s">
        <v>253</v>
      </c>
      <c r="C145" s="158" t="s">
        <v>389</v>
      </c>
      <c r="D145" s="156" t="s">
        <v>259</v>
      </c>
      <c r="E145" s="246">
        <v>24.887383712000002</v>
      </c>
      <c r="F145" s="246">
        <v>24.887383712000002</v>
      </c>
      <c r="G145" s="246">
        <f t="shared" si="4"/>
        <v>0</v>
      </c>
      <c r="H145" s="235">
        <f>F145</f>
        <v>24.887383712000002</v>
      </c>
    </row>
    <row r="146" spans="1:8" ht="60">
      <c r="A146" t="s">
        <v>539</v>
      </c>
      <c r="B146" s="157" t="s">
        <v>253</v>
      </c>
      <c r="C146" s="158" t="s">
        <v>390</v>
      </c>
      <c r="D146" s="156" t="s">
        <v>267</v>
      </c>
      <c r="E146" s="246">
        <v>40.341070289999998</v>
      </c>
      <c r="F146" s="246">
        <v>40.341070289999998</v>
      </c>
      <c r="G146" s="246">
        <f t="shared" si="4"/>
        <v>0</v>
      </c>
      <c r="H146" s="235">
        <f>F146*40%</f>
        <v>16.136428116000001</v>
      </c>
    </row>
    <row r="147" spans="1:8" hidden="1">
      <c r="B147" s="157" t="s">
        <v>253</v>
      </c>
      <c r="C147" s="158" t="s">
        <v>391</v>
      </c>
      <c r="D147" s="156" t="s">
        <v>392</v>
      </c>
      <c r="E147" s="246">
        <v>0</v>
      </c>
      <c r="F147" s="246">
        <v>0</v>
      </c>
      <c r="G147" s="246">
        <f t="shared" si="4"/>
        <v>0</v>
      </c>
    </row>
    <row r="148" spans="1:8" ht="60">
      <c r="A148" t="s">
        <v>539</v>
      </c>
      <c r="B148" s="157" t="s">
        <v>253</v>
      </c>
      <c r="C148" s="158" t="s">
        <v>393</v>
      </c>
      <c r="D148" s="156" t="s">
        <v>267</v>
      </c>
      <c r="E148" s="246">
        <v>10.019612845999999</v>
      </c>
      <c r="F148" s="246">
        <v>10.019612845999999</v>
      </c>
      <c r="G148" s="246">
        <f t="shared" si="4"/>
        <v>0</v>
      </c>
      <c r="H148" s="235">
        <f>F148*40%</f>
        <v>4.0078451383999996</v>
      </c>
    </row>
    <row r="149" spans="1:8" ht="36" hidden="1">
      <c r="B149" s="157" t="s">
        <v>253</v>
      </c>
      <c r="C149" s="158" t="s">
        <v>394</v>
      </c>
      <c r="D149" s="156" t="s">
        <v>395</v>
      </c>
      <c r="E149" s="246">
        <v>1.42</v>
      </c>
      <c r="F149" s="246">
        <v>1.42</v>
      </c>
      <c r="G149" s="246">
        <f t="shared" si="4"/>
        <v>0</v>
      </c>
    </row>
    <row r="150" spans="1:8" ht="48" hidden="1">
      <c r="B150" s="157" t="s">
        <v>253</v>
      </c>
      <c r="C150" s="158" t="s">
        <v>396</v>
      </c>
      <c r="D150" s="156" t="s">
        <v>397</v>
      </c>
      <c r="E150" s="246">
        <v>0</v>
      </c>
      <c r="F150" s="246">
        <v>0</v>
      </c>
      <c r="G150" s="246">
        <f t="shared" si="4"/>
        <v>0</v>
      </c>
    </row>
    <row r="151" spans="1:8" ht="36">
      <c r="A151" t="s">
        <v>538</v>
      </c>
      <c r="B151" s="157" t="s">
        <v>271</v>
      </c>
      <c r="C151" s="158" t="s">
        <v>398</v>
      </c>
      <c r="D151" s="156" t="s">
        <v>399</v>
      </c>
      <c r="E151" s="246">
        <v>2.8041730460000003</v>
      </c>
      <c r="F151" s="246">
        <v>2.8041730460000003</v>
      </c>
      <c r="G151" s="246">
        <f t="shared" si="4"/>
        <v>0</v>
      </c>
      <c r="H151" s="235">
        <f>F151</f>
        <v>2.8041730460000003</v>
      </c>
    </row>
    <row r="152" spans="1:8" ht="24" hidden="1">
      <c r="B152" s="157" t="s">
        <v>271</v>
      </c>
      <c r="C152" s="158" t="s">
        <v>400</v>
      </c>
      <c r="D152" s="156" t="s">
        <v>401</v>
      </c>
      <c r="E152" s="246">
        <v>5.8063499999999997E-2</v>
      </c>
      <c r="F152" s="246">
        <v>5.8063499999999997E-2</v>
      </c>
      <c r="G152" s="246">
        <f t="shared" si="4"/>
        <v>0</v>
      </c>
    </row>
    <row r="153" spans="1:8" ht="72" hidden="1">
      <c r="B153" s="157" t="s">
        <v>271</v>
      </c>
      <c r="C153" s="158" t="s">
        <v>402</v>
      </c>
      <c r="D153" s="156" t="s">
        <v>403</v>
      </c>
      <c r="E153" s="246">
        <v>0.10636449199999999</v>
      </c>
      <c r="F153" s="246">
        <v>0.10636449199999999</v>
      </c>
      <c r="G153" s="246">
        <f t="shared" si="4"/>
        <v>0</v>
      </c>
    </row>
    <row r="154" spans="1:8" hidden="1">
      <c r="B154" s="157" t="s">
        <v>271</v>
      </c>
      <c r="C154" s="158" t="s">
        <v>404</v>
      </c>
      <c r="D154" s="156" t="s">
        <v>405</v>
      </c>
      <c r="E154" s="246">
        <v>0</v>
      </c>
      <c r="F154" s="246">
        <v>0</v>
      </c>
      <c r="G154" s="246">
        <f t="shared" si="4"/>
        <v>0</v>
      </c>
    </row>
    <row r="155" spans="1:8" ht="36" hidden="1">
      <c r="B155" s="157" t="s">
        <v>271</v>
      </c>
      <c r="C155" s="158" t="s">
        <v>406</v>
      </c>
      <c r="D155" s="156" t="s">
        <v>407</v>
      </c>
      <c r="E155" s="246">
        <v>1.2234500000000001E-2</v>
      </c>
      <c r="F155" s="246">
        <v>1.2234500000000001E-2</v>
      </c>
      <c r="G155" s="246">
        <f t="shared" si="4"/>
        <v>0</v>
      </c>
    </row>
    <row r="156" spans="1:8" ht="24" hidden="1">
      <c r="B156" s="157" t="s">
        <v>271</v>
      </c>
      <c r="C156" s="158" t="s">
        <v>408</v>
      </c>
      <c r="D156" s="156" t="s">
        <v>401</v>
      </c>
      <c r="E156" s="246">
        <v>0</v>
      </c>
      <c r="F156" s="246">
        <v>0</v>
      </c>
      <c r="G156" s="246">
        <f t="shared" si="4"/>
        <v>0</v>
      </c>
    </row>
    <row r="157" spans="1:8" ht="24" hidden="1">
      <c r="B157" s="157" t="s">
        <v>271</v>
      </c>
      <c r="C157" s="158" t="s">
        <v>409</v>
      </c>
      <c r="D157" s="156" t="s">
        <v>410</v>
      </c>
      <c r="E157" s="246">
        <v>1.2990276999999999</v>
      </c>
      <c r="F157" s="246">
        <v>1.2990276999999999</v>
      </c>
      <c r="G157" s="246">
        <f t="shared" si="4"/>
        <v>0</v>
      </c>
    </row>
    <row r="158" spans="1:8" ht="72" hidden="1">
      <c r="B158" s="157" t="s">
        <v>271</v>
      </c>
      <c r="C158" s="158" t="s">
        <v>411</v>
      </c>
      <c r="D158" s="156" t="s">
        <v>412</v>
      </c>
      <c r="E158" s="246">
        <v>6.08502E-2</v>
      </c>
      <c r="F158" s="246">
        <v>6.08502E-2</v>
      </c>
      <c r="G158" s="246">
        <f t="shared" si="4"/>
        <v>0</v>
      </c>
    </row>
    <row r="159" spans="1:8" hidden="1">
      <c r="B159" s="157" t="s">
        <v>271</v>
      </c>
      <c r="C159" s="158" t="s">
        <v>413</v>
      </c>
      <c r="D159" s="156">
        <v>0</v>
      </c>
      <c r="E159" s="246">
        <v>0</v>
      </c>
      <c r="F159" s="246">
        <v>0</v>
      </c>
      <c r="G159" s="246">
        <f t="shared" si="4"/>
        <v>0</v>
      </c>
    </row>
    <row r="160" spans="1:8" hidden="1">
      <c r="B160" s="157" t="s">
        <v>271</v>
      </c>
      <c r="C160" s="158" t="s">
        <v>414</v>
      </c>
      <c r="D160" s="156">
        <v>0</v>
      </c>
      <c r="E160" s="246">
        <v>0.1681049</v>
      </c>
      <c r="F160" s="246">
        <v>0.1681049</v>
      </c>
      <c r="G160" s="246">
        <f t="shared" si="4"/>
        <v>0</v>
      </c>
    </row>
    <row r="161" spans="2:8" hidden="1">
      <c r="B161" s="157" t="s">
        <v>271</v>
      </c>
      <c r="C161" s="158" t="s">
        <v>289</v>
      </c>
      <c r="D161" s="156">
        <v>0</v>
      </c>
      <c r="E161" s="246">
        <v>3.8999999999999998E-8</v>
      </c>
      <c r="F161" s="246">
        <v>0</v>
      </c>
      <c r="G161" s="246">
        <f t="shared" si="4"/>
        <v>3.8999999999999998E-8</v>
      </c>
    </row>
    <row r="162" spans="2:8" ht="24">
      <c r="B162" s="157" t="s">
        <v>290</v>
      </c>
      <c r="C162" s="158" t="s">
        <v>415</v>
      </c>
      <c r="D162" s="156" t="s">
        <v>415</v>
      </c>
      <c r="E162" s="246">
        <v>39.451367374</v>
      </c>
      <c r="F162" s="246">
        <v>39.451367374</v>
      </c>
      <c r="G162" s="246">
        <f t="shared" si="4"/>
        <v>0</v>
      </c>
      <c r="H162" s="235">
        <v>0</v>
      </c>
    </row>
    <row r="163" spans="2:8" hidden="1">
      <c r="B163" s="157" t="s">
        <v>290</v>
      </c>
      <c r="C163" s="158" t="s">
        <v>416</v>
      </c>
      <c r="D163" s="156" t="s">
        <v>292</v>
      </c>
      <c r="E163" s="246">
        <v>0</v>
      </c>
      <c r="F163" s="246">
        <v>0</v>
      </c>
      <c r="G163" s="246">
        <f t="shared" si="4"/>
        <v>0</v>
      </c>
    </row>
    <row r="164" spans="2:8" ht="36" hidden="1">
      <c r="B164" s="157" t="s">
        <v>316</v>
      </c>
      <c r="C164" s="158" t="s">
        <v>316</v>
      </c>
      <c r="D164" s="156" t="s">
        <v>417</v>
      </c>
      <c r="E164" s="246">
        <v>0.30449179999999998</v>
      </c>
      <c r="F164" s="246">
        <v>0.30449179999999998</v>
      </c>
      <c r="G164" s="246">
        <f t="shared" si="4"/>
        <v>0</v>
      </c>
    </row>
    <row r="165" spans="2:8" ht="36" hidden="1">
      <c r="B165" s="157" t="s">
        <v>316</v>
      </c>
      <c r="C165" s="158" t="s">
        <v>316</v>
      </c>
      <c r="D165" s="156" t="s">
        <v>418</v>
      </c>
      <c r="E165" s="246">
        <v>1.6350769199999999</v>
      </c>
      <c r="F165" s="246">
        <v>1.6350769199999999</v>
      </c>
      <c r="G165" s="246">
        <f t="shared" ref="G165:G166" si="5">E165-F165</f>
        <v>0</v>
      </c>
    </row>
    <row r="166" spans="2:8" ht="60" hidden="1">
      <c r="B166" s="157" t="s">
        <v>245</v>
      </c>
      <c r="C166" s="158" t="s">
        <v>245</v>
      </c>
      <c r="D166" s="156" t="s">
        <v>419</v>
      </c>
      <c r="E166" s="246">
        <v>4.5373299999999998E-2</v>
      </c>
      <c r="F166" s="246">
        <v>4.5373299999999998E-2</v>
      </c>
      <c r="G166" s="246">
        <f t="shared" si="5"/>
        <v>0</v>
      </c>
    </row>
  </sheetData>
  <autoFilter ref="E2:G166" xr:uid="{00000000-0009-0000-0000-000003000000}">
    <filterColumn colId="1">
      <filters blank="1">
        <filter val="10"/>
        <filter val="11"/>
        <filter val="12"/>
        <filter val="17"/>
        <filter val="20"/>
        <filter val="25"/>
        <filter val="3"/>
        <filter val="39"/>
        <filter val="4"/>
        <filter val="40"/>
        <filter val="5"/>
        <filter val="6"/>
        <filter val="8"/>
        <filter val="9"/>
        <filter val="Total Provisions"/>
      </filters>
    </filterColumn>
  </autoFilter>
  <mergeCells count="4">
    <mergeCell ref="B3:B4"/>
    <mergeCell ref="C3:C4"/>
    <mergeCell ref="D3:D4"/>
    <mergeCell ref="E3:G3"/>
  </mergeCells>
  <conditionalFormatting sqref="A5">
    <cfRule type="duplicateValues" dxfId="1" priority="2"/>
  </conditionalFormatting>
  <conditionalFormatting sqref="A86">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2:V265"/>
  <sheetViews>
    <sheetView topLeftCell="A6" workbookViewId="0">
      <selection activeCell="B11" sqref="B11:K11"/>
    </sheetView>
  </sheetViews>
  <sheetFormatPr defaultRowHeight="14.4"/>
  <cols>
    <col min="1" max="1" width="4.44140625" customWidth="1"/>
    <col min="3" max="3" width="21.33203125" customWidth="1"/>
    <col min="4" max="10" width="14.6640625" customWidth="1"/>
    <col min="11" max="12" width="28.5546875" customWidth="1"/>
    <col min="13" max="13" width="13" customWidth="1"/>
    <col min="14" max="14" width="8.88671875" customWidth="1"/>
    <col min="15" max="15" width="17.109375" customWidth="1"/>
    <col min="27" max="28" width="0" hidden="1" customWidth="1"/>
  </cols>
  <sheetData>
    <row r="2" spans="2:19" ht="15" customHeight="1">
      <c r="B2" s="418" t="s">
        <v>98</v>
      </c>
      <c r="C2" s="418"/>
      <c r="D2" s="418"/>
      <c r="E2" s="418"/>
      <c r="F2" s="418"/>
      <c r="G2" s="418"/>
      <c r="H2" s="418"/>
      <c r="I2" s="418"/>
      <c r="J2" s="418"/>
      <c r="K2" s="418"/>
      <c r="L2" s="350"/>
    </row>
    <row r="3" spans="2:19">
      <c r="B3" s="419" t="s">
        <v>93</v>
      </c>
      <c r="C3" s="419"/>
      <c r="D3" s="419"/>
      <c r="E3" s="419"/>
      <c r="F3" s="419"/>
      <c r="G3" s="419"/>
      <c r="H3" s="419"/>
      <c r="I3" s="419"/>
      <c r="J3" s="419"/>
      <c r="K3" s="419"/>
      <c r="L3" s="351"/>
    </row>
    <row r="4" spans="2:19">
      <c r="B4" s="81"/>
      <c r="C4" s="81"/>
      <c r="D4" s="81"/>
      <c r="E4" s="421" t="s">
        <v>522</v>
      </c>
      <c r="F4" s="421"/>
      <c r="G4" s="421"/>
      <c r="H4" s="421"/>
      <c r="I4" s="421"/>
      <c r="J4" s="421"/>
      <c r="K4" s="81"/>
      <c r="L4" s="351"/>
      <c r="O4">
        <f>I8/D8</f>
        <v>0.71574518454733682</v>
      </c>
    </row>
    <row r="5" spans="2:19" ht="43.2">
      <c r="B5" s="86" t="s">
        <v>0</v>
      </c>
      <c r="C5" s="86" t="s">
        <v>1</v>
      </c>
      <c r="D5" s="37" t="s">
        <v>64</v>
      </c>
      <c r="E5" s="86" t="s">
        <v>556</v>
      </c>
      <c r="F5" s="86" t="s">
        <v>557</v>
      </c>
      <c r="G5" s="86" t="s">
        <v>528</v>
      </c>
      <c r="H5" s="86" t="s">
        <v>661</v>
      </c>
      <c r="I5" s="86" t="s">
        <v>97</v>
      </c>
      <c r="J5" s="86" t="s">
        <v>143</v>
      </c>
      <c r="K5" s="86" t="s">
        <v>22</v>
      </c>
      <c r="L5" s="352"/>
      <c r="O5">
        <f>J8/D8</f>
        <v>0.39755708819755919</v>
      </c>
    </row>
    <row r="6" spans="2:19" ht="14.4" customHeight="1">
      <c r="B6" s="424" t="str">
        <f>'SUMMARY-2023'!B5</f>
        <v>Figures in INR Crores</v>
      </c>
      <c r="C6" s="424"/>
      <c r="D6" s="424"/>
      <c r="E6" s="424"/>
      <c r="F6" s="424"/>
      <c r="G6" s="424"/>
      <c r="H6" s="424"/>
      <c r="I6" s="424"/>
      <c r="J6" s="424"/>
      <c r="K6" s="424"/>
      <c r="L6" s="353"/>
    </row>
    <row r="7" spans="2:19" ht="178.5" customHeight="1">
      <c r="B7" s="95">
        <v>1</v>
      </c>
      <c r="C7" s="66" t="s">
        <v>98</v>
      </c>
      <c r="D7" s="70">
        <v>124.86</v>
      </c>
      <c r="E7" s="70">
        <f>H186</f>
        <v>36.455581424029276</v>
      </c>
      <c r="F7" s="70">
        <f>I186</f>
        <v>34.303526098961974</v>
      </c>
      <c r="G7" s="70">
        <f>J21</f>
        <v>0</v>
      </c>
      <c r="H7" s="70">
        <f>K186</f>
        <v>54.099729163211819</v>
      </c>
      <c r="I7" s="101">
        <f>P28</f>
        <v>89.367943742580479</v>
      </c>
      <c r="J7" s="102">
        <f>P31</f>
        <v>49.638978032347239</v>
      </c>
      <c r="K7" s="98" t="s">
        <v>686</v>
      </c>
      <c r="L7" s="354"/>
      <c r="M7" s="47"/>
      <c r="N7" s="47"/>
      <c r="O7" s="47">
        <v>0.3</v>
      </c>
    </row>
    <row r="8" spans="2:19">
      <c r="B8" s="99"/>
      <c r="C8" s="68" t="s">
        <v>21</v>
      </c>
      <c r="D8" s="71">
        <f t="shared" ref="D8:J8" si="0">D7</f>
        <v>124.86</v>
      </c>
      <c r="E8" s="71">
        <f t="shared" si="0"/>
        <v>36.455581424029276</v>
      </c>
      <c r="F8" s="71">
        <f t="shared" si="0"/>
        <v>34.303526098961974</v>
      </c>
      <c r="G8" s="71">
        <f t="shared" si="0"/>
        <v>0</v>
      </c>
      <c r="H8" s="71">
        <f t="shared" si="0"/>
        <v>54.099729163211819</v>
      </c>
      <c r="I8" s="71">
        <f t="shared" si="0"/>
        <v>89.367943742580479</v>
      </c>
      <c r="J8" s="71">
        <f t="shared" si="0"/>
        <v>49.638978032347239</v>
      </c>
      <c r="K8" s="100"/>
      <c r="L8" s="355"/>
    </row>
    <row r="9" spans="2:19">
      <c r="B9" s="98"/>
      <c r="C9" s="98"/>
      <c r="D9" s="98"/>
      <c r="E9" s="98"/>
      <c r="F9" s="98"/>
      <c r="G9" s="98"/>
      <c r="H9" s="98"/>
      <c r="I9" s="98"/>
      <c r="J9" s="98"/>
      <c r="K9" s="98"/>
      <c r="L9" s="354"/>
    </row>
    <row r="10" spans="2:19">
      <c r="B10" s="420" t="s">
        <v>20</v>
      </c>
      <c r="C10" s="420"/>
      <c r="D10" s="420"/>
      <c r="E10" s="420"/>
      <c r="F10" s="420"/>
      <c r="G10" s="420"/>
      <c r="H10" s="420"/>
      <c r="I10" s="420"/>
      <c r="J10" s="420"/>
      <c r="K10" s="420"/>
      <c r="L10" s="356"/>
    </row>
    <row r="11" spans="2:19" ht="195" customHeight="1">
      <c r="B11" s="425" t="s">
        <v>695</v>
      </c>
      <c r="C11" s="425"/>
      <c r="D11" s="425"/>
      <c r="E11" s="425"/>
      <c r="F11" s="425"/>
      <c r="G11" s="425"/>
      <c r="H11" s="425"/>
      <c r="I11" s="425"/>
      <c r="J11" s="425"/>
      <c r="K11" s="425"/>
      <c r="L11" s="357"/>
    </row>
    <row r="12" spans="2:19" ht="14.4" customHeight="1">
      <c r="B12" s="422"/>
      <c r="C12" s="423"/>
      <c r="D12" s="423"/>
      <c r="E12" s="423"/>
      <c r="F12" s="423"/>
      <c r="G12" s="423"/>
      <c r="H12" s="423"/>
      <c r="I12" s="423"/>
      <c r="J12" s="423"/>
      <c r="K12" s="423"/>
      <c r="L12" s="317"/>
    </row>
    <row r="13" spans="2:19" ht="14.4" customHeight="1">
      <c r="B13" s="422"/>
      <c r="C13" s="423"/>
      <c r="D13" s="423"/>
      <c r="E13" s="423"/>
      <c r="F13" s="423"/>
      <c r="G13" s="423"/>
      <c r="H13" s="423"/>
      <c r="I13" s="423"/>
      <c r="J13" s="423"/>
      <c r="K13" s="423"/>
      <c r="L13" s="317"/>
    </row>
    <row r="14" spans="2:19" ht="14.4" customHeight="1">
      <c r="B14" s="422"/>
      <c r="C14" s="423"/>
      <c r="D14" s="423"/>
      <c r="E14" s="423"/>
      <c r="F14" s="423"/>
      <c r="G14" s="423"/>
      <c r="H14" s="423"/>
      <c r="I14" s="423"/>
      <c r="J14" s="423"/>
      <c r="K14" s="423"/>
      <c r="L14" s="317"/>
    </row>
    <row r="15" spans="2:19" ht="14.4" customHeight="1">
      <c r="B15" s="422"/>
      <c r="C15" s="423"/>
      <c r="D15" s="423"/>
      <c r="E15" s="423"/>
      <c r="F15" s="423"/>
      <c r="G15" s="423"/>
      <c r="H15" s="423"/>
      <c r="I15" s="423"/>
      <c r="J15" s="423"/>
      <c r="K15" s="423"/>
      <c r="L15" s="317"/>
    </row>
    <row r="16" spans="2:19" ht="15" customHeight="1">
      <c r="B16" s="426"/>
      <c r="C16" s="426"/>
      <c r="D16" s="426"/>
      <c r="E16" s="426"/>
      <c r="F16" s="426"/>
      <c r="G16" s="426"/>
      <c r="H16" s="426"/>
      <c r="I16" s="426"/>
      <c r="J16" s="426"/>
      <c r="K16" s="426"/>
      <c r="L16" s="317"/>
      <c r="P16">
        <v>33.445487544980985</v>
      </c>
      <c r="Q16">
        <v>28.872591615993578</v>
      </c>
      <c r="R16">
        <v>0</v>
      </c>
      <c r="S16">
        <v>38.325612051018297</v>
      </c>
    </row>
    <row r="17" spans="1:19">
      <c r="P17">
        <v>100.64369121199286</v>
      </c>
    </row>
    <row r="21" spans="1:19" ht="22.95" customHeight="1">
      <c r="A21" s="230" t="s">
        <v>184</v>
      </c>
      <c r="B21" s="231"/>
      <c r="C21" s="231"/>
      <c r="D21" s="232">
        <f>SUBTOTAL(9,D24:D185)</f>
        <v>386.23303390415725</v>
      </c>
      <c r="E21" s="232">
        <f t="shared" ref="E21:K21" si="1">SUBTOTAL(9,E24:E185)</f>
        <v>261.36419721795426</v>
      </c>
      <c r="F21" s="232">
        <f>SUBTOTAL(9,F24:F185)</f>
        <v>124.8688366862031</v>
      </c>
      <c r="G21" s="232"/>
      <c r="H21" s="232">
        <f t="shared" si="1"/>
        <v>36.455581424029276</v>
      </c>
      <c r="I21" s="232">
        <f t="shared" si="1"/>
        <v>34.303526098961974</v>
      </c>
      <c r="J21" s="232">
        <f t="shared" si="1"/>
        <v>0</v>
      </c>
      <c r="K21" s="232">
        <f t="shared" si="1"/>
        <v>54.099729163211819</v>
      </c>
      <c r="L21" s="219"/>
      <c r="O21" s="238" t="s">
        <v>529</v>
      </c>
      <c r="P21" s="123">
        <v>1</v>
      </c>
      <c r="Q21" s="123">
        <f>P21+1</f>
        <v>2</v>
      </c>
      <c r="R21" s="123">
        <f t="shared" ref="R21:S21" si="2">Q21+1</f>
        <v>3</v>
      </c>
      <c r="S21" s="123">
        <f t="shared" si="2"/>
        <v>4</v>
      </c>
    </row>
    <row r="22" spans="1:19" ht="27.6" customHeight="1">
      <c r="A22" s="427" t="s">
        <v>185</v>
      </c>
      <c r="B22" s="427" t="s">
        <v>186</v>
      </c>
      <c r="C22" s="427" t="s">
        <v>187</v>
      </c>
      <c r="D22" s="327" t="s">
        <v>6</v>
      </c>
      <c r="E22" s="328"/>
      <c r="F22" s="329"/>
      <c r="G22" s="316"/>
      <c r="H22" s="428" t="s">
        <v>522</v>
      </c>
      <c r="I22" s="428"/>
      <c r="J22" s="428"/>
      <c r="K22" s="428"/>
      <c r="L22" s="358"/>
      <c r="O22" s="255" t="s">
        <v>64</v>
      </c>
      <c r="P22" s="240">
        <f>F186</f>
        <v>124.8688366862031</v>
      </c>
      <c r="Q22" s="241"/>
      <c r="R22" s="241"/>
      <c r="S22" s="241"/>
    </row>
    <row r="23" spans="1:19">
      <c r="A23" s="427"/>
      <c r="B23" s="427"/>
      <c r="C23" s="427"/>
      <c r="D23" s="176" t="s">
        <v>523</v>
      </c>
      <c r="E23" s="176" t="s">
        <v>524</v>
      </c>
      <c r="F23" s="176" t="s">
        <v>525</v>
      </c>
      <c r="G23" s="176"/>
      <c r="H23" s="176" t="s">
        <v>526</v>
      </c>
      <c r="I23" s="176" t="s">
        <v>527</v>
      </c>
      <c r="J23" s="176" t="s">
        <v>528</v>
      </c>
      <c r="K23" s="176" t="s">
        <v>555</v>
      </c>
      <c r="L23" s="359"/>
      <c r="O23" s="239" t="s">
        <v>559</v>
      </c>
      <c r="P23" s="240">
        <f>H186</f>
        <v>36.455581424029276</v>
      </c>
      <c r="Q23" s="240">
        <f>I186</f>
        <v>34.303526098961974</v>
      </c>
      <c r="R23" s="240">
        <f>J186</f>
        <v>0</v>
      </c>
      <c r="S23" s="240">
        <f>K186</f>
        <v>54.099729163211819</v>
      </c>
    </row>
    <row r="24" spans="1:19" ht="24">
      <c r="A24" s="160" t="s">
        <v>188</v>
      </c>
      <c r="B24" s="161" t="s">
        <v>189</v>
      </c>
      <c r="C24" s="161" t="s">
        <v>190</v>
      </c>
      <c r="D24" s="233">
        <v>2.1787622230000001</v>
      </c>
      <c r="E24" s="233">
        <v>2.9633582230000006</v>
      </c>
      <c r="F24" s="233">
        <f t="shared" ref="F24:F55" si="3">D24-E24</f>
        <v>-0.78459600000000052</v>
      </c>
      <c r="G24" s="233"/>
      <c r="H24" s="233"/>
      <c r="I24" s="233"/>
      <c r="J24" s="233"/>
      <c r="K24" s="233">
        <v>-0.78459600000000052</v>
      </c>
      <c r="L24" s="360"/>
      <c r="O24" s="239" t="s">
        <v>532</v>
      </c>
      <c r="P24" s="241">
        <v>1</v>
      </c>
      <c r="Q24" s="241">
        <f>P24+1</f>
        <v>2</v>
      </c>
      <c r="R24" s="241">
        <f t="shared" ref="R24:S24" si="4">Q24+1</f>
        <v>3</v>
      </c>
      <c r="S24" s="241">
        <f t="shared" si="4"/>
        <v>4</v>
      </c>
    </row>
    <row r="25" spans="1:19" ht="24">
      <c r="A25" s="160" t="s">
        <v>188</v>
      </c>
      <c r="B25" s="161" t="s">
        <v>191</v>
      </c>
      <c r="C25" s="161" t="s">
        <v>190</v>
      </c>
      <c r="D25" s="233">
        <v>3.915725031</v>
      </c>
      <c r="E25" s="233">
        <v>1.4197314731806352</v>
      </c>
      <c r="F25" s="233">
        <f t="shared" si="3"/>
        <v>2.4959935578193648</v>
      </c>
      <c r="G25" s="233"/>
      <c r="H25" s="233"/>
      <c r="I25" s="233"/>
      <c r="J25" s="233"/>
      <c r="K25" s="233">
        <f>F25</f>
        <v>2.4959935578193648</v>
      </c>
      <c r="L25" s="360"/>
      <c r="O25" s="239" t="s">
        <v>533</v>
      </c>
      <c r="P25" s="242">
        <f>1/(1+$P$26)^P24</f>
        <v>0.9174311926605504</v>
      </c>
      <c r="Q25" s="242">
        <f>1/(1+$P$26)^Q24</f>
        <v>0.84167999326655996</v>
      </c>
      <c r="R25" s="242">
        <f>1/(1+$P$26)^R24</f>
        <v>0.77218348006106419</v>
      </c>
      <c r="S25" s="364">
        <v>0.5</v>
      </c>
    </row>
    <row r="26" spans="1:19">
      <c r="A26" s="160" t="s">
        <v>192</v>
      </c>
      <c r="B26" s="161" t="s">
        <v>192</v>
      </c>
      <c r="C26" s="161" t="s">
        <v>193</v>
      </c>
      <c r="D26" s="233">
        <v>0.72045250000000005</v>
      </c>
      <c r="E26" s="233">
        <v>0</v>
      </c>
      <c r="F26" s="233">
        <f t="shared" si="3"/>
        <v>0.72045250000000005</v>
      </c>
      <c r="G26" s="233"/>
      <c r="H26" s="233"/>
      <c r="I26" s="233"/>
      <c r="J26" s="233"/>
      <c r="K26" s="233">
        <f>F26</f>
        <v>0.72045250000000005</v>
      </c>
      <c r="L26" s="360"/>
      <c r="O26" s="239" t="s">
        <v>534</v>
      </c>
      <c r="P26" s="243">
        <v>0.09</v>
      </c>
      <c r="Q26" s="241"/>
      <c r="R26" s="241"/>
      <c r="S26" s="241"/>
    </row>
    <row r="27" spans="1:19" ht="14.4" customHeight="1">
      <c r="A27" s="162" t="s">
        <v>194</v>
      </c>
      <c r="B27" s="163" t="s">
        <v>195</v>
      </c>
      <c r="C27" s="161" t="s">
        <v>196</v>
      </c>
      <c r="D27" s="233">
        <v>1.6074655</v>
      </c>
      <c r="E27" s="233">
        <v>1.6074657000000001</v>
      </c>
      <c r="F27" s="233">
        <f t="shared" si="3"/>
        <v>-2.0000000011677344E-7</v>
      </c>
      <c r="G27" s="233"/>
      <c r="H27" s="233"/>
      <c r="I27" s="233"/>
      <c r="J27" s="233"/>
      <c r="K27" s="233">
        <v>-2.0000000011677344E-7</v>
      </c>
      <c r="L27" s="360"/>
      <c r="O27" s="239" t="s">
        <v>535</v>
      </c>
      <c r="P27" s="240">
        <f>P23*P25</f>
        <v>33.445487544980985</v>
      </c>
      <c r="Q27" s="240">
        <f t="shared" ref="Q27:R27" si="5">Q23*Q25</f>
        <v>28.872591615993578</v>
      </c>
      <c r="R27" s="240">
        <f t="shared" si="5"/>
        <v>0</v>
      </c>
      <c r="S27" s="240">
        <f>S23*S25</f>
        <v>27.04986458160591</v>
      </c>
    </row>
    <row r="28" spans="1:19" ht="43.2">
      <c r="A28" s="162" t="s">
        <v>194</v>
      </c>
      <c r="B28" s="163" t="s">
        <v>197</v>
      </c>
      <c r="C28" s="161" t="s">
        <v>197</v>
      </c>
      <c r="D28" s="233">
        <v>0</v>
      </c>
      <c r="E28" s="233">
        <v>0</v>
      </c>
      <c r="F28" s="233">
        <f t="shared" si="3"/>
        <v>0</v>
      </c>
      <c r="G28" s="233"/>
      <c r="H28" s="233"/>
      <c r="I28" s="233"/>
      <c r="J28" s="233"/>
      <c r="K28" s="233"/>
      <c r="L28" s="360"/>
      <c r="O28" s="244" t="s">
        <v>537</v>
      </c>
      <c r="P28" s="245">
        <f>SUM(P27:S27)</f>
        <v>89.367943742580479</v>
      </c>
      <c r="Q28" s="238"/>
      <c r="R28" s="238"/>
      <c r="S28" s="238"/>
    </row>
    <row r="29" spans="1:19" ht="14.4" hidden="1" customHeight="1">
      <c r="A29" s="162" t="s">
        <v>194</v>
      </c>
      <c r="B29" s="163" t="s">
        <v>198</v>
      </c>
      <c r="C29" s="161" t="s">
        <v>199</v>
      </c>
      <c r="D29" s="233">
        <v>0.83869740000000004</v>
      </c>
      <c r="E29" s="233">
        <v>0.71331160000000005</v>
      </c>
      <c r="F29" s="233">
        <f t="shared" si="3"/>
        <v>0.12538579999999999</v>
      </c>
      <c r="G29" s="233"/>
      <c r="H29" s="233"/>
      <c r="I29" s="233">
        <v>0.12538579999999999</v>
      </c>
      <c r="J29" s="233"/>
      <c r="K29" s="233"/>
      <c r="L29" s="360"/>
    </row>
    <row r="30" spans="1:19" ht="14.4" hidden="1" customHeight="1">
      <c r="A30" s="162" t="s">
        <v>194</v>
      </c>
      <c r="B30" s="163" t="s">
        <v>200</v>
      </c>
      <c r="C30" s="161" t="s">
        <v>201</v>
      </c>
      <c r="D30" s="233">
        <v>0</v>
      </c>
      <c r="E30" s="233">
        <v>0</v>
      </c>
      <c r="F30" s="233">
        <f t="shared" si="3"/>
        <v>0</v>
      </c>
      <c r="G30" s="233"/>
      <c r="H30" s="233"/>
      <c r="I30" s="233"/>
      <c r="J30" s="233"/>
      <c r="K30" s="233"/>
      <c r="L30" s="360"/>
    </row>
    <row r="31" spans="1:19">
      <c r="A31" s="162" t="s">
        <v>194</v>
      </c>
      <c r="B31" s="163" t="s">
        <v>202</v>
      </c>
      <c r="C31" s="161" t="s">
        <v>201</v>
      </c>
      <c r="D31" s="233">
        <v>0</v>
      </c>
      <c r="E31" s="233">
        <v>0</v>
      </c>
      <c r="F31" s="233">
        <f t="shared" si="3"/>
        <v>0</v>
      </c>
      <c r="G31" s="233"/>
      <c r="H31" s="233"/>
      <c r="I31" s="233"/>
      <c r="J31" s="233"/>
      <c r="K31" s="233"/>
      <c r="L31" s="360"/>
      <c r="O31" t="s">
        <v>683</v>
      </c>
      <c r="P31" s="363">
        <f>(P23*0.75)+(Q23*0.65)</f>
        <v>49.638978032347239</v>
      </c>
    </row>
    <row r="32" spans="1:19" ht="14.4" hidden="1" customHeight="1">
      <c r="A32" s="162" t="s">
        <v>194</v>
      </c>
      <c r="B32" s="163" t="s">
        <v>203</v>
      </c>
      <c r="C32" s="161" t="s">
        <v>199</v>
      </c>
      <c r="D32" s="233">
        <v>1.3248826</v>
      </c>
      <c r="E32" s="233">
        <v>0</v>
      </c>
      <c r="F32" s="233">
        <f t="shared" si="3"/>
        <v>1.3248826</v>
      </c>
      <c r="G32" s="233"/>
      <c r="H32" s="233"/>
      <c r="I32" s="233">
        <f>F32</f>
        <v>1.3248826</v>
      </c>
      <c r="J32" s="233"/>
      <c r="K32" s="233"/>
      <c r="L32" s="360"/>
    </row>
    <row r="33" spans="1:12" ht="24" hidden="1" customHeight="1">
      <c r="A33" s="162" t="s">
        <v>194</v>
      </c>
      <c r="B33" s="163" t="s">
        <v>204</v>
      </c>
      <c r="C33" s="161" t="s">
        <v>205</v>
      </c>
      <c r="D33" s="233">
        <v>0</v>
      </c>
      <c r="E33" s="233">
        <v>0</v>
      </c>
      <c r="F33" s="233">
        <f t="shared" si="3"/>
        <v>0</v>
      </c>
      <c r="G33" s="233"/>
      <c r="H33" s="233"/>
      <c r="I33" s="233"/>
      <c r="J33" s="233"/>
      <c r="K33" s="233"/>
      <c r="L33" s="360"/>
    </row>
    <row r="34" spans="1:12" ht="24">
      <c r="A34" s="162" t="s">
        <v>194</v>
      </c>
      <c r="B34" s="163" t="s">
        <v>206</v>
      </c>
      <c r="C34" s="161" t="s">
        <v>207</v>
      </c>
      <c r="D34" s="233">
        <v>0</v>
      </c>
      <c r="E34" s="233">
        <v>0</v>
      </c>
      <c r="F34" s="233">
        <f t="shared" si="3"/>
        <v>0</v>
      </c>
      <c r="G34" s="233"/>
      <c r="H34" s="233"/>
      <c r="I34" s="233"/>
      <c r="J34" s="233"/>
      <c r="K34" s="233"/>
      <c r="L34" s="360"/>
    </row>
    <row r="35" spans="1:12" ht="24">
      <c r="A35" s="162" t="s">
        <v>194</v>
      </c>
      <c r="B35" s="163" t="s">
        <v>208</v>
      </c>
      <c r="C35" s="161" t="s">
        <v>209</v>
      </c>
      <c r="D35" s="233">
        <v>0.12815779999999999</v>
      </c>
      <c r="E35" s="233">
        <v>3.5884184E-2</v>
      </c>
      <c r="F35" s="233">
        <f t="shared" si="3"/>
        <v>9.2273615999999989E-2</v>
      </c>
      <c r="G35" s="233"/>
      <c r="H35" s="233"/>
      <c r="I35" s="233"/>
      <c r="J35" s="233"/>
      <c r="K35" s="233">
        <v>9.2273615999999989E-2</v>
      </c>
      <c r="L35" s="360"/>
    </row>
    <row r="36" spans="1:12" ht="14.4" hidden="1" customHeight="1">
      <c r="A36" s="162" t="s">
        <v>194</v>
      </c>
      <c r="B36" s="163" t="s">
        <v>210</v>
      </c>
      <c r="C36" s="161" t="s">
        <v>211</v>
      </c>
      <c r="D36" s="233">
        <v>9.7881624E-2</v>
      </c>
      <c r="E36" s="233">
        <v>0</v>
      </c>
      <c r="F36" s="233">
        <f t="shared" si="3"/>
        <v>9.7881624E-2</v>
      </c>
      <c r="G36" s="233"/>
      <c r="H36" s="233"/>
      <c r="I36" s="233"/>
      <c r="J36" s="233"/>
      <c r="K36" s="233">
        <v>9.7881624E-2</v>
      </c>
      <c r="L36" s="360"/>
    </row>
    <row r="37" spans="1:12" ht="34.200000000000003" hidden="1" customHeight="1">
      <c r="A37" s="162" t="s">
        <v>194</v>
      </c>
      <c r="B37" s="163" t="s">
        <v>212</v>
      </c>
      <c r="C37" s="161" t="s">
        <v>213</v>
      </c>
      <c r="D37" s="233">
        <v>0</v>
      </c>
      <c r="E37" s="233">
        <v>0</v>
      </c>
      <c r="F37" s="233">
        <f t="shared" si="3"/>
        <v>0</v>
      </c>
      <c r="G37" s="233"/>
      <c r="H37" s="233"/>
      <c r="I37" s="233"/>
      <c r="J37" s="233"/>
      <c r="K37" s="233"/>
      <c r="L37" s="360"/>
    </row>
    <row r="38" spans="1:12">
      <c r="A38" s="162" t="s">
        <v>194</v>
      </c>
      <c r="B38" s="163" t="s">
        <v>214</v>
      </c>
      <c r="C38" s="161" t="s">
        <v>201</v>
      </c>
      <c r="D38" s="233">
        <v>0</v>
      </c>
      <c r="E38" s="233">
        <v>0</v>
      </c>
      <c r="F38" s="233">
        <f t="shared" si="3"/>
        <v>0</v>
      </c>
      <c r="G38" s="233"/>
      <c r="H38" s="233"/>
      <c r="I38" s="233"/>
      <c r="J38" s="233"/>
      <c r="K38" s="233"/>
      <c r="L38" s="360"/>
    </row>
    <row r="39" spans="1:12" ht="24" hidden="1" customHeight="1">
      <c r="A39" s="162" t="s">
        <v>194</v>
      </c>
      <c r="B39" s="163" t="s">
        <v>215</v>
      </c>
      <c r="C39" s="161" t="s">
        <v>216</v>
      </c>
      <c r="D39" s="233">
        <v>0.35679793999999998</v>
      </c>
      <c r="E39" s="233">
        <v>6.3656415199999997E-2</v>
      </c>
      <c r="F39" s="233">
        <f t="shared" si="3"/>
        <v>0.2931415248</v>
      </c>
      <c r="G39" s="233"/>
      <c r="H39" s="233"/>
      <c r="I39" s="233"/>
      <c r="J39" s="233"/>
      <c r="K39" s="233">
        <v>0.2931415248</v>
      </c>
      <c r="L39" s="360"/>
    </row>
    <row r="40" spans="1:12" ht="24" hidden="1" customHeight="1">
      <c r="A40" s="162" t="s">
        <v>194</v>
      </c>
      <c r="B40" s="163" t="s">
        <v>217</v>
      </c>
      <c r="C40" s="161" t="s">
        <v>201</v>
      </c>
      <c r="D40" s="233">
        <v>0</v>
      </c>
      <c r="E40" s="233">
        <v>0</v>
      </c>
      <c r="F40" s="233">
        <f t="shared" si="3"/>
        <v>0</v>
      </c>
      <c r="G40" s="233"/>
      <c r="H40" s="233"/>
      <c r="I40" s="233"/>
      <c r="J40" s="233"/>
      <c r="K40" s="233"/>
      <c r="L40" s="360"/>
    </row>
    <row r="41" spans="1:12" ht="24" hidden="1" customHeight="1">
      <c r="A41" s="162" t="s">
        <v>194</v>
      </c>
      <c r="B41" s="163" t="s">
        <v>218</v>
      </c>
      <c r="C41" s="161" t="s">
        <v>219</v>
      </c>
      <c r="D41" s="233">
        <v>0</v>
      </c>
      <c r="E41" s="233">
        <v>0</v>
      </c>
      <c r="F41" s="233">
        <f t="shared" si="3"/>
        <v>0</v>
      </c>
      <c r="G41" s="233"/>
      <c r="H41" s="233"/>
      <c r="I41" s="233"/>
      <c r="J41" s="233"/>
      <c r="K41" s="233"/>
      <c r="L41" s="360"/>
    </row>
    <row r="42" spans="1:12" ht="14.4" hidden="1" customHeight="1">
      <c r="A42" s="162" t="s">
        <v>194</v>
      </c>
      <c r="B42" s="163" t="s">
        <v>220</v>
      </c>
      <c r="C42" s="161" t="s">
        <v>221</v>
      </c>
      <c r="D42" s="233">
        <v>0</v>
      </c>
      <c r="E42" s="233">
        <v>0</v>
      </c>
      <c r="F42" s="233">
        <f t="shared" si="3"/>
        <v>0</v>
      </c>
      <c r="G42" s="233"/>
      <c r="H42" s="233"/>
      <c r="I42" s="233"/>
      <c r="J42" s="233"/>
      <c r="K42" s="233"/>
      <c r="L42" s="360"/>
    </row>
    <row r="43" spans="1:12" ht="24" hidden="1" customHeight="1">
      <c r="A43" s="162" t="s">
        <v>194</v>
      </c>
      <c r="B43" s="163" t="s">
        <v>222</v>
      </c>
      <c r="C43" s="161" t="s">
        <v>223</v>
      </c>
      <c r="D43" s="233">
        <v>0</v>
      </c>
      <c r="E43" s="233">
        <v>0</v>
      </c>
      <c r="F43" s="233">
        <f t="shared" si="3"/>
        <v>0</v>
      </c>
      <c r="G43" s="233"/>
      <c r="H43" s="233"/>
      <c r="I43" s="233"/>
      <c r="J43" s="233"/>
      <c r="K43" s="233"/>
      <c r="L43" s="360"/>
    </row>
    <row r="44" spans="1:12" ht="24">
      <c r="A44" s="162" t="s">
        <v>194</v>
      </c>
      <c r="B44" s="163" t="s">
        <v>224</v>
      </c>
      <c r="C44" s="161" t="s">
        <v>205</v>
      </c>
      <c r="D44" s="233">
        <v>0</v>
      </c>
      <c r="E44" s="233">
        <v>0</v>
      </c>
      <c r="F44" s="233">
        <f t="shared" si="3"/>
        <v>0</v>
      </c>
      <c r="G44" s="233"/>
      <c r="H44" s="233"/>
      <c r="I44" s="233"/>
      <c r="J44" s="233"/>
      <c r="K44" s="233"/>
      <c r="L44" s="360"/>
    </row>
    <row r="45" spans="1:12" ht="14.4" customHeight="1">
      <c r="A45" s="162" t="s">
        <v>194</v>
      </c>
      <c r="B45" s="163" t="s">
        <v>225</v>
      </c>
      <c r="C45" s="161" t="s">
        <v>226</v>
      </c>
      <c r="D45" s="233">
        <v>1.9307999999999999E-2</v>
      </c>
      <c r="E45" s="233">
        <v>5.4062400000000005E-3</v>
      </c>
      <c r="F45" s="233">
        <f t="shared" si="3"/>
        <v>1.3901759999999999E-2</v>
      </c>
      <c r="G45" s="233"/>
      <c r="H45" s="233"/>
      <c r="I45" s="233"/>
      <c r="J45" s="233"/>
      <c r="K45" s="233">
        <v>1.3901759999999999E-2</v>
      </c>
      <c r="L45" s="360"/>
    </row>
    <row r="46" spans="1:12" ht="34.200000000000003" hidden="1" customHeight="1">
      <c r="A46" s="162" t="s">
        <v>194</v>
      </c>
      <c r="B46" s="163" t="s">
        <v>227</v>
      </c>
      <c r="C46" s="161" t="s">
        <v>228</v>
      </c>
      <c r="D46" s="233">
        <v>7.5644779999999995E-3</v>
      </c>
      <c r="E46" s="233">
        <v>0</v>
      </c>
      <c r="F46" s="233">
        <f t="shared" si="3"/>
        <v>7.5644779999999995E-3</v>
      </c>
      <c r="G46" s="233"/>
      <c r="H46" s="233"/>
      <c r="I46" s="233"/>
      <c r="J46" s="233"/>
      <c r="K46" s="233">
        <v>7.5644779999999995E-3</v>
      </c>
      <c r="L46" s="360"/>
    </row>
    <row r="47" spans="1:12" ht="24">
      <c r="A47" s="162" t="s">
        <v>194</v>
      </c>
      <c r="B47" s="163" t="s">
        <v>229</v>
      </c>
      <c r="C47" s="161" t="s">
        <v>209</v>
      </c>
      <c r="D47" s="233">
        <v>0</v>
      </c>
      <c r="E47" s="233">
        <v>0</v>
      </c>
      <c r="F47" s="233">
        <f t="shared" si="3"/>
        <v>0</v>
      </c>
      <c r="G47" s="233"/>
      <c r="H47" s="233"/>
      <c r="I47" s="233"/>
      <c r="J47" s="233"/>
      <c r="K47" s="233"/>
      <c r="L47" s="360"/>
    </row>
    <row r="48" spans="1:12" ht="24" hidden="1" customHeight="1">
      <c r="A48" s="162" t="s">
        <v>194</v>
      </c>
      <c r="B48" s="164" t="s">
        <v>230</v>
      </c>
      <c r="C48" s="161" t="s">
        <v>231</v>
      </c>
      <c r="D48" s="233">
        <v>2E-3</v>
      </c>
      <c r="E48" s="233">
        <v>0</v>
      </c>
      <c r="F48" s="233">
        <f t="shared" si="3"/>
        <v>2E-3</v>
      </c>
      <c r="G48" s="233"/>
      <c r="H48" s="233"/>
      <c r="I48" s="233"/>
      <c r="J48" s="233"/>
      <c r="K48" s="233">
        <v>2E-3</v>
      </c>
      <c r="L48" s="360"/>
    </row>
    <row r="49" spans="1:12">
      <c r="A49" s="165" t="s">
        <v>232</v>
      </c>
      <c r="B49" s="166" t="s">
        <v>233</v>
      </c>
      <c r="C49" s="161" t="s">
        <v>234</v>
      </c>
      <c r="D49" s="233">
        <v>0.88555509900000007</v>
      </c>
      <c r="E49" s="233">
        <v>0.88555505379608701</v>
      </c>
      <c r="F49" s="233">
        <f t="shared" si="3"/>
        <v>4.5203913057179079E-8</v>
      </c>
      <c r="G49" s="233"/>
      <c r="H49" s="233"/>
      <c r="I49" s="233"/>
      <c r="J49" s="233"/>
      <c r="K49" s="233">
        <v>4.5203913057179079E-8</v>
      </c>
      <c r="L49" s="360"/>
    </row>
    <row r="50" spans="1:12">
      <c r="A50" s="165" t="s">
        <v>232</v>
      </c>
      <c r="B50" s="166" t="s">
        <v>235</v>
      </c>
      <c r="C50" s="161" t="s">
        <v>236</v>
      </c>
      <c r="D50" s="233">
        <v>7.255328016</v>
      </c>
      <c r="E50" s="233">
        <v>5.7903438251659196</v>
      </c>
      <c r="F50" s="233">
        <f t="shared" si="3"/>
        <v>1.4649841908340804</v>
      </c>
      <c r="G50" s="233"/>
      <c r="H50" s="233"/>
      <c r="I50" s="233">
        <f>F50</f>
        <v>1.4649841908340804</v>
      </c>
      <c r="J50" s="233"/>
      <c r="K50" s="233">
        <v>0</v>
      </c>
      <c r="L50" s="360"/>
    </row>
    <row r="51" spans="1:12">
      <c r="A51" s="165" t="s">
        <v>232</v>
      </c>
      <c r="B51" s="166" t="s">
        <v>237</v>
      </c>
      <c r="C51" s="161" t="s">
        <v>238</v>
      </c>
      <c r="D51" s="233">
        <v>2.5312781630000032</v>
      </c>
      <c r="E51" s="233">
        <v>0.35354265282000003</v>
      </c>
      <c r="F51" s="233">
        <f t="shared" si="3"/>
        <v>2.1777355101800033</v>
      </c>
      <c r="G51" s="233"/>
      <c r="H51" s="233">
        <v>2.1777355101800033</v>
      </c>
      <c r="I51" s="233"/>
      <c r="J51" s="233"/>
      <c r="K51" s="233"/>
      <c r="L51" s="360"/>
    </row>
    <row r="52" spans="1:12">
      <c r="A52" s="165" t="s">
        <v>232</v>
      </c>
      <c r="B52" s="166" t="s">
        <v>239</v>
      </c>
      <c r="C52" s="161" t="s">
        <v>240</v>
      </c>
      <c r="D52" s="233">
        <v>5.1205800000002607E-3</v>
      </c>
      <c r="E52" s="233">
        <v>7.1688400000000021E-4</v>
      </c>
      <c r="F52" s="233">
        <f t="shared" si="3"/>
        <v>4.4036960000002606E-3</v>
      </c>
      <c r="G52" s="233"/>
      <c r="H52" s="233"/>
      <c r="I52" s="233"/>
      <c r="J52" s="233"/>
      <c r="K52" s="233">
        <f>F52</f>
        <v>4.4036960000002606E-3</v>
      </c>
      <c r="L52" s="360"/>
    </row>
    <row r="53" spans="1:12">
      <c r="A53" s="165" t="s">
        <v>232</v>
      </c>
      <c r="B53" s="166" t="s">
        <v>241</v>
      </c>
      <c r="C53" s="161" t="s">
        <v>242</v>
      </c>
      <c r="D53" s="233">
        <v>30.884673516000003</v>
      </c>
      <c r="E53" s="233">
        <v>0.40941890261999997</v>
      </c>
      <c r="F53" s="233">
        <f t="shared" si="3"/>
        <v>30.475254613380002</v>
      </c>
      <c r="G53" s="233"/>
      <c r="H53" s="233"/>
      <c r="I53" s="233"/>
      <c r="J53" s="233"/>
      <c r="K53" s="233">
        <f>F53</f>
        <v>30.475254613380002</v>
      </c>
      <c r="L53" s="360"/>
    </row>
    <row r="54" spans="1:12" ht="36">
      <c r="A54" s="165" t="s">
        <v>232</v>
      </c>
      <c r="B54" s="167" t="s">
        <v>243</v>
      </c>
      <c r="C54" s="161" t="s">
        <v>244</v>
      </c>
      <c r="D54" s="233">
        <v>1.1970801410000005</v>
      </c>
      <c r="E54" s="233">
        <v>0</v>
      </c>
      <c r="F54" s="233">
        <f t="shared" si="3"/>
        <v>1.1970801410000005</v>
      </c>
      <c r="G54" s="233"/>
      <c r="H54" s="233">
        <f>F54</f>
        <v>1.1970801410000005</v>
      </c>
      <c r="I54" s="233"/>
      <c r="J54" s="233"/>
      <c r="K54" s="233"/>
      <c r="L54" s="360"/>
    </row>
    <row r="55" spans="1:12" ht="24">
      <c r="A55" s="165" t="s">
        <v>245</v>
      </c>
      <c r="B55" s="168" t="s">
        <v>245</v>
      </c>
      <c r="C55" s="161" t="s">
        <v>246</v>
      </c>
      <c r="D55" s="233">
        <v>11.895599799999999</v>
      </c>
      <c r="E55" s="233">
        <v>11.8451906</v>
      </c>
      <c r="F55" s="233">
        <f t="shared" si="3"/>
        <v>5.0409199999998933E-2</v>
      </c>
      <c r="G55" s="233"/>
      <c r="H55" s="233">
        <v>-1.7</v>
      </c>
      <c r="I55" s="233"/>
      <c r="J55" s="233"/>
      <c r="K55" s="233">
        <v>5.0409199999998933E-2</v>
      </c>
      <c r="L55" s="360"/>
    </row>
    <row r="56" spans="1:12" ht="24">
      <c r="A56" s="165" t="s">
        <v>245</v>
      </c>
      <c r="B56" s="168" t="s">
        <v>245</v>
      </c>
      <c r="C56" s="161" t="s">
        <v>247</v>
      </c>
      <c r="D56" s="233">
        <v>9.0653637000000007</v>
      </c>
      <c r="E56" s="233">
        <v>9.075366279999999</v>
      </c>
      <c r="F56" s="233">
        <f t="shared" ref="F56:F87" si="6">D56-E56</f>
        <v>-1.0002579999998318E-2</v>
      </c>
      <c r="G56" s="233"/>
      <c r="H56" s="233"/>
      <c r="I56" s="233"/>
      <c r="J56" s="233"/>
      <c r="K56" s="233">
        <v>-1.0002579999998318E-2</v>
      </c>
      <c r="L56" s="360"/>
    </row>
    <row r="57" spans="1:12" ht="24">
      <c r="A57" s="165" t="s">
        <v>245</v>
      </c>
      <c r="B57" s="168" t="s">
        <v>245</v>
      </c>
      <c r="C57" s="161" t="s">
        <v>248</v>
      </c>
      <c r="D57" s="233">
        <v>3.4458510000000002</v>
      </c>
      <c r="E57" s="233">
        <v>0</v>
      </c>
      <c r="F57" s="233">
        <f t="shared" si="6"/>
        <v>3.4458510000000002</v>
      </c>
      <c r="G57" s="233"/>
      <c r="H57" s="233"/>
      <c r="I57" s="233"/>
      <c r="J57" s="233"/>
      <c r="K57" s="233">
        <v>3.4458510000000002</v>
      </c>
      <c r="L57" s="360"/>
    </row>
    <row r="58" spans="1:12" ht="24">
      <c r="A58" s="165" t="s">
        <v>245</v>
      </c>
      <c r="B58" s="168" t="s">
        <v>245</v>
      </c>
      <c r="C58" s="161" t="s">
        <v>249</v>
      </c>
      <c r="D58" s="233">
        <v>-0.19346379999999999</v>
      </c>
      <c r="E58" s="233">
        <v>0</v>
      </c>
      <c r="F58" s="233">
        <f t="shared" si="6"/>
        <v>-0.19346379999999999</v>
      </c>
      <c r="G58" s="233"/>
      <c r="H58" s="233"/>
      <c r="I58" s="233"/>
      <c r="J58" s="233"/>
      <c r="K58" s="233">
        <v>-0.19346379999999999</v>
      </c>
      <c r="L58" s="360"/>
    </row>
    <row r="59" spans="1:12" ht="24">
      <c r="A59" s="165" t="s">
        <v>245</v>
      </c>
      <c r="B59" s="168" t="s">
        <v>245</v>
      </c>
      <c r="C59" s="161" t="s">
        <v>250</v>
      </c>
      <c r="D59" s="233">
        <v>3.6050000000000001E-3</v>
      </c>
      <c r="E59" s="233">
        <v>3.0049E-3</v>
      </c>
      <c r="F59" s="233">
        <f t="shared" si="6"/>
        <v>6.0010000000000011E-4</v>
      </c>
      <c r="G59" s="233"/>
      <c r="H59" s="233"/>
      <c r="I59" s="233"/>
      <c r="J59" s="233"/>
      <c r="K59" s="233">
        <v>6.0010000000000011E-4</v>
      </c>
      <c r="L59" s="360"/>
    </row>
    <row r="60" spans="1:12">
      <c r="A60" s="165" t="s">
        <v>245</v>
      </c>
      <c r="B60" s="168" t="s">
        <v>245</v>
      </c>
      <c r="C60" s="161" t="s">
        <v>251</v>
      </c>
      <c r="D60" s="233">
        <v>7.3472700000000002E-2</v>
      </c>
      <c r="E60" s="233">
        <v>0.23296239999999999</v>
      </c>
      <c r="F60" s="233">
        <f t="shared" si="6"/>
        <v>-0.15948969999999998</v>
      </c>
      <c r="G60" s="233"/>
      <c r="H60" s="233"/>
      <c r="I60" s="233"/>
      <c r="J60" s="233"/>
      <c r="K60" s="233">
        <v>-0.15948969999999998</v>
      </c>
      <c r="L60" s="360"/>
    </row>
    <row r="61" spans="1:12" ht="24">
      <c r="A61" s="165" t="s">
        <v>245</v>
      </c>
      <c r="B61" s="168" t="s">
        <v>245</v>
      </c>
      <c r="C61" s="161" t="s">
        <v>252</v>
      </c>
      <c r="D61" s="233">
        <v>7.7830994000000001E-2</v>
      </c>
      <c r="E61" s="233">
        <v>9.5554600000000003E-2</v>
      </c>
      <c r="F61" s="233">
        <f t="shared" si="6"/>
        <v>-1.7723606000000003E-2</v>
      </c>
      <c r="G61" s="233"/>
      <c r="H61" s="233"/>
      <c r="I61" s="233"/>
      <c r="J61" s="233"/>
      <c r="K61" s="233">
        <v>-1.7723606000000003E-2</v>
      </c>
      <c r="L61" s="360"/>
    </row>
    <row r="62" spans="1:12">
      <c r="A62" s="169" t="s">
        <v>253</v>
      </c>
      <c r="B62" s="170" t="s">
        <v>254</v>
      </c>
      <c r="C62" s="161" t="s">
        <v>255</v>
      </c>
      <c r="D62" s="233">
        <v>34.739175361999997</v>
      </c>
      <c r="E62" s="233">
        <v>17.234742575101695</v>
      </c>
      <c r="F62" s="233">
        <f t="shared" si="6"/>
        <v>17.504432786898303</v>
      </c>
      <c r="G62" s="233"/>
      <c r="H62" s="233"/>
      <c r="I62" s="233">
        <f>F62</f>
        <v>17.504432786898303</v>
      </c>
      <c r="J62" s="233"/>
      <c r="K62" s="233"/>
      <c r="L62" s="360"/>
    </row>
    <row r="63" spans="1:12" ht="24" hidden="1" customHeight="1">
      <c r="A63" s="169" t="s">
        <v>253</v>
      </c>
      <c r="B63" s="170" t="s">
        <v>256</v>
      </c>
      <c r="C63" s="161" t="s">
        <v>257</v>
      </c>
      <c r="D63" s="233">
        <v>1.316238</v>
      </c>
      <c r="E63" s="233">
        <v>0.39508776789041095</v>
      </c>
      <c r="F63" s="233">
        <f t="shared" si="6"/>
        <v>0.92115023210958902</v>
      </c>
      <c r="G63" s="233"/>
      <c r="H63" s="233"/>
      <c r="I63" s="233">
        <f>F63</f>
        <v>0.92115023210958902</v>
      </c>
      <c r="J63" s="233"/>
      <c r="K63" s="233"/>
      <c r="L63" s="360"/>
    </row>
    <row r="64" spans="1:12" ht="24" hidden="1" customHeight="1">
      <c r="A64" s="169" t="s">
        <v>253</v>
      </c>
      <c r="B64" s="170" t="s">
        <v>258</v>
      </c>
      <c r="C64" s="161" t="s">
        <v>259</v>
      </c>
      <c r="D64" s="233">
        <v>8.0556628799999999</v>
      </c>
      <c r="E64" s="233">
        <v>8.0556628799999999</v>
      </c>
      <c r="F64" s="233">
        <f t="shared" si="6"/>
        <v>0</v>
      </c>
      <c r="G64" s="233"/>
      <c r="H64" s="233"/>
      <c r="I64" s="233"/>
      <c r="J64" s="233"/>
      <c r="K64" s="233"/>
      <c r="L64" s="360"/>
    </row>
    <row r="65" spans="1:12" ht="36" hidden="1" customHeight="1">
      <c r="A65" s="169" t="s">
        <v>253</v>
      </c>
      <c r="B65" s="170" t="s">
        <v>260</v>
      </c>
      <c r="C65" s="161" t="s">
        <v>261</v>
      </c>
      <c r="D65" s="233">
        <v>4.0000000000000001E-8</v>
      </c>
      <c r="E65" s="233">
        <v>0</v>
      </c>
      <c r="F65" s="233">
        <f t="shared" si="6"/>
        <v>4.0000000000000001E-8</v>
      </c>
      <c r="G65" s="233"/>
      <c r="H65" s="233"/>
      <c r="I65" s="233"/>
      <c r="J65" s="233"/>
      <c r="K65" s="233">
        <v>4.0000000000000001E-8</v>
      </c>
      <c r="L65" s="360"/>
    </row>
    <row r="66" spans="1:12" ht="48" hidden="1" customHeight="1">
      <c r="A66" s="169" t="s">
        <v>253</v>
      </c>
      <c r="B66" s="170" t="s">
        <v>262</v>
      </c>
      <c r="C66" s="161" t="s">
        <v>259</v>
      </c>
      <c r="D66" s="233">
        <v>3.9665639100000001</v>
      </c>
      <c r="E66" s="233">
        <v>3.9665639000000001</v>
      </c>
      <c r="F66" s="233">
        <f t="shared" si="6"/>
        <v>9.9999999392252903E-9</v>
      </c>
      <c r="G66" s="233"/>
      <c r="H66" s="233"/>
      <c r="I66" s="233"/>
      <c r="J66" s="233"/>
      <c r="K66" s="233">
        <v>9.9999999392252903E-9</v>
      </c>
      <c r="L66" s="360"/>
    </row>
    <row r="67" spans="1:12" ht="24">
      <c r="A67" s="169" t="s">
        <v>253</v>
      </c>
      <c r="B67" s="170" t="s">
        <v>263</v>
      </c>
      <c r="C67" s="161" t="s">
        <v>259</v>
      </c>
      <c r="D67" s="233">
        <v>0</v>
      </c>
      <c r="E67" s="233">
        <v>0</v>
      </c>
      <c r="F67" s="233">
        <f t="shared" si="6"/>
        <v>0</v>
      </c>
      <c r="G67" s="233"/>
      <c r="H67" s="233"/>
      <c r="I67" s="233"/>
      <c r="J67" s="233"/>
      <c r="K67" s="233"/>
      <c r="L67" s="360"/>
    </row>
    <row r="68" spans="1:12" ht="36" hidden="1" customHeight="1">
      <c r="A68" s="169" t="s">
        <v>253</v>
      </c>
      <c r="B68" s="170" t="s">
        <v>264</v>
      </c>
      <c r="C68" s="161" t="s">
        <v>265</v>
      </c>
      <c r="D68" s="233">
        <v>24.253834600000001</v>
      </c>
      <c r="E68" s="233">
        <v>11.291144110879999</v>
      </c>
      <c r="F68" s="233">
        <f t="shared" si="6"/>
        <v>12.962690489120002</v>
      </c>
      <c r="G68" s="233"/>
      <c r="H68" s="233"/>
      <c r="I68" s="233">
        <f>F68</f>
        <v>12.962690489120002</v>
      </c>
      <c r="J68" s="233"/>
      <c r="K68" s="233"/>
      <c r="L68" s="360"/>
    </row>
    <row r="69" spans="1:12" ht="24">
      <c r="A69" s="169" t="s">
        <v>253</v>
      </c>
      <c r="B69" s="170" t="s">
        <v>266</v>
      </c>
      <c r="C69" s="161" t="s">
        <v>267</v>
      </c>
      <c r="D69" s="233">
        <v>3.5999999999999998E-8</v>
      </c>
      <c r="E69" s="233">
        <v>0</v>
      </c>
      <c r="F69" s="233">
        <f t="shared" si="6"/>
        <v>3.5999999999999998E-8</v>
      </c>
      <c r="G69" s="233"/>
      <c r="H69" s="233"/>
      <c r="I69" s="233"/>
      <c r="J69" s="233"/>
      <c r="K69" s="233">
        <v>3.5999999999999998E-8</v>
      </c>
      <c r="L69" s="360"/>
    </row>
    <row r="70" spans="1:12" ht="48" hidden="1" customHeight="1">
      <c r="A70" s="169" t="s">
        <v>253</v>
      </c>
      <c r="B70" s="170" t="s">
        <v>268</v>
      </c>
      <c r="C70" s="161" t="s">
        <v>265</v>
      </c>
      <c r="D70" s="233">
        <v>0.95592719999999998</v>
      </c>
      <c r="E70" s="233">
        <v>0</v>
      </c>
      <c r="F70" s="233">
        <f t="shared" si="6"/>
        <v>0.95592719999999998</v>
      </c>
      <c r="G70" s="233"/>
      <c r="H70" s="233"/>
      <c r="I70" s="233"/>
      <c r="J70" s="233"/>
      <c r="K70" s="233">
        <f>F70</f>
        <v>0.95592719999999998</v>
      </c>
      <c r="L70" s="360"/>
    </row>
    <row r="71" spans="1:12" ht="24" hidden="1" customHeight="1">
      <c r="A71" s="169" t="s">
        <v>253</v>
      </c>
      <c r="B71" s="170" t="s">
        <v>269</v>
      </c>
      <c r="C71" s="161" t="s">
        <v>270</v>
      </c>
      <c r="D71" s="233">
        <v>0.35787007799999998</v>
      </c>
      <c r="E71" s="233">
        <v>0.35787010000000002</v>
      </c>
      <c r="F71" s="233">
        <f t="shared" si="6"/>
        <v>-2.2000000043931323E-8</v>
      </c>
      <c r="G71" s="233"/>
      <c r="H71" s="233"/>
      <c r="I71" s="233"/>
      <c r="J71" s="233"/>
      <c r="K71" s="233">
        <v>-2.2000000043931323E-8</v>
      </c>
      <c r="L71" s="360"/>
    </row>
    <row r="72" spans="1:12" ht="24" hidden="1" customHeight="1">
      <c r="A72" s="165" t="s">
        <v>271</v>
      </c>
      <c r="B72" s="166" t="s">
        <v>272</v>
      </c>
      <c r="C72" s="161" t="s">
        <v>273</v>
      </c>
      <c r="D72" s="233">
        <v>2.3000000000000001E-8</v>
      </c>
      <c r="E72" s="233">
        <v>0</v>
      </c>
      <c r="F72" s="233">
        <f t="shared" si="6"/>
        <v>2.3000000000000001E-8</v>
      </c>
      <c r="G72" s="233"/>
      <c r="H72" s="233"/>
      <c r="I72" s="233"/>
      <c r="J72" s="233"/>
      <c r="K72" s="233">
        <v>2.3000000000000001E-8</v>
      </c>
      <c r="L72" s="360"/>
    </row>
    <row r="73" spans="1:12">
      <c r="A73" s="165" t="s">
        <v>271</v>
      </c>
      <c r="B73" s="166" t="s">
        <v>274</v>
      </c>
      <c r="C73" s="161" t="s">
        <v>275</v>
      </c>
      <c r="D73" s="233">
        <v>3.8153676000000001</v>
      </c>
      <c r="E73" s="233">
        <v>3.8153676000000001</v>
      </c>
      <c r="F73" s="233">
        <f t="shared" si="6"/>
        <v>0</v>
      </c>
      <c r="G73" s="233"/>
      <c r="H73" s="233"/>
      <c r="I73" s="233"/>
      <c r="J73" s="233"/>
      <c r="K73" s="233"/>
      <c r="L73" s="360"/>
    </row>
    <row r="74" spans="1:12">
      <c r="A74" s="165" t="s">
        <v>271</v>
      </c>
      <c r="B74" s="166" t="s">
        <v>276</v>
      </c>
      <c r="C74" s="161" t="s">
        <v>277</v>
      </c>
      <c r="D74" s="233">
        <v>3.4046518369999998</v>
      </c>
      <c r="E74" s="233">
        <v>0.24556648717999999</v>
      </c>
      <c r="F74" s="233">
        <f t="shared" si="6"/>
        <v>3.1590853498199998</v>
      </c>
      <c r="G74" s="233"/>
      <c r="H74" s="233">
        <f>F74</f>
        <v>3.1590853498199998</v>
      </c>
      <c r="I74" s="233"/>
      <c r="J74" s="233"/>
      <c r="K74" s="233"/>
      <c r="L74" s="360"/>
    </row>
    <row r="75" spans="1:12">
      <c r="A75" s="165" t="s">
        <v>271</v>
      </c>
      <c r="B75" s="166" t="s">
        <v>278</v>
      </c>
      <c r="C75" s="161" t="s">
        <v>279</v>
      </c>
      <c r="D75" s="233">
        <v>4.4364648569999998</v>
      </c>
      <c r="E75" s="233">
        <v>0</v>
      </c>
      <c r="F75" s="233">
        <f t="shared" si="6"/>
        <v>4.4364648569999998</v>
      </c>
      <c r="G75" s="233"/>
      <c r="H75" s="233">
        <f>F75</f>
        <v>4.4364648569999998</v>
      </c>
      <c r="I75" s="233"/>
      <c r="J75" s="233"/>
      <c r="K75" s="233"/>
      <c r="L75" s="360"/>
    </row>
    <row r="76" spans="1:12">
      <c r="A76" s="165" t="s">
        <v>271</v>
      </c>
      <c r="B76" s="166" t="s">
        <v>280</v>
      </c>
      <c r="C76" s="161" t="s">
        <v>281</v>
      </c>
      <c r="D76" s="233">
        <v>0</v>
      </c>
      <c r="E76" s="233">
        <v>0.27999956600000003</v>
      </c>
      <c r="F76" s="233">
        <f t="shared" si="6"/>
        <v>-0.27999956600000003</v>
      </c>
      <c r="G76" s="233"/>
      <c r="H76" s="233"/>
      <c r="I76" s="233"/>
      <c r="J76" s="233"/>
      <c r="K76" s="233">
        <v>-0.27999956600000003</v>
      </c>
      <c r="L76" s="360"/>
    </row>
    <row r="77" spans="1:12" ht="24">
      <c r="A77" s="165" t="s">
        <v>271</v>
      </c>
      <c r="B77" s="166" t="s">
        <v>282</v>
      </c>
      <c r="C77" s="161" t="s">
        <v>283</v>
      </c>
      <c r="D77" s="233">
        <v>19.760966116999999</v>
      </c>
      <c r="E77" s="233">
        <v>19.770349817</v>
      </c>
      <c r="F77" s="233">
        <f t="shared" si="6"/>
        <v>-9.383700000000772E-3</v>
      </c>
      <c r="G77" s="233"/>
      <c r="H77" s="233"/>
      <c r="I77" s="233"/>
      <c r="J77" s="233"/>
      <c r="K77" s="233">
        <v>-9.383700000000772E-3</v>
      </c>
      <c r="L77" s="360"/>
    </row>
    <row r="78" spans="1:12">
      <c r="A78" s="165" t="s">
        <v>271</v>
      </c>
      <c r="B78" s="166" t="s">
        <v>284</v>
      </c>
      <c r="C78" s="161" t="s">
        <v>279</v>
      </c>
      <c r="D78" s="233">
        <v>2.069273913</v>
      </c>
      <c r="E78" s="233">
        <v>0.95573876999999996</v>
      </c>
      <c r="F78" s="233">
        <f t="shared" si="6"/>
        <v>1.113535143</v>
      </c>
      <c r="G78" s="233"/>
      <c r="H78" s="233">
        <f>F78</f>
        <v>1.113535143</v>
      </c>
      <c r="I78" s="233"/>
      <c r="J78" s="233"/>
      <c r="K78" s="233"/>
      <c r="L78" s="360"/>
    </row>
    <row r="79" spans="1:12" ht="48" hidden="1" customHeight="1">
      <c r="A79" s="165" t="s">
        <v>271</v>
      </c>
      <c r="B79" s="166" t="s">
        <v>285</v>
      </c>
      <c r="C79" s="161" t="s">
        <v>286</v>
      </c>
      <c r="D79" s="233">
        <v>2.2640555</v>
      </c>
      <c r="E79" s="233">
        <v>0.63393554000000008</v>
      </c>
      <c r="F79" s="233">
        <f t="shared" si="6"/>
        <v>1.63011996</v>
      </c>
      <c r="G79" s="233"/>
      <c r="H79" s="233"/>
      <c r="I79" s="233"/>
      <c r="J79" s="233"/>
      <c r="K79" s="233">
        <f>F79</f>
        <v>1.63011996</v>
      </c>
      <c r="L79" s="360"/>
    </row>
    <row r="80" spans="1:12" ht="24">
      <c r="A80" s="165" t="s">
        <v>271</v>
      </c>
      <c r="B80" s="166" t="s">
        <v>287</v>
      </c>
      <c r="C80" s="161" t="s">
        <v>288</v>
      </c>
      <c r="D80" s="233">
        <v>1.7264860929999999</v>
      </c>
      <c r="E80" s="233">
        <v>1.7264860929999999</v>
      </c>
      <c r="F80" s="233">
        <f t="shared" si="6"/>
        <v>0</v>
      </c>
      <c r="G80" s="233"/>
      <c r="H80" s="233"/>
      <c r="I80" s="233"/>
      <c r="J80" s="233"/>
      <c r="K80" s="233"/>
      <c r="L80" s="360"/>
    </row>
    <row r="81" spans="1:12">
      <c r="A81" s="171" t="s">
        <v>271</v>
      </c>
      <c r="B81" s="172" t="s">
        <v>289</v>
      </c>
      <c r="C81" s="161">
        <v>0</v>
      </c>
      <c r="D81" s="233">
        <v>3.8999999999999998E-8</v>
      </c>
      <c r="E81" s="233">
        <v>0</v>
      </c>
      <c r="F81" s="233">
        <f t="shared" si="6"/>
        <v>3.8999999999999998E-8</v>
      </c>
      <c r="G81" s="233"/>
      <c r="H81" s="233"/>
      <c r="I81" s="233"/>
      <c r="J81" s="233"/>
      <c r="K81" s="233">
        <v>3.8999999999999998E-8</v>
      </c>
      <c r="L81" s="360"/>
    </row>
    <row r="82" spans="1:12" ht="36">
      <c r="A82" s="162" t="s">
        <v>290</v>
      </c>
      <c r="B82" s="173" t="s">
        <v>291</v>
      </c>
      <c r="C82" s="161" t="s">
        <v>292</v>
      </c>
      <c r="D82" s="233">
        <v>3.5687547999999998</v>
      </c>
      <c r="E82" s="233">
        <v>6.0965330067769861</v>
      </c>
      <c r="F82" s="233">
        <f t="shared" si="6"/>
        <v>-2.5277782067769863</v>
      </c>
      <c r="G82" s="233"/>
      <c r="H82" s="233">
        <f>F82-V82</f>
        <v>-2.5277782067769863</v>
      </c>
      <c r="I82" s="233"/>
      <c r="J82" s="233"/>
      <c r="K82" s="233">
        <v>1.6899999999999995</v>
      </c>
      <c r="L82" s="360"/>
    </row>
    <row r="83" spans="1:12" ht="24">
      <c r="A83" s="162" t="s">
        <v>290</v>
      </c>
      <c r="B83" s="173" t="s">
        <v>293</v>
      </c>
      <c r="C83" s="161" t="s">
        <v>294</v>
      </c>
      <c r="D83" s="233">
        <v>8.7857592407787732E-2</v>
      </c>
      <c r="E83" s="233">
        <v>8.7857592407787732E-2</v>
      </c>
      <c r="F83" s="233">
        <f t="shared" si="6"/>
        <v>0</v>
      </c>
      <c r="G83" s="233"/>
      <c r="H83" s="233"/>
      <c r="I83" s="233"/>
      <c r="J83" s="233"/>
      <c r="K83" s="233"/>
      <c r="L83" s="360"/>
    </row>
    <row r="84" spans="1:12" ht="36" hidden="1" customHeight="1">
      <c r="A84" s="162" t="s">
        <v>290</v>
      </c>
      <c r="B84" s="173" t="s">
        <v>295</v>
      </c>
      <c r="C84" s="161" t="s">
        <v>296</v>
      </c>
      <c r="D84" s="233">
        <v>4.5505006269999981</v>
      </c>
      <c r="E84" s="233">
        <v>0</v>
      </c>
      <c r="F84" s="233">
        <f t="shared" si="6"/>
        <v>4.5505006269999981</v>
      </c>
      <c r="G84" s="233"/>
      <c r="H84" s="233">
        <f>F84</f>
        <v>4.5505006269999981</v>
      </c>
      <c r="I84" s="233"/>
      <c r="J84" s="233"/>
      <c r="K84" s="233"/>
      <c r="L84" s="360"/>
    </row>
    <row r="85" spans="1:12" ht="60">
      <c r="A85" s="162" t="s">
        <v>290</v>
      </c>
      <c r="B85" s="173" t="s">
        <v>297</v>
      </c>
      <c r="C85" s="161" t="s">
        <v>294</v>
      </c>
      <c r="D85" s="233">
        <v>0.83837542399999998</v>
      </c>
      <c r="E85" s="233">
        <v>0.83837543519373792</v>
      </c>
      <c r="F85" s="233">
        <f t="shared" si="6"/>
        <v>-1.119373793656564E-8</v>
      </c>
      <c r="G85" s="233"/>
      <c r="H85" s="233">
        <f>F85</f>
        <v>-1.119373793656564E-8</v>
      </c>
      <c r="I85" s="233"/>
      <c r="J85" s="233"/>
      <c r="K85" s="233"/>
      <c r="L85" s="360"/>
    </row>
    <row r="86" spans="1:12" ht="48" hidden="1" customHeight="1">
      <c r="A86" s="162" t="s">
        <v>290</v>
      </c>
      <c r="B86" s="173" t="s">
        <v>298</v>
      </c>
      <c r="C86" s="161" t="s">
        <v>296</v>
      </c>
      <c r="D86" s="233">
        <v>4.0528300000000002</v>
      </c>
      <c r="E86" s="233">
        <v>0</v>
      </c>
      <c r="F86" s="233">
        <f t="shared" si="6"/>
        <v>4.0528300000000002</v>
      </c>
      <c r="G86" s="233"/>
      <c r="H86" s="233">
        <f>F86</f>
        <v>4.0528300000000002</v>
      </c>
      <c r="I86" s="233"/>
      <c r="J86" s="233"/>
      <c r="K86" s="233"/>
      <c r="L86" s="360"/>
    </row>
    <row r="87" spans="1:12" ht="24">
      <c r="A87" s="162" t="s">
        <v>290</v>
      </c>
      <c r="B87" s="173" t="s">
        <v>299</v>
      </c>
      <c r="C87" s="161" t="s">
        <v>296</v>
      </c>
      <c r="D87" s="233">
        <v>4.0372884999999998</v>
      </c>
      <c r="E87" s="233">
        <v>4.0372884878894997</v>
      </c>
      <c r="F87" s="233">
        <f t="shared" si="6"/>
        <v>1.2110500158257764E-8</v>
      </c>
      <c r="G87" s="233"/>
      <c r="H87" s="233"/>
      <c r="I87" s="233"/>
      <c r="J87" s="233"/>
      <c r="K87" s="233">
        <v>1.2110500158257764E-8</v>
      </c>
      <c r="L87" s="360"/>
    </row>
    <row r="88" spans="1:12" ht="24">
      <c r="A88" s="162" t="s">
        <v>290</v>
      </c>
      <c r="B88" s="173" t="s">
        <v>300</v>
      </c>
      <c r="C88" s="161" t="s">
        <v>301</v>
      </c>
      <c r="D88" s="233">
        <v>3.3893966369999999</v>
      </c>
      <c r="E88" s="233">
        <v>0</v>
      </c>
      <c r="F88" s="233">
        <f t="shared" ref="F88:F119" si="7">D88-E88</f>
        <v>3.3893966369999999</v>
      </c>
      <c r="G88" s="233"/>
      <c r="H88" s="233">
        <f t="shared" ref="H88:H93" si="8">F88</f>
        <v>3.3893966369999999</v>
      </c>
      <c r="I88" s="233"/>
      <c r="J88" s="233"/>
      <c r="K88" s="233"/>
      <c r="L88" s="360"/>
    </row>
    <row r="89" spans="1:12" ht="24">
      <c r="A89" s="162" t="s">
        <v>290</v>
      </c>
      <c r="B89" s="173" t="s">
        <v>302</v>
      </c>
      <c r="C89" s="161" t="s">
        <v>303</v>
      </c>
      <c r="D89" s="233">
        <v>1.3637971</v>
      </c>
      <c r="E89" s="233">
        <v>0</v>
      </c>
      <c r="F89" s="233">
        <f t="shared" si="7"/>
        <v>1.3637971</v>
      </c>
      <c r="G89" s="233"/>
      <c r="H89" s="233">
        <f t="shared" si="8"/>
        <v>1.3637971</v>
      </c>
      <c r="I89" s="233"/>
      <c r="J89" s="233"/>
      <c r="K89" s="233"/>
      <c r="L89" s="360"/>
    </row>
    <row r="90" spans="1:12" ht="24">
      <c r="A90" s="162" t="s">
        <v>290</v>
      </c>
      <c r="B90" s="173" t="s">
        <v>304</v>
      </c>
      <c r="C90" s="161" t="s">
        <v>292</v>
      </c>
      <c r="D90" s="233">
        <v>0.29525269799999998</v>
      </c>
      <c r="E90" s="233">
        <v>0</v>
      </c>
      <c r="F90" s="233">
        <f t="shared" si="7"/>
        <v>0.29525269799999998</v>
      </c>
      <c r="G90" s="233"/>
      <c r="H90" s="233">
        <f t="shared" si="8"/>
        <v>0.29525269799999998</v>
      </c>
      <c r="I90" s="233"/>
      <c r="J90" s="233"/>
      <c r="K90" s="233"/>
      <c r="L90" s="360"/>
    </row>
    <row r="91" spans="1:12" ht="48">
      <c r="A91" s="162" t="s">
        <v>290</v>
      </c>
      <c r="B91" s="173" t="s">
        <v>305</v>
      </c>
      <c r="C91" s="161" t="s">
        <v>306</v>
      </c>
      <c r="D91" s="233">
        <v>10.520797629</v>
      </c>
      <c r="E91" s="233">
        <v>0</v>
      </c>
      <c r="F91" s="233">
        <f t="shared" si="7"/>
        <v>10.520797629</v>
      </c>
      <c r="G91" s="233"/>
      <c r="H91" s="233">
        <f t="shared" si="8"/>
        <v>10.520797629</v>
      </c>
      <c r="I91" s="233"/>
      <c r="J91" s="233"/>
      <c r="K91" s="233"/>
      <c r="L91" s="360"/>
    </row>
    <row r="92" spans="1:12" ht="48">
      <c r="A92" s="162" t="s">
        <v>290</v>
      </c>
      <c r="B92" s="173" t="s">
        <v>307</v>
      </c>
      <c r="C92" s="161" t="s">
        <v>306</v>
      </c>
      <c r="D92" s="233">
        <v>0.29999221700000006</v>
      </c>
      <c r="E92" s="233">
        <v>0</v>
      </c>
      <c r="F92" s="233">
        <f t="shared" si="7"/>
        <v>0.29999221700000006</v>
      </c>
      <c r="G92" s="233"/>
      <c r="H92" s="233">
        <f t="shared" si="8"/>
        <v>0.29999221700000006</v>
      </c>
      <c r="I92" s="233"/>
      <c r="J92" s="233"/>
      <c r="K92" s="233"/>
      <c r="L92" s="360"/>
    </row>
    <row r="93" spans="1:12" ht="36">
      <c r="A93" s="162" t="s">
        <v>290</v>
      </c>
      <c r="B93" s="173" t="s">
        <v>308</v>
      </c>
      <c r="C93" s="161" t="s">
        <v>306</v>
      </c>
      <c r="D93" s="233">
        <v>4.1268917329999999</v>
      </c>
      <c r="E93" s="233">
        <v>0</v>
      </c>
      <c r="F93" s="233">
        <f t="shared" si="7"/>
        <v>4.1268917329999999</v>
      </c>
      <c r="G93" s="233"/>
      <c r="H93" s="233">
        <f t="shared" si="8"/>
        <v>4.1268917329999999</v>
      </c>
      <c r="I93" s="233"/>
      <c r="J93" s="233"/>
      <c r="K93" s="233"/>
      <c r="L93" s="360"/>
    </row>
    <row r="94" spans="1:12" ht="36">
      <c r="A94" s="162" t="s">
        <v>290</v>
      </c>
      <c r="B94" s="173" t="s">
        <v>309</v>
      </c>
      <c r="C94" s="161" t="s">
        <v>310</v>
      </c>
      <c r="D94" s="233">
        <v>1.1357434237288157E-2</v>
      </c>
      <c r="E94" s="233">
        <v>3.1800815864406842E-3</v>
      </c>
      <c r="F94" s="233">
        <f t="shared" si="7"/>
        <v>8.1773526508474737E-3</v>
      </c>
      <c r="G94" s="233"/>
      <c r="H94" s="233"/>
      <c r="I94" s="233"/>
      <c r="J94" s="233"/>
      <c r="K94" s="233">
        <f>F94</f>
        <v>8.1773526508474737E-3</v>
      </c>
      <c r="L94" s="360"/>
    </row>
    <row r="95" spans="1:12" ht="36">
      <c r="A95" s="162" t="s">
        <v>290</v>
      </c>
      <c r="B95" s="174" t="s">
        <v>311</v>
      </c>
      <c r="C95" s="161" t="s">
        <v>310</v>
      </c>
      <c r="D95" s="233">
        <v>12.9417496</v>
      </c>
      <c r="E95" s="233">
        <v>3.6236898772989603</v>
      </c>
      <c r="F95" s="233">
        <f t="shared" si="7"/>
        <v>9.3180597227010402</v>
      </c>
      <c r="G95" s="233"/>
      <c r="H95" s="233"/>
      <c r="I95" s="233"/>
      <c r="J95" s="233"/>
      <c r="K95" s="233">
        <f>F95</f>
        <v>9.3180597227010402</v>
      </c>
      <c r="L95" s="360"/>
    </row>
    <row r="96" spans="1:12" ht="48">
      <c r="A96" s="162" t="s">
        <v>290</v>
      </c>
      <c r="B96" s="173" t="s">
        <v>312</v>
      </c>
      <c r="C96" s="161" t="s">
        <v>310</v>
      </c>
      <c r="D96" s="233">
        <v>2.5741438482613961</v>
      </c>
      <c r="E96" s="233">
        <v>0.72076027751319105</v>
      </c>
      <c r="F96" s="233">
        <f t="shared" si="7"/>
        <v>1.8533835707482051</v>
      </c>
      <c r="G96" s="233"/>
      <c r="H96" s="233"/>
      <c r="I96" s="233"/>
      <c r="J96" s="233"/>
      <c r="K96" s="233">
        <f>F96</f>
        <v>1.8533835707482051</v>
      </c>
      <c r="L96" s="360"/>
    </row>
    <row r="97" spans="1:22" ht="48" hidden="1" customHeight="1">
      <c r="A97" s="162" t="s">
        <v>290</v>
      </c>
      <c r="B97" s="173" t="s">
        <v>313</v>
      </c>
      <c r="C97" s="161" t="s">
        <v>310</v>
      </c>
      <c r="D97" s="233">
        <v>3.7333640122508442</v>
      </c>
      <c r="E97" s="233">
        <v>1.3031451631811077</v>
      </c>
      <c r="F97" s="233">
        <f t="shared" si="7"/>
        <v>2.4302188490697363</v>
      </c>
      <c r="G97" s="233"/>
      <c r="H97" s="233"/>
      <c r="I97" s="233"/>
      <c r="J97" s="233"/>
      <c r="K97" s="233">
        <f>F97</f>
        <v>2.4302188490697363</v>
      </c>
      <c r="L97" s="360"/>
    </row>
    <row r="98" spans="1:22" ht="48" hidden="1" customHeight="1">
      <c r="A98" s="162" t="s">
        <v>290</v>
      </c>
      <c r="B98" s="173" t="s">
        <v>314</v>
      </c>
      <c r="C98" s="161" t="s">
        <v>310</v>
      </c>
      <c r="D98" s="233">
        <v>0</v>
      </c>
      <c r="E98" s="233">
        <v>0</v>
      </c>
      <c r="F98" s="233">
        <f t="shared" si="7"/>
        <v>0</v>
      </c>
      <c r="G98" s="233"/>
      <c r="H98" s="233"/>
      <c r="I98" s="233"/>
      <c r="J98" s="233"/>
      <c r="K98" s="233"/>
      <c r="L98" s="360"/>
    </row>
    <row r="99" spans="1:22" ht="36">
      <c r="A99" s="162" t="s">
        <v>290</v>
      </c>
      <c r="B99" s="173" t="s">
        <v>315</v>
      </c>
      <c r="C99" s="161" t="s">
        <v>310</v>
      </c>
      <c r="D99" s="233">
        <v>0</v>
      </c>
      <c r="E99" s="233">
        <v>0</v>
      </c>
      <c r="F99" s="233">
        <f t="shared" si="7"/>
        <v>0</v>
      </c>
      <c r="G99" s="233"/>
      <c r="H99" s="233"/>
      <c r="I99" s="233"/>
      <c r="J99" s="233"/>
      <c r="K99" s="233"/>
      <c r="L99" s="360"/>
    </row>
    <row r="100" spans="1:22">
      <c r="A100" s="162" t="s">
        <v>316</v>
      </c>
      <c r="B100" s="175" t="s">
        <v>316</v>
      </c>
      <c r="C100" s="161" t="s">
        <v>317</v>
      </c>
      <c r="D100" s="233">
        <v>2.3379999999999998E-3</v>
      </c>
      <c r="E100" s="233">
        <v>3.2661832271781002E-2</v>
      </c>
      <c r="F100" s="233">
        <f t="shared" si="7"/>
        <v>-3.0323832271781002E-2</v>
      </c>
      <c r="G100" s="233"/>
      <c r="H100" s="233"/>
      <c r="I100" s="233"/>
      <c r="J100" s="233"/>
      <c r="K100" s="233">
        <v>-3.0323832271781002E-2</v>
      </c>
      <c r="L100" s="230" t="s">
        <v>184</v>
      </c>
      <c r="M100" s="231"/>
      <c r="N100" s="231"/>
      <c r="O100" s="232">
        <f>SUBTOTAL(9,O103:O264)</f>
        <v>386.23303390415725</v>
      </c>
      <c r="P100" s="232">
        <f t="shared" ref="P100" si="9">SUBTOTAL(9,P103:P264)</f>
        <v>261.36419721795426</v>
      </c>
      <c r="Q100" s="232">
        <f>SUBTOTAL(9,Q103:Q264)</f>
        <v>124.8688366862031</v>
      </c>
      <c r="R100" s="232"/>
      <c r="S100" s="232">
        <f t="shared" ref="S100:V100" si="10">SUBTOTAL(9,S103:S264)</f>
        <v>36.455581424029276</v>
      </c>
      <c r="T100" s="232">
        <f t="shared" si="10"/>
        <v>34.303526098961974</v>
      </c>
      <c r="U100" s="232">
        <f t="shared" si="10"/>
        <v>0</v>
      </c>
      <c r="V100" s="232">
        <f t="shared" si="10"/>
        <v>54.099729163211819</v>
      </c>
    </row>
    <row r="101" spans="1:22" ht="14.4" customHeight="1">
      <c r="A101" s="162" t="s">
        <v>316</v>
      </c>
      <c r="B101" s="175" t="s">
        <v>316</v>
      </c>
      <c r="C101" s="161" t="s">
        <v>318</v>
      </c>
      <c r="D101" s="233">
        <v>3.0323800000000001E-2</v>
      </c>
      <c r="E101" s="233">
        <v>0</v>
      </c>
      <c r="F101" s="233">
        <f t="shared" si="7"/>
        <v>3.0323800000000001E-2</v>
      </c>
      <c r="G101" s="233"/>
      <c r="H101" s="233"/>
      <c r="I101" s="233"/>
      <c r="J101" s="233"/>
      <c r="K101" s="233">
        <v>3.0323800000000001E-2</v>
      </c>
      <c r="L101" s="427" t="s">
        <v>185</v>
      </c>
      <c r="M101" s="427" t="s">
        <v>186</v>
      </c>
      <c r="N101" s="427" t="s">
        <v>187</v>
      </c>
      <c r="O101" s="327" t="s">
        <v>6</v>
      </c>
      <c r="P101" s="328"/>
      <c r="Q101" s="329"/>
      <c r="R101" s="316"/>
      <c r="S101" s="428" t="s">
        <v>522</v>
      </c>
      <c r="T101" s="428"/>
      <c r="U101" s="428"/>
      <c r="V101" s="428"/>
    </row>
    <row r="102" spans="1:22" ht="36">
      <c r="A102" s="165" t="s">
        <v>245</v>
      </c>
      <c r="B102" s="168" t="s">
        <v>245</v>
      </c>
      <c r="C102" s="161" t="s">
        <v>319</v>
      </c>
      <c r="D102" s="233">
        <v>7.7210799999999996E-2</v>
      </c>
      <c r="E102" s="233">
        <v>0.10843700000000001</v>
      </c>
      <c r="F102" s="233">
        <f t="shared" si="7"/>
        <v>-3.122620000000001E-2</v>
      </c>
      <c r="G102" s="233"/>
      <c r="H102" s="233"/>
      <c r="I102" s="233"/>
      <c r="J102" s="233"/>
      <c r="K102" s="233">
        <v>-3.122620000000001E-2</v>
      </c>
      <c r="L102" s="427"/>
      <c r="M102" s="427"/>
      <c r="N102" s="427"/>
      <c r="O102" s="176" t="s">
        <v>523</v>
      </c>
      <c r="P102" s="176" t="s">
        <v>524</v>
      </c>
      <c r="Q102" s="176" t="s">
        <v>525</v>
      </c>
      <c r="R102" s="176"/>
      <c r="S102" s="176" t="s">
        <v>526</v>
      </c>
      <c r="T102" s="176" t="s">
        <v>527</v>
      </c>
      <c r="U102" s="176" t="s">
        <v>528</v>
      </c>
      <c r="V102" s="176" t="s">
        <v>555</v>
      </c>
    </row>
    <row r="103" spans="1:22" ht="24">
      <c r="A103" s="165" t="s">
        <v>188</v>
      </c>
      <c r="B103" s="168" t="s">
        <v>320</v>
      </c>
      <c r="C103" s="161" t="s">
        <v>321</v>
      </c>
      <c r="D103" s="233">
        <v>0.72889458899999993</v>
      </c>
      <c r="E103" s="233">
        <v>0.72889458899999993</v>
      </c>
      <c r="F103" s="233">
        <f t="shared" si="7"/>
        <v>0</v>
      </c>
      <c r="G103" s="233"/>
      <c r="H103" s="234">
        <v>0</v>
      </c>
      <c r="I103" s="234">
        <v>0</v>
      </c>
      <c r="J103" s="234">
        <v>0</v>
      </c>
      <c r="K103" s="234">
        <v>0</v>
      </c>
      <c r="L103" s="160" t="s">
        <v>188</v>
      </c>
      <c r="M103" s="161" t="s">
        <v>189</v>
      </c>
      <c r="N103" s="161" t="s">
        <v>190</v>
      </c>
      <c r="O103" s="233">
        <v>2.1787622230000001</v>
      </c>
      <c r="P103" s="233">
        <v>2.9633582230000006</v>
      </c>
      <c r="Q103" s="349">
        <f t="shared" ref="Q103:Q166" si="11">O103-P103</f>
        <v>-0.78459600000000052</v>
      </c>
      <c r="R103" s="349"/>
      <c r="S103" s="349"/>
      <c r="T103" s="349"/>
      <c r="U103" s="349"/>
      <c r="V103" s="349">
        <v>-0.78459600000000052</v>
      </c>
    </row>
    <row r="104" spans="1:22" ht="24">
      <c r="A104" s="165" t="s">
        <v>188</v>
      </c>
      <c r="B104" s="168" t="s">
        <v>322</v>
      </c>
      <c r="C104" s="161" t="s">
        <v>323</v>
      </c>
      <c r="D104" s="233">
        <v>4.5</v>
      </c>
      <c r="E104" s="233">
        <v>4.5</v>
      </c>
      <c r="F104" s="233">
        <f t="shared" si="7"/>
        <v>0</v>
      </c>
      <c r="G104" s="233"/>
      <c r="H104" s="234">
        <v>0</v>
      </c>
      <c r="I104" s="234">
        <v>0</v>
      </c>
      <c r="J104" s="234">
        <v>0</v>
      </c>
      <c r="K104" s="234">
        <v>0</v>
      </c>
      <c r="L104" s="160" t="s">
        <v>188</v>
      </c>
      <c r="M104" s="161" t="s">
        <v>191</v>
      </c>
      <c r="N104" s="161" t="s">
        <v>190</v>
      </c>
      <c r="O104" s="233">
        <v>3.915725031</v>
      </c>
      <c r="P104" s="233">
        <v>1.4197314731806352</v>
      </c>
      <c r="Q104" s="349">
        <f t="shared" si="11"/>
        <v>2.4959935578193648</v>
      </c>
      <c r="R104" s="349"/>
      <c r="S104" s="349"/>
      <c r="T104" s="349"/>
      <c r="U104" s="349"/>
      <c r="V104" s="349">
        <f>Q104</f>
        <v>2.4959935578193648</v>
      </c>
    </row>
    <row r="105" spans="1:22" ht="24">
      <c r="A105" s="165" t="s">
        <v>188</v>
      </c>
      <c r="B105" s="168" t="s">
        <v>324</v>
      </c>
      <c r="C105" s="161" t="s">
        <v>190</v>
      </c>
      <c r="D105" s="233">
        <v>5.6918976909999994</v>
      </c>
      <c r="E105" s="233">
        <v>5.6918976909999994</v>
      </c>
      <c r="F105" s="233">
        <f t="shared" si="7"/>
        <v>0</v>
      </c>
      <c r="G105" s="233"/>
      <c r="H105" s="234">
        <v>0</v>
      </c>
      <c r="I105" s="234">
        <v>0</v>
      </c>
      <c r="J105" s="234">
        <v>0</v>
      </c>
      <c r="K105" s="234">
        <v>0</v>
      </c>
      <c r="L105" s="160" t="s">
        <v>192</v>
      </c>
      <c r="M105" s="161" t="s">
        <v>192</v>
      </c>
      <c r="N105" s="161" t="s">
        <v>193</v>
      </c>
      <c r="O105" s="233">
        <v>0.72045250000000005</v>
      </c>
      <c r="P105" s="233">
        <v>0</v>
      </c>
      <c r="Q105" s="349">
        <f t="shared" si="11"/>
        <v>0.72045250000000005</v>
      </c>
      <c r="R105" s="349"/>
      <c r="S105" s="349"/>
      <c r="T105" s="349"/>
      <c r="U105" s="349"/>
      <c r="V105" s="349">
        <f>Q105</f>
        <v>0.72045250000000005</v>
      </c>
    </row>
    <row r="106" spans="1:22" ht="24">
      <c r="A106" s="165" t="s">
        <v>188</v>
      </c>
      <c r="B106" s="168" t="s">
        <v>325</v>
      </c>
      <c r="C106" s="161" t="s">
        <v>190</v>
      </c>
      <c r="D106" s="233">
        <v>1.225947388</v>
      </c>
      <c r="E106" s="233">
        <v>1.225947388</v>
      </c>
      <c r="F106" s="233">
        <f t="shared" si="7"/>
        <v>0</v>
      </c>
      <c r="G106" s="233"/>
      <c r="H106" s="234">
        <v>0</v>
      </c>
      <c r="I106" s="234">
        <v>0</v>
      </c>
      <c r="J106" s="234">
        <v>0</v>
      </c>
      <c r="K106" s="234">
        <v>0</v>
      </c>
      <c r="L106" s="162" t="s">
        <v>194</v>
      </c>
      <c r="M106" s="163" t="s">
        <v>195</v>
      </c>
      <c r="N106" s="161" t="s">
        <v>196</v>
      </c>
      <c r="O106" s="233">
        <v>1.6074655</v>
      </c>
      <c r="P106" s="233">
        <v>1.6074657000000001</v>
      </c>
      <c r="Q106" s="349">
        <f t="shared" si="11"/>
        <v>-2.0000000011677344E-7</v>
      </c>
      <c r="R106" s="349"/>
      <c r="S106" s="349"/>
      <c r="T106" s="349"/>
      <c r="U106" s="349"/>
      <c r="V106" s="349">
        <v>-2.0000000011677344E-7</v>
      </c>
    </row>
    <row r="107" spans="1:22">
      <c r="A107" s="165" t="s">
        <v>188</v>
      </c>
      <c r="B107" s="168" t="s">
        <v>326</v>
      </c>
      <c r="C107" s="161" t="s">
        <v>190</v>
      </c>
      <c r="D107" s="233">
        <v>0</v>
      </c>
      <c r="E107" s="233">
        <v>0</v>
      </c>
      <c r="F107" s="233">
        <f t="shared" si="7"/>
        <v>0</v>
      </c>
      <c r="G107" s="233"/>
      <c r="H107" s="234">
        <v>0</v>
      </c>
      <c r="I107" s="234">
        <v>0</v>
      </c>
      <c r="J107" s="234">
        <v>0</v>
      </c>
      <c r="K107" s="234">
        <v>0</v>
      </c>
      <c r="L107" s="162" t="s">
        <v>194</v>
      </c>
      <c r="M107" s="163" t="s">
        <v>197</v>
      </c>
      <c r="N107" s="161" t="s">
        <v>197</v>
      </c>
      <c r="O107" s="233">
        <v>0</v>
      </c>
      <c r="P107" s="233">
        <v>0</v>
      </c>
      <c r="Q107" s="349">
        <f t="shared" si="11"/>
        <v>0</v>
      </c>
      <c r="R107" s="349"/>
      <c r="S107" s="349"/>
      <c r="T107" s="349"/>
      <c r="U107" s="349"/>
      <c r="V107" s="349"/>
    </row>
    <row r="108" spans="1:22" ht="24">
      <c r="A108" s="165" t="s">
        <v>188</v>
      </c>
      <c r="B108" s="168" t="s">
        <v>327</v>
      </c>
      <c r="C108" s="161" t="s">
        <v>190</v>
      </c>
      <c r="D108" s="233">
        <v>1.5848475369999999</v>
      </c>
      <c r="E108" s="233">
        <v>1.5848475369999999</v>
      </c>
      <c r="F108" s="233">
        <f t="shared" si="7"/>
        <v>0</v>
      </c>
      <c r="G108" s="233"/>
      <c r="H108" s="234">
        <v>0</v>
      </c>
      <c r="I108" s="234">
        <v>0</v>
      </c>
      <c r="J108" s="234">
        <v>0</v>
      </c>
      <c r="K108" s="234">
        <v>0</v>
      </c>
      <c r="L108" s="162" t="s">
        <v>194</v>
      </c>
      <c r="M108" s="163" t="s">
        <v>198</v>
      </c>
      <c r="N108" s="161" t="s">
        <v>199</v>
      </c>
      <c r="O108" s="233">
        <v>0.83869740000000004</v>
      </c>
      <c r="P108" s="233">
        <v>0.71331160000000005</v>
      </c>
      <c r="Q108" s="349">
        <f t="shared" si="11"/>
        <v>0.12538579999999999</v>
      </c>
      <c r="R108" s="349"/>
      <c r="S108" s="349"/>
      <c r="T108" s="349">
        <v>0.12538579999999999</v>
      </c>
      <c r="U108" s="349"/>
      <c r="V108" s="349"/>
    </row>
    <row r="109" spans="1:22" ht="24">
      <c r="A109" s="165" t="s">
        <v>194</v>
      </c>
      <c r="B109" s="168" t="s">
        <v>328</v>
      </c>
      <c r="C109" s="161" t="s">
        <v>199</v>
      </c>
      <c r="D109" s="233">
        <v>0</v>
      </c>
      <c r="E109" s="233">
        <v>0</v>
      </c>
      <c r="F109" s="233">
        <f t="shared" si="7"/>
        <v>0</v>
      </c>
      <c r="G109" s="233"/>
      <c r="H109" s="234">
        <v>0</v>
      </c>
      <c r="I109" s="234">
        <v>0</v>
      </c>
      <c r="J109" s="234">
        <v>0</v>
      </c>
      <c r="K109" s="234">
        <v>0</v>
      </c>
      <c r="L109" s="162" t="s">
        <v>194</v>
      </c>
      <c r="M109" s="163" t="s">
        <v>200</v>
      </c>
      <c r="N109" s="161" t="s">
        <v>201</v>
      </c>
      <c r="O109" s="233">
        <v>0</v>
      </c>
      <c r="P109" s="233">
        <v>0</v>
      </c>
      <c r="Q109" s="349">
        <f t="shared" si="11"/>
        <v>0</v>
      </c>
      <c r="R109" s="349"/>
      <c r="S109" s="349"/>
      <c r="T109" s="349"/>
      <c r="U109" s="349"/>
      <c r="V109" s="349"/>
    </row>
    <row r="110" spans="1:22" ht="24">
      <c r="A110" s="165" t="s">
        <v>194</v>
      </c>
      <c r="B110" s="168" t="s">
        <v>329</v>
      </c>
      <c r="C110" s="161" t="s">
        <v>330</v>
      </c>
      <c r="D110" s="233">
        <v>0</v>
      </c>
      <c r="E110" s="233">
        <v>0</v>
      </c>
      <c r="F110" s="233">
        <f t="shared" si="7"/>
        <v>0</v>
      </c>
      <c r="G110" s="233"/>
      <c r="H110" s="234">
        <v>0</v>
      </c>
      <c r="I110" s="234">
        <v>0</v>
      </c>
      <c r="J110" s="234">
        <v>0</v>
      </c>
      <c r="K110" s="234">
        <v>0</v>
      </c>
      <c r="L110" s="162" t="s">
        <v>194</v>
      </c>
      <c r="M110" s="163" t="s">
        <v>202</v>
      </c>
      <c r="N110" s="161" t="s">
        <v>201</v>
      </c>
      <c r="O110" s="233">
        <v>0</v>
      </c>
      <c r="P110" s="233">
        <v>0</v>
      </c>
      <c r="Q110" s="349">
        <f t="shared" si="11"/>
        <v>0</v>
      </c>
      <c r="R110" s="349"/>
      <c r="S110" s="349"/>
      <c r="T110" s="349"/>
      <c r="U110" s="349"/>
      <c r="V110" s="349"/>
    </row>
    <row r="111" spans="1:22" ht="24">
      <c r="A111" s="165" t="s">
        <v>194</v>
      </c>
      <c r="B111" s="168" t="s">
        <v>331</v>
      </c>
      <c r="C111" s="161" t="s">
        <v>332</v>
      </c>
      <c r="D111" s="233">
        <v>0</v>
      </c>
      <c r="E111" s="233">
        <v>0</v>
      </c>
      <c r="F111" s="233">
        <f t="shared" si="7"/>
        <v>0</v>
      </c>
      <c r="G111" s="233"/>
      <c r="H111" s="234">
        <v>0</v>
      </c>
      <c r="I111" s="234">
        <v>0</v>
      </c>
      <c r="J111" s="234">
        <v>0</v>
      </c>
      <c r="K111" s="234">
        <v>0</v>
      </c>
      <c r="L111" s="162" t="s">
        <v>194</v>
      </c>
      <c r="M111" s="163" t="s">
        <v>203</v>
      </c>
      <c r="N111" s="161" t="s">
        <v>199</v>
      </c>
      <c r="O111" s="233">
        <v>1.3248826</v>
      </c>
      <c r="P111" s="233">
        <v>0</v>
      </c>
      <c r="Q111" s="349">
        <f t="shared" si="11"/>
        <v>1.3248826</v>
      </c>
      <c r="R111" s="349"/>
      <c r="S111" s="349"/>
      <c r="T111" s="349">
        <f>Q111</f>
        <v>1.3248826</v>
      </c>
      <c r="U111" s="349"/>
      <c r="V111" s="349"/>
    </row>
    <row r="112" spans="1:22" ht="36">
      <c r="A112" s="165" t="s">
        <v>194</v>
      </c>
      <c r="B112" s="168" t="s">
        <v>333</v>
      </c>
      <c r="C112" s="161" t="s">
        <v>334</v>
      </c>
      <c r="D112" s="233">
        <v>0</v>
      </c>
      <c r="E112" s="233">
        <v>0</v>
      </c>
      <c r="F112" s="233">
        <f t="shared" si="7"/>
        <v>0</v>
      </c>
      <c r="G112" s="233"/>
      <c r="H112" s="234">
        <v>0</v>
      </c>
      <c r="I112" s="234">
        <v>0</v>
      </c>
      <c r="J112" s="234">
        <v>0</v>
      </c>
      <c r="K112" s="234">
        <v>0</v>
      </c>
      <c r="L112" s="162" t="s">
        <v>194</v>
      </c>
      <c r="M112" s="163" t="s">
        <v>204</v>
      </c>
      <c r="N112" s="161" t="s">
        <v>205</v>
      </c>
      <c r="O112" s="233">
        <v>0</v>
      </c>
      <c r="P112" s="233">
        <v>0</v>
      </c>
      <c r="Q112" s="349">
        <f t="shared" si="11"/>
        <v>0</v>
      </c>
      <c r="R112" s="349"/>
      <c r="S112" s="349"/>
      <c r="T112" s="349"/>
      <c r="U112" s="349"/>
      <c r="V112" s="349"/>
    </row>
    <row r="113" spans="1:22" ht="48">
      <c r="A113" s="165" t="s">
        <v>194</v>
      </c>
      <c r="B113" s="168" t="s">
        <v>335</v>
      </c>
      <c r="C113" s="161" t="s">
        <v>334</v>
      </c>
      <c r="D113" s="233">
        <v>0</v>
      </c>
      <c r="E113" s="233">
        <v>0</v>
      </c>
      <c r="F113" s="233">
        <f t="shared" si="7"/>
        <v>0</v>
      </c>
      <c r="G113" s="233"/>
      <c r="H113" s="234">
        <v>0</v>
      </c>
      <c r="I113" s="234">
        <v>0</v>
      </c>
      <c r="J113" s="234">
        <v>0</v>
      </c>
      <c r="K113" s="234">
        <v>0</v>
      </c>
      <c r="L113" s="162" t="s">
        <v>194</v>
      </c>
      <c r="M113" s="163" t="s">
        <v>206</v>
      </c>
      <c r="N113" s="161" t="s">
        <v>207</v>
      </c>
      <c r="O113" s="233">
        <v>0</v>
      </c>
      <c r="P113" s="233">
        <v>0</v>
      </c>
      <c r="Q113" s="349">
        <f t="shared" si="11"/>
        <v>0</v>
      </c>
      <c r="R113" s="349"/>
      <c r="S113" s="349"/>
      <c r="T113" s="349"/>
      <c r="U113" s="349"/>
      <c r="V113" s="349"/>
    </row>
    <row r="114" spans="1:22" ht="48">
      <c r="A114" s="165" t="s">
        <v>194</v>
      </c>
      <c r="B114" s="168" t="s">
        <v>336</v>
      </c>
      <c r="C114" s="161" t="s">
        <v>334</v>
      </c>
      <c r="D114" s="233">
        <v>0</v>
      </c>
      <c r="E114" s="233">
        <v>0</v>
      </c>
      <c r="F114" s="233">
        <f t="shared" si="7"/>
        <v>0</v>
      </c>
      <c r="G114" s="233"/>
      <c r="H114" s="234">
        <v>0</v>
      </c>
      <c r="I114" s="234">
        <v>0</v>
      </c>
      <c r="J114" s="234">
        <v>0</v>
      </c>
      <c r="K114" s="234">
        <v>0</v>
      </c>
      <c r="L114" s="162" t="s">
        <v>194</v>
      </c>
      <c r="M114" s="163" t="s">
        <v>208</v>
      </c>
      <c r="N114" s="161" t="s">
        <v>209</v>
      </c>
      <c r="O114" s="233">
        <v>0.12815779999999999</v>
      </c>
      <c r="P114" s="233">
        <v>3.5884184E-2</v>
      </c>
      <c r="Q114" s="349">
        <f t="shared" si="11"/>
        <v>9.2273615999999989E-2</v>
      </c>
      <c r="R114" s="349"/>
      <c r="S114" s="349"/>
      <c r="T114" s="349"/>
      <c r="U114" s="349"/>
      <c r="V114" s="349">
        <v>9.2273615999999989E-2</v>
      </c>
    </row>
    <row r="115" spans="1:22" ht="36">
      <c r="A115" s="165" t="s">
        <v>194</v>
      </c>
      <c r="B115" s="168" t="s">
        <v>337</v>
      </c>
      <c r="C115" s="161" t="s">
        <v>334</v>
      </c>
      <c r="D115" s="233">
        <v>0</v>
      </c>
      <c r="E115" s="233">
        <v>0</v>
      </c>
      <c r="F115" s="233">
        <f t="shared" si="7"/>
        <v>0</v>
      </c>
      <c r="G115" s="233"/>
      <c r="H115" s="234">
        <v>0</v>
      </c>
      <c r="I115" s="234">
        <v>0</v>
      </c>
      <c r="J115" s="234">
        <v>0</v>
      </c>
      <c r="K115" s="234">
        <v>0</v>
      </c>
      <c r="L115" s="162" t="s">
        <v>194</v>
      </c>
      <c r="M115" s="163" t="s">
        <v>210</v>
      </c>
      <c r="N115" s="161" t="s">
        <v>211</v>
      </c>
      <c r="O115" s="233">
        <v>9.7881624E-2</v>
      </c>
      <c r="P115" s="233">
        <v>0</v>
      </c>
      <c r="Q115" s="349">
        <f t="shared" si="11"/>
        <v>9.7881624E-2</v>
      </c>
      <c r="R115" s="349"/>
      <c r="S115" s="349"/>
      <c r="T115" s="349"/>
      <c r="U115" s="349"/>
      <c r="V115" s="349">
        <v>9.7881624E-2</v>
      </c>
    </row>
    <row r="116" spans="1:22" ht="36">
      <c r="A116" s="165" t="s">
        <v>194</v>
      </c>
      <c r="B116" s="168" t="s">
        <v>338</v>
      </c>
      <c r="C116" s="161" t="s">
        <v>334</v>
      </c>
      <c r="D116" s="233">
        <v>0</v>
      </c>
      <c r="E116" s="233">
        <v>0</v>
      </c>
      <c r="F116" s="233">
        <f t="shared" si="7"/>
        <v>0</v>
      </c>
      <c r="G116" s="233"/>
      <c r="H116" s="234">
        <v>0</v>
      </c>
      <c r="I116" s="234">
        <v>0</v>
      </c>
      <c r="J116" s="234">
        <v>0</v>
      </c>
      <c r="K116" s="234">
        <v>0</v>
      </c>
      <c r="L116" s="162" t="s">
        <v>194</v>
      </c>
      <c r="M116" s="163" t="s">
        <v>212</v>
      </c>
      <c r="N116" s="161" t="s">
        <v>213</v>
      </c>
      <c r="O116" s="233">
        <v>0</v>
      </c>
      <c r="P116" s="233">
        <v>0</v>
      </c>
      <c r="Q116" s="349">
        <f t="shared" si="11"/>
        <v>0</v>
      </c>
      <c r="R116" s="349"/>
      <c r="S116" s="349"/>
      <c r="T116" s="349"/>
      <c r="U116" s="349"/>
      <c r="V116" s="349"/>
    </row>
    <row r="117" spans="1:22" ht="24">
      <c r="A117" s="165" t="s">
        <v>194</v>
      </c>
      <c r="B117" s="168" t="s">
        <v>339</v>
      </c>
      <c r="C117" s="161" t="s">
        <v>334</v>
      </c>
      <c r="D117" s="233">
        <v>0</v>
      </c>
      <c r="E117" s="233">
        <v>0</v>
      </c>
      <c r="F117" s="233">
        <f t="shared" si="7"/>
        <v>0</v>
      </c>
      <c r="G117" s="233"/>
      <c r="H117" s="234">
        <v>0</v>
      </c>
      <c r="I117" s="234">
        <v>0</v>
      </c>
      <c r="J117" s="234">
        <v>0</v>
      </c>
      <c r="K117" s="234">
        <v>0</v>
      </c>
      <c r="L117" s="162" t="s">
        <v>194</v>
      </c>
      <c r="M117" s="163" t="s">
        <v>214</v>
      </c>
      <c r="N117" s="161" t="s">
        <v>201</v>
      </c>
      <c r="O117" s="233">
        <v>0</v>
      </c>
      <c r="P117" s="233">
        <v>0</v>
      </c>
      <c r="Q117" s="349">
        <f t="shared" si="11"/>
        <v>0</v>
      </c>
      <c r="R117" s="349"/>
      <c r="S117" s="349"/>
      <c r="T117" s="349"/>
      <c r="U117" s="349"/>
      <c r="V117" s="349"/>
    </row>
    <row r="118" spans="1:22" ht="36">
      <c r="A118" s="165" t="s">
        <v>194</v>
      </c>
      <c r="B118" s="168" t="s">
        <v>340</v>
      </c>
      <c r="C118" s="161" t="s">
        <v>334</v>
      </c>
      <c r="D118" s="233">
        <v>0</v>
      </c>
      <c r="E118" s="233">
        <v>0</v>
      </c>
      <c r="F118" s="233">
        <f t="shared" si="7"/>
        <v>0</v>
      </c>
      <c r="G118" s="233"/>
      <c r="H118" s="234">
        <v>0</v>
      </c>
      <c r="I118" s="234">
        <v>0</v>
      </c>
      <c r="J118" s="234">
        <v>0</v>
      </c>
      <c r="K118" s="234">
        <v>0</v>
      </c>
      <c r="L118" s="162" t="s">
        <v>194</v>
      </c>
      <c r="M118" s="163" t="s">
        <v>215</v>
      </c>
      <c r="N118" s="161" t="s">
        <v>216</v>
      </c>
      <c r="O118" s="233">
        <v>0.35679793999999998</v>
      </c>
      <c r="P118" s="233">
        <v>6.3656415199999997E-2</v>
      </c>
      <c r="Q118" s="349">
        <f t="shared" si="11"/>
        <v>0.2931415248</v>
      </c>
      <c r="R118" s="349"/>
      <c r="S118" s="349"/>
      <c r="T118" s="349"/>
      <c r="U118" s="349"/>
      <c r="V118" s="349">
        <v>0.2931415248</v>
      </c>
    </row>
    <row r="119" spans="1:22" ht="24">
      <c r="A119" s="165" t="s">
        <v>194</v>
      </c>
      <c r="B119" s="168" t="s">
        <v>341</v>
      </c>
      <c r="C119" s="161" t="s">
        <v>334</v>
      </c>
      <c r="D119" s="233">
        <v>0</v>
      </c>
      <c r="E119" s="233">
        <v>0</v>
      </c>
      <c r="F119" s="233">
        <f t="shared" si="7"/>
        <v>0</v>
      </c>
      <c r="G119" s="233"/>
      <c r="H119" s="234">
        <v>0</v>
      </c>
      <c r="I119" s="234">
        <v>0</v>
      </c>
      <c r="J119" s="234">
        <v>0</v>
      </c>
      <c r="K119" s="234">
        <v>0</v>
      </c>
      <c r="L119" s="162" t="s">
        <v>194</v>
      </c>
      <c r="M119" s="163" t="s">
        <v>217</v>
      </c>
      <c r="N119" s="161" t="s">
        <v>201</v>
      </c>
      <c r="O119" s="233">
        <v>0</v>
      </c>
      <c r="P119" s="233">
        <v>0</v>
      </c>
      <c r="Q119" s="349">
        <f t="shared" si="11"/>
        <v>0</v>
      </c>
      <c r="R119" s="349"/>
      <c r="S119" s="349"/>
      <c r="T119" s="349"/>
      <c r="U119" s="349"/>
      <c r="V119" s="349"/>
    </row>
    <row r="120" spans="1:22" ht="24">
      <c r="A120" s="165" t="s">
        <v>194</v>
      </c>
      <c r="B120" s="168" t="s">
        <v>342</v>
      </c>
      <c r="C120" s="161" t="s">
        <v>334</v>
      </c>
      <c r="D120" s="233">
        <v>0</v>
      </c>
      <c r="E120" s="233">
        <v>0</v>
      </c>
      <c r="F120" s="233">
        <f t="shared" ref="F120:F151" si="12">D120-E120</f>
        <v>0</v>
      </c>
      <c r="G120" s="233"/>
      <c r="H120" s="234">
        <v>0</v>
      </c>
      <c r="I120" s="234">
        <v>0</v>
      </c>
      <c r="J120" s="234">
        <v>0</v>
      </c>
      <c r="K120" s="234">
        <v>0</v>
      </c>
      <c r="L120" s="162" t="s">
        <v>194</v>
      </c>
      <c r="M120" s="163" t="s">
        <v>218</v>
      </c>
      <c r="N120" s="161" t="s">
        <v>219</v>
      </c>
      <c r="O120" s="233">
        <v>0</v>
      </c>
      <c r="P120" s="233">
        <v>0</v>
      </c>
      <c r="Q120" s="349">
        <f t="shared" si="11"/>
        <v>0</v>
      </c>
      <c r="R120" s="349"/>
      <c r="S120" s="349"/>
      <c r="T120" s="349"/>
      <c r="U120" s="349"/>
      <c r="V120" s="349"/>
    </row>
    <row r="121" spans="1:22" ht="36">
      <c r="A121" s="165" t="s">
        <v>194</v>
      </c>
      <c r="B121" s="168" t="s">
        <v>343</v>
      </c>
      <c r="C121" s="161" t="s">
        <v>334</v>
      </c>
      <c r="D121" s="233">
        <v>0</v>
      </c>
      <c r="E121" s="233">
        <v>0</v>
      </c>
      <c r="F121" s="233">
        <f t="shared" si="12"/>
        <v>0</v>
      </c>
      <c r="G121" s="233"/>
      <c r="H121" s="234">
        <v>0</v>
      </c>
      <c r="I121" s="234">
        <v>0</v>
      </c>
      <c r="J121" s="234">
        <v>0</v>
      </c>
      <c r="K121" s="234">
        <v>0</v>
      </c>
      <c r="L121" s="162" t="s">
        <v>194</v>
      </c>
      <c r="M121" s="163" t="s">
        <v>220</v>
      </c>
      <c r="N121" s="161" t="s">
        <v>221</v>
      </c>
      <c r="O121" s="233">
        <v>0</v>
      </c>
      <c r="P121" s="233">
        <v>0</v>
      </c>
      <c r="Q121" s="349">
        <f t="shared" si="11"/>
        <v>0</v>
      </c>
      <c r="R121" s="349"/>
      <c r="S121" s="349"/>
      <c r="T121" s="349"/>
      <c r="U121" s="349"/>
      <c r="V121" s="349"/>
    </row>
    <row r="122" spans="1:22" ht="48">
      <c r="A122" s="165" t="s">
        <v>194</v>
      </c>
      <c r="B122" s="168" t="s">
        <v>344</v>
      </c>
      <c r="C122" s="161" t="s">
        <v>334</v>
      </c>
      <c r="D122" s="233">
        <v>0</v>
      </c>
      <c r="E122" s="233">
        <v>0</v>
      </c>
      <c r="F122" s="233">
        <f t="shared" si="12"/>
        <v>0</v>
      </c>
      <c r="G122" s="233"/>
      <c r="H122" s="234">
        <v>0</v>
      </c>
      <c r="I122" s="234">
        <v>0</v>
      </c>
      <c r="J122" s="234">
        <v>0</v>
      </c>
      <c r="K122" s="234">
        <v>0</v>
      </c>
      <c r="L122" s="162" t="s">
        <v>194</v>
      </c>
      <c r="M122" s="163" t="s">
        <v>222</v>
      </c>
      <c r="N122" s="161" t="s">
        <v>223</v>
      </c>
      <c r="O122" s="233">
        <v>0</v>
      </c>
      <c r="P122" s="233">
        <v>0</v>
      </c>
      <c r="Q122" s="349">
        <f t="shared" si="11"/>
        <v>0</v>
      </c>
      <c r="R122" s="349"/>
      <c r="S122" s="349"/>
      <c r="T122" s="349"/>
      <c r="U122" s="349"/>
      <c r="V122" s="349"/>
    </row>
    <row r="123" spans="1:22" ht="36">
      <c r="A123" s="165" t="s">
        <v>194</v>
      </c>
      <c r="B123" s="168" t="s">
        <v>345</v>
      </c>
      <c r="C123" s="161" t="s">
        <v>334</v>
      </c>
      <c r="D123" s="233">
        <v>0</v>
      </c>
      <c r="E123" s="233">
        <v>0</v>
      </c>
      <c r="F123" s="233">
        <f t="shared" si="12"/>
        <v>0</v>
      </c>
      <c r="G123" s="233"/>
      <c r="H123" s="234">
        <v>0</v>
      </c>
      <c r="I123" s="234">
        <v>0</v>
      </c>
      <c r="J123" s="234">
        <v>0</v>
      </c>
      <c r="K123" s="234">
        <v>0</v>
      </c>
      <c r="L123" s="162" t="s">
        <v>194</v>
      </c>
      <c r="M123" s="163" t="s">
        <v>224</v>
      </c>
      <c r="N123" s="161" t="s">
        <v>205</v>
      </c>
      <c r="O123" s="233">
        <v>0</v>
      </c>
      <c r="P123" s="233">
        <v>0</v>
      </c>
      <c r="Q123" s="349">
        <f t="shared" si="11"/>
        <v>0</v>
      </c>
      <c r="R123" s="349"/>
      <c r="S123" s="349"/>
      <c r="T123" s="349"/>
      <c r="U123" s="349"/>
      <c r="V123" s="349"/>
    </row>
    <row r="124" spans="1:22" ht="36">
      <c r="A124" s="165" t="s">
        <v>194</v>
      </c>
      <c r="B124" s="168" t="s">
        <v>346</v>
      </c>
      <c r="C124" s="161" t="s">
        <v>334</v>
      </c>
      <c r="D124" s="233">
        <v>0</v>
      </c>
      <c r="E124" s="233">
        <v>0</v>
      </c>
      <c r="F124" s="233">
        <f t="shared" si="12"/>
        <v>0</v>
      </c>
      <c r="G124" s="233"/>
      <c r="H124" s="234">
        <v>0</v>
      </c>
      <c r="I124" s="234">
        <v>0</v>
      </c>
      <c r="J124" s="234">
        <v>0</v>
      </c>
      <c r="K124" s="234">
        <v>0</v>
      </c>
      <c r="L124" s="162" t="s">
        <v>194</v>
      </c>
      <c r="M124" s="163" t="s">
        <v>225</v>
      </c>
      <c r="N124" s="161" t="s">
        <v>226</v>
      </c>
      <c r="O124" s="233">
        <v>1.9307999999999999E-2</v>
      </c>
      <c r="P124" s="233">
        <v>5.4062400000000005E-3</v>
      </c>
      <c r="Q124" s="349">
        <f t="shared" si="11"/>
        <v>1.3901759999999999E-2</v>
      </c>
      <c r="R124" s="349"/>
      <c r="S124" s="349"/>
      <c r="T124" s="349"/>
      <c r="U124" s="349"/>
      <c r="V124" s="349">
        <v>1.3901759999999999E-2</v>
      </c>
    </row>
    <row r="125" spans="1:22" ht="36">
      <c r="A125" s="165" t="s">
        <v>194</v>
      </c>
      <c r="B125" s="168" t="s">
        <v>347</v>
      </c>
      <c r="C125" s="161" t="s">
        <v>334</v>
      </c>
      <c r="D125" s="233">
        <v>0</v>
      </c>
      <c r="E125" s="233">
        <v>0</v>
      </c>
      <c r="F125" s="233">
        <f t="shared" si="12"/>
        <v>0</v>
      </c>
      <c r="G125" s="233"/>
      <c r="H125" s="234">
        <v>0</v>
      </c>
      <c r="I125" s="234">
        <v>0</v>
      </c>
      <c r="J125" s="234">
        <v>0</v>
      </c>
      <c r="K125" s="234">
        <v>0</v>
      </c>
      <c r="L125" s="162" t="s">
        <v>194</v>
      </c>
      <c r="M125" s="163" t="s">
        <v>227</v>
      </c>
      <c r="N125" s="161" t="s">
        <v>228</v>
      </c>
      <c r="O125" s="233">
        <v>7.5644779999999995E-3</v>
      </c>
      <c r="P125" s="233">
        <v>0</v>
      </c>
      <c r="Q125" s="349">
        <f t="shared" si="11"/>
        <v>7.5644779999999995E-3</v>
      </c>
      <c r="R125" s="349"/>
      <c r="S125" s="349"/>
      <c r="T125" s="349"/>
      <c r="U125" s="349"/>
      <c r="V125" s="349">
        <v>7.5644779999999995E-3</v>
      </c>
    </row>
    <row r="126" spans="1:22" ht="48">
      <c r="A126" s="165" t="s">
        <v>194</v>
      </c>
      <c r="B126" s="168" t="s">
        <v>348</v>
      </c>
      <c r="C126" s="161" t="s">
        <v>334</v>
      </c>
      <c r="D126" s="233">
        <v>0</v>
      </c>
      <c r="E126" s="233">
        <v>0</v>
      </c>
      <c r="F126" s="233">
        <f t="shared" si="12"/>
        <v>0</v>
      </c>
      <c r="G126" s="233"/>
      <c r="H126" s="234">
        <v>0</v>
      </c>
      <c r="I126" s="234">
        <v>0</v>
      </c>
      <c r="J126" s="234">
        <v>0</v>
      </c>
      <c r="K126" s="234">
        <v>0</v>
      </c>
      <c r="L126" s="162" t="s">
        <v>194</v>
      </c>
      <c r="M126" s="163" t="s">
        <v>229</v>
      </c>
      <c r="N126" s="161" t="s">
        <v>209</v>
      </c>
      <c r="O126" s="233">
        <v>0</v>
      </c>
      <c r="P126" s="233">
        <v>0</v>
      </c>
      <c r="Q126" s="349">
        <f t="shared" si="11"/>
        <v>0</v>
      </c>
      <c r="R126" s="349"/>
      <c r="S126" s="349"/>
      <c r="T126" s="349"/>
      <c r="U126" s="349"/>
      <c r="V126" s="349"/>
    </row>
    <row r="127" spans="1:22" ht="24">
      <c r="A127" s="165" t="s">
        <v>194</v>
      </c>
      <c r="B127" s="168" t="s">
        <v>349</v>
      </c>
      <c r="C127" s="161" t="s">
        <v>334</v>
      </c>
      <c r="D127" s="233">
        <v>0</v>
      </c>
      <c r="E127" s="233">
        <v>0</v>
      </c>
      <c r="F127" s="233">
        <f t="shared" si="12"/>
        <v>0</v>
      </c>
      <c r="G127" s="233"/>
      <c r="H127" s="234">
        <v>0</v>
      </c>
      <c r="I127" s="234">
        <v>0</v>
      </c>
      <c r="J127" s="234">
        <v>0</v>
      </c>
      <c r="K127" s="234">
        <v>0</v>
      </c>
      <c r="L127" s="162" t="s">
        <v>194</v>
      </c>
      <c r="M127" s="164" t="s">
        <v>230</v>
      </c>
      <c r="N127" s="161" t="s">
        <v>231</v>
      </c>
      <c r="O127" s="233">
        <v>2E-3</v>
      </c>
      <c r="P127" s="233">
        <v>0</v>
      </c>
      <c r="Q127" s="349">
        <f t="shared" si="11"/>
        <v>2E-3</v>
      </c>
      <c r="R127" s="349"/>
      <c r="S127" s="349"/>
      <c r="T127" s="349"/>
      <c r="U127" s="349"/>
      <c r="V127" s="349">
        <v>2E-3</v>
      </c>
    </row>
    <row r="128" spans="1:22" ht="24">
      <c r="A128" s="165" t="s">
        <v>194</v>
      </c>
      <c r="B128" s="168" t="s">
        <v>350</v>
      </c>
      <c r="C128" s="161" t="s">
        <v>334</v>
      </c>
      <c r="D128" s="233">
        <v>0</v>
      </c>
      <c r="E128" s="233">
        <v>0</v>
      </c>
      <c r="F128" s="233">
        <f t="shared" si="12"/>
        <v>0</v>
      </c>
      <c r="G128" s="233"/>
      <c r="H128" s="234">
        <v>0</v>
      </c>
      <c r="I128" s="234">
        <v>0</v>
      </c>
      <c r="J128" s="234">
        <v>0</v>
      </c>
      <c r="K128" s="234">
        <v>0</v>
      </c>
      <c r="L128" s="165" t="s">
        <v>232</v>
      </c>
      <c r="M128" s="166" t="s">
        <v>233</v>
      </c>
      <c r="N128" s="161" t="s">
        <v>234</v>
      </c>
      <c r="O128" s="233">
        <v>0.88555509900000007</v>
      </c>
      <c r="P128" s="233">
        <v>0.88555505379608701</v>
      </c>
      <c r="Q128" s="349">
        <f t="shared" si="11"/>
        <v>4.5203913057179079E-8</v>
      </c>
      <c r="R128" s="349"/>
      <c r="S128" s="349"/>
      <c r="T128" s="349"/>
      <c r="U128" s="349"/>
      <c r="V128" s="349">
        <v>4.5203913057179079E-8</v>
      </c>
    </row>
    <row r="129" spans="1:22" ht="24">
      <c r="A129" s="165" t="s">
        <v>194</v>
      </c>
      <c r="B129" s="168" t="s">
        <v>351</v>
      </c>
      <c r="C129" s="161" t="s">
        <v>334</v>
      </c>
      <c r="D129" s="233">
        <v>0</v>
      </c>
      <c r="E129" s="233">
        <v>0</v>
      </c>
      <c r="F129" s="233">
        <f t="shared" si="12"/>
        <v>0</v>
      </c>
      <c r="G129" s="233"/>
      <c r="H129" s="234">
        <v>0</v>
      </c>
      <c r="I129" s="234">
        <v>0</v>
      </c>
      <c r="J129" s="234">
        <v>0</v>
      </c>
      <c r="K129" s="234">
        <v>0</v>
      </c>
      <c r="L129" s="165" t="s">
        <v>232</v>
      </c>
      <c r="M129" s="166" t="s">
        <v>235</v>
      </c>
      <c r="N129" s="161" t="s">
        <v>236</v>
      </c>
      <c r="O129" s="233">
        <v>7.255328016</v>
      </c>
      <c r="P129" s="233">
        <v>5.7903438251659196</v>
      </c>
      <c r="Q129" s="349">
        <f t="shared" si="11"/>
        <v>1.4649841908340804</v>
      </c>
      <c r="R129" s="349"/>
      <c r="S129" s="349"/>
      <c r="T129" s="349">
        <f>Q129</f>
        <v>1.4649841908340804</v>
      </c>
      <c r="U129" s="349"/>
      <c r="V129" s="349">
        <v>0</v>
      </c>
    </row>
    <row r="130" spans="1:22" ht="36">
      <c r="A130" s="165" t="s">
        <v>194</v>
      </c>
      <c r="B130" s="168" t="s">
        <v>352</v>
      </c>
      <c r="C130" s="161" t="s">
        <v>334</v>
      </c>
      <c r="D130" s="233">
        <v>0</v>
      </c>
      <c r="E130" s="233">
        <v>0</v>
      </c>
      <c r="F130" s="233">
        <f t="shared" si="12"/>
        <v>0</v>
      </c>
      <c r="G130" s="233"/>
      <c r="H130" s="234">
        <v>0</v>
      </c>
      <c r="I130" s="234">
        <v>0</v>
      </c>
      <c r="J130" s="234">
        <v>0</v>
      </c>
      <c r="K130" s="234">
        <v>0</v>
      </c>
      <c r="L130" s="165" t="s">
        <v>232</v>
      </c>
      <c r="M130" s="166" t="s">
        <v>237</v>
      </c>
      <c r="N130" s="161" t="s">
        <v>238</v>
      </c>
      <c r="O130" s="233">
        <v>2.5312781630000032</v>
      </c>
      <c r="P130" s="233">
        <v>0.35354265282000003</v>
      </c>
      <c r="Q130" s="349">
        <f t="shared" si="11"/>
        <v>2.1777355101800033</v>
      </c>
      <c r="R130" s="349"/>
      <c r="S130" s="349">
        <v>2.1777355101800033</v>
      </c>
      <c r="T130" s="349"/>
      <c r="U130" s="349"/>
      <c r="V130" s="349"/>
    </row>
    <row r="131" spans="1:22" ht="36">
      <c r="A131" s="165" t="s">
        <v>194</v>
      </c>
      <c r="B131" s="168" t="s">
        <v>353</v>
      </c>
      <c r="C131" s="161" t="s">
        <v>334</v>
      </c>
      <c r="D131" s="233">
        <v>0</v>
      </c>
      <c r="E131" s="233">
        <v>0</v>
      </c>
      <c r="F131" s="233">
        <f t="shared" si="12"/>
        <v>0</v>
      </c>
      <c r="G131" s="233"/>
      <c r="H131" s="234">
        <v>0</v>
      </c>
      <c r="I131" s="234">
        <v>0</v>
      </c>
      <c r="J131" s="234">
        <v>0</v>
      </c>
      <c r="K131" s="234">
        <v>0</v>
      </c>
      <c r="L131" s="165" t="s">
        <v>232</v>
      </c>
      <c r="M131" s="166" t="s">
        <v>239</v>
      </c>
      <c r="N131" s="161" t="s">
        <v>240</v>
      </c>
      <c r="O131" s="233">
        <v>5.1205800000002607E-3</v>
      </c>
      <c r="P131" s="233">
        <v>7.1688400000000021E-4</v>
      </c>
      <c r="Q131" s="349">
        <f t="shared" si="11"/>
        <v>4.4036960000002606E-3</v>
      </c>
      <c r="R131" s="349"/>
      <c r="S131" s="349"/>
      <c r="T131" s="349"/>
      <c r="U131" s="349"/>
      <c r="V131" s="349">
        <f>Q131</f>
        <v>4.4036960000002606E-3</v>
      </c>
    </row>
    <row r="132" spans="1:22" ht="36">
      <c r="A132" s="165" t="s">
        <v>194</v>
      </c>
      <c r="B132" s="168" t="s">
        <v>354</v>
      </c>
      <c r="C132" s="161" t="s">
        <v>334</v>
      </c>
      <c r="D132" s="233">
        <v>0</v>
      </c>
      <c r="E132" s="233">
        <v>0</v>
      </c>
      <c r="F132" s="233">
        <f t="shared" si="12"/>
        <v>0</v>
      </c>
      <c r="G132" s="233"/>
      <c r="H132" s="234">
        <v>0</v>
      </c>
      <c r="I132" s="234">
        <v>0</v>
      </c>
      <c r="J132" s="234">
        <v>0</v>
      </c>
      <c r="K132" s="234">
        <v>0</v>
      </c>
      <c r="L132" s="165" t="s">
        <v>232</v>
      </c>
      <c r="M132" s="166" t="s">
        <v>241</v>
      </c>
      <c r="N132" s="161" t="s">
        <v>242</v>
      </c>
      <c r="O132" s="233">
        <v>30.884673516000003</v>
      </c>
      <c r="P132" s="233">
        <v>0.40941890261999997</v>
      </c>
      <c r="Q132" s="349">
        <f t="shared" si="11"/>
        <v>30.475254613380002</v>
      </c>
      <c r="R132" s="349"/>
      <c r="S132" s="349"/>
      <c r="T132" s="349"/>
      <c r="U132" s="349"/>
      <c r="V132" s="349">
        <f>Q132</f>
        <v>30.475254613380002</v>
      </c>
    </row>
    <row r="133" spans="1:22" ht="96">
      <c r="A133" s="165" t="s">
        <v>194</v>
      </c>
      <c r="B133" s="168" t="s">
        <v>355</v>
      </c>
      <c r="C133" s="161" t="s">
        <v>334</v>
      </c>
      <c r="D133" s="233">
        <v>0</v>
      </c>
      <c r="E133" s="233">
        <v>0</v>
      </c>
      <c r="F133" s="233">
        <f t="shared" si="12"/>
        <v>0</v>
      </c>
      <c r="G133" s="233"/>
      <c r="H133" s="234">
        <v>0</v>
      </c>
      <c r="I133" s="234">
        <v>0</v>
      </c>
      <c r="J133" s="234">
        <v>0</v>
      </c>
      <c r="K133" s="234">
        <v>0</v>
      </c>
      <c r="L133" s="165" t="s">
        <v>232</v>
      </c>
      <c r="M133" s="167" t="s">
        <v>243</v>
      </c>
      <c r="N133" s="161" t="s">
        <v>244</v>
      </c>
      <c r="O133" s="233">
        <v>1.1970801410000005</v>
      </c>
      <c r="P133" s="233">
        <v>0</v>
      </c>
      <c r="Q133" s="349">
        <f t="shared" si="11"/>
        <v>1.1970801410000005</v>
      </c>
      <c r="R133" s="349"/>
      <c r="S133" s="349">
        <f>Q133</f>
        <v>1.1970801410000005</v>
      </c>
      <c r="T133" s="349"/>
      <c r="U133" s="349"/>
      <c r="V133" s="349"/>
    </row>
    <row r="134" spans="1:22" ht="48">
      <c r="A134" s="165" t="s">
        <v>194</v>
      </c>
      <c r="B134" s="168" t="s">
        <v>356</v>
      </c>
      <c r="C134" s="161" t="s">
        <v>334</v>
      </c>
      <c r="D134" s="233">
        <v>0</v>
      </c>
      <c r="E134" s="233">
        <v>0</v>
      </c>
      <c r="F134" s="233">
        <f t="shared" si="12"/>
        <v>0</v>
      </c>
      <c r="G134" s="233"/>
      <c r="H134" s="234">
        <v>0</v>
      </c>
      <c r="I134" s="234">
        <v>0</v>
      </c>
      <c r="J134" s="234">
        <v>0</v>
      </c>
      <c r="K134" s="234">
        <v>0</v>
      </c>
      <c r="L134" s="165" t="s">
        <v>245</v>
      </c>
      <c r="M134" s="168" t="s">
        <v>245</v>
      </c>
      <c r="N134" s="161" t="s">
        <v>246</v>
      </c>
      <c r="O134" s="233">
        <v>11.895599799999999</v>
      </c>
      <c r="P134" s="233">
        <v>11.8451906</v>
      </c>
      <c r="Q134" s="349">
        <f t="shared" si="11"/>
        <v>5.0409199999998933E-2</v>
      </c>
      <c r="R134" s="349"/>
      <c r="S134" s="349">
        <v>-1.7</v>
      </c>
      <c r="T134" s="349"/>
      <c r="U134" s="349"/>
      <c r="V134" s="349">
        <v>5.0409199999998933E-2</v>
      </c>
    </row>
    <row r="135" spans="1:22" ht="48">
      <c r="A135" s="165" t="s">
        <v>194</v>
      </c>
      <c r="B135" s="168" t="s">
        <v>357</v>
      </c>
      <c r="C135" s="161" t="s">
        <v>334</v>
      </c>
      <c r="D135" s="233">
        <v>0</v>
      </c>
      <c r="E135" s="233">
        <v>0</v>
      </c>
      <c r="F135" s="233">
        <f t="shared" si="12"/>
        <v>0</v>
      </c>
      <c r="G135" s="233"/>
      <c r="H135" s="234">
        <v>0</v>
      </c>
      <c r="I135" s="234">
        <v>0</v>
      </c>
      <c r="J135" s="234">
        <v>0</v>
      </c>
      <c r="K135" s="234">
        <v>0</v>
      </c>
      <c r="L135" s="165" t="s">
        <v>245</v>
      </c>
      <c r="M135" s="168" t="s">
        <v>245</v>
      </c>
      <c r="N135" s="161" t="s">
        <v>247</v>
      </c>
      <c r="O135" s="233">
        <v>9.0653637000000007</v>
      </c>
      <c r="P135" s="233">
        <v>9.075366279999999</v>
      </c>
      <c r="Q135" s="349">
        <f t="shared" si="11"/>
        <v>-1.0002579999998318E-2</v>
      </c>
      <c r="R135" s="349"/>
      <c r="S135" s="349"/>
      <c r="T135" s="349"/>
      <c r="U135" s="349"/>
      <c r="V135" s="349">
        <v>-1.0002579999998318E-2</v>
      </c>
    </row>
    <row r="136" spans="1:22" ht="48">
      <c r="A136" s="165" t="s">
        <v>194</v>
      </c>
      <c r="B136" s="168" t="s">
        <v>358</v>
      </c>
      <c r="C136" s="161" t="s">
        <v>334</v>
      </c>
      <c r="D136" s="233">
        <v>0</v>
      </c>
      <c r="E136" s="233">
        <v>0</v>
      </c>
      <c r="F136" s="233">
        <f t="shared" si="12"/>
        <v>0</v>
      </c>
      <c r="G136" s="233"/>
      <c r="H136" s="234">
        <v>0</v>
      </c>
      <c r="I136" s="234">
        <v>0</v>
      </c>
      <c r="J136" s="234">
        <v>0</v>
      </c>
      <c r="K136" s="234">
        <v>0</v>
      </c>
      <c r="L136" s="165" t="s">
        <v>245</v>
      </c>
      <c r="M136" s="168" t="s">
        <v>245</v>
      </c>
      <c r="N136" s="161" t="s">
        <v>248</v>
      </c>
      <c r="O136" s="233">
        <v>3.4458510000000002</v>
      </c>
      <c r="P136" s="233">
        <v>0</v>
      </c>
      <c r="Q136" s="349">
        <f t="shared" si="11"/>
        <v>3.4458510000000002</v>
      </c>
      <c r="R136" s="349"/>
      <c r="S136" s="349"/>
      <c r="T136" s="349"/>
      <c r="U136" s="349"/>
      <c r="V136" s="349">
        <v>3.4458510000000002</v>
      </c>
    </row>
    <row r="137" spans="1:22" ht="60">
      <c r="A137" s="165" t="s">
        <v>194</v>
      </c>
      <c r="B137" s="168" t="s">
        <v>359</v>
      </c>
      <c r="C137" s="161" t="s">
        <v>334</v>
      </c>
      <c r="D137" s="233">
        <v>0</v>
      </c>
      <c r="E137" s="233">
        <v>0</v>
      </c>
      <c r="F137" s="233">
        <f t="shared" si="12"/>
        <v>0</v>
      </c>
      <c r="G137" s="233"/>
      <c r="H137" s="234">
        <v>0</v>
      </c>
      <c r="I137" s="234">
        <v>0</v>
      </c>
      <c r="J137" s="234">
        <v>0</v>
      </c>
      <c r="K137" s="234">
        <v>0</v>
      </c>
      <c r="L137" s="165" t="s">
        <v>245</v>
      </c>
      <c r="M137" s="168" t="s">
        <v>245</v>
      </c>
      <c r="N137" s="161" t="s">
        <v>249</v>
      </c>
      <c r="O137" s="233">
        <v>-0.19346379999999999</v>
      </c>
      <c r="P137" s="233">
        <v>0</v>
      </c>
      <c r="Q137" s="349">
        <f t="shared" si="11"/>
        <v>-0.19346379999999999</v>
      </c>
      <c r="R137" s="349"/>
      <c r="S137" s="349"/>
      <c r="T137" s="349"/>
      <c r="U137" s="349"/>
      <c r="V137" s="349">
        <v>-0.19346379999999999</v>
      </c>
    </row>
    <row r="138" spans="1:22" ht="48">
      <c r="A138" s="165" t="s">
        <v>194</v>
      </c>
      <c r="B138" s="168" t="s">
        <v>360</v>
      </c>
      <c r="C138" s="161" t="s">
        <v>334</v>
      </c>
      <c r="D138" s="233">
        <v>0</v>
      </c>
      <c r="E138" s="233">
        <v>0</v>
      </c>
      <c r="F138" s="233">
        <f t="shared" si="12"/>
        <v>0</v>
      </c>
      <c r="G138" s="233"/>
      <c r="H138" s="234">
        <v>0</v>
      </c>
      <c r="I138" s="234">
        <v>0</v>
      </c>
      <c r="J138" s="234">
        <v>0</v>
      </c>
      <c r="K138" s="234">
        <v>0</v>
      </c>
      <c r="L138" s="165" t="s">
        <v>245</v>
      </c>
      <c r="M138" s="168" t="s">
        <v>245</v>
      </c>
      <c r="N138" s="161" t="s">
        <v>250</v>
      </c>
      <c r="O138" s="233">
        <v>3.6050000000000001E-3</v>
      </c>
      <c r="P138" s="233">
        <v>3.0049E-3</v>
      </c>
      <c r="Q138" s="349">
        <f t="shared" si="11"/>
        <v>6.0010000000000011E-4</v>
      </c>
      <c r="R138" s="349"/>
      <c r="S138" s="349"/>
      <c r="T138" s="349"/>
      <c r="U138" s="349"/>
      <c r="V138" s="349">
        <v>6.0010000000000011E-4</v>
      </c>
    </row>
    <row r="139" spans="1:22" ht="24">
      <c r="A139" s="165" t="s">
        <v>232</v>
      </c>
      <c r="B139" s="168" t="s">
        <v>361</v>
      </c>
      <c r="C139" s="161" t="s">
        <v>362</v>
      </c>
      <c r="D139" s="233">
        <v>0</v>
      </c>
      <c r="E139" s="233">
        <v>0</v>
      </c>
      <c r="F139" s="233">
        <f t="shared" si="12"/>
        <v>0</v>
      </c>
      <c r="G139" s="233"/>
      <c r="H139" s="234">
        <v>0</v>
      </c>
      <c r="I139" s="234">
        <v>0</v>
      </c>
      <c r="J139" s="234">
        <v>0</v>
      </c>
      <c r="K139" s="234">
        <v>0</v>
      </c>
      <c r="L139" s="165" t="s">
        <v>245</v>
      </c>
      <c r="M139" s="168" t="s">
        <v>245</v>
      </c>
      <c r="N139" s="161" t="s">
        <v>251</v>
      </c>
      <c r="O139" s="233">
        <v>7.3472700000000002E-2</v>
      </c>
      <c r="P139" s="233">
        <v>0.23296239999999999</v>
      </c>
      <c r="Q139" s="349">
        <f t="shared" si="11"/>
        <v>-0.15948969999999998</v>
      </c>
      <c r="R139" s="349"/>
      <c r="S139" s="349"/>
      <c r="T139" s="349"/>
      <c r="U139" s="349"/>
      <c r="V139" s="349">
        <v>-0.15948969999999998</v>
      </c>
    </row>
    <row r="140" spans="1:22" ht="36">
      <c r="A140" s="165" t="s">
        <v>232</v>
      </c>
      <c r="B140" s="168" t="s">
        <v>363</v>
      </c>
      <c r="C140" s="161" t="s">
        <v>364</v>
      </c>
      <c r="D140" s="233">
        <v>0</v>
      </c>
      <c r="E140" s="233">
        <v>0</v>
      </c>
      <c r="F140" s="233">
        <f t="shared" si="12"/>
        <v>0</v>
      </c>
      <c r="G140" s="233"/>
      <c r="H140" s="234">
        <v>0</v>
      </c>
      <c r="I140" s="234">
        <v>0</v>
      </c>
      <c r="J140" s="234">
        <v>0</v>
      </c>
      <c r="K140" s="234">
        <v>0</v>
      </c>
      <c r="L140" s="165" t="s">
        <v>245</v>
      </c>
      <c r="M140" s="168" t="s">
        <v>245</v>
      </c>
      <c r="N140" s="161" t="s">
        <v>252</v>
      </c>
      <c r="O140" s="233">
        <v>7.7830994000000001E-2</v>
      </c>
      <c r="P140" s="233">
        <v>9.5554600000000003E-2</v>
      </c>
      <c r="Q140" s="349">
        <f t="shared" si="11"/>
        <v>-1.7723606000000003E-2</v>
      </c>
      <c r="R140" s="349"/>
      <c r="S140" s="349"/>
      <c r="T140" s="349"/>
      <c r="U140" s="349"/>
      <c r="V140" s="349">
        <v>-1.7723606000000003E-2</v>
      </c>
    </row>
    <row r="141" spans="1:22" ht="36">
      <c r="A141" s="165" t="s">
        <v>245</v>
      </c>
      <c r="B141" s="168" t="s">
        <v>245</v>
      </c>
      <c r="C141" s="161" t="s">
        <v>365</v>
      </c>
      <c r="D141" s="233">
        <v>0</v>
      </c>
      <c r="E141" s="233">
        <v>0</v>
      </c>
      <c r="F141" s="233">
        <f t="shared" si="12"/>
        <v>0</v>
      </c>
      <c r="G141" s="233"/>
      <c r="H141" s="234">
        <v>0</v>
      </c>
      <c r="I141" s="234">
        <v>0</v>
      </c>
      <c r="J141" s="234">
        <v>0</v>
      </c>
      <c r="K141" s="234">
        <v>0</v>
      </c>
      <c r="L141" s="169" t="s">
        <v>253</v>
      </c>
      <c r="M141" s="170" t="s">
        <v>254</v>
      </c>
      <c r="N141" s="161" t="s">
        <v>255</v>
      </c>
      <c r="O141" s="233">
        <v>34.739175361999997</v>
      </c>
      <c r="P141" s="233">
        <v>17.234742575101695</v>
      </c>
      <c r="Q141" s="349">
        <f t="shared" si="11"/>
        <v>17.504432786898303</v>
      </c>
      <c r="R141" s="349"/>
      <c r="S141" s="349"/>
      <c r="T141" s="349">
        <f>Q141</f>
        <v>17.504432786898303</v>
      </c>
      <c r="U141" s="349"/>
      <c r="V141" s="349"/>
    </row>
    <row r="142" spans="1:22" ht="48">
      <c r="A142" s="165" t="s">
        <v>245</v>
      </c>
      <c r="B142" s="168" t="s">
        <v>245</v>
      </c>
      <c r="C142" s="161" t="s">
        <v>366</v>
      </c>
      <c r="D142" s="233">
        <v>9.8831137999999985E-2</v>
      </c>
      <c r="E142" s="233">
        <v>9.8831137999999985E-2</v>
      </c>
      <c r="F142" s="233">
        <f t="shared" si="12"/>
        <v>0</v>
      </c>
      <c r="G142" s="233"/>
      <c r="H142" s="234">
        <v>0</v>
      </c>
      <c r="I142" s="234">
        <v>0</v>
      </c>
      <c r="J142" s="234">
        <v>0</v>
      </c>
      <c r="K142" s="234">
        <v>0</v>
      </c>
      <c r="L142" s="169" t="s">
        <v>253</v>
      </c>
      <c r="M142" s="170" t="s">
        <v>256</v>
      </c>
      <c r="N142" s="161" t="s">
        <v>257</v>
      </c>
      <c r="O142" s="233">
        <v>1.316238</v>
      </c>
      <c r="P142" s="233">
        <v>0.39508776789041095</v>
      </c>
      <c r="Q142" s="349">
        <f t="shared" si="11"/>
        <v>0.92115023210958902</v>
      </c>
      <c r="R142" s="349"/>
      <c r="S142" s="349"/>
      <c r="T142" s="349">
        <f>Q142</f>
        <v>0.92115023210958902</v>
      </c>
      <c r="U142" s="349"/>
      <c r="V142" s="349"/>
    </row>
    <row r="143" spans="1:22" ht="60">
      <c r="A143" s="165" t="s">
        <v>245</v>
      </c>
      <c r="B143" s="168" t="s">
        <v>245</v>
      </c>
      <c r="C143" s="161" t="s">
        <v>367</v>
      </c>
      <c r="D143" s="233">
        <v>0.31169970000000002</v>
      </c>
      <c r="E143" s="233">
        <v>0.31169970000000002</v>
      </c>
      <c r="F143" s="233">
        <f t="shared" si="12"/>
        <v>0</v>
      </c>
      <c r="G143" s="233"/>
      <c r="H143" s="234">
        <v>0</v>
      </c>
      <c r="I143" s="234">
        <v>0</v>
      </c>
      <c r="J143" s="234">
        <v>0</v>
      </c>
      <c r="K143" s="234">
        <v>0</v>
      </c>
      <c r="L143" s="169" t="s">
        <v>253</v>
      </c>
      <c r="M143" s="170" t="s">
        <v>258</v>
      </c>
      <c r="N143" s="161" t="s">
        <v>259</v>
      </c>
      <c r="O143" s="233">
        <v>8.0556628799999999</v>
      </c>
      <c r="P143" s="233">
        <v>8.0556628799999999</v>
      </c>
      <c r="Q143" s="349">
        <f t="shared" si="11"/>
        <v>0</v>
      </c>
      <c r="R143" s="349"/>
      <c r="S143" s="349"/>
      <c r="T143" s="349"/>
      <c r="U143" s="349"/>
      <c r="V143" s="349"/>
    </row>
    <row r="144" spans="1:22" ht="36">
      <c r="A144" s="165" t="s">
        <v>245</v>
      </c>
      <c r="B144" s="168" t="s">
        <v>245</v>
      </c>
      <c r="C144" s="161" t="s">
        <v>368</v>
      </c>
      <c r="D144" s="233">
        <v>6.7202799999999993E-2</v>
      </c>
      <c r="E144" s="233">
        <v>6.7202799999999993E-2</v>
      </c>
      <c r="F144" s="233">
        <f t="shared" si="12"/>
        <v>0</v>
      </c>
      <c r="G144" s="233"/>
      <c r="H144" s="234">
        <v>0</v>
      </c>
      <c r="I144" s="234">
        <v>0</v>
      </c>
      <c r="J144" s="234">
        <v>0</v>
      </c>
      <c r="K144" s="234">
        <v>0</v>
      </c>
      <c r="L144" s="169" t="s">
        <v>253</v>
      </c>
      <c r="M144" s="170" t="s">
        <v>260</v>
      </c>
      <c r="N144" s="161" t="s">
        <v>261</v>
      </c>
      <c r="O144" s="233">
        <v>4.0000000000000001E-8</v>
      </c>
      <c r="P144" s="233">
        <v>0</v>
      </c>
      <c r="Q144" s="349">
        <f t="shared" si="11"/>
        <v>4.0000000000000001E-8</v>
      </c>
      <c r="R144" s="349"/>
      <c r="S144" s="349"/>
      <c r="T144" s="349"/>
      <c r="U144" s="349"/>
      <c r="V144" s="349">
        <v>4.0000000000000001E-8</v>
      </c>
    </row>
    <row r="145" spans="1:22" ht="60">
      <c r="A145" s="165" t="s">
        <v>369</v>
      </c>
      <c r="B145" s="168" t="s">
        <v>245</v>
      </c>
      <c r="C145" s="161" t="s">
        <v>370</v>
      </c>
      <c r="D145" s="233">
        <v>0.398729</v>
      </c>
      <c r="E145" s="233">
        <v>0.398729</v>
      </c>
      <c r="F145" s="233">
        <f t="shared" si="12"/>
        <v>0</v>
      </c>
      <c r="G145" s="233"/>
      <c r="H145" s="234">
        <v>0</v>
      </c>
      <c r="I145" s="234">
        <v>0</v>
      </c>
      <c r="J145" s="234">
        <v>0</v>
      </c>
      <c r="K145" s="234">
        <v>0</v>
      </c>
      <c r="L145" s="169" t="s">
        <v>253</v>
      </c>
      <c r="M145" s="170" t="s">
        <v>262</v>
      </c>
      <c r="N145" s="161" t="s">
        <v>259</v>
      </c>
      <c r="O145" s="233">
        <v>3.9665639100000001</v>
      </c>
      <c r="P145" s="233">
        <v>3.9665639000000001</v>
      </c>
      <c r="Q145" s="349">
        <f t="shared" si="11"/>
        <v>9.9999999392252903E-9</v>
      </c>
      <c r="R145" s="349"/>
      <c r="S145" s="349"/>
      <c r="T145" s="349"/>
      <c r="U145" s="349"/>
      <c r="V145" s="349">
        <v>9.9999999392252903E-9</v>
      </c>
    </row>
    <row r="146" spans="1:22" ht="60">
      <c r="A146" s="165" t="s">
        <v>245</v>
      </c>
      <c r="B146" s="168" t="s">
        <v>245</v>
      </c>
      <c r="C146" s="161" t="s">
        <v>371</v>
      </c>
      <c r="D146" s="233">
        <v>3.5723499999999998E-2</v>
      </c>
      <c r="E146" s="233">
        <v>3.5723499999999998E-2</v>
      </c>
      <c r="F146" s="233">
        <f t="shared" si="12"/>
        <v>0</v>
      </c>
      <c r="G146" s="233"/>
      <c r="H146" s="234">
        <v>0</v>
      </c>
      <c r="I146" s="234">
        <v>0</v>
      </c>
      <c r="J146" s="234">
        <v>0</v>
      </c>
      <c r="K146" s="234">
        <v>0</v>
      </c>
      <c r="L146" s="169" t="s">
        <v>253</v>
      </c>
      <c r="M146" s="170" t="s">
        <v>263</v>
      </c>
      <c r="N146" s="161" t="s">
        <v>259</v>
      </c>
      <c r="O146" s="233">
        <v>0</v>
      </c>
      <c r="P146" s="233">
        <v>0</v>
      </c>
      <c r="Q146" s="349">
        <f t="shared" si="11"/>
        <v>0</v>
      </c>
      <c r="R146" s="349"/>
      <c r="S146" s="349"/>
      <c r="T146" s="349"/>
      <c r="U146" s="349"/>
      <c r="V146" s="349"/>
    </row>
    <row r="147" spans="1:22">
      <c r="A147" s="165" t="s">
        <v>245</v>
      </c>
      <c r="B147" s="168" t="s">
        <v>245</v>
      </c>
      <c r="C147" s="161" t="s">
        <v>372</v>
      </c>
      <c r="D147" s="233">
        <v>1.4745899999999999E-2</v>
      </c>
      <c r="E147" s="233">
        <v>1.4745899999999999E-2</v>
      </c>
      <c r="F147" s="233">
        <f t="shared" si="12"/>
        <v>0</v>
      </c>
      <c r="G147" s="233"/>
      <c r="H147" s="234">
        <v>0</v>
      </c>
      <c r="I147" s="234">
        <v>0</v>
      </c>
      <c r="J147" s="234">
        <v>0</v>
      </c>
      <c r="K147" s="234">
        <v>0</v>
      </c>
      <c r="L147" s="169" t="s">
        <v>253</v>
      </c>
      <c r="M147" s="170" t="s">
        <v>264</v>
      </c>
      <c r="N147" s="161" t="s">
        <v>265</v>
      </c>
      <c r="O147" s="233">
        <v>24.253834600000001</v>
      </c>
      <c r="P147" s="233">
        <v>11.291144110879999</v>
      </c>
      <c r="Q147" s="349">
        <f t="shared" si="11"/>
        <v>12.962690489120002</v>
      </c>
      <c r="R147" s="349"/>
      <c r="S147" s="349"/>
      <c r="T147" s="349">
        <f>Q147</f>
        <v>12.962690489120002</v>
      </c>
      <c r="U147" s="349"/>
      <c r="V147" s="349"/>
    </row>
    <row r="148" spans="1:22" ht="60">
      <c r="A148" s="165" t="s">
        <v>245</v>
      </c>
      <c r="B148" s="168" t="s">
        <v>245</v>
      </c>
      <c r="C148" s="161" t="s">
        <v>373</v>
      </c>
      <c r="D148" s="233">
        <v>1.2774499999999999E-2</v>
      </c>
      <c r="E148" s="233">
        <v>1.2774499999999999E-2</v>
      </c>
      <c r="F148" s="233">
        <f t="shared" si="12"/>
        <v>0</v>
      </c>
      <c r="G148" s="233"/>
      <c r="H148" s="234">
        <v>0</v>
      </c>
      <c r="I148" s="234">
        <v>0</v>
      </c>
      <c r="J148" s="234">
        <v>0</v>
      </c>
      <c r="K148" s="234">
        <v>0</v>
      </c>
      <c r="L148" s="169" t="s">
        <v>253</v>
      </c>
      <c r="M148" s="170" t="s">
        <v>266</v>
      </c>
      <c r="N148" s="161" t="s">
        <v>267</v>
      </c>
      <c r="O148" s="233">
        <v>3.5999999999999998E-8</v>
      </c>
      <c r="P148" s="233">
        <v>0</v>
      </c>
      <c r="Q148" s="349">
        <f t="shared" si="11"/>
        <v>3.5999999999999998E-8</v>
      </c>
      <c r="R148" s="349"/>
      <c r="S148" s="349"/>
      <c r="T148" s="349"/>
      <c r="U148" s="349"/>
      <c r="V148" s="349">
        <v>3.5999999999999998E-8</v>
      </c>
    </row>
    <row r="149" spans="1:22">
      <c r="A149" s="165" t="s">
        <v>245</v>
      </c>
      <c r="B149" s="168" t="s">
        <v>245</v>
      </c>
      <c r="C149" s="161" t="s">
        <v>374</v>
      </c>
      <c r="D149" s="233">
        <v>1.65281E-2</v>
      </c>
      <c r="E149" s="233">
        <v>1.65281E-2</v>
      </c>
      <c r="F149" s="233">
        <f t="shared" si="12"/>
        <v>0</v>
      </c>
      <c r="G149" s="233"/>
      <c r="H149" s="234">
        <v>0</v>
      </c>
      <c r="I149" s="234">
        <v>0</v>
      </c>
      <c r="J149" s="234">
        <v>0</v>
      </c>
      <c r="K149" s="234">
        <v>0</v>
      </c>
      <c r="L149" s="169" t="s">
        <v>253</v>
      </c>
      <c r="M149" s="170" t="s">
        <v>268</v>
      </c>
      <c r="N149" s="161" t="s">
        <v>265</v>
      </c>
      <c r="O149" s="233">
        <v>0.95592719999999998</v>
      </c>
      <c r="P149" s="233">
        <v>0</v>
      </c>
      <c r="Q149" s="349">
        <f t="shared" si="11"/>
        <v>0.95592719999999998</v>
      </c>
      <c r="R149" s="349"/>
      <c r="S149" s="349"/>
      <c r="T149" s="349"/>
      <c r="U149" s="349"/>
      <c r="V149" s="349">
        <f>Q149</f>
        <v>0.95592719999999998</v>
      </c>
    </row>
    <row r="150" spans="1:22" ht="36">
      <c r="A150" s="165" t="s">
        <v>245</v>
      </c>
      <c r="B150" s="168" t="s">
        <v>245</v>
      </c>
      <c r="C150" s="161" t="s">
        <v>375</v>
      </c>
      <c r="D150" s="233">
        <v>6.3699999999999998E-3</v>
      </c>
      <c r="E150" s="233">
        <v>6.3699999999999998E-3</v>
      </c>
      <c r="F150" s="233">
        <f t="shared" si="12"/>
        <v>0</v>
      </c>
      <c r="G150" s="233"/>
      <c r="H150" s="234">
        <v>0</v>
      </c>
      <c r="I150" s="234">
        <v>0</v>
      </c>
      <c r="J150" s="234">
        <v>0</v>
      </c>
      <c r="K150" s="234">
        <v>0</v>
      </c>
      <c r="L150" s="169" t="s">
        <v>253</v>
      </c>
      <c r="M150" s="170" t="s">
        <v>269</v>
      </c>
      <c r="N150" s="161" t="s">
        <v>270</v>
      </c>
      <c r="O150" s="233">
        <v>0.35787007799999998</v>
      </c>
      <c r="P150" s="233">
        <v>0.35787010000000002</v>
      </c>
      <c r="Q150" s="349">
        <f t="shared" si="11"/>
        <v>-2.2000000043931323E-8</v>
      </c>
      <c r="R150" s="349"/>
      <c r="S150" s="349"/>
      <c r="T150" s="349"/>
      <c r="U150" s="349"/>
      <c r="V150" s="349">
        <v>-2.2000000043931323E-8</v>
      </c>
    </row>
    <row r="151" spans="1:22" ht="36">
      <c r="A151" s="165" t="s">
        <v>245</v>
      </c>
      <c r="B151" s="168" t="s">
        <v>245</v>
      </c>
      <c r="C151" s="161" t="s">
        <v>376</v>
      </c>
      <c r="D151" s="233">
        <v>0.65155700000000005</v>
      </c>
      <c r="E151" s="233">
        <v>0.65155700000000005</v>
      </c>
      <c r="F151" s="233">
        <f t="shared" si="12"/>
        <v>0</v>
      </c>
      <c r="G151" s="233"/>
      <c r="H151" s="234">
        <v>0</v>
      </c>
      <c r="I151" s="234">
        <v>0</v>
      </c>
      <c r="J151" s="234">
        <v>0</v>
      </c>
      <c r="K151" s="234">
        <v>0</v>
      </c>
      <c r="L151" s="165" t="s">
        <v>271</v>
      </c>
      <c r="M151" s="166" t="s">
        <v>272</v>
      </c>
      <c r="N151" s="161" t="s">
        <v>273</v>
      </c>
      <c r="O151" s="233">
        <v>2.3000000000000001E-8</v>
      </c>
      <c r="P151" s="233">
        <v>0</v>
      </c>
      <c r="Q151" s="349">
        <f t="shared" si="11"/>
        <v>2.3000000000000001E-8</v>
      </c>
      <c r="R151" s="349"/>
      <c r="S151" s="349"/>
      <c r="T151" s="349"/>
      <c r="U151" s="349"/>
      <c r="V151" s="349">
        <v>2.3000000000000001E-8</v>
      </c>
    </row>
    <row r="152" spans="1:22">
      <c r="A152" s="165" t="s">
        <v>245</v>
      </c>
      <c r="B152" s="168" t="s">
        <v>245</v>
      </c>
      <c r="C152" s="161" t="s">
        <v>377</v>
      </c>
      <c r="D152" s="233">
        <v>0.25609470000000001</v>
      </c>
      <c r="E152" s="233">
        <v>0.25609470000000001</v>
      </c>
      <c r="F152" s="233">
        <f t="shared" ref="F152:F183" si="13">D152-E152</f>
        <v>0</v>
      </c>
      <c r="G152" s="233"/>
      <c r="H152" s="234">
        <v>0</v>
      </c>
      <c r="I152" s="234">
        <v>0</v>
      </c>
      <c r="J152" s="234">
        <v>0</v>
      </c>
      <c r="K152" s="234">
        <v>0</v>
      </c>
      <c r="L152" s="165" t="s">
        <v>271</v>
      </c>
      <c r="M152" s="166" t="s">
        <v>274</v>
      </c>
      <c r="N152" s="161" t="s">
        <v>275</v>
      </c>
      <c r="O152" s="233">
        <v>3.8153676000000001</v>
      </c>
      <c r="P152" s="233">
        <v>3.8153676000000001</v>
      </c>
      <c r="Q152" s="349">
        <f t="shared" si="11"/>
        <v>0</v>
      </c>
      <c r="R152" s="349"/>
      <c r="S152" s="349"/>
      <c r="T152" s="349"/>
      <c r="U152" s="349"/>
      <c r="V152" s="349"/>
    </row>
    <row r="153" spans="1:22" ht="24">
      <c r="A153" s="165" t="s">
        <v>245</v>
      </c>
      <c r="B153" s="168" t="s">
        <v>245</v>
      </c>
      <c r="C153" s="161" t="s">
        <v>378</v>
      </c>
      <c r="D153" s="233">
        <v>8.9845800000000003E-2</v>
      </c>
      <c r="E153" s="233">
        <v>8.9845800000000003E-2</v>
      </c>
      <c r="F153" s="233">
        <f t="shared" si="13"/>
        <v>0</v>
      </c>
      <c r="G153" s="233"/>
      <c r="H153" s="234">
        <v>0</v>
      </c>
      <c r="I153" s="234">
        <v>0</v>
      </c>
      <c r="J153" s="234">
        <v>0</v>
      </c>
      <c r="K153" s="234">
        <v>0</v>
      </c>
      <c r="L153" s="165" t="s">
        <v>271</v>
      </c>
      <c r="M153" s="166" t="s">
        <v>276</v>
      </c>
      <c r="N153" s="161" t="s">
        <v>277</v>
      </c>
      <c r="O153" s="233">
        <v>3.4046518369999998</v>
      </c>
      <c r="P153" s="233">
        <v>0.24556648717999999</v>
      </c>
      <c r="Q153" s="349">
        <f t="shared" si="11"/>
        <v>3.1590853498199998</v>
      </c>
      <c r="R153" s="349"/>
      <c r="S153" s="349">
        <f>Q153</f>
        <v>3.1590853498199998</v>
      </c>
      <c r="T153" s="349"/>
      <c r="U153" s="349"/>
      <c r="V153" s="349"/>
    </row>
    <row r="154" spans="1:22" ht="24">
      <c r="A154" s="165" t="s">
        <v>245</v>
      </c>
      <c r="B154" s="168" t="s">
        <v>245</v>
      </c>
      <c r="C154" s="161" t="s">
        <v>379</v>
      </c>
      <c r="D154" s="233">
        <v>8.9403200000000002E-2</v>
      </c>
      <c r="E154" s="233">
        <v>8.9403200000000002E-2</v>
      </c>
      <c r="F154" s="233">
        <f t="shared" si="13"/>
        <v>0</v>
      </c>
      <c r="G154" s="233"/>
      <c r="H154" s="234">
        <v>0</v>
      </c>
      <c r="I154" s="234">
        <v>0</v>
      </c>
      <c r="J154" s="234">
        <v>0</v>
      </c>
      <c r="K154" s="234">
        <v>0</v>
      </c>
      <c r="L154" s="165" t="s">
        <v>271</v>
      </c>
      <c r="M154" s="166" t="s">
        <v>278</v>
      </c>
      <c r="N154" s="161" t="s">
        <v>279</v>
      </c>
      <c r="O154" s="233">
        <v>4.4364648569999998</v>
      </c>
      <c r="P154" s="233">
        <v>0</v>
      </c>
      <c r="Q154" s="349">
        <f t="shared" si="11"/>
        <v>4.4364648569999998</v>
      </c>
      <c r="R154" s="349"/>
      <c r="S154" s="349">
        <f>Q154</f>
        <v>4.4364648569999998</v>
      </c>
      <c r="T154" s="349"/>
      <c r="U154" s="349"/>
      <c r="V154" s="349"/>
    </row>
    <row r="155" spans="1:22" ht="36">
      <c r="A155" s="165" t="s">
        <v>245</v>
      </c>
      <c r="B155" s="168" t="s">
        <v>245</v>
      </c>
      <c r="C155" s="161" t="s">
        <v>380</v>
      </c>
      <c r="D155" s="233">
        <v>6.8242300000000006E-2</v>
      </c>
      <c r="E155" s="233">
        <v>6.8242300000000006E-2</v>
      </c>
      <c r="F155" s="233">
        <f t="shared" si="13"/>
        <v>0</v>
      </c>
      <c r="G155" s="233"/>
      <c r="H155" s="234">
        <v>0</v>
      </c>
      <c r="I155" s="234">
        <v>0</v>
      </c>
      <c r="J155" s="234">
        <v>0</v>
      </c>
      <c r="K155" s="234">
        <v>0</v>
      </c>
      <c r="L155" s="165" t="s">
        <v>271</v>
      </c>
      <c r="M155" s="166" t="s">
        <v>280</v>
      </c>
      <c r="N155" s="161" t="s">
        <v>281</v>
      </c>
      <c r="O155" s="233">
        <v>0</v>
      </c>
      <c r="P155" s="233">
        <v>0.27999956600000003</v>
      </c>
      <c r="Q155" s="349">
        <f t="shared" si="11"/>
        <v>-0.27999956600000003</v>
      </c>
      <c r="R155" s="349"/>
      <c r="S155" s="349"/>
      <c r="T155" s="349"/>
      <c r="U155" s="349"/>
      <c r="V155" s="349">
        <v>-0.27999956600000003</v>
      </c>
    </row>
    <row r="156" spans="1:22" ht="48">
      <c r="A156" s="165" t="s">
        <v>245</v>
      </c>
      <c r="B156" s="168" t="s">
        <v>245</v>
      </c>
      <c r="C156" s="161" t="s">
        <v>381</v>
      </c>
      <c r="D156" s="233">
        <v>4.2346700000000001E-2</v>
      </c>
      <c r="E156" s="233">
        <v>4.2346700000000001E-2</v>
      </c>
      <c r="F156" s="233">
        <f t="shared" si="13"/>
        <v>0</v>
      </c>
      <c r="G156" s="233"/>
      <c r="H156" s="234">
        <v>0</v>
      </c>
      <c r="I156" s="234">
        <v>0</v>
      </c>
      <c r="J156" s="234">
        <v>0</v>
      </c>
      <c r="K156" s="234">
        <v>0</v>
      </c>
      <c r="L156" s="165" t="s">
        <v>271</v>
      </c>
      <c r="M156" s="166" t="s">
        <v>282</v>
      </c>
      <c r="N156" s="161" t="s">
        <v>283</v>
      </c>
      <c r="O156" s="233">
        <v>19.760966116999999</v>
      </c>
      <c r="P156" s="233">
        <v>19.770349817</v>
      </c>
      <c r="Q156" s="349">
        <f t="shared" si="11"/>
        <v>-9.383700000000772E-3</v>
      </c>
      <c r="R156" s="349"/>
      <c r="S156" s="349"/>
      <c r="T156" s="349"/>
      <c r="U156" s="349"/>
      <c r="V156" s="349">
        <v>-9.383700000000772E-3</v>
      </c>
    </row>
    <row r="157" spans="1:22" ht="24">
      <c r="A157" s="165" t="s">
        <v>245</v>
      </c>
      <c r="B157" s="168" t="s">
        <v>245</v>
      </c>
      <c r="C157" s="161" t="s">
        <v>382</v>
      </c>
      <c r="D157" s="233">
        <v>3.07137E-2</v>
      </c>
      <c r="E157" s="233">
        <v>3.07137E-2</v>
      </c>
      <c r="F157" s="233">
        <f t="shared" si="13"/>
        <v>0</v>
      </c>
      <c r="G157" s="233"/>
      <c r="H157" s="234">
        <v>0</v>
      </c>
      <c r="I157" s="234">
        <v>0</v>
      </c>
      <c r="J157" s="234">
        <v>0</v>
      </c>
      <c r="K157" s="234">
        <v>0</v>
      </c>
      <c r="L157" s="165" t="s">
        <v>271</v>
      </c>
      <c r="M157" s="166" t="s">
        <v>284</v>
      </c>
      <c r="N157" s="161" t="s">
        <v>279</v>
      </c>
      <c r="O157" s="233">
        <v>2.069273913</v>
      </c>
      <c r="P157" s="233">
        <v>0.95573876999999996</v>
      </c>
      <c r="Q157" s="349">
        <f t="shared" si="11"/>
        <v>1.113535143</v>
      </c>
      <c r="R157" s="349"/>
      <c r="S157" s="349">
        <f>Q157</f>
        <v>1.113535143</v>
      </c>
      <c r="T157" s="349"/>
      <c r="U157" s="349"/>
      <c r="V157" s="349"/>
    </row>
    <row r="158" spans="1:22" ht="48">
      <c r="A158" s="165" t="s">
        <v>245</v>
      </c>
      <c r="B158" s="168" t="s">
        <v>245</v>
      </c>
      <c r="C158" s="161" t="s">
        <v>383</v>
      </c>
      <c r="D158" s="233">
        <v>0</v>
      </c>
      <c r="E158" s="233">
        <v>0</v>
      </c>
      <c r="F158" s="233">
        <f t="shared" si="13"/>
        <v>0</v>
      </c>
      <c r="G158" s="233"/>
      <c r="H158" s="234">
        <v>0</v>
      </c>
      <c r="I158" s="234">
        <v>0</v>
      </c>
      <c r="J158" s="234">
        <v>0</v>
      </c>
      <c r="K158" s="234">
        <v>0</v>
      </c>
      <c r="L158" s="165" t="s">
        <v>271</v>
      </c>
      <c r="M158" s="166" t="s">
        <v>285</v>
      </c>
      <c r="N158" s="161" t="s">
        <v>286</v>
      </c>
      <c r="O158" s="233">
        <v>2.2640555</v>
      </c>
      <c r="P158" s="233">
        <v>0.63393554000000008</v>
      </c>
      <c r="Q158" s="349">
        <f t="shared" si="11"/>
        <v>1.63011996</v>
      </c>
      <c r="R158" s="349"/>
      <c r="S158" s="349"/>
      <c r="T158" s="349"/>
      <c r="U158" s="349"/>
      <c r="V158" s="349">
        <f>Q158</f>
        <v>1.63011996</v>
      </c>
    </row>
    <row r="159" spans="1:22" ht="84">
      <c r="A159" s="165" t="s">
        <v>245</v>
      </c>
      <c r="B159" s="168" t="s">
        <v>245</v>
      </c>
      <c r="C159" s="161" t="s">
        <v>384</v>
      </c>
      <c r="D159" s="233">
        <v>2.6562000000000001E-3</v>
      </c>
      <c r="E159" s="233">
        <v>2.6562000000000001E-3</v>
      </c>
      <c r="F159" s="233">
        <f t="shared" si="13"/>
        <v>0</v>
      </c>
      <c r="G159" s="233"/>
      <c r="H159" s="234">
        <v>0</v>
      </c>
      <c r="I159" s="234">
        <v>0</v>
      </c>
      <c r="J159" s="234">
        <v>0</v>
      </c>
      <c r="K159" s="234">
        <v>0</v>
      </c>
      <c r="L159" s="165" t="s">
        <v>271</v>
      </c>
      <c r="M159" s="166" t="s">
        <v>287</v>
      </c>
      <c r="N159" s="161" t="s">
        <v>288</v>
      </c>
      <c r="O159" s="233">
        <v>1.7264860929999999</v>
      </c>
      <c r="P159" s="233">
        <v>1.7264860929999999</v>
      </c>
      <c r="Q159" s="349">
        <f t="shared" si="11"/>
        <v>0</v>
      </c>
      <c r="R159" s="349"/>
      <c r="S159" s="349"/>
      <c r="T159" s="349"/>
      <c r="U159" s="349"/>
      <c r="V159" s="349"/>
    </row>
    <row r="160" spans="1:22">
      <c r="A160" s="165" t="s">
        <v>245</v>
      </c>
      <c r="B160" s="168" t="s">
        <v>245</v>
      </c>
      <c r="C160" s="161" t="s">
        <v>385</v>
      </c>
      <c r="D160" s="233">
        <v>1.5549109000000001</v>
      </c>
      <c r="E160" s="233">
        <v>1.5549109000000001</v>
      </c>
      <c r="F160" s="233">
        <f t="shared" si="13"/>
        <v>0</v>
      </c>
      <c r="G160" s="233"/>
      <c r="H160" s="234">
        <v>0</v>
      </c>
      <c r="I160" s="234">
        <v>0</v>
      </c>
      <c r="J160" s="234">
        <v>0</v>
      </c>
      <c r="K160" s="234">
        <v>0</v>
      </c>
      <c r="L160" s="171" t="s">
        <v>271</v>
      </c>
      <c r="M160" s="172" t="s">
        <v>289</v>
      </c>
      <c r="N160" s="161">
        <v>0</v>
      </c>
      <c r="O160" s="233">
        <v>3.8999999999999998E-8</v>
      </c>
      <c r="P160" s="233">
        <v>0</v>
      </c>
      <c r="Q160" s="349">
        <f t="shared" si="11"/>
        <v>3.8999999999999998E-8</v>
      </c>
      <c r="R160" s="349"/>
      <c r="S160" s="349"/>
      <c r="T160" s="349"/>
      <c r="U160" s="349"/>
      <c r="V160" s="349">
        <v>3.8999999999999998E-8</v>
      </c>
    </row>
    <row r="161" spans="1:22" ht="24">
      <c r="A161" s="165" t="s">
        <v>245</v>
      </c>
      <c r="B161" s="168" t="s">
        <v>245</v>
      </c>
      <c r="C161" s="161" t="s">
        <v>386</v>
      </c>
      <c r="D161" s="233">
        <v>4.3647E-3</v>
      </c>
      <c r="E161" s="233">
        <v>4.3647E-3</v>
      </c>
      <c r="F161" s="233">
        <f t="shared" si="13"/>
        <v>0</v>
      </c>
      <c r="G161" s="233"/>
      <c r="H161" s="234">
        <v>0</v>
      </c>
      <c r="I161" s="234">
        <v>0</v>
      </c>
      <c r="J161" s="234">
        <v>0</v>
      </c>
      <c r="K161" s="234">
        <v>0</v>
      </c>
      <c r="L161" s="162" t="s">
        <v>290</v>
      </c>
      <c r="M161" s="173" t="s">
        <v>291</v>
      </c>
      <c r="N161" s="161" t="s">
        <v>292</v>
      </c>
      <c r="O161" s="233">
        <v>3.5687547999999998</v>
      </c>
      <c r="P161" s="233">
        <v>6.0965330067769861</v>
      </c>
      <c r="Q161" s="349">
        <f t="shared" si="11"/>
        <v>-2.5277782067769863</v>
      </c>
      <c r="R161" s="349"/>
      <c r="S161" s="349">
        <f>Q161-AS64</f>
        <v>-2.5277782067769863</v>
      </c>
      <c r="T161" s="349"/>
      <c r="U161" s="349"/>
      <c r="V161" s="349">
        <v>1.6899999999999995</v>
      </c>
    </row>
    <row r="162" spans="1:22" ht="24">
      <c r="A162" s="165" t="s">
        <v>245</v>
      </c>
      <c r="B162" s="168" t="s">
        <v>245</v>
      </c>
      <c r="C162" s="161" t="s">
        <v>387</v>
      </c>
      <c r="D162" s="233">
        <v>0.12776399999999999</v>
      </c>
      <c r="E162" s="233">
        <v>0.12776399999999999</v>
      </c>
      <c r="F162" s="233">
        <f t="shared" si="13"/>
        <v>0</v>
      </c>
      <c r="G162" s="233"/>
      <c r="H162" s="234">
        <v>0</v>
      </c>
      <c r="I162" s="234">
        <v>0</v>
      </c>
      <c r="J162" s="234">
        <v>0</v>
      </c>
      <c r="K162" s="234">
        <v>0</v>
      </c>
      <c r="L162" s="162" t="s">
        <v>290</v>
      </c>
      <c r="M162" s="173" t="s">
        <v>293</v>
      </c>
      <c r="N162" s="161" t="s">
        <v>294</v>
      </c>
      <c r="O162" s="233">
        <v>8.7857592407787732E-2</v>
      </c>
      <c r="P162" s="233">
        <v>8.7857592407787732E-2</v>
      </c>
      <c r="Q162" s="349">
        <f t="shared" si="11"/>
        <v>0</v>
      </c>
      <c r="R162" s="349"/>
      <c r="S162" s="349"/>
      <c r="T162" s="349"/>
      <c r="U162" s="349"/>
      <c r="V162" s="349"/>
    </row>
    <row r="163" spans="1:22" ht="24">
      <c r="A163" s="165" t="s">
        <v>245</v>
      </c>
      <c r="B163" s="168" t="s">
        <v>245</v>
      </c>
      <c r="C163" s="161" t="s">
        <v>388</v>
      </c>
      <c r="D163" s="233">
        <v>5.7997699999999999E-2</v>
      </c>
      <c r="E163" s="233">
        <v>5.7997699999999999E-2</v>
      </c>
      <c r="F163" s="233">
        <f t="shared" si="13"/>
        <v>0</v>
      </c>
      <c r="G163" s="233"/>
      <c r="H163" s="234">
        <v>0</v>
      </c>
      <c r="I163" s="234">
        <v>0</v>
      </c>
      <c r="J163" s="234">
        <v>0</v>
      </c>
      <c r="K163" s="234">
        <v>0</v>
      </c>
      <c r="L163" s="162" t="s">
        <v>290</v>
      </c>
      <c r="M163" s="173" t="s">
        <v>295</v>
      </c>
      <c r="N163" s="161" t="s">
        <v>296</v>
      </c>
      <c r="O163" s="233">
        <v>4.5505006269999981</v>
      </c>
      <c r="P163" s="233">
        <v>0</v>
      </c>
      <c r="Q163" s="349">
        <f t="shared" si="11"/>
        <v>4.5505006269999981</v>
      </c>
      <c r="R163" s="349"/>
      <c r="S163" s="349">
        <f>Q163</f>
        <v>4.5505006269999981</v>
      </c>
      <c r="T163" s="349"/>
      <c r="U163" s="349"/>
      <c r="V163" s="349"/>
    </row>
    <row r="164" spans="1:22" ht="48">
      <c r="A164" s="165" t="s">
        <v>253</v>
      </c>
      <c r="B164" s="168" t="s">
        <v>389</v>
      </c>
      <c r="C164" s="161" t="s">
        <v>259</v>
      </c>
      <c r="D164" s="233">
        <v>24.887383712000002</v>
      </c>
      <c r="E164" s="233">
        <v>24.887383712000002</v>
      </c>
      <c r="F164" s="233">
        <f t="shared" si="13"/>
        <v>0</v>
      </c>
      <c r="G164" s="233"/>
      <c r="H164" s="234">
        <v>0</v>
      </c>
      <c r="I164" s="234">
        <v>0</v>
      </c>
      <c r="J164" s="234">
        <v>0</v>
      </c>
      <c r="K164" s="234">
        <v>0</v>
      </c>
      <c r="L164" s="162" t="s">
        <v>290</v>
      </c>
      <c r="M164" s="173" t="s">
        <v>297</v>
      </c>
      <c r="N164" s="161" t="s">
        <v>294</v>
      </c>
      <c r="O164" s="233">
        <v>0.83837542399999998</v>
      </c>
      <c r="P164" s="233">
        <v>0.83837543519373792</v>
      </c>
      <c r="Q164" s="349">
        <f t="shared" si="11"/>
        <v>-1.119373793656564E-8</v>
      </c>
      <c r="R164" s="349"/>
      <c r="S164" s="349">
        <f>Q164</f>
        <v>-1.119373793656564E-8</v>
      </c>
      <c r="T164" s="349"/>
      <c r="U164" s="349"/>
      <c r="V164" s="349"/>
    </row>
    <row r="165" spans="1:22" ht="24">
      <c r="A165" s="165" t="s">
        <v>253</v>
      </c>
      <c r="B165" s="168" t="s">
        <v>390</v>
      </c>
      <c r="C165" s="161" t="s">
        <v>267</v>
      </c>
      <c r="D165" s="233">
        <v>40.341070289999998</v>
      </c>
      <c r="E165" s="233">
        <v>40.341070289999998</v>
      </c>
      <c r="F165" s="233">
        <f t="shared" si="13"/>
        <v>0</v>
      </c>
      <c r="G165" s="233"/>
      <c r="H165" s="234">
        <v>0</v>
      </c>
      <c r="I165" s="234">
        <v>0</v>
      </c>
      <c r="J165" s="234">
        <v>0</v>
      </c>
      <c r="K165" s="234">
        <v>0</v>
      </c>
      <c r="L165" s="162" t="s">
        <v>290</v>
      </c>
      <c r="M165" s="173" t="s">
        <v>298</v>
      </c>
      <c r="N165" s="161" t="s">
        <v>296</v>
      </c>
      <c r="O165" s="233">
        <v>4.0528300000000002</v>
      </c>
      <c r="P165" s="233">
        <v>0</v>
      </c>
      <c r="Q165" s="349">
        <f t="shared" si="11"/>
        <v>4.0528300000000002</v>
      </c>
      <c r="R165" s="349"/>
      <c r="S165" s="349">
        <f>Q165</f>
        <v>4.0528300000000002</v>
      </c>
      <c r="T165" s="349"/>
      <c r="U165" s="349"/>
      <c r="V165" s="349"/>
    </row>
    <row r="166" spans="1:22">
      <c r="A166" s="165" t="s">
        <v>253</v>
      </c>
      <c r="B166" s="168" t="s">
        <v>391</v>
      </c>
      <c r="C166" s="161" t="s">
        <v>392</v>
      </c>
      <c r="D166" s="233">
        <v>0</v>
      </c>
      <c r="E166" s="233">
        <v>0</v>
      </c>
      <c r="F166" s="233">
        <f t="shared" si="13"/>
        <v>0</v>
      </c>
      <c r="G166" s="233"/>
      <c r="H166" s="234">
        <v>0</v>
      </c>
      <c r="I166" s="234">
        <v>0</v>
      </c>
      <c r="J166" s="234">
        <v>0</v>
      </c>
      <c r="K166" s="234">
        <v>0</v>
      </c>
      <c r="L166" s="162" t="s">
        <v>290</v>
      </c>
      <c r="M166" s="173" t="s">
        <v>299</v>
      </c>
      <c r="N166" s="161" t="s">
        <v>296</v>
      </c>
      <c r="O166" s="233">
        <v>4.0372884999999998</v>
      </c>
      <c r="P166" s="233">
        <v>4.0372884878894997</v>
      </c>
      <c r="Q166" s="349">
        <f t="shared" si="11"/>
        <v>1.2110500158257764E-8</v>
      </c>
      <c r="R166" s="349"/>
      <c r="S166" s="349"/>
      <c r="T166" s="349"/>
      <c r="U166" s="349"/>
      <c r="V166" s="349">
        <v>1.2110500158257764E-8</v>
      </c>
    </row>
    <row r="167" spans="1:22" ht="84">
      <c r="A167" s="165" t="s">
        <v>253</v>
      </c>
      <c r="B167" s="168" t="s">
        <v>393</v>
      </c>
      <c r="C167" s="161" t="s">
        <v>267</v>
      </c>
      <c r="D167" s="233">
        <v>10.019612845999999</v>
      </c>
      <c r="E167" s="233">
        <v>10.019612845999999</v>
      </c>
      <c r="F167" s="233">
        <f t="shared" si="13"/>
        <v>0</v>
      </c>
      <c r="G167" s="233"/>
      <c r="H167" s="234">
        <v>0</v>
      </c>
      <c r="I167" s="234">
        <v>0</v>
      </c>
      <c r="J167" s="234">
        <v>0</v>
      </c>
      <c r="K167" s="234">
        <v>0</v>
      </c>
      <c r="L167" s="162" t="s">
        <v>290</v>
      </c>
      <c r="M167" s="173" t="s">
        <v>300</v>
      </c>
      <c r="N167" s="161" t="s">
        <v>301</v>
      </c>
      <c r="O167" s="233">
        <v>3.3893966369999999</v>
      </c>
      <c r="P167" s="233">
        <v>0</v>
      </c>
      <c r="Q167" s="349">
        <f t="shared" ref="Q167:Q230" si="14">O167-P167</f>
        <v>3.3893966369999999</v>
      </c>
      <c r="R167" s="349"/>
      <c r="S167" s="349">
        <f t="shared" ref="S167:S172" si="15">Q167</f>
        <v>3.3893966369999999</v>
      </c>
      <c r="T167" s="349"/>
      <c r="U167" s="349"/>
      <c r="V167" s="349"/>
    </row>
    <row r="168" spans="1:22" ht="84">
      <c r="A168" s="165" t="s">
        <v>253</v>
      </c>
      <c r="B168" s="168" t="s">
        <v>394</v>
      </c>
      <c r="C168" s="161" t="s">
        <v>395</v>
      </c>
      <c r="D168" s="233">
        <v>1.42</v>
      </c>
      <c r="E168" s="233">
        <v>1.42</v>
      </c>
      <c r="F168" s="233">
        <f t="shared" si="13"/>
        <v>0</v>
      </c>
      <c r="G168" s="233"/>
      <c r="H168" s="234">
        <v>0</v>
      </c>
      <c r="I168" s="234">
        <v>0</v>
      </c>
      <c r="J168" s="234">
        <v>0</v>
      </c>
      <c r="K168" s="234">
        <v>0</v>
      </c>
      <c r="L168" s="162" t="s">
        <v>290</v>
      </c>
      <c r="M168" s="173" t="s">
        <v>302</v>
      </c>
      <c r="N168" s="161" t="s">
        <v>303</v>
      </c>
      <c r="O168" s="233">
        <v>1.3637971</v>
      </c>
      <c r="P168" s="233">
        <v>0</v>
      </c>
      <c r="Q168" s="349">
        <f t="shared" si="14"/>
        <v>1.3637971</v>
      </c>
      <c r="R168" s="349"/>
      <c r="S168" s="349">
        <f t="shared" si="15"/>
        <v>1.3637971</v>
      </c>
      <c r="T168" s="349"/>
      <c r="U168" s="349"/>
      <c r="V168" s="349"/>
    </row>
    <row r="169" spans="1:22" ht="24">
      <c r="A169" s="165" t="s">
        <v>253</v>
      </c>
      <c r="B169" s="168" t="s">
        <v>396</v>
      </c>
      <c r="C169" s="161" t="s">
        <v>397</v>
      </c>
      <c r="D169" s="233">
        <v>0</v>
      </c>
      <c r="E169" s="233">
        <v>0</v>
      </c>
      <c r="F169" s="233">
        <f t="shared" si="13"/>
        <v>0</v>
      </c>
      <c r="G169" s="233"/>
      <c r="H169" s="234">
        <v>0</v>
      </c>
      <c r="I169" s="234">
        <v>0</v>
      </c>
      <c r="J169" s="234">
        <v>0</v>
      </c>
      <c r="K169" s="234">
        <v>0</v>
      </c>
      <c r="L169" s="162" t="s">
        <v>290</v>
      </c>
      <c r="M169" s="173" t="s">
        <v>304</v>
      </c>
      <c r="N169" s="161" t="s">
        <v>292</v>
      </c>
      <c r="O169" s="233">
        <v>0.29525269799999998</v>
      </c>
      <c r="P169" s="233">
        <v>0</v>
      </c>
      <c r="Q169" s="349">
        <f t="shared" si="14"/>
        <v>0.29525269799999998</v>
      </c>
      <c r="R169" s="349"/>
      <c r="S169" s="349">
        <f t="shared" si="15"/>
        <v>0.29525269799999998</v>
      </c>
      <c r="T169" s="349"/>
      <c r="U169" s="349"/>
      <c r="V169" s="349"/>
    </row>
    <row r="170" spans="1:22" ht="72">
      <c r="A170" s="165" t="s">
        <v>271</v>
      </c>
      <c r="B170" s="168" t="s">
        <v>398</v>
      </c>
      <c r="C170" s="161" t="s">
        <v>399</v>
      </c>
      <c r="D170" s="233">
        <v>2.8041730460000003</v>
      </c>
      <c r="E170" s="233">
        <v>2.8041730460000003</v>
      </c>
      <c r="F170" s="233">
        <f t="shared" si="13"/>
        <v>0</v>
      </c>
      <c r="G170" s="233"/>
      <c r="H170" s="234">
        <v>0</v>
      </c>
      <c r="I170" s="234">
        <v>0</v>
      </c>
      <c r="J170" s="234">
        <v>0</v>
      </c>
      <c r="K170" s="234">
        <v>0</v>
      </c>
      <c r="L170" s="162" t="s">
        <v>290</v>
      </c>
      <c r="M170" s="173" t="s">
        <v>305</v>
      </c>
      <c r="N170" s="161" t="s">
        <v>306</v>
      </c>
      <c r="O170" s="233">
        <v>10.520797629</v>
      </c>
      <c r="P170" s="233">
        <v>0</v>
      </c>
      <c r="Q170" s="349">
        <f t="shared" si="14"/>
        <v>10.520797629</v>
      </c>
      <c r="R170" s="349"/>
      <c r="S170" s="349">
        <f t="shared" si="15"/>
        <v>10.520797629</v>
      </c>
      <c r="T170" s="349"/>
      <c r="U170" s="349"/>
      <c r="V170" s="349"/>
    </row>
    <row r="171" spans="1:22" ht="72">
      <c r="A171" s="165" t="s">
        <v>271</v>
      </c>
      <c r="B171" s="168" t="s">
        <v>400</v>
      </c>
      <c r="C171" s="161" t="s">
        <v>401</v>
      </c>
      <c r="D171" s="233">
        <v>5.8063499999999997E-2</v>
      </c>
      <c r="E171" s="233">
        <v>5.8063499999999997E-2</v>
      </c>
      <c r="F171" s="233">
        <f t="shared" si="13"/>
        <v>0</v>
      </c>
      <c r="G171" s="233"/>
      <c r="H171" s="234">
        <v>0</v>
      </c>
      <c r="I171" s="234">
        <v>0</v>
      </c>
      <c r="J171" s="234">
        <v>0</v>
      </c>
      <c r="K171" s="234">
        <v>0</v>
      </c>
      <c r="L171" s="162" t="s">
        <v>290</v>
      </c>
      <c r="M171" s="173" t="s">
        <v>307</v>
      </c>
      <c r="N171" s="161" t="s">
        <v>306</v>
      </c>
      <c r="O171" s="233">
        <v>0.29999221700000006</v>
      </c>
      <c r="P171" s="233">
        <v>0</v>
      </c>
      <c r="Q171" s="349">
        <f t="shared" si="14"/>
        <v>0.29999221700000006</v>
      </c>
      <c r="R171" s="349"/>
      <c r="S171" s="349">
        <f t="shared" si="15"/>
        <v>0.29999221700000006</v>
      </c>
      <c r="T171" s="349"/>
      <c r="U171" s="349"/>
      <c r="V171" s="349"/>
    </row>
    <row r="172" spans="1:22" ht="72">
      <c r="A172" s="165" t="s">
        <v>271</v>
      </c>
      <c r="B172" s="168" t="s">
        <v>402</v>
      </c>
      <c r="C172" s="161" t="s">
        <v>403</v>
      </c>
      <c r="D172" s="233">
        <v>0.10636449199999999</v>
      </c>
      <c r="E172" s="233">
        <v>0.10636449199999999</v>
      </c>
      <c r="F172" s="233">
        <f t="shared" si="13"/>
        <v>0</v>
      </c>
      <c r="G172" s="233"/>
      <c r="H172" s="234">
        <v>0</v>
      </c>
      <c r="I172" s="234">
        <v>0</v>
      </c>
      <c r="J172" s="234">
        <v>0</v>
      </c>
      <c r="K172" s="234">
        <v>0</v>
      </c>
      <c r="L172" s="162" t="s">
        <v>290</v>
      </c>
      <c r="M172" s="173" t="s">
        <v>308</v>
      </c>
      <c r="N172" s="161" t="s">
        <v>306</v>
      </c>
      <c r="O172" s="233">
        <v>4.1268917329999999</v>
      </c>
      <c r="P172" s="233">
        <v>0</v>
      </c>
      <c r="Q172" s="349">
        <f t="shared" si="14"/>
        <v>4.1268917329999999</v>
      </c>
      <c r="R172" s="349"/>
      <c r="S172" s="349">
        <f t="shared" si="15"/>
        <v>4.1268917329999999</v>
      </c>
      <c r="T172" s="349"/>
      <c r="U172" s="349"/>
      <c r="V172" s="349"/>
    </row>
    <row r="173" spans="1:22" ht="60">
      <c r="A173" s="165" t="s">
        <v>271</v>
      </c>
      <c r="B173" s="168" t="s">
        <v>404</v>
      </c>
      <c r="C173" s="161" t="s">
        <v>405</v>
      </c>
      <c r="D173" s="233">
        <v>0</v>
      </c>
      <c r="E173" s="233">
        <v>0</v>
      </c>
      <c r="F173" s="233">
        <f t="shared" si="13"/>
        <v>0</v>
      </c>
      <c r="G173" s="233"/>
      <c r="H173" s="234">
        <v>0</v>
      </c>
      <c r="I173" s="234">
        <v>0</v>
      </c>
      <c r="J173" s="234">
        <v>0</v>
      </c>
      <c r="K173" s="234">
        <v>0</v>
      </c>
      <c r="L173" s="162" t="s">
        <v>290</v>
      </c>
      <c r="M173" s="173" t="s">
        <v>309</v>
      </c>
      <c r="N173" s="161" t="s">
        <v>310</v>
      </c>
      <c r="O173" s="233">
        <v>1.1357434237288157E-2</v>
      </c>
      <c r="P173" s="233">
        <v>3.1800815864406842E-3</v>
      </c>
      <c r="Q173" s="349">
        <f t="shared" si="14"/>
        <v>8.1773526508474737E-3</v>
      </c>
      <c r="R173" s="349"/>
      <c r="S173" s="349"/>
      <c r="T173" s="349"/>
      <c r="U173" s="349"/>
      <c r="V173" s="349">
        <f>Q173</f>
        <v>8.1773526508474737E-3</v>
      </c>
    </row>
    <row r="174" spans="1:22" ht="60">
      <c r="A174" s="165" t="s">
        <v>271</v>
      </c>
      <c r="B174" s="168" t="s">
        <v>406</v>
      </c>
      <c r="C174" s="161" t="s">
        <v>407</v>
      </c>
      <c r="D174" s="233">
        <v>1.2234500000000001E-2</v>
      </c>
      <c r="E174" s="233">
        <v>1.2234500000000001E-2</v>
      </c>
      <c r="F174" s="233">
        <f t="shared" si="13"/>
        <v>0</v>
      </c>
      <c r="G174" s="233"/>
      <c r="H174" s="234">
        <v>0</v>
      </c>
      <c r="I174" s="234">
        <v>0</v>
      </c>
      <c r="J174" s="234">
        <v>0</v>
      </c>
      <c r="K174" s="234">
        <v>0</v>
      </c>
      <c r="L174" s="162" t="s">
        <v>290</v>
      </c>
      <c r="M174" s="174" t="s">
        <v>311</v>
      </c>
      <c r="N174" s="161" t="s">
        <v>310</v>
      </c>
      <c r="O174" s="233">
        <v>12.9417496</v>
      </c>
      <c r="P174" s="233">
        <v>3.6236898772989603</v>
      </c>
      <c r="Q174" s="349">
        <f t="shared" si="14"/>
        <v>9.3180597227010402</v>
      </c>
      <c r="R174" s="349"/>
      <c r="S174" s="349"/>
      <c r="T174" s="349"/>
      <c r="U174" s="349"/>
      <c r="V174" s="349">
        <f>Q174</f>
        <v>9.3180597227010402</v>
      </c>
    </row>
    <row r="175" spans="1:22" ht="60">
      <c r="A175" s="165" t="s">
        <v>271</v>
      </c>
      <c r="B175" s="168" t="s">
        <v>408</v>
      </c>
      <c r="C175" s="161" t="s">
        <v>401</v>
      </c>
      <c r="D175" s="233">
        <v>0</v>
      </c>
      <c r="E175" s="233">
        <v>0</v>
      </c>
      <c r="F175" s="233">
        <f t="shared" si="13"/>
        <v>0</v>
      </c>
      <c r="G175" s="233"/>
      <c r="H175" s="234">
        <v>0</v>
      </c>
      <c r="I175" s="234">
        <v>0</v>
      </c>
      <c r="J175" s="234">
        <v>0</v>
      </c>
      <c r="K175" s="234">
        <v>0</v>
      </c>
      <c r="L175" s="162" t="s">
        <v>290</v>
      </c>
      <c r="M175" s="173" t="s">
        <v>312</v>
      </c>
      <c r="N175" s="161" t="s">
        <v>310</v>
      </c>
      <c r="O175" s="233">
        <v>2.5741438482613961</v>
      </c>
      <c r="P175" s="233">
        <v>0.72076027751319105</v>
      </c>
      <c r="Q175" s="349">
        <f t="shared" si="14"/>
        <v>1.8533835707482051</v>
      </c>
      <c r="R175" s="349"/>
      <c r="S175" s="349"/>
      <c r="T175" s="349"/>
      <c r="U175" s="349"/>
      <c r="V175" s="349">
        <f>Q175</f>
        <v>1.8533835707482051</v>
      </c>
    </row>
    <row r="176" spans="1:22" ht="60">
      <c r="A176" s="165" t="s">
        <v>271</v>
      </c>
      <c r="B176" s="168" t="s">
        <v>409</v>
      </c>
      <c r="C176" s="161" t="s">
        <v>410</v>
      </c>
      <c r="D176" s="233">
        <v>1.2990276999999999</v>
      </c>
      <c r="E176" s="233">
        <v>1.2990276999999999</v>
      </c>
      <c r="F176" s="233">
        <f t="shared" si="13"/>
        <v>0</v>
      </c>
      <c r="G176" s="233"/>
      <c r="H176" s="234">
        <v>0</v>
      </c>
      <c r="I176" s="234">
        <v>0</v>
      </c>
      <c r="J176" s="234">
        <v>0</v>
      </c>
      <c r="K176" s="234">
        <v>0</v>
      </c>
      <c r="L176" s="162" t="s">
        <v>290</v>
      </c>
      <c r="M176" s="173" t="s">
        <v>313</v>
      </c>
      <c r="N176" s="161" t="s">
        <v>310</v>
      </c>
      <c r="O176" s="233">
        <v>3.7333640122508442</v>
      </c>
      <c r="P176" s="233">
        <v>1.3031451631811077</v>
      </c>
      <c r="Q176" s="349">
        <f t="shared" si="14"/>
        <v>2.4302188490697363</v>
      </c>
      <c r="R176" s="349"/>
      <c r="S176" s="349"/>
      <c r="T176" s="349"/>
      <c r="U176" s="349"/>
      <c r="V176" s="349">
        <f>Q176</f>
        <v>2.4302188490697363</v>
      </c>
    </row>
    <row r="177" spans="1:22" ht="60">
      <c r="A177" s="165" t="s">
        <v>271</v>
      </c>
      <c r="B177" s="168" t="s">
        <v>411</v>
      </c>
      <c r="C177" s="161" t="s">
        <v>412</v>
      </c>
      <c r="D177" s="233">
        <v>6.08502E-2</v>
      </c>
      <c r="E177" s="233">
        <v>6.08502E-2</v>
      </c>
      <c r="F177" s="233">
        <f t="shared" si="13"/>
        <v>0</v>
      </c>
      <c r="G177" s="233"/>
      <c r="H177" s="234">
        <v>0</v>
      </c>
      <c r="I177" s="234">
        <v>0</v>
      </c>
      <c r="J177" s="234">
        <v>0</v>
      </c>
      <c r="K177" s="234">
        <v>0</v>
      </c>
      <c r="L177" s="162" t="s">
        <v>290</v>
      </c>
      <c r="M177" s="173" t="s">
        <v>314</v>
      </c>
      <c r="N177" s="161" t="s">
        <v>310</v>
      </c>
      <c r="O177" s="233">
        <v>0</v>
      </c>
      <c r="P177" s="233">
        <v>0</v>
      </c>
      <c r="Q177" s="349">
        <f t="shared" si="14"/>
        <v>0</v>
      </c>
      <c r="R177" s="349"/>
      <c r="S177" s="349"/>
      <c r="T177" s="349"/>
      <c r="U177" s="349"/>
      <c r="V177" s="349"/>
    </row>
    <row r="178" spans="1:22" ht="60">
      <c r="A178" s="165" t="s">
        <v>271</v>
      </c>
      <c r="B178" s="168" t="s">
        <v>413</v>
      </c>
      <c r="C178" s="161">
        <v>0</v>
      </c>
      <c r="D178" s="233">
        <v>0</v>
      </c>
      <c r="E178" s="233">
        <v>0</v>
      </c>
      <c r="F178" s="233">
        <f t="shared" si="13"/>
        <v>0</v>
      </c>
      <c r="G178" s="233"/>
      <c r="H178" s="234">
        <v>0</v>
      </c>
      <c r="I178" s="234">
        <v>0</v>
      </c>
      <c r="J178" s="234">
        <v>0</v>
      </c>
      <c r="K178" s="234">
        <v>0</v>
      </c>
      <c r="L178" s="162" t="s">
        <v>290</v>
      </c>
      <c r="M178" s="173" t="s">
        <v>315</v>
      </c>
      <c r="N178" s="161" t="s">
        <v>310</v>
      </c>
      <c r="O178" s="233">
        <v>0</v>
      </c>
      <c r="P178" s="233">
        <v>0</v>
      </c>
      <c r="Q178" s="349">
        <f t="shared" si="14"/>
        <v>0</v>
      </c>
      <c r="R178" s="349"/>
      <c r="S178" s="349"/>
      <c r="T178" s="349"/>
      <c r="U178" s="349"/>
      <c r="V178" s="349"/>
    </row>
    <row r="179" spans="1:22" ht="36">
      <c r="A179" s="165" t="s">
        <v>271</v>
      </c>
      <c r="B179" s="168" t="s">
        <v>414</v>
      </c>
      <c r="C179" s="161">
        <v>0</v>
      </c>
      <c r="D179" s="233">
        <v>0.1681049</v>
      </c>
      <c r="E179" s="233">
        <v>0.1681049</v>
      </c>
      <c r="F179" s="233">
        <f t="shared" si="13"/>
        <v>0</v>
      </c>
      <c r="G179" s="233"/>
      <c r="H179" s="234">
        <v>0</v>
      </c>
      <c r="I179" s="234">
        <v>0</v>
      </c>
      <c r="J179" s="234">
        <v>0</v>
      </c>
      <c r="K179" s="234">
        <v>0</v>
      </c>
      <c r="L179" s="162" t="s">
        <v>316</v>
      </c>
      <c r="M179" s="175" t="s">
        <v>316</v>
      </c>
      <c r="N179" s="161" t="s">
        <v>317</v>
      </c>
      <c r="O179" s="233">
        <v>2.3379999999999998E-3</v>
      </c>
      <c r="P179" s="233">
        <v>3.2661832271781002E-2</v>
      </c>
      <c r="Q179" s="349">
        <f t="shared" si="14"/>
        <v>-3.0323832271781002E-2</v>
      </c>
      <c r="R179" s="349"/>
      <c r="S179" s="349"/>
      <c r="T179" s="349"/>
      <c r="U179" s="349"/>
      <c r="V179" s="349">
        <v>-3.0323832271781002E-2</v>
      </c>
    </row>
    <row r="180" spans="1:22">
      <c r="A180" s="165" t="s">
        <v>271</v>
      </c>
      <c r="B180" s="168" t="s">
        <v>289</v>
      </c>
      <c r="C180" s="161">
        <v>0</v>
      </c>
      <c r="D180" s="233">
        <v>3.8999999999999998E-8</v>
      </c>
      <c r="E180" s="233">
        <v>0</v>
      </c>
      <c r="F180" s="233">
        <f t="shared" si="13"/>
        <v>3.8999999999999998E-8</v>
      </c>
      <c r="G180" s="233"/>
      <c r="H180" s="234">
        <v>0</v>
      </c>
      <c r="I180" s="234">
        <v>0</v>
      </c>
      <c r="J180" s="234">
        <v>0</v>
      </c>
      <c r="K180" s="234">
        <v>3.8999999999999998E-8</v>
      </c>
      <c r="L180" s="162" t="s">
        <v>316</v>
      </c>
      <c r="M180" s="175" t="s">
        <v>316</v>
      </c>
      <c r="N180" s="161" t="s">
        <v>318</v>
      </c>
      <c r="O180" s="233">
        <v>3.0323800000000001E-2</v>
      </c>
      <c r="P180" s="233">
        <v>0</v>
      </c>
      <c r="Q180" s="349">
        <f t="shared" si="14"/>
        <v>3.0323800000000001E-2</v>
      </c>
      <c r="R180" s="349"/>
      <c r="S180" s="349"/>
      <c r="T180" s="349"/>
      <c r="U180" s="349"/>
      <c r="V180" s="349">
        <v>3.0323800000000001E-2</v>
      </c>
    </row>
    <row r="181" spans="1:22" ht="60">
      <c r="A181" s="165" t="s">
        <v>290</v>
      </c>
      <c r="B181" s="168" t="s">
        <v>415</v>
      </c>
      <c r="C181" s="161" t="s">
        <v>415</v>
      </c>
      <c r="D181" s="233">
        <v>39.451367374</v>
      </c>
      <c r="E181" s="233">
        <v>39.451367374</v>
      </c>
      <c r="F181" s="233">
        <f t="shared" si="13"/>
        <v>0</v>
      </c>
      <c r="G181" s="233"/>
      <c r="H181" s="234">
        <v>0</v>
      </c>
      <c r="I181" s="234">
        <v>0</v>
      </c>
      <c r="J181" s="234">
        <v>0</v>
      </c>
      <c r="K181" s="234">
        <v>0</v>
      </c>
      <c r="L181" s="165" t="s">
        <v>245</v>
      </c>
      <c r="M181" s="168" t="s">
        <v>245</v>
      </c>
      <c r="N181" s="161" t="s">
        <v>319</v>
      </c>
      <c r="O181" s="233">
        <v>7.7210799999999996E-2</v>
      </c>
      <c r="P181" s="233">
        <v>0.10843700000000001</v>
      </c>
      <c r="Q181" s="349">
        <f t="shared" si="14"/>
        <v>-3.122620000000001E-2</v>
      </c>
      <c r="R181" s="349"/>
      <c r="S181" s="349"/>
      <c r="T181" s="349"/>
      <c r="U181" s="349"/>
      <c r="V181" s="349">
        <v>-3.122620000000001E-2</v>
      </c>
    </row>
    <row r="182" spans="1:22" ht="24">
      <c r="A182" s="165" t="s">
        <v>290</v>
      </c>
      <c r="B182" s="168" t="s">
        <v>416</v>
      </c>
      <c r="C182" s="161" t="s">
        <v>292</v>
      </c>
      <c r="D182" s="233">
        <v>0</v>
      </c>
      <c r="E182" s="233">
        <v>0</v>
      </c>
      <c r="F182" s="233">
        <f t="shared" si="13"/>
        <v>0</v>
      </c>
      <c r="G182" s="233"/>
      <c r="H182" s="234">
        <v>0</v>
      </c>
      <c r="I182" s="234">
        <v>0</v>
      </c>
      <c r="J182" s="234">
        <v>0</v>
      </c>
      <c r="K182" s="234">
        <v>0</v>
      </c>
      <c r="L182" s="165" t="s">
        <v>188</v>
      </c>
      <c r="M182" s="168" t="s">
        <v>320</v>
      </c>
      <c r="N182" s="161" t="s">
        <v>321</v>
      </c>
      <c r="O182" s="233">
        <v>0.72889458899999993</v>
      </c>
      <c r="P182" s="233">
        <v>0.72889458899999993</v>
      </c>
      <c r="Q182" s="349">
        <f t="shared" si="14"/>
        <v>0</v>
      </c>
      <c r="R182" s="349"/>
      <c r="S182" s="362">
        <v>0</v>
      </c>
      <c r="T182" s="362">
        <v>0</v>
      </c>
      <c r="U182" s="362">
        <v>0</v>
      </c>
      <c r="V182" s="362">
        <v>0</v>
      </c>
    </row>
    <row r="183" spans="1:22" ht="60">
      <c r="A183" s="165" t="s">
        <v>316</v>
      </c>
      <c r="B183" s="168" t="s">
        <v>316</v>
      </c>
      <c r="C183" s="161" t="s">
        <v>417</v>
      </c>
      <c r="D183" s="233">
        <v>0.30449179999999998</v>
      </c>
      <c r="E183" s="233">
        <v>0.30449179999999998</v>
      </c>
      <c r="F183" s="233">
        <f t="shared" si="13"/>
        <v>0</v>
      </c>
      <c r="G183" s="233"/>
      <c r="H183" s="234">
        <v>0</v>
      </c>
      <c r="I183" s="234">
        <v>0</v>
      </c>
      <c r="J183" s="234">
        <v>0</v>
      </c>
      <c r="K183" s="234">
        <v>0</v>
      </c>
      <c r="L183" s="165" t="s">
        <v>188</v>
      </c>
      <c r="M183" s="168" t="s">
        <v>322</v>
      </c>
      <c r="N183" s="161" t="s">
        <v>323</v>
      </c>
      <c r="O183" s="233">
        <v>4.5</v>
      </c>
      <c r="P183" s="233">
        <v>4.5</v>
      </c>
      <c r="Q183" s="349">
        <f t="shared" si="14"/>
        <v>0</v>
      </c>
      <c r="R183" s="349"/>
      <c r="S183" s="362">
        <v>0</v>
      </c>
      <c r="T183" s="362">
        <v>0</v>
      </c>
      <c r="U183" s="362">
        <v>0</v>
      </c>
      <c r="V183" s="362">
        <v>0</v>
      </c>
    </row>
    <row r="184" spans="1:22" ht="24">
      <c r="A184" s="165" t="s">
        <v>316</v>
      </c>
      <c r="B184" s="168" t="s">
        <v>316</v>
      </c>
      <c r="C184" s="161" t="s">
        <v>418</v>
      </c>
      <c r="D184" s="233">
        <v>1.6350769199999999</v>
      </c>
      <c r="E184" s="233">
        <v>1.6350769199999999</v>
      </c>
      <c r="F184" s="233">
        <f t="shared" ref="F184:F185" si="16">D184-E184</f>
        <v>0</v>
      </c>
      <c r="G184" s="233"/>
      <c r="H184" s="234">
        <v>0</v>
      </c>
      <c r="I184" s="234">
        <v>0</v>
      </c>
      <c r="J184" s="234">
        <v>0</v>
      </c>
      <c r="K184" s="234">
        <v>0</v>
      </c>
      <c r="L184" s="165" t="s">
        <v>188</v>
      </c>
      <c r="M184" s="168" t="s">
        <v>324</v>
      </c>
      <c r="N184" s="161" t="s">
        <v>190</v>
      </c>
      <c r="O184" s="233">
        <v>5.6918976909999994</v>
      </c>
      <c r="P184" s="233">
        <v>5.6918976909999994</v>
      </c>
      <c r="Q184" s="349">
        <f t="shared" si="14"/>
        <v>0</v>
      </c>
      <c r="R184" s="349"/>
      <c r="S184" s="362">
        <v>0</v>
      </c>
      <c r="T184" s="362">
        <v>0</v>
      </c>
      <c r="U184" s="362">
        <v>0</v>
      </c>
      <c r="V184" s="362">
        <v>0</v>
      </c>
    </row>
    <row r="185" spans="1:22" ht="36">
      <c r="A185" s="165" t="s">
        <v>245</v>
      </c>
      <c r="B185" s="168" t="s">
        <v>245</v>
      </c>
      <c r="C185" s="161" t="s">
        <v>419</v>
      </c>
      <c r="D185" s="233">
        <v>4.5373299999999998E-2</v>
      </c>
      <c r="E185" s="233">
        <v>4.5373299999999998E-2</v>
      </c>
      <c r="F185" s="233">
        <f t="shared" si="16"/>
        <v>0</v>
      </c>
      <c r="G185" s="233"/>
      <c r="H185" s="234">
        <v>0</v>
      </c>
      <c r="I185" s="234">
        <v>0</v>
      </c>
      <c r="J185" s="234">
        <v>0</v>
      </c>
      <c r="K185" s="234">
        <v>0</v>
      </c>
      <c r="L185" s="165" t="s">
        <v>188</v>
      </c>
      <c r="M185" s="168" t="s">
        <v>325</v>
      </c>
      <c r="N185" s="161" t="s">
        <v>190</v>
      </c>
      <c r="O185" s="233">
        <v>1.225947388</v>
      </c>
      <c r="P185" s="233">
        <v>1.225947388</v>
      </c>
      <c r="Q185" s="349">
        <f t="shared" si="14"/>
        <v>0</v>
      </c>
      <c r="R185" s="349"/>
      <c r="S185" s="362">
        <v>0</v>
      </c>
      <c r="T185" s="362">
        <v>0</v>
      </c>
      <c r="U185" s="362">
        <v>0</v>
      </c>
      <c r="V185" s="362">
        <v>0</v>
      </c>
    </row>
    <row r="186" spans="1:22" ht="24">
      <c r="C186" s="237" t="s">
        <v>130</v>
      </c>
      <c r="D186" s="236">
        <f>SUM(D24:D185)</f>
        <v>386.23303390415725</v>
      </c>
      <c r="E186" s="236">
        <f t="shared" ref="E186:K186" si="17">SUM(E24:E185)</f>
        <v>261.36419721795426</v>
      </c>
      <c r="F186" s="236">
        <f t="shared" si="17"/>
        <v>124.8688366862031</v>
      </c>
      <c r="G186" s="236"/>
      <c r="H186" s="236">
        <f t="shared" si="17"/>
        <v>36.455581424029276</v>
      </c>
      <c r="I186" s="236">
        <f t="shared" si="17"/>
        <v>34.303526098961974</v>
      </c>
      <c r="J186" s="236">
        <f t="shared" si="17"/>
        <v>0</v>
      </c>
      <c r="K186" s="236">
        <f t="shared" si="17"/>
        <v>54.099729163211819</v>
      </c>
      <c r="L186" s="165" t="s">
        <v>188</v>
      </c>
      <c r="M186" s="168" t="s">
        <v>326</v>
      </c>
      <c r="N186" s="161" t="s">
        <v>190</v>
      </c>
      <c r="O186" s="233">
        <v>0</v>
      </c>
      <c r="P186" s="233">
        <v>0</v>
      </c>
      <c r="Q186" s="349">
        <f t="shared" si="14"/>
        <v>0</v>
      </c>
      <c r="R186" s="349"/>
      <c r="S186" s="362">
        <v>0</v>
      </c>
      <c r="T186" s="362">
        <v>0</v>
      </c>
      <c r="U186" s="362">
        <v>0</v>
      </c>
      <c r="V186" s="362">
        <v>0</v>
      </c>
    </row>
    <row r="187" spans="1:22" ht="24">
      <c r="L187" s="165" t="s">
        <v>188</v>
      </c>
      <c r="M187" s="168" t="s">
        <v>327</v>
      </c>
      <c r="N187" s="161" t="s">
        <v>190</v>
      </c>
      <c r="O187" s="233">
        <v>1.5848475369999999</v>
      </c>
      <c r="P187" s="233">
        <v>1.5848475369999999</v>
      </c>
      <c r="Q187" s="349">
        <f t="shared" si="14"/>
        <v>0</v>
      </c>
      <c r="R187" s="349"/>
      <c r="S187" s="362">
        <v>0</v>
      </c>
      <c r="T187" s="362">
        <v>0</v>
      </c>
      <c r="U187" s="362">
        <v>0</v>
      </c>
      <c r="V187" s="362">
        <v>0</v>
      </c>
    </row>
    <row r="188" spans="1:22" ht="24">
      <c r="L188" s="165" t="s">
        <v>194</v>
      </c>
      <c r="M188" s="168" t="s">
        <v>328</v>
      </c>
      <c r="N188" s="161" t="s">
        <v>199</v>
      </c>
      <c r="O188" s="233">
        <v>0</v>
      </c>
      <c r="P188" s="233">
        <v>0</v>
      </c>
      <c r="Q188" s="349">
        <f t="shared" si="14"/>
        <v>0</v>
      </c>
      <c r="R188" s="349"/>
      <c r="S188" s="362">
        <v>0</v>
      </c>
      <c r="T188" s="362">
        <v>0</v>
      </c>
      <c r="U188" s="362">
        <v>0</v>
      </c>
      <c r="V188" s="362">
        <v>0</v>
      </c>
    </row>
    <row r="189" spans="1:22" ht="24">
      <c r="L189" s="165" t="s">
        <v>194</v>
      </c>
      <c r="M189" s="168" t="s">
        <v>329</v>
      </c>
      <c r="N189" s="161" t="s">
        <v>330</v>
      </c>
      <c r="O189" s="233">
        <v>0</v>
      </c>
      <c r="P189" s="233">
        <v>0</v>
      </c>
      <c r="Q189" s="349">
        <f t="shared" si="14"/>
        <v>0</v>
      </c>
      <c r="R189" s="349"/>
      <c r="S189" s="362">
        <v>0</v>
      </c>
      <c r="T189" s="362">
        <v>0</v>
      </c>
      <c r="U189" s="362">
        <v>0</v>
      </c>
      <c r="V189" s="362">
        <v>0</v>
      </c>
    </row>
    <row r="190" spans="1:22" ht="60">
      <c r="L190" s="165" t="s">
        <v>194</v>
      </c>
      <c r="M190" s="168" t="s">
        <v>331</v>
      </c>
      <c r="N190" s="161" t="s">
        <v>332</v>
      </c>
      <c r="O190" s="233">
        <v>0</v>
      </c>
      <c r="P190" s="233">
        <v>0</v>
      </c>
      <c r="Q190" s="349">
        <f t="shared" si="14"/>
        <v>0</v>
      </c>
      <c r="R190" s="349"/>
      <c r="S190" s="362">
        <v>0</v>
      </c>
      <c r="T190" s="362">
        <v>0</v>
      </c>
      <c r="U190" s="362">
        <v>0</v>
      </c>
      <c r="V190" s="362">
        <v>0</v>
      </c>
    </row>
    <row r="191" spans="1:22">
      <c r="L191" s="165" t="s">
        <v>194</v>
      </c>
      <c r="M191" s="168" t="s">
        <v>333</v>
      </c>
      <c r="N191" s="161" t="s">
        <v>334</v>
      </c>
      <c r="O191" s="233">
        <v>0</v>
      </c>
      <c r="P191" s="233">
        <v>0</v>
      </c>
      <c r="Q191" s="349">
        <f t="shared" si="14"/>
        <v>0</v>
      </c>
      <c r="R191" s="349"/>
      <c r="S191" s="362">
        <v>0</v>
      </c>
      <c r="T191" s="362">
        <v>0</v>
      </c>
      <c r="U191" s="362">
        <v>0</v>
      </c>
      <c r="V191" s="362">
        <v>0</v>
      </c>
    </row>
    <row r="192" spans="1:22">
      <c r="L192" s="165" t="s">
        <v>194</v>
      </c>
      <c r="M192" s="168" t="s">
        <v>335</v>
      </c>
      <c r="N192" s="161" t="s">
        <v>334</v>
      </c>
      <c r="O192" s="233">
        <v>0</v>
      </c>
      <c r="P192" s="233">
        <v>0</v>
      </c>
      <c r="Q192" s="349">
        <f t="shared" si="14"/>
        <v>0</v>
      </c>
      <c r="R192" s="349"/>
      <c r="S192" s="362">
        <v>0</v>
      </c>
      <c r="T192" s="362">
        <v>0</v>
      </c>
      <c r="U192" s="362">
        <v>0</v>
      </c>
      <c r="V192" s="362">
        <v>0</v>
      </c>
    </row>
    <row r="193" spans="12:22">
      <c r="L193" s="165" t="s">
        <v>194</v>
      </c>
      <c r="M193" s="168" t="s">
        <v>336</v>
      </c>
      <c r="N193" s="161" t="s">
        <v>334</v>
      </c>
      <c r="O193" s="233">
        <v>0</v>
      </c>
      <c r="P193" s="233">
        <v>0</v>
      </c>
      <c r="Q193" s="349">
        <f t="shared" si="14"/>
        <v>0</v>
      </c>
      <c r="R193" s="349"/>
      <c r="S193" s="362">
        <v>0</v>
      </c>
      <c r="T193" s="362">
        <v>0</v>
      </c>
      <c r="U193" s="362">
        <v>0</v>
      </c>
      <c r="V193" s="362">
        <v>0</v>
      </c>
    </row>
    <row r="194" spans="12:22">
      <c r="L194" s="165" t="s">
        <v>194</v>
      </c>
      <c r="M194" s="168" t="s">
        <v>337</v>
      </c>
      <c r="N194" s="161" t="s">
        <v>334</v>
      </c>
      <c r="O194" s="233">
        <v>0</v>
      </c>
      <c r="P194" s="233">
        <v>0</v>
      </c>
      <c r="Q194" s="349">
        <f t="shared" si="14"/>
        <v>0</v>
      </c>
      <c r="R194" s="349"/>
      <c r="S194" s="362">
        <v>0</v>
      </c>
      <c r="T194" s="362">
        <v>0</v>
      </c>
      <c r="U194" s="362">
        <v>0</v>
      </c>
      <c r="V194" s="362">
        <v>0</v>
      </c>
    </row>
    <row r="195" spans="12:22">
      <c r="L195" s="165" t="s">
        <v>194</v>
      </c>
      <c r="M195" s="168" t="s">
        <v>338</v>
      </c>
      <c r="N195" s="161" t="s">
        <v>334</v>
      </c>
      <c r="O195" s="233">
        <v>0</v>
      </c>
      <c r="P195" s="233">
        <v>0</v>
      </c>
      <c r="Q195" s="349">
        <f t="shared" si="14"/>
        <v>0</v>
      </c>
      <c r="R195" s="349"/>
      <c r="S195" s="362">
        <v>0</v>
      </c>
      <c r="T195" s="362">
        <v>0</v>
      </c>
      <c r="U195" s="362">
        <v>0</v>
      </c>
      <c r="V195" s="362">
        <v>0</v>
      </c>
    </row>
    <row r="196" spans="12:22">
      <c r="L196" s="165" t="s">
        <v>194</v>
      </c>
      <c r="M196" s="168" t="s">
        <v>339</v>
      </c>
      <c r="N196" s="161" t="s">
        <v>334</v>
      </c>
      <c r="O196" s="233">
        <v>0</v>
      </c>
      <c r="P196" s="233">
        <v>0</v>
      </c>
      <c r="Q196" s="349">
        <f t="shared" si="14"/>
        <v>0</v>
      </c>
      <c r="R196" s="349"/>
      <c r="S196" s="362">
        <v>0</v>
      </c>
      <c r="T196" s="362">
        <v>0</v>
      </c>
      <c r="U196" s="362">
        <v>0</v>
      </c>
      <c r="V196" s="362">
        <v>0</v>
      </c>
    </row>
    <row r="197" spans="12:22">
      <c r="L197" s="165" t="s">
        <v>194</v>
      </c>
      <c r="M197" s="168" t="s">
        <v>340</v>
      </c>
      <c r="N197" s="161" t="s">
        <v>334</v>
      </c>
      <c r="O197" s="233">
        <v>0</v>
      </c>
      <c r="P197" s="233">
        <v>0</v>
      </c>
      <c r="Q197" s="349">
        <f t="shared" si="14"/>
        <v>0</v>
      </c>
      <c r="R197" s="349"/>
      <c r="S197" s="362">
        <v>0</v>
      </c>
      <c r="T197" s="362">
        <v>0</v>
      </c>
      <c r="U197" s="362">
        <v>0</v>
      </c>
      <c r="V197" s="362">
        <v>0</v>
      </c>
    </row>
    <row r="198" spans="12:22">
      <c r="L198" s="165" t="s">
        <v>194</v>
      </c>
      <c r="M198" s="168" t="s">
        <v>341</v>
      </c>
      <c r="N198" s="161" t="s">
        <v>334</v>
      </c>
      <c r="O198" s="233">
        <v>0</v>
      </c>
      <c r="P198" s="233">
        <v>0</v>
      </c>
      <c r="Q198" s="349">
        <f t="shared" si="14"/>
        <v>0</v>
      </c>
      <c r="R198" s="349"/>
      <c r="S198" s="362">
        <v>0</v>
      </c>
      <c r="T198" s="362">
        <v>0</v>
      </c>
      <c r="U198" s="362">
        <v>0</v>
      </c>
      <c r="V198" s="362">
        <v>0</v>
      </c>
    </row>
    <row r="199" spans="12:22">
      <c r="L199" s="165" t="s">
        <v>194</v>
      </c>
      <c r="M199" s="168" t="s">
        <v>342</v>
      </c>
      <c r="N199" s="161" t="s">
        <v>334</v>
      </c>
      <c r="O199" s="233">
        <v>0</v>
      </c>
      <c r="P199" s="233">
        <v>0</v>
      </c>
      <c r="Q199" s="349">
        <f t="shared" si="14"/>
        <v>0</v>
      </c>
      <c r="R199" s="349"/>
      <c r="S199" s="362">
        <v>0</v>
      </c>
      <c r="T199" s="362">
        <v>0</v>
      </c>
      <c r="U199" s="362">
        <v>0</v>
      </c>
      <c r="V199" s="362">
        <v>0</v>
      </c>
    </row>
    <row r="200" spans="12:22">
      <c r="L200" s="165" t="s">
        <v>194</v>
      </c>
      <c r="M200" s="168" t="s">
        <v>343</v>
      </c>
      <c r="N200" s="161" t="s">
        <v>334</v>
      </c>
      <c r="O200" s="233">
        <v>0</v>
      </c>
      <c r="P200" s="233">
        <v>0</v>
      </c>
      <c r="Q200" s="349">
        <f t="shared" si="14"/>
        <v>0</v>
      </c>
      <c r="R200" s="349"/>
      <c r="S200" s="362">
        <v>0</v>
      </c>
      <c r="T200" s="362">
        <v>0</v>
      </c>
      <c r="U200" s="362">
        <v>0</v>
      </c>
      <c r="V200" s="362">
        <v>0</v>
      </c>
    </row>
    <row r="201" spans="12:22">
      <c r="L201" s="165" t="s">
        <v>194</v>
      </c>
      <c r="M201" s="168" t="s">
        <v>344</v>
      </c>
      <c r="N201" s="161" t="s">
        <v>334</v>
      </c>
      <c r="O201" s="233">
        <v>0</v>
      </c>
      <c r="P201" s="233">
        <v>0</v>
      </c>
      <c r="Q201" s="349">
        <f t="shared" si="14"/>
        <v>0</v>
      </c>
      <c r="R201" s="349"/>
      <c r="S201" s="362">
        <v>0</v>
      </c>
      <c r="T201" s="362">
        <v>0</v>
      </c>
      <c r="U201" s="362">
        <v>0</v>
      </c>
      <c r="V201" s="362">
        <v>0</v>
      </c>
    </row>
    <row r="202" spans="12:22">
      <c r="L202" s="165" t="s">
        <v>194</v>
      </c>
      <c r="M202" s="168" t="s">
        <v>345</v>
      </c>
      <c r="N202" s="161" t="s">
        <v>334</v>
      </c>
      <c r="O202" s="233">
        <v>0</v>
      </c>
      <c r="P202" s="233">
        <v>0</v>
      </c>
      <c r="Q202" s="349">
        <f t="shared" si="14"/>
        <v>0</v>
      </c>
      <c r="R202" s="349"/>
      <c r="S202" s="362">
        <v>0</v>
      </c>
      <c r="T202" s="362">
        <v>0</v>
      </c>
      <c r="U202" s="362">
        <v>0</v>
      </c>
      <c r="V202" s="362">
        <v>0</v>
      </c>
    </row>
    <row r="203" spans="12:22">
      <c r="L203" s="165" t="s">
        <v>194</v>
      </c>
      <c r="M203" s="168" t="s">
        <v>346</v>
      </c>
      <c r="N203" s="161" t="s">
        <v>334</v>
      </c>
      <c r="O203" s="233">
        <v>0</v>
      </c>
      <c r="P203" s="233">
        <v>0</v>
      </c>
      <c r="Q203" s="349">
        <f t="shared" si="14"/>
        <v>0</v>
      </c>
      <c r="R203" s="349"/>
      <c r="S203" s="362">
        <v>0</v>
      </c>
      <c r="T203" s="362">
        <v>0</v>
      </c>
      <c r="U203" s="362">
        <v>0</v>
      </c>
      <c r="V203" s="362">
        <v>0</v>
      </c>
    </row>
    <row r="204" spans="12:22">
      <c r="L204" s="165" t="s">
        <v>194</v>
      </c>
      <c r="M204" s="168" t="s">
        <v>347</v>
      </c>
      <c r="N204" s="161" t="s">
        <v>334</v>
      </c>
      <c r="O204" s="233">
        <v>0</v>
      </c>
      <c r="P204" s="233">
        <v>0</v>
      </c>
      <c r="Q204" s="349">
        <f t="shared" si="14"/>
        <v>0</v>
      </c>
      <c r="R204" s="349"/>
      <c r="S204" s="362">
        <v>0</v>
      </c>
      <c r="T204" s="362">
        <v>0</v>
      </c>
      <c r="U204" s="362">
        <v>0</v>
      </c>
      <c r="V204" s="362">
        <v>0</v>
      </c>
    </row>
    <row r="205" spans="12:22">
      <c r="L205" s="165" t="s">
        <v>194</v>
      </c>
      <c r="M205" s="168" t="s">
        <v>348</v>
      </c>
      <c r="N205" s="161" t="s">
        <v>334</v>
      </c>
      <c r="O205" s="233">
        <v>0</v>
      </c>
      <c r="P205" s="233">
        <v>0</v>
      </c>
      <c r="Q205" s="349">
        <f t="shared" si="14"/>
        <v>0</v>
      </c>
      <c r="R205" s="349"/>
      <c r="S205" s="362">
        <v>0</v>
      </c>
      <c r="T205" s="362">
        <v>0</v>
      </c>
      <c r="U205" s="362">
        <v>0</v>
      </c>
      <c r="V205" s="362">
        <v>0</v>
      </c>
    </row>
    <row r="206" spans="12:22">
      <c r="L206" s="165" t="s">
        <v>194</v>
      </c>
      <c r="M206" s="168" t="s">
        <v>349</v>
      </c>
      <c r="N206" s="161" t="s">
        <v>334</v>
      </c>
      <c r="O206" s="233">
        <v>0</v>
      </c>
      <c r="P206" s="233">
        <v>0</v>
      </c>
      <c r="Q206" s="349">
        <f t="shared" si="14"/>
        <v>0</v>
      </c>
      <c r="R206" s="349"/>
      <c r="S206" s="362">
        <v>0</v>
      </c>
      <c r="T206" s="362">
        <v>0</v>
      </c>
      <c r="U206" s="362">
        <v>0</v>
      </c>
      <c r="V206" s="362">
        <v>0</v>
      </c>
    </row>
    <row r="207" spans="12:22">
      <c r="L207" s="165" t="s">
        <v>194</v>
      </c>
      <c r="M207" s="168" t="s">
        <v>350</v>
      </c>
      <c r="N207" s="161" t="s">
        <v>334</v>
      </c>
      <c r="O207" s="233">
        <v>0</v>
      </c>
      <c r="P207" s="233">
        <v>0</v>
      </c>
      <c r="Q207" s="349">
        <f t="shared" si="14"/>
        <v>0</v>
      </c>
      <c r="R207" s="349"/>
      <c r="S207" s="362">
        <v>0</v>
      </c>
      <c r="T207" s="362">
        <v>0</v>
      </c>
      <c r="U207" s="362">
        <v>0</v>
      </c>
      <c r="V207" s="362">
        <v>0</v>
      </c>
    </row>
    <row r="208" spans="12:22">
      <c r="L208" s="165" t="s">
        <v>194</v>
      </c>
      <c r="M208" s="168" t="s">
        <v>351</v>
      </c>
      <c r="N208" s="161" t="s">
        <v>334</v>
      </c>
      <c r="O208" s="233">
        <v>0</v>
      </c>
      <c r="P208" s="233">
        <v>0</v>
      </c>
      <c r="Q208" s="349">
        <f t="shared" si="14"/>
        <v>0</v>
      </c>
      <c r="R208" s="349"/>
      <c r="S208" s="362">
        <v>0</v>
      </c>
      <c r="T208" s="362">
        <v>0</v>
      </c>
      <c r="U208" s="362">
        <v>0</v>
      </c>
      <c r="V208" s="362">
        <v>0</v>
      </c>
    </row>
    <row r="209" spans="12:22">
      <c r="L209" s="165" t="s">
        <v>194</v>
      </c>
      <c r="M209" s="168" t="s">
        <v>352</v>
      </c>
      <c r="N209" s="161" t="s">
        <v>334</v>
      </c>
      <c r="O209" s="233">
        <v>0</v>
      </c>
      <c r="P209" s="233">
        <v>0</v>
      </c>
      <c r="Q209" s="349">
        <f t="shared" si="14"/>
        <v>0</v>
      </c>
      <c r="R209" s="349"/>
      <c r="S209" s="362">
        <v>0</v>
      </c>
      <c r="T209" s="362">
        <v>0</v>
      </c>
      <c r="U209" s="362">
        <v>0</v>
      </c>
      <c r="V209" s="362">
        <v>0</v>
      </c>
    </row>
    <row r="210" spans="12:22">
      <c r="L210" s="165" t="s">
        <v>194</v>
      </c>
      <c r="M210" s="168" t="s">
        <v>353</v>
      </c>
      <c r="N210" s="161" t="s">
        <v>334</v>
      </c>
      <c r="O210" s="233">
        <v>0</v>
      </c>
      <c r="P210" s="233">
        <v>0</v>
      </c>
      <c r="Q210" s="349">
        <f t="shared" si="14"/>
        <v>0</v>
      </c>
      <c r="R210" s="349"/>
      <c r="S210" s="362">
        <v>0</v>
      </c>
      <c r="T210" s="362">
        <v>0</v>
      </c>
      <c r="U210" s="362">
        <v>0</v>
      </c>
      <c r="V210" s="362">
        <v>0</v>
      </c>
    </row>
    <row r="211" spans="12:22">
      <c r="L211" s="165" t="s">
        <v>194</v>
      </c>
      <c r="M211" s="168" t="s">
        <v>354</v>
      </c>
      <c r="N211" s="161" t="s">
        <v>334</v>
      </c>
      <c r="O211" s="233">
        <v>0</v>
      </c>
      <c r="P211" s="233">
        <v>0</v>
      </c>
      <c r="Q211" s="349">
        <f t="shared" si="14"/>
        <v>0</v>
      </c>
      <c r="R211" s="349"/>
      <c r="S211" s="362">
        <v>0</v>
      </c>
      <c r="T211" s="362">
        <v>0</v>
      </c>
      <c r="U211" s="362">
        <v>0</v>
      </c>
      <c r="V211" s="362">
        <v>0</v>
      </c>
    </row>
    <row r="212" spans="12:22">
      <c r="L212" s="165" t="s">
        <v>194</v>
      </c>
      <c r="M212" s="168" t="s">
        <v>355</v>
      </c>
      <c r="N212" s="161" t="s">
        <v>334</v>
      </c>
      <c r="O212" s="233">
        <v>0</v>
      </c>
      <c r="P212" s="233">
        <v>0</v>
      </c>
      <c r="Q212" s="349">
        <f t="shared" si="14"/>
        <v>0</v>
      </c>
      <c r="R212" s="349"/>
      <c r="S212" s="362">
        <v>0</v>
      </c>
      <c r="T212" s="362">
        <v>0</v>
      </c>
      <c r="U212" s="362">
        <v>0</v>
      </c>
      <c r="V212" s="362">
        <v>0</v>
      </c>
    </row>
    <row r="213" spans="12:22">
      <c r="L213" s="165" t="s">
        <v>194</v>
      </c>
      <c r="M213" s="168" t="s">
        <v>356</v>
      </c>
      <c r="N213" s="161" t="s">
        <v>334</v>
      </c>
      <c r="O213" s="233">
        <v>0</v>
      </c>
      <c r="P213" s="233">
        <v>0</v>
      </c>
      <c r="Q213" s="349">
        <f t="shared" si="14"/>
        <v>0</v>
      </c>
      <c r="R213" s="349"/>
      <c r="S213" s="362">
        <v>0</v>
      </c>
      <c r="T213" s="362">
        <v>0</v>
      </c>
      <c r="U213" s="362">
        <v>0</v>
      </c>
      <c r="V213" s="362">
        <v>0</v>
      </c>
    </row>
    <row r="214" spans="12:22">
      <c r="L214" s="165" t="s">
        <v>194</v>
      </c>
      <c r="M214" s="168" t="s">
        <v>357</v>
      </c>
      <c r="N214" s="161" t="s">
        <v>334</v>
      </c>
      <c r="O214" s="233">
        <v>0</v>
      </c>
      <c r="P214" s="233">
        <v>0</v>
      </c>
      <c r="Q214" s="349">
        <f t="shared" si="14"/>
        <v>0</v>
      </c>
      <c r="R214" s="349"/>
      <c r="S214" s="362">
        <v>0</v>
      </c>
      <c r="T214" s="362">
        <v>0</v>
      </c>
      <c r="U214" s="362">
        <v>0</v>
      </c>
      <c r="V214" s="362">
        <v>0</v>
      </c>
    </row>
    <row r="215" spans="12:22">
      <c r="L215" s="165" t="s">
        <v>194</v>
      </c>
      <c r="M215" s="168" t="s">
        <v>358</v>
      </c>
      <c r="N215" s="161" t="s">
        <v>334</v>
      </c>
      <c r="O215" s="233">
        <v>0</v>
      </c>
      <c r="P215" s="233">
        <v>0</v>
      </c>
      <c r="Q215" s="349">
        <f t="shared" si="14"/>
        <v>0</v>
      </c>
      <c r="R215" s="349"/>
      <c r="S215" s="362">
        <v>0</v>
      </c>
      <c r="T215" s="362">
        <v>0</v>
      </c>
      <c r="U215" s="362">
        <v>0</v>
      </c>
      <c r="V215" s="362">
        <v>0</v>
      </c>
    </row>
    <row r="216" spans="12:22">
      <c r="L216" s="165" t="s">
        <v>194</v>
      </c>
      <c r="M216" s="168" t="s">
        <v>359</v>
      </c>
      <c r="N216" s="161" t="s">
        <v>334</v>
      </c>
      <c r="O216" s="233">
        <v>0</v>
      </c>
      <c r="P216" s="233">
        <v>0</v>
      </c>
      <c r="Q216" s="349">
        <f t="shared" si="14"/>
        <v>0</v>
      </c>
      <c r="R216" s="349"/>
      <c r="S216" s="362">
        <v>0</v>
      </c>
      <c r="T216" s="362">
        <v>0</v>
      </c>
      <c r="U216" s="362">
        <v>0</v>
      </c>
      <c r="V216" s="362">
        <v>0</v>
      </c>
    </row>
    <row r="217" spans="12:22">
      <c r="L217" s="165" t="s">
        <v>194</v>
      </c>
      <c r="M217" s="168" t="s">
        <v>360</v>
      </c>
      <c r="N217" s="161" t="s">
        <v>334</v>
      </c>
      <c r="O217" s="233">
        <v>0</v>
      </c>
      <c r="P217" s="233">
        <v>0</v>
      </c>
      <c r="Q217" s="349">
        <f t="shared" si="14"/>
        <v>0</v>
      </c>
      <c r="R217" s="349"/>
      <c r="S217" s="362">
        <v>0</v>
      </c>
      <c r="T217" s="362">
        <v>0</v>
      </c>
      <c r="U217" s="362">
        <v>0</v>
      </c>
      <c r="V217" s="362">
        <v>0</v>
      </c>
    </row>
    <row r="218" spans="12:22" ht="60">
      <c r="L218" s="165" t="s">
        <v>232</v>
      </c>
      <c r="M218" s="168" t="s">
        <v>361</v>
      </c>
      <c r="N218" s="161" t="s">
        <v>362</v>
      </c>
      <c r="O218" s="233">
        <v>0</v>
      </c>
      <c r="P218" s="233">
        <v>0</v>
      </c>
      <c r="Q218" s="349">
        <f t="shared" si="14"/>
        <v>0</v>
      </c>
      <c r="R218" s="349"/>
      <c r="S218" s="362">
        <v>0</v>
      </c>
      <c r="T218" s="362">
        <v>0</v>
      </c>
      <c r="U218" s="362">
        <v>0</v>
      </c>
      <c r="V218" s="362">
        <v>0</v>
      </c>
    </row>
    <row r="219" spans="12:22" ht="24">
      <c r="L219" s="165" t="s">
        <v>232</v>
      </c>
      <c r="M219" s="168" t="s">
        <v>363</v>
      </c>
      <c r="N219" s="161" t="s">
        <v>364</v>
      </c>
      <c r="O219" s="233">
        <v>0</v>
      </c>
      <c r="P219" s="233">
        <v>0</v>
      </c>
      <c r="Q219" s="349">
        <f t="shared" si="14"/>
        <v>0</v>
      </c>
      <c r="R219" s="349"/>
      <c r="S219" s="362">
        <v>0</v>
      </c>
      <c r="T219" s="362">
        <v>0</v>
      </c>
      <c r="U219" s="362">
        <v>0</v>
      </c>
      <c r="V219" s="362">
        <v>0</v>
      </c>
    </row>
    <row r="220" spans="12:22" ht="60">
      <c r="L220" s="165" t="s">
        <v>245</v>
      </c>
      <c r="M220" s="168" t="s">
        <v>245</v>
      </c>
      <c r="N220" s="161" t="s">
        <v>365</v>
      </c>
      <c r="O220" s="233">
        <v>0</v>
      </c>
      <c r="P220" s="233">
        <v>0</v>
      </c>
      <c r="Q220" s="349">
        <f t="shared" si="14"/>
        <v>0</v>
      </c>
      <c r="R220" s="349"/>
      <c r="S220" s="362">
        <v>0</v>
      </c>
      <c r="T220" s="362">
        <v>0</v>
      </c>
      <c r="U220" s="362">
        <v>0</v>
      </c>
      <c r="V220" s="362">
        <v>0</v>
      </c>
    </row>
    <row r="221" spans="12:22" ht="48">
      <c r="L221" s="165" t="s">
        <v>245</v>
      </c>
      <c r="M221" s="168" t="s">
        <v>245</v>
      </c>
      <c r="N221" s="161" t="s">
        <v>366</v>
      </c>
      <c r="O221" s="233">
        <v>9.8831137999999985E-2</v>
      </c>
      <c r="P221" s="233">
        <v>9.8831137999999985E-2</v>
      </c>
      <c r="Q221" s="349">
        <f t="shared" si="14"/>
        <v>0</v>
      </c>
      <c r="R221" s="349"/>
      <c r="S221" s="362">
        <v>0</v>
      </c>
      <c r="T221" s="362">
        <v>0</v>
      </c>
      <c r="U221" s="362">
        <v>0</v>
      </c>
      <c r="V221" s="362">
        <v>0</v>
      </c>
    </row>
    <row r="222" spans="12:22" ht="60">
      <c r="L222" s="165" t="s">
        <v>245</v>
      </c>
      <c r="M222" s="168" t="s">
        <v>245</v>
      </c>
      <c r="N222" s="161" t="s">
        <v>367</v>
      </c>
      <c r="O222" s="233">
        <v>0.31169970000000002</v>
      </c>
      <c r="P222" s="233">
        <v>0.31169970000000002</v>
      </c>
      <c r="Q222" s="349">
        <f t="shared" si="14"/>
        <v>0</v>
      </c>
      <c r="R222" s="349"/>
      <c r="S222" s="362">
        <v>0</v>
      </c>
      <c r="T222" s="362">
        <v>0</v>
      </c>
      <c r="U222" s="362">
        <v>0</v>
      </c>
      <c r="V222" s="362">
        <v>0</v>
      </c>
    </row>
    <row r="223" spans="12:22" ht="36">
      <c r="L223" s="165" t="s">
        <v>245</v>
      </c>
      <c r="M223" s="168" t="s">
        <v>245</v>
      </c>
      <c r="N223" s="161" t="s">
        <v>368</v>
      </c>
      <c r="O223" s="233">
        <v>6.7202799999999993E-2</v>
      </c>
      <c r="P223" s="233">
        <v>6.7202799999999993E-2</v>
      </c>
      <c r="Q223" s="349">
        <f t="shared" si="14"/>
        <v>0</v>
      </c>
      <c r="R223" s="349"/>
      <c r="S223" s="362">
        <v>0</v>
      </c>
      <c r="T223" s="362">
        <v>0</v>
      </c>
      <c r="U223" s="362">
        <v>0</v>
      </c>
      <c r="V223" s="362">
        <v>0</v>
      </c>
    </row>
    <row r="224" spans="12:22" ht="36">
      <c r="L224" s="165" t="s">
        <v>369</v>
      </c>
      <c r="M224" s="168" t="s">
        <v>245</v>
      </c>
      <c r="N224" s="161" t="s">
        <v>370</v>
      </c>
      <c r="O224" s="233">
        <v>0.398729</v>
      </c>
      <c r="P224" s="233">
        <v>0.398729</v>
      </c>
      <c r="Q224" s="349">
        <f t="shared" si="14"/>
        <v>0</v>
      </c>
      <c r="R224" s="349"/>
      <c r="S224" s="362">
        <v>0</v>
      </c>
      <c r="T224" s="362">
        <v>0</v>
      </c>
      <c r="U224" s="362">
        <v>0</v>
      </c>
      <c r="V224" s="362">
        <v>0</v>
      </c>
    </row>
    <row r="225" spans="12:22" ht="24">
      <c r="L225" s="165" t="s">
        <v>245</v>
      </c>
      <c r="M225" s="168" t="s">
        <v>245</v>
      </c>
      <c r="N225" s="161" t="s">
        <v>371</v>
      </c>
      <c r="O225" s="233">
        <v>3.5723499999999998E-2</v>
      </c>
      <c r="P225" s="233">
        <v>3.5723499999999998E-2</v>
      </c>
      <c r="Q225" s="349">
        <f t="shared" si="14"/>
        <v>0</v>
      </c>
      <c r="R225" s="349"/>
      <c r="S225" s="362">
        <v>0</v>
      </c>
      <c r="T225" s="362">
        <v>0</v>
      </c>
      <c r="U225" s="362">
        <v>0</v>
      </c>
      <c r="V225" s="362">
        <v>0</v>
      </c>
    </row>
    <row r="226" spans="12:22" ht="48">
      <c r="L226" s="165" t="s">
        <v>245</v>
      </c>
      <c r="M226" s="168" t="s">
        <v>245</v>
      </c>
      <c r="N226" s="161" t="s">
        <v>372</v>
      </c>
      <c r="O226" s="233">
        <v>1.4745899999999999E-2</v>
      </c>
      <c r="P226" s="233">
        <v>1.4745899999999999E-2</v>
      </c>
      <c r="Q226" s="349">
        <f t="shared" si="14"/>
        <v>0</v>
      </c>
      <c r="R226" s="349"/>
      <c r="S226" s="362">
        <v>0</v>
      </c>
      <c r="T226" s="362">
        <v>0</v>
      </c>
      <c r="U226" s="362">
        <v>0</v>
      </c>
      <c r="V226" s="362">
        <v>0</v>
      </c>
    </row>
    <row r="227" spans="12:22" ht="36">
      <c r="L227" s="165" t="s">
        <v>245</v>
      </c>
      <c r="M227" s="168" t="s">
        <v>245</v>
      </c>
      <c r="N227" s="161" t="s">
        <v>373</v>
      </c>
      <c r="O227" s="233">
        <v>1.2774499999999999E-2</v>
      </c>
      <c r="P227" s="233">
        <v>1.2774499999999999E-2</v>
      </c>
      <c r="Q227" s="349">
        <f t="shared" si="14"/>
        <v>0</v>
      </c>
      <c r="R227" s="349"/>
      <c r="S227" s="362">
        <v>0</v>
      </c>
      <c r="T227" s="362">
        <v>0</v>
      </c>
      <c r="U227" s="362">
        <v>0</v>
      </c>
      <c r="V227" s="362">
        <v>0</v>
      </c>
    </row>
    <row r="228" spans="12:22" ht="36">
      <c r="L228" s="165" t="s">
        <v>245</v>
      </c>
      <c r="M228" s="168" t="s">
        <v>245</v>
      </c>
      <c r="N228" s="161" t="s">
        <v>374</v>
      </c>
      <c r="O228" s="233">
        <v>1.65281E-2</v>
      </c>
      <c r="P228" s="233">
        <v>1.65281E-2</v>
      </c>
      <c r="Q228" s="349">
        <f t="shared" si="14"/>
        <v>0</v>
      </c>
      <c r="R228" s="349"/>
      <c r="S228" s="362">
        <v>0</v>
      </c>
      <c r="T228" s="362">
        <v>0</v>
      </c>
      <c r="U228" s="362">
        <v>0</v>
      </c>
      <c r="V228" s="362">
        <v>0</v>
      </c>
    </row>
    <row r="229" spans="12:22" ht="36">
      <c r="L229" s="165" t="s">
        <v>245</v>
      </c>
      <c r="M229" s="168" t="s">
        <v>245</v>
      </c>
      <c r="N229" s="161" t="s">
        <v>375</v>
      </c>
      <c r="O229" s="233">
        <v>6.3699999999999998E-3</v>
      </c>
      <c r="P229" s="233">
        <v>6.3699999999999998E-3</v>
      </c>
      <c r="Q229" s="349">
        <f t="shared" si="14"/>
        <v>0</v>
      </c>
      <c r="R229" s="349"/>
      <c r="S229" s="362">
        <v>0</v>
      </c>
      <c r="T229" s="362">
        <v>0</v>
      </c>
      <c r="U229" s="362">
        <v>0</v>
      </c>
      <c r="V229" s="362">
        <v>0</v>
      </c>
    </row>
    <row r="230" spans="12:22" ht="36">
      <c r="L230" s="165" t="s">
        <v>245</v>
      </c>
      <c r="M230" s="168" t="s">
        <v>245</v>
      </c>
      <c r="N230" s="161" t="s">
        <v>376</v>
      </c>
      <c r="O230" s="233">
        <v>0.65155700000000005</v>
      </c>
      <c r="P230" s="233">
        <v>0.65155700000000005</v>
      </c>
      <c r="Q230" s="349">
        <f t="shared" si="14"/>
        <v>0</v>
      </c>
      <c r="R230" s="349"/>
      <c r="S230" s="362">
        <v>0</v>
      </c>
      <c r="T230" s="362">
        <v>0</v>
      </c>
      <c r="U230" s="362">
        <v>0</v>
      </c>
      <c r="V230" s="362">
        <v>0</v>
      </c>
    </row>
    <row r="231" spans="12:22" ht="24">
      <c r="L231" s="165" t="s">
        <v>245</v>
      </c>
      <c r="M231" s="168" t="s">
        <v>245</v>
      </c>
      <c r="N231" s="161" t="s">
        <v>377</v>
      </c>
      <c r="O231" s="233">
        <v>0.25609470000000001</v>
      </c>
      <c r="P231" s="233">
        <v>0.25609470000000001</v>
      </c>
      <c r="Q231" s="349">
        <f t="shared" ref="Q231:Q264" si="18">O231-P231</f>
        <v>0</v>
      </c>
      <c r="R231" s="349"/>
      <c r="S231" s="362">
        <v>0</v>
      </c>
      <c r="T231" s="362">
        <v>0</v>
      </c>
      <c r="U231" s="362">
        <v>0</v>
      </c>
      <c r="V231" s="362">
        <v>0</v>
      </c>
    </row>
    <row r="232" spans="12:22" ht="48">
      <c r="L232" s="165" t="s">
        <v>245</v>
      </c>
      <c r="M232" s="168" t="s">
        <v>245</v>
      </c>
      <c r="N232" s="161" t="s">
        <v>378</v>
      </c>
      <c r="O232" s="233">
        <v>8.9845800000000003E-2</v>
      </c>
      <c r="P232" s="233">
        <v>8.9845800000000003E-2</v>
      </c>
      <c r="Q232" s="349">
        <f t="shared" si="18"/>
        <v>0</v>
      </c>
      <c r="R232" s="349"/>
      <c r="S232" s="362">
        <v>0</v>
      </c>
      <c r="T232" s="362">
        <v>0</v>
      </c>
      <c r="U232" s="362">
        <v>0</v>
      </c>
      <c r="V232" s="362">
        <v>0</v>
      </c>
    </row>
    <row r="233" spans="12:22" ht="72">
      <c r="L233" s="165" t="s">
        <v>245</v>
      </c>
      <c r="M233" s="168" t="s">
        <v>245</v>
      </c>
      <c r="N233" s="161" t="s">
        <v>379</v>
      </c>
      <c r="O233" s="233">
        <v>8.9403200000000002E-2</v>
      </c>
      <c r="P233" s="233">
        <v>8.9403200000000002E-2</v>
      </c>
      <c r="Q233" s="349">
        <f t="shared" si="18"/>
        <v>0</v>
      </c>
      <c r="R233" s="349"/>
      <c r="S233" s="362">
        <v>0</v>
      </c>
      <c r="T233" s="362">
        <v>0</v>
      </c>
      <c r="U233" s="362">
        <v>0</v>
      </c>
      <c r="V233" s="362">
        <v>0</v>
      </c>
    </row>
    <row r="234" spans="12:22" ht="24">
      <c r="L234" s="165" t="s">
        <v>245</v>
      </c>
      <c r="M234" s="168" t="s">
        <v>245</v>
      </c>
      <c r="N234" s="161" t="s">
        <v>380</v>
      </c>
      <c r="O234" s="233">
        <v>6.8242300000000006E-2</v>
      </c>
      <c r="P234" s="233">
        <v>6.8242300000000006E-2</v>
      </c>
      <c r="Q234" s="349">
        <f t="shared" si="18"/>
        <v>0</v>
      </c>
      <c r="R234" s="349"/>
      <c r="S234" s="362">
        <v>0</v>
      </c>
      <c r="T234" s="362">
        <v>0</v>
      </c>
      <c r="U234" s="362">
        <v>0</v>
      </c>
      <c r="V234" s="362">
        <v>0</v>
      </c>
    </row>
    <row r="235" spans="12:22" ht="48">
      <c r="L235" s="165" t="s">
        <v>245</v>
      </c>
      <c r="M235" s="168" t="s">
        <v>245</v>
      </c>
      <c r="N235" s="161" t="s">
        <v>381</v>
      </c>
      <c r="O235" s="233">
        <v>4.2346700000000001E-2</v>
      </c>
      <c r="P235" s="233">
        <v>4.2346700000000001E-2</v>
      </c>
      <c r="Q235" s="349">
        <f t="shared" si="18"/>
        <v>0</v>
      </c>
      <c r="R235" s="349"/>
      <c r="S235" s="362">
        <v>0</v>
      </c>
      <c r="T235" s="362">
        <v>0</v>
      </c>
      <c r="U235" s="362">
        <v>0</v>
      </c>
      <c r="V235" s="362">
        <v>0</v>
      </c>
    </row>
    <row r="236" spans="12:22" ht="36">
      <c r="L236" s="165" t="s">
        <v>245</v>
      </c>
      <c r="M236" s="168" t="s">
        <v>245</v>
      </c>
      <c r="N236" s="161" t="s">
        <v>382</v>
      </c>
      <c r="O236" s="233">
        <v>3.07137E-2</v>
      </c>
      <c r="P236" s="233">
        <v>3.07137E-2</v>
      </c>
      <c r="Q236" s="349">
        <f t="shared" si="18"/>
        <v>0</v>
      </c>
      <c r="R236" s="349"/>
      <c r="S236" s="362">
        <v>0</v>
      </c>
      <c r="T236" s="362">
        <v>0</v>
      </c>
      <c r="U236" s="362">
        <v>0</v>
      </c>
      <c r="V236" s="362">
        <v>0</v>
      </c>
    </row>
    <row r="237" spans="12:22" ht="60">
      <c r="L237" s="165" t="s">
        <v>245</v>
      </c>
      <c r="M237" s="168" t="s">
        <v>245</v>
      </c>
      <c r="N237" s="161" t="s">
        <v>383</v>
      </c>
      <c r="O237" s="233">
        <v>0</v>
      </c>
      <c r="P237" s="233">
        <v>0</v>
      </c>
      <c r="Q237" s="349">
        <f t="shared" si="18"/>
        <v>0</v>
      </c>
      <c r="R237" s="349"/>
      <c r="S237" s="362">
        <v>0</v>
      </c>
      <c r="T237" s="362">
        <v>0</v>
      </c>
      <c r="U237" s="362">
        <v>0</v>
      </c>
      <c r="V237" s="362">
        <v>0</v>
      </c>
    </row>
    <row r="238" spans="12:22" ht="48">
      <c r="L238" s="165" t="s">
        <v>245</v>
      </c>
      <c r="M238" s="168" t="s">
        <v>245</v>
      </c>
      <c r="N238" s="161" t="s">
        <v>384</v>
      </c>
      <c r="O238" s="233">
        <v>2.6562000000000001E-3</v>
      </c>
      <c r="P238" s="233">
        <v>2.6562000000000001E-3</v>
      </c>
      <c r="Q238" s="349">
        <f t="shared" si="18"/>
        <v>0</v>
      </c>
      <c r="R238" s="349"/>
      <c r="S238" s="362">
        <v>0</v>
      </c>
      <c r="T238" s="362">
        <v>0</v>
      </c>
      <c r="U238" s="362">
        <v>0</v>
      </c>
      <c r="V238" s="362">
        <v>0</v>
      </c>
    </row>
    <row r="239" spans="12:22" ht="36">
      <c r="L239" s="165" t="s">
        <v>245</v>
      </c>
      <c r="M239" s="168" t="s">
        <v>245</v>
      </c>
      <c r="N239" s="161" t="s">
        <v>385</v>
      </c>
      <c r="O239" s="233">
        <v>1.5549109000000001</v>
      </c>
      <c r="P239" s="233">
        <v>1.5549109000000001</v>
      </c>
      <c r="Q239" s="349">
        <f t="shared" si="18"/>
        <v>0</v>
      </c>
      <c r="R239" s="349"/>
      <c r="S239" s="362">
        <v>0</v>
      </c>
      <c r="T239" s="362">
        <v>0</v>
      </c>
      <c r="U239" s="362">
        <v>0</v>
      </c>
      <c r="V239" s="362">
        <v>0</v>
      </c>
    </row>
    <row r="240" spans="12:22" ht="60">
      <c r="L240" s="165" t="s">
        <v>245</v>
      </c>
      <c r="M240" s="168" t="s">
        <v>245</v>
      </c>
      <c r="N240" s="161" t="s">
        <v>386</v>
      </c>
      <c r="O240" s="233">
        <v>4.3647E-3</v>
      </c>
      <c r="P240" s="233">
        <v>4.3647E-3</v>
      </c>
      <c r="Q240" s="349">
        <f t="shared" si="18"/>
        <v>0</v>
      </c>
      <c r="R240" s="349"/>
      <c r="S240" s="362">
        <v>0</v>
      </c>
      <c r="T240" s="362">
        <v>0</v>
      </c>
      <c r="U240" s="362">
        <v>0</v>
      </c>
      <c r="V240" s="362">
        <v>0</v>
      </c>
    </row>
    <row r="241" spans="12:22" ht="60">
      <c r="L241" s="165" t="s">
        <v>245</v>
      </c>
      <c r="M241" s="168" t="s">
        <v>245</v>
      </c>
      <c r="N241" s="161" t="s">
        <v>387</v>
      </c>
      <c r="O241" s="233">
        <v>0.12776399999999999</v>
      </c>
      <c r="P241" s="233">
        <v>0.12776399999999999</v>
      </c>
      <c r="Q241" s="349">
        <f t="shared" si="18"/>
        <v>0</v>
      </c>
      <c r="R241" s="349"/>
      <c r="S241" s="362">
        <v>0</v>
      </c>
      <c r="T241" s="362">
        <v>0</v>
      </c>
      <c r="U241" s="362">
        <v>0</v>
      </c>
      <c r="V241" s="362">
        <v>0</v>
      </c>
    </row>
    <row r="242" spans="12:22" ht="36">
      <c r="L242" s="165" t="s">
        <v>245</v>
      </c>
      <c r="M242" s="168" t="s">
        <v>245</v>
      </c>
      <c r="N242" s="161" t="s">
        <v>388</v>
      </c>
      <c r="O242" s="233">
        <v>5.7997699999999999E-2</v>
      </c>
      <c r="P242" s="233">
        <v>5.7997699999999999E-2</v>
      </c>
      <c r="Q242" s="349">
        <f t="shared" si="18"/>
        <v>0</v>
      </c>
      <c r="R242" s="349"/>
      <c r="S242" s="362">
        <v>0</v>
      </c>
      <c r="T242" s="362">
        <v>0</v>
      </c>
      <c r="U242" s="362">
        <v>0</v>
      </c>
      <c r="V242" s="362">
        <v>0</v>
      </c>
    </row>
    <row r="243" spans="12:22" ht="60">
      <c r="L243" s="165" t="s">
        <v>253</v>
      </c>
      <c r="M243" s="168" t="s">
        <v>389</v>
      </c>
      <c r="N243" s="161" t="s">
        <v>259</v>
      </c>
      <c r="O243" s="233">
        <v>24.887383712000002</v>
      </c>
      <c r="P243" s="233">
        <v>24.887383712000002</v>
      </c>
      <c r="Q243" s="349">
        <f t="shared" si="18"/>
        <v>0</v>
      </c>
      <c r="R243" s="349"/>
      <c r="S243" s="362">
        <v>0</v>
      </c>
      <c r="T243" s="362">
        <v>0</v>
      </c>
      <c r="U243" s="362">
        <v>0</v>
      </c>
      <c r="V243" s="362">
        <v>0</v>
      </c>
    </row>
    <row r="244" spans="12:22" ht="60">
      <c r="L244" s="165" t="s">
        <v>253</v>
      </c>
      <c r="M244" s="168" t="s">
        <v>390</v>
      </c>
      <c r="N244" s="161" t="s">
        <v>267</v>
      </c>
      <c r="O244" s="233">
        <v>40.341070289999998</v>
      </c>
      <c r="P244" s="233">
        <v>40.341070289999998</v>
      </c>
      <c r="Q244" s="349">
        <f t="shared" si="18"/>
        <v>0</v>
      </c>
      <c r="R244" s="349"/>
      <c r="S244" s="362">
        <v>0</v>
      </c>
      <c r="T244" s="362">
        <v>0</v>
      </c>
      <c r="U244" s="362">
        <v>0</v>
      </c>
      <c r="V244" s="362">
        <v>0</v>
      </c>
    </row>
    <row r="245" spans="12:22">
      <c r="L245" s="165" t="s">
        <v>253</v>
      </c>
      <c r="M245" s="168" t="s">
        <v>391</v>
      </c>
      <c r="N245" s="161" t="s">
        <v>392</v>
      </c>
      <c r="O245" s="233">
        <v>0</v>
      </c>
      <c r="P245" s="233">
        <v>0</v>
      </c>
      <c r="Q245" s="349">
        <f t="shared" si="18"/>
        <v>0</v>
      </c>
      <c r="R245" s="349"/>
      <c r="S245" s="362">
        <v>0</v>
      </c>
      <c r="T245" s="362">
        <v>0</v>
      </c>
      <c r="U245" s="362">
        <v>0</v>
      </c>
      <c r="V245" s="362">
        <v>0</v>
      </c>
    </row>
    <row r="246" spans="12:22" ht="60">
      <c r="L246" s="165" t="s">
        <v>253</v>
      </c>
      <c r="M246" s="168" t="s">
        <v>393</v>
      </c>
      <c r="N246" s="161" t="s">
        <v>267</v>
      </c>
      <c r="O246" s="233">
        <v>10.019612845999999</v>
      </c>
      <c r="P246" s="233">
        <v>10.019612845999999</v>
      </c>
      <c r="Q246" s="349">
        <f t="shared" si="18"/>
        <v>0</v>
      </c>
      <c r="R246" s="349"/>
      <c r="S246" s="362">
        <v>0</v>
      </c>
      <c r="T246" s="362">
        <v>0</v>
      </c>
      <c r="U246" s="362">
        <v>0</v>
      </c>
      <c r="V246" s="362">
        <v>0</v>
      </c>
    </row>
    <row r="247" spans="12:22" ht="36">
      <c r="L247" s="165" t="s">
        <v>253</v>
      </c>
      <c r="M247" s="168" t="s">
        <v>394</v>
      </c>
      <c r="N247" s="161" t="s">
        <v>395</v>
      </c>
      <c r="O247" s="233">
        <v>1.42</v>
      </c>
      <c r="P247" s="233">
        <v>1.42</v>
      </c>
      <c r="Q247" s="349">
        <f t="shared" si="18"/>
        <v>0</v>
      </c>
      <c r="R247" s="349"/>
      <c r="S247" s="362">
        <v>0</v>
      </c>
      <c r="T247" s="362">
        <v>0</v>
      </c>
      <c r="U247" s="362">
        <v>0</v>
      </c>
      <c r="V247" s="362">
        <v>0</v>
      </c>
    </row>
    <row r="248" spans="12:22" ht="48">
      <c r="L248" s="165" t="s">
        <v>253</v>
      </c>
      <c r="M248" s="168" t="s">
        <v>396</v>
      </c>
      <c r="N248" s="161" t="s">
        <v>397</v>
      </c>
      <c r="O248" s="233">
        <v>0</v>
      </c>
      <c r="P248" s="233">
        <v>0</v>
      </c>
      <c r="Q248" s="349">
        <f t="shared" si="18"/>
        <v>0</v>
      </c>
      <c r="R248" s="349"/>
      <c r="S248" s="362">
        <v>0</v>
      </c>
      <c r="T248" s="362">
        <v>0</v>
      </c>
      <c r="U248" s="362">
        <v>0</v>
      </c>
      <c r="V248" s="362">
        <v>0</v>
      </c>
    </row>
    <row r="249" spans="12:22" ht="36">
      <c r="L249" s="165" t="s">
        <v>271</v>
      </c>
      <c r="M249" s="168" t="s">
        <v>398</v>
      </c>
      <c r="N249" s="161" t="s">
        <v>399</v>
      </c>
      <c r="O249" s="233">
        <v>2.8041730460000003</v>
      </c>
      <c r="P249" s="233">
        <v>2.8041730460000003</v>
      </c>
      <c r="Q249" s="349">
        <f t="shared" si="18"/>
        <v>0</v>
      </c>
      <c r="R249" s="349"/>
      <c r="S249" s="362">
        <v>0</v>
      </c>
      <c r="T249" s="362">
        <v>0</v>
      </c>
      <c r="U249" s="362">
        <v>0</v>
      </c>
      <c r="V249" s="362">
        <v>0</v>
      </c>
    </row>
    <row r="250" spans="12:22" ht="24">
      <c r="L250" s="165" t="s">
        <v>271</v>
      </c>
      <c r="M250" s="168" t="s">
        <v>400</v>
      </c>
      <c r="N250" s="161" t="s">
        <v>401</v>
      </c>
      <c r="O250" s="233">
        <v>5.8063499999999997E-2</v>
      </c>
      <c r="P250" s="233">
        <v>5.8063499999999997E-2</v>
      </c>
      <c r="Q250" s="349">
        <f t="shared" si="18"/>
        <v>0</v>
      </c>
      <c r="R250" s="349"/>
      <c r="S250" s="362">
        <v>0</v>
      </c>
      <c r="T250" s="362">
        <v>0</v>
      </c>
      <c r="U250" s="362">
        <v>0</v>
      </c>
      <c r="V250" s="362">
        <v>0</v>
      </c>
    </row>
    <row r="251" spans="12:22" ht="72">
      <c r="L251" s="165" t="s">
        <v>271</v>
      </c>
      <c r="M251" s="168" t="s">
        <v>402</v>
      </c>
      <c r="N251" s="161" t="s">
        <v>403</v>
      </c>
      <c r="O251" s="233">
        <v>0.10636449199999999</v>
      </c>
      <c r="P251" s="233">
        <v>0.10636449199999999</v>
      </c>
      <c r="Q251" s="349">
        <f t="shared" si="18"/>
        <v>0</v>
      </c>
      <c r="R251" s="349"/>
      <c r="S251" s="362">
        <v>0</v>
      </c>
      <c r="T251" s="362">
        <v>0</v>
      </c>
      <c r="U251" s="362">
        <v>0</v>
      </c>
      <c r="V251" s="362">
        <v>0</v>
      </c>
    </row>
    <row r="252" spans="12:22">
      <c r="L252" s="165" t="s">
        <v>271</v>
      </c>
      <c r="M252" s="168" t="s">
        <v>404</v>
      </c>
      <c r="N252" s="161" t="s">
        <v>405</v>
      </c>
      <c r="O252" s="233">
        <v>0</v>
      </c>
      <c r="P252" s="233">
        <v>0</v>
      </c>
      <c r="Q252" s="349">
        <f t="shared" si="18"/>
        <v>0</v>
      </c>
      <c r="R252" s="349"/>
      <c r="S252" s="362">
        <v>0</v>
      </c>
      <c r="T252" s="362">
        <v>0</v>
      </c>
      <c r="U252" s="362">
        <v>0</v>
      </c>
      <c r="V252" s="362">
        <v>0</v>
      </c>
    </row>
    <row r="253" spans="12:22" ht="36">
      <c r="L253" s="165" t="s">
        <v>271</v>
      </c>
      <c r="M253" s="168" t="s">
        <v>406</v>
      </c>
      <c r="N253" s="161" t="s">
        <v>407</v>
      </c>
      <c r="O253" s="233">
        <v>1.2234500000000001E-2</v>
      </c>
      <c r="P253" s="233">
        <v>1.2234500000000001E-2</v>
      </c>
      <c r="Q253" s="349">
        <f t="shared" si="18"/>
        <v>0</v>
      </c>
      <c r="R253" s="349"/>
      <c r="S253" s="362">
        <v>0</v>
      </c>
      <c r="T253" s="362">
        <v>0</v>
      </c>
      <c r="U253" s="362">
        <v>0</v>
      </c>
      <c r="V253" s="362">
        <v>0</v>
      </c>
    </row>
    <row r="254" spans="12:22" ht="24">
      <c r="L254" s="165" t="s">
        <v>271</v>
      </c>
      <c r="M254" s="168" t="s">
        <v>408</v>
      </c>
      <c r="N254" s="161" t="s">
        <v>401</v>
      </c>
      <c r="O254" s="233">
        <v>0</v>
      </c>
      <c r="P254" s="233">
        <v>0</v>
      </c>
      <c r="Q254" s="349">
        <f t="shared" si="18"/>
        <v>0</v>
      </c>
      <c r="R254" s="349"/>
      <c r="S254" s="362">
        <v>0</v>
      </c>
      <c r="T254" s="362">
        <v>0</v>
      </c>
      <c r="U254" s="362">
        <v>0</v>
      </c>
      <c r="V254" s="362">
        <v>0</v>
      </c>
    </row>
    <row r="255" spans="12:22" ht="24">
      <c r="L255" s="165" t="s">
        <v>271</v>
      </c>
      <c r="M255" s="168" t="s">
        <v>409</v>
      </c>
      <c r="N255" s="161" t="s">
        <v>410</v>
      </c>
      <c r="O255" s="233">
        <v>1.2990276999999999</v>
      </c>
      <c r="P255" s="233">
        <v>1.2990276999999999</v>
      </c>
      <c r="Q255" s="349">
        <f t="shared" si="18"/>
        <v>0</v>
      </c>
      <c r="R255" s="349"/>
      <c r="S255" s="362">
        <v>0</v>
      </c>
      <c r="T255" s="362">
        <v>0</v>
      </c>
      <c r="U255" s="362">
        <v>0</v>
      </c>
      <c r="V255" s="362">
        <v>0</v>
      </c>
    </row>
    <row r="256" spans="12:22" ht="72">
      <c r="L256" s="165" t="s">
        <v>271</v>
      </c>
      <c r="M256" s="168" t="s">
        <v>411</v>
      </c>
      <c r="N256" s="161" t="s">
        <v>412</v>
      </c>
      <c r="O256" s="233">
        <v>6.08502E-2</v>
      </c>
      <c r="P256" s="233">
        <v>6.08502E-2</v>
      </c>
      <c r="Q256" s="349">
        <f t="shared" si="18"/>
        <v>0</v>
      </c>
      <c r="R256" s="349"/>
      <c r="S256" s="362">
        <v>0</v>
      </c>
      <c r="T256" s="362">
        <v>0</v>
      </c>
      <c r="U256" s="362">
        <v>0</v>
      </c>
      <c r="V256" s="362">
        <v>0</v>
      </c>
    </row>
    <row r="257" spans="12:22">
      <c r="L257" s="165" t="s">
        <v>271</v>
      </c>
      <c r="M257" s="168" t="s">
        <v>413</v>
      </c>
      <c r="N257" s="161">
        <v>0</v>
      </c>
      <c r="O257" s="233">
        <v>0</v>
      </c>
      <c r="P257" s="233">
        <v>0</v>
      </c>
      <c r="Q257" s="349">
        <f t="shared" si="18"/>
        <v>0</v>
      </c>
      <c r="R257" s="349"/>
      <c r="S257" s="362">
        <v>0</v>
      </c>
      <c r="T257" s="362">
        <v>0</v>
      </c>
      <c r="U257" s="362">
        <v>0</v>
      </c>
      <c r="V257" s="362">
        <v>0</v>
      </c>
    </row>
    <row r="258" spans="12:22">
      <c r="L258" s="165" t="s">
        <v>271</v>
      </c>
      <c r="M258" s="168" t="s">
        <v>414</v>
      </c>
      <c r="N258" s="161">
        <v>0</v>
      </c>
      <c r="O258" s="233">
        <v>0.1681049</v>
      </c>
      <c r="P258" s="233">
        <v>0.1681049</v>
      </c>
      <c r="Q258" s="349">
        <f t="shared" si="18"/>
        <v>0</v>
      </c>
      <c r="R258" s="349"/>
      <c r="S258" s="362">
        <v>0</v>
      </c>
      <c r="T258" s="362">
        <v>0</v>
      </c>
      <c r="U258" s="362">
        <v>0</v>
      </c>
      <c r="V258" s="362">
        <v>0</v>
      </c>
    </row>
    <row r="259" spans="12:22">
      <c r="L259" s="165" t="s">
        <v>271</v>
      </c>
      <c r="M259" s="168" t="s">
        <v>289</v>
      </c>
      <c r="N259" s="161">
        <v>0</v>
      </c>
      <c r="O259" s="233">
        <v>3.8999999999999998E-8</v>
      </c>
      <c r="P259" s="233">
        <v>0</v>
      </c>
      <c r="Q259" s="349">
        <f t="shared" si="18"/>
        <v>3.8999999999999998E-8</v>
      </c>
      <c r="R259" s="349"/>
      <c r="S259" s="362">
        <v>0</v>
      </c>
      <c r="T259" s="362">
        <v>0</v>
      </c>
      <c r="U259" s="362">
        <v>0</v>
      </c>
      <c r="V259" s="362">
        <v>3.8999999999999998E-8</v>
      </c>
    </row>
    <row r="260" spans="12:22" ht="24">
      <c r="L260" s="165" t="s">
        <v>290</v>
      </c>
      <c r="M260" s="168" t="s">
        <v>415</v>
      </c>
      <c r="N260" s="161" t="s">
        <v>415</v>
      </c>
      <c r="O260" s="233">
        <v>39.451367374</v>
      </c>
      <c r="P260" s="233">
        <v>39.451367374</v>
      </c>
      <c r="Q260" s="349">
        <f t="shared" si="18"/>
        <v>0</v>
      </c>
      <c r="R260" s="349"/>
      <c r="S260" s="362">
        <v>0</v>
      </c>
      <c r="T260" s="362">
        <v>0</v>
      </c>
      <c r="U260" s="362">
        <v>0</v>
      </c>
      <c r="V260" s="362">
        <v>0</v>
      </c>
    </row>
    <row r="261" spans="12:22">
      <c r="L261" s="165" t="s">
        <v>290</v>
      </c>
      <c r="M261" s="168" t="s">
        <v>416</v>
      </c>
      <c r="N261" s="161" t="s">
        <v>292</v>
      </c>
      <c r="O261" s="233">
        <v>0</v>
      </c>
      <c r="P261" s="233">
        <v>0</v>
      </c>
      <c r="Q261" s="349">
        <f t="shared" si="18"/>
        <v>0</v>
      </c>
      <c r="R261" s="349"/>
      <c r="S261" s="362">
        <v>0</v>
      </c>
      <c r="T261" s="362">
        <v>0</v>
      </c>
      <c r="U261" s="362">
        <v>0</v>
      </c>
      <c r="V261" s="362">
        <v>0</v>
      </c>
    </row>
    <row r="262" spans="12:22" ht="36">
      <c r="L262" s="165" t="s">
        <v>316</v>
      </c>
      <c r="M262" s="168" t="s">
        <v>316</v>
      </c>
      <c r="N262" s="161" t="s">
        <v>417</v>
      </c>
      <c r="O262" s="233">
        <v>0.30449179999999998</v>
      </c>
      <c r="P262" s="233">
        <v>0.30449179999999998</v>
      </c>
      <c r="Q262" s="349">
        <f t="shared" si="18"/>
        <v>0</v>
      </c>
      <c r="R262" s="349"/>
      <c r="S262" s="362">
        <v>0</v>
      </c>
      <c r="T262" s="362">
        <v>0</v>
      </c>
      <c r="U262" s="362">
        <v>0</v>
      </c>
      <c r="V262" s="362">
        <v>0</v>
      </c>
    </row>
    <row r="263" spans="12:22" ht="36">
      <c r="L263" s="165" t="s">
        <v>316</v>
      </c>
      <c r="M263" s="168" t="s">
        <v>316</v>
      </c>
      <c r="N263" s="161" t="s">
        <v>418</v>
      </c>
      <c r="O263" s="233">
        <v>1.6350769199999999</v>
      </c>
      <c r="P263" s="233">
        <v>1.6350769199999999</v>
      </c>
      <c r="Q263" s="349">
        <f t="shared" si="18"/>
        <v>0</v>
      </c>
      <c r="R263" s="349"/>
      <c r="S263" s="362">
        <v>0</v>
      </c>
      <c r="T263" s="362">
        <v>0</v>
      </c>
      <c r="U263" s="362">
        <v>0</v>
      </c>
      <c r="V263" s="362">
        <v>0</v>
      </c>
    </row>
    <row r="264" spans="12:22" ht="60">
      <c r="L264" s="165" t="s">
        <v>245</v>
      </c>
      <c r="M264" s="168" t="s">
        <v>245</v>
      </c>
      <c r="N264" s="161" t="s">
        <v>419</v>
      </c>
      <c r="O264" s="233">
        <v>4.5373299999999998E-2</v>
      </c>
      <c r="P264" s="233">
        <v>4.5373299999999998E-2</v>
      </c>
      <c r="Q264" s="349">
        <f t="shared" si="18"/>
        <v>0</v>
      </c>
      <c r="R264" s="349"/>
      <c r="S264" s="362">
        <v>0</v>
      </c>
      <c r="T264" s="362">
        <v>0</v>
      </c>
      <c r="U264" s="362">
        <v>0</v>
      </c>
      <c r="V264" s="362">
        <v>0</v>
      </c>
    </row>
    <row r="265" spans="12:22">
      <c r="L265" s="429" t="s">
        <v>130</v>
      </c>
      <c r="M265" s="430"/>
      <c r="N265" s="431"/>
      <c r="O265" s="361">
        <f>SUM(O103:O264)</f>
        <v>386.23303390415725</v>
      </c>
      <c r="P265" s="361">
        <f t="shared" ref="P265:Q265" si="19">SUM(P103:P264)</f>
        <v>261.36419721795426</v>
      </c>
      <c r="Q265" s="361">
        <f t="shared" si="19"/>
        <v>124.8688366862031</v>
      </c>
      <c r="R265" s="361"/>
      <c r="S265" s="361">
        <f t="shared" ref="S265:V265" si="20">SUM(S103:S264)</f>
        <v>36.455581424029276</v>
      </c>
      <c r="T265" s="361">
        <f t="shared" si="20"/>
        <v>34.303526098961974</v>
      </c>
      <c r="U265" s="361">
        <f t="shared" si="20"/>
        <v>0</v>
      </c>
      <c r="V265" s="361">
        <f t="shared" si="20"/>
        <v>54.099729163211819</v>
      </c>
    </row>
  </sheetData>
  <mergeCells count="20">
    <mergeCell ref="L265:N265"/>
    <mergeCell ref="A22:A23"/>
    <mergeCell ref="B22:B23"/>
    <mergeCell ref="C22:C23"/>
    <mergeCell ref="H22:K22"/>
    <mergeCell ref="B16:K16"/>
    <mergeCell ref="L101:L102"/>
    <mergeCell ref="M101:M102"/>
    <mergeCell ref="N101:N102"/>
    <mergeCell ref="S101:V101"/>
    <mergeCell ref="B2:K2"/>
    <mergeCell ref="B3:K3"/>
    <mergeCell ref="B10:K10"/>
    <mergeCell ref="E4:J4"/>
    <mergeCell ref="B15:K15"/>
    <mergeCell ref="B6:K6"/>
    <mergeCell ref="B11:K11"/>
    <mergeCell ref="B12:K12"/>
    <mergeCell ref="B13:K13"/>
    <mergeCell ref="B14:K1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G12"/>
  <sheetViews>
    <sheetView topLeftCell="A2" workbookViewId="0">
      <selection activeCell="C7" sqref="C7"/>
    </sheetView>
  </sheetViews>
  <sheetFormatPr defaultRowHeight="14.4"/>
  <cols>
    <col min="3" max="3" width="12.33203125" customWidth="1"/>
    <col min="5" max="5" width="13.44140625" customWidth="1"/>
    <col min="6" max="6" width="13.33203125" customWidth="1"/>
    <col min="7" max="7" width="35.6640625" customWidth="1"/>
  </cols>
  <sheetData>
    <row r="2" spans="2:7">
      <c r="B2" s="405" t="s">
        <v>560</v>
      </c>
      <c r="C2" s="405"/>
      <c r="D2" s="405"/>
      <c r="E2" s="405"/>
      <c r="F2" s="405"/>
      <c r="G2" s="405"/>
    </row>
    <row r="3" spans="2:7">
      <c r="B3" s="410" t="str">
        <f>'SUMMARY-2023'!B3</f>
        <v>Details as on 31st March 2023</v>
      </c>
      <c r="C3" s="411"/>
      <c r="D3" s="411"/>
      <c r="E3" s="411"/>
      <c r="F3" s="411"/>
      <c r="G3" s="412"/>
    </row>
    <row r="4" spans="2:7" ht="48">
      <c r="B4" s="37" t="s">
        <v>0</v>
      </c>
      <c r="C4" s="37" t="s">
        <v>71</v>
      </c>
      <c r="D4" s="37" t="s">
        <v>64</v>
      </c>
      <c r="E4" s="37" t="s">
        <v>142</v>
      </c>
      <c r="F4" s="37" t="s">
        <v>143</v>
      </c>
      <c r="G4" s="37" t="s">
        <v>22</v>
      </c>
    </row>
    <row r="5" spans="2:7">
      <c r="B5" s="413" t="str">
        <f>'SUMMARY-2023'!B5</f>
        <v>Figures in INR Crores</v>
      </c>
      <c r="C5" s="414"/>
      <c r="D5" s="414"/>
      <c r="E5" s="414"/>
      <c r="F5" s="414"/>
      <c r="G5" s="415"/>
    </row>
    <row r="6" spans="2:7" ht="51" customHeight="1">
      <c r="B6" s="50">
        <v>1</v>
      </c>
      <c r="C6" s="63" t="s">
        <v>561</v>
      </c>
      <c r="D6" s="45">
        <f>'[1]Provisions TR 2023'!$L$4</f>
        <v>261.36419721795426</v>
      </c>
      <c r="E6" s="256">
        <f>'[1]Provisions TR 2023'!$M$4</f>
        <v>143.27985291488253</v>
      </c>
      <c r="F6" s="256">
        <f>'[1]Provisions TR 2023'!$M$31</f>
        <v>99.753717544970158</v>
      </c>
      <c r="G6" s="65" t="s">
        <v>562</v>
      </c>
    </row>
    <row r="7" spans="2:7" ht="30.6" customHeight="1">
      <c r="B7" s="50">
        <v>2</v>
      </c>
      <c r="C7" s="63" t="s">
        <v>563</v>
      </c>
      <c r="D7" s="45">
        <f>'[1]Provision ICD &amp; Others Loan'!$C$21+'[1]Provision RPT. Loan'!$C$19</f>
        <v>571.19414969500008</v>
      </c>
      <c r="E7" s="256">
        <f>323.78+54.5</f>
        <v>378.28</v>
      </c>
      <c r="F7" s="256">
        <v>54.5</v>
      </c>
      <c r="G7" s="65" t="s">
        <v>564</v>
      </c>
    </row>
    <row r="8" spans="2:7" ht="30.6" customHeight="1">
      <c r="B8" s="50">
        <v>3</v>
      </c>
      <c r="C8" s="63" t="s">
        <v>578</v>
      </c>
      <c r="D8" s="45">
        <v>70.680000000000007</v>
      </c>
      <c r="E8" s="256">
        <v>0</v>
      </c>
      <c r="F8" s="256">
        <v>0</v>
      </c>
      <c r="G8" s="65" t="s">
        <v>579</v>
      </c>
    </row>
    <row r="9" spans="2:7" ht="30.6" customHeight="1">
      <c r="B9" s="50">
        <v>4</v>
      </c>
      <c r="C9" s="63" t="s">
        <v>96</v>
      </c>
      <c r="D9" s="45">
        <v>16.53</v>
      </c>
      <c r="E9" s="256">
        <v>0</v>
      </c>
      <c r="F9" s="256">
        <v>0</v>
      </c>
      <c r="G9" s="65"/>
    </row>
    <row r="10" spans="2:7">
      <c r="B10" s="38"/>
      <c r="C10" s="52" t="s">
        <v>23</v>
      </c>
      <c r="D10" s="257">
        <f>SUM(D6:D9)</f>
        <v>919.76834691295426</v>
      </c>
      <c r="E10" s="257">
        <f t="shared" ref="E10:F10" si="0">SUM(E6:E9)</f>
        <v>521.55985291488253</v>
      </c>
      <c r="F10" s="257">
        <f t="shared" si="0"/>
        <v>154.25371754497016</v>
      </c>
      <c r="G10" s="42"/>
    </row>
    <row r="11" spans="2:7">
      <c r="B11" s="406" t="str">
        <f>'Loans-III'!B9:K9</f>
        <v>REMARKS &amp; NOTES:-</v>
      </c>
      <c r="C11" s="407"/>
      <c r="D11" s="407"/>
      <c r="E11" s="407"/>
      <c r="F11" s="407"/>
      <c r="G11" s="407"/>
    </row>
    <row r="12" spans="2:7" ht="154.94999999999999" customHeight="1">
      <c r="B12" s="409" t="s">
        <v>79</v>
      </c>
      <c r="C12" s="409"/>
      <c r="D12" s="409"/>
      <c r="E12" s="409"/>
      <c r="F12" s="409"/>
      <c r="G12" s="409"/>
    </row>
  </sheetData>
  <mergeCells count="5">
    <mergeCell ref="B2:G2"/>
    <mergeCell ref="B3:G3"/>
    <mergeCell ref="B5:G5"/>
    <mergeCell ref="B11:G11"/>
    <mergeCell ref="B12:G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2:M13"/>
  <sheetViews>
    <sheetView topLeftCell="A4" workbookViewId="0">
      <selection activeCell="B10" sqref="B10:K10"/>
    </sheetView>
  </sheetViews>
  <sheetFormatPr defaultRowHeight="14.4"/>
  <cols>
    <col min="1" max="1" width="4.6640625" customWidth="1"/>
    <col min="2" max="2" width="4.6640625" bestFit="1" customWidth="1"/>
    <col min="3" max="3" width="18.6640625" customWidth="1"/>
    <col min="4" max="4" width="9.88671875" hidden="1" customWidth="1"/>
    <col min="5" max="5" width="18.6640625" customWidth="1"/>
    <col min="6" max="8" width="9.88671875" hidden="1" customWidth="1"/>
    <col min="9" max="10" width="12.109375" customWidth="1"/>
    <col min="11" max="11" width="73.44140625" customWidth="1"/>
  </cols>
  <sheetData>
    <row r="2" spans="1:13">
      <c r="B2" s="432" t="s">
        <v>119</v>
      </c>
      <c r="C2" s="433"/>
      <c r="D2" s="433"/>
      <c r="E2" s="433"/>
      <c r="F2" s="433"/>
      <c r="G2" s="433"/>
      <c r="H2" s="433"/>
      <c r="I2" s="433"/>
      <c r="J2" s="433"/>
      <c r="K2" s="434"/>
    </row>
    <row r="3" spans="1:13">
      <c r="B3" s="435" t="str">
        <f>'SUMMARY-2023'!B3</f>
        <v>Details as on 31st March 2023</v>
      </c>
      <c r="C3" s="436"/>
      <c r="D3" s="436"/>
      <c r="E3" s="436"/>
      <c r="F3" s="436"/>
      <c r="G3" s="436"/>
      <c r="H3" s="436"/>
      <c r="I3" s="436"/>
      <c r="J3" s="436"/>
      <c r="K3" s="437"/>
    </row>
    <row r="4" spans="1:13" ht="48">
      <c r="B4" s="24" t="s">
        <v>0</v>
      </c>
      <c r="C4" s="24" t="s">
        <v>26</v>
      </c>
      <c r="D4" s="24" t="s">
        <v>66</v>
      </c>
      <c r="E4" s="37" t="s">
        <v>64</v>
      </c>
      <c r="F4" s="24" t="s">
        <v>29</v>
      </c>
      <c r="G4" s="24" t="s">
        <v>27</v>
      </c>
      <c r="H4" s="24" t="s">
        <v>67</v>
      </c>
      <c r="I4" s="24" t="s">
        <v>142</v>
      </c>
      <c r="J4" s="24" t="s">
        <v>143</v>
      </c>
      <c r="K4" s="24" t="s">
        <v>22</v>
      </c>
    </row>
    <row r="5" spans="1:13">
      <c r="B5" s="435" t="str">
        <f>'SUMMARY-2023'!B5</f>
        <v>Figures in INR Crores</v>
      </c>
      <c r="C5" s="436"/>
      <c r="D5" s="436"/>
      <c r="E5" s="436"/>
      <c r="F5" s="436"/>
      <c r="G5" s="436"/>
      <c r="H5" s="436"/>
      <c r="I5" s="436"/>
      <c r="J5" s="436"/>
      <c r="K5" s="437"/>
    </row>
    <row r="6" spans="1:13" ht="57">
      <c r="B6" s="41">
        <v>1</v>
      </c>
      <c r="C6" s="55" t="s">
        <v>120</v>
      </c>
      <c r="D6" s="56" t="s">
        <v>78</v>
      </c>
      <c r="E6" s="46">
        <v>0.02</v>
      </c>
      <c r="F6" s="25"/>
      <c r="G6" s="25"/>
      <c r="H6" s="25"/>
      <c r="I6" s="46">
        <f>E6</f>
        <v>0.02</v>
      </c>
      <c r="J6" s="46">
        <f>I6</f>
        <v>0.02</v>
      </c>
      <c r="K6" s="75" t="s">
        <v>699</v>
      </c>
      <c r="M6" s="47"/>
    </row>
    <row r="7" spans="1:13" ht="136.80000000000001">
      <c r="B7" s="54">
        <v>2</v>
      </c>
      <c r="C7" s="72" t="s">
        <v>121</v>
      </c>
      <c r="D7" s="73"/>
      <c r="E7" s="74">
        <v>10.029999999999999</v>
      </c>
      <c r="F7" s="23"/>
      <c r="G7" s="23"/>
      <c r="H7" s="23"/>
      <c r="I7" s="74">
        <v>0</v>
      </c>
      <c r="J7" s="74">
        <v>0</v>
      </c>
      <c r="K7" s="322" t="s">
        <v>700</v>
      </c>
      <c r="L7" s="47">
        <v>0</v>
      </c>
      <c r="M7" s="47">
        <v>0</v>
      </c>
    </row>
    <row r="8" spans="1:13">
      <c r="B8" s="38"/>
      <c r="C8" s="36" t="s">
        <v>23</v>
      </c>
      <c r="D8" s="36"/>
      <c r="E8" s="26">
        <f>SUM(E6:E7)</f>
        <v>10.049999999999999</v>
      </c>
      <c r="F8" s="26">
        <f t="shared" ref="F8:J8" si="0">SUM(F6:F7)</f>
        <v>0</v>
      </c>
      <c r="G8" s="26">
        <f t="shared" si="0"/>
        <v>0</v>
      </c>
      <c r="H8" s="26">
        <f t="shared" si="0"/>
        <v>0</v>
      </c>
      <c r="I8" s="26">
        <f t="shared" si="0"/>
        <v>0.02</v>
      </c>
      <c r="J8" s="26">
        <f t="shared" si="0"/>
        <v>0.02</v>
      </c>
      <c r="K8" s="38"/>
    </row>
    <row r="9" spans="1:13">
      <c r="B9" s="406" t="str">
        <f>[2]SUMMARY!B16</f>
        <v>REMARKS &amp; NOTES:-</v>
      </c>
      <c r="C9" s="407"/>
      <c r="D9" s="407"/>
      <c r="E9" s="407"/>
      <c r="F9" s="407"/>
      <c r="G9" s="407"/>
      <c r="H9" s="407"/>
      <c r="I9" s="407"/>
      <c r="J9" s="407"/>
      <c r="K9" s="438"/>
    </row>
    <row r="10" spans="1:13" ht="142.5" customHeight="1">
      <c r="B10" s="409" t="s">
        <v>696</v>
      </c>
      <c r="C10" s="409"/>
      <c r="D10" s="409"/>
      <c r="E10" s="409"/>
      <c r="F10" s="409"/>
      <c r="G10" s="409"/>
      <c r="H10" s="409"/>
      <c r="I10" s="409"/>
      <c r="J10" s="409"/>
      <c r="K10" s="409"/>
    </row>
    <row r="13" spans="1:13">
      <c r="A13" t="s">
        <v>140</v>
      </c>
      <c r="B13" s="103" t="s">
        <v>139</v>
      </c>
    </row>
  </sheetData>
  <mergeCells count="5">
    <mergeCell ref="B2:K2"/>
    <mergeCell ref="B3:K3"/>
    <mergeCell ref="B5:K5"/>
    <mergeCell ref="B9:K9"/>
    <mergeCell ref="B10:K10"/>
  </mergeCells>
  <hyperlinks>
    <hyperlink ref="B13" r:id="rId1" xr:uid="{00000000-0004-0000-0600-000000000000}"/>
  </hyperlinks>
  <pageMargins left="0.7" right="0.7" top="0.75" bottom="0.75" header="0.3" footer="0.3"/>
  <pageSetup paperSize="9"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499984740745262"/>
  </sheetPr>
  <dimension ref="A2:T42"/>
  <sheetViews>
    <sheetView topLeftCell="D1" workbookViewId="0">
      <selection activeCell="J6" sqref="J6:K6"/>
    </sheetView>
  </sheetViews>
  <sheetFormatPr defaultRowHeight="14.4"/>
  <cols>
    <col min="1" max="1" width="24" customWidth="1"/>
    <col min="2" max="2" width="6.6640625" customWidth="1"/>
    <col min="3" max="3" width="16.88671875" customWidth="1"/>
    <col min="4" max="4" width="13.33203125" customWidth="1"/>
    <col min="7" max="7" width="8.5546875" customWidth="1"/>
    <col min="8" max="8" width="9.109375" customWidth="1"/>
    <col min="12" max="12" width="26.88671875" customWidth="1"/>
  </cols>
  <sheetData>
    <row r="2" spans="1:14" ht="14.4" customHeight="1">
      <c r="C2" s="450" t="s">
        <v>577</v>
      </c>
      <c r="D2" s="451"/>
      <c r="E2" s="451"/>
      <c r="F2" s="451"/>
      <c r="G2" s="451"/>
      <c r="H2" s="451"/>
      <c r="I2" s="451"/>
      <c r="J2" s="451"/>
      <c r="K2" s="451"/>
      <c r="L2" s="451"/>
    </row>
    <row r="3" spans="1:14" ht="14.4" customHeight="1">
      <c r="C3" s="448" t="str">
        <f>'SUMMARY-2023'!B3</f>
        <v>Details as on 31st March 2023</v>
      </c>
      <c r="D3" s="449"/>
      <c r="E3" s="449"/>
      <c r="F3" s="449"/>
      <c r="G3" s="449"/>
      <c r="H3" s="449"/>
      <c r="I3" s="449"/>
      <c r="J3" s="449"/>
      <c r="K3" s="449"/>
      <c r="L3" s="449"/>
    </row>
    <row r="4" spans="1:14" ht="48">
      <c r="C4" s="24" t="s">
        <v>0</v>
      </c>
      <c r="D4" s="24" t="s">
        <v>69</v>
      </c>
      <c r="E4" s="37" t="s">
        <v>64</v>
      </c>
      <c r="F4" s="24" t="s">
        <v>526</v>
      </c>
      <c r="G4" s="24" t="s">
        <v>527</v>
      </c>
      <c r="H4" s="24" t="s">
        <v>528</v>
      </c>
      <c r="I4" s="24" t="s">
        <v>569</v>
      </c>
      <c r="J4" s="24" t="s">
        <v>142</v>
      </c>
      <c r="K4" s="24" t="s">
        <v>143</v>
      </c>
      <c r="L4" s="24" t="s">
        <v>22</v>
      </c>
    </row>
    <row r="5" spans="1:14" ht="14.4" customHeight="1">
      <c r="C5" s="446" t="str">
        <f>'SUMMARY-2023'!B5</f>
        <v>Figures in INR Crores</v>
      </c>
      <c r="D5" s="447"/>
      <c r="E5" s="447"/>
      <c r="F5" s="447"/>
      <c r="G5" s="447"/>
      <c r="H5" s="447"/>
      <c r="I5" s="447"/>
      <c r="J5" s="447"/>
      <c r="K5" s="447"/>
      <c r="L5" s="447"/>
    </row>
    <row r="6" spans="1:14" ht="93" customHeight="1">
      <c r="C6" s="54">
        <v>1</v>
      </c>
      <c r="D6" s="77" t="s">
        <v>122</v>
      </c>
      <c r="E6" s="76">
        <f>199.56+17.52</f>
        <v>217.08</v>
      </c>
      <c r="F6" s="60">
        <f>D19</f>
        <v>3.7840967000000001</v>
      </c>
      <c r="G6" s="60">
        <f>E19</f>
        <v>0.36570000000000102</v>
      </c>
      <c r="H6" s="60">
        <f>F19</f>
        <v>0</v>
      </c>
      <c r="I6" s="60">
        <f>G19</f>
        <v>212.93161778356165</v>
      </c>
      <c r="J6" s="60">
        <f>H27</f>
        <v>131.53842139229843</v>
      </c>
      <c r="K6" s="60">
        <f>H28</f>
        <v>3.0757775250000008</v>
      </c>
      <c r="L6" s="75" t="s">
        <v>689</v>
      </c>
      <c r="N6" s="47"/>
    </row>
    <row r="7" spans="1:14">
      <c r="C7" s="38"/>
      <c r="D7" s="36" t="s">
        <v>23</v>
      </c>
      <c r="E7" s="61">
        <f>SUM(E3:E6)</f>
        <v>217.08</v>
      </c>
      <c r="F7" s="61">
        <f t="shared" ref="F7:K7" si="0">SUM(F3:F6)</f>
        <v>3.7840967000000001</v>
      </c>
      <c r="G7" s="61">
        <f t="shared" si="0"/>
        <v>0.36570000000000102</v>
      </c>
      <c r="H7" s="61">
        <f t="shared" si="0"/>
        <v>0</v>
      </c>
      <c r="I7" s="61">
        <f t="shared" si="0"/>
        <v>212.93161778356165</v>
      </c>
      <c r="J7" s="61">
        <f t="shared" si="0"/>
        <v>131.53842139229843</v>
      </c>
      <c r="K7" s="61">
        <f t="shared" si="0"/>
        <v>3.0757775250000008</v>
      </c>
      <c r="L7" s="38"/>
    </row>
    <row r="8" spans="1:14" ht="14.4" customHeight="1">
      <c r="C8" s="452" t="s">
        <v>20</v>
      </c>
      <c r="D8" s="453"/>
      <c r="E8" s="453"/>
      <c r="F8" s="453"/>
      <c r="G8" s="453"/>
      <c r="H8" s="453"/>
      <c r="I8" s="453"/>
      <c r="J8" s="453"/>
      <c r="K8" s="453"/>
      <c r="L8" s="453"/>
    </row>
    <row r="9" spans="1:14" ht="162" customHeight="1">
      <c r="C9" s="454" t="s">
        <v>678</v>
      </c>
      <c r="D9" s="455"/>
      <c r="E9" s="455"/>
      <c r="F9" s="455"/>
      <c r="G9" s="455"/>
      <c r="H9" s="455"/>
      <c r="I9" s="455"/>
      <c r="J9" s="455"/>
      <c r="K9" s="455"/>
      <c r="L9" s="455"/>
    </row>
    <row r="13" spans="1:14" ht="22.95" customHeight="1">
      <c r="A13" s="445" t="s">
        <v>565</v>
      </c>
      <c r="B13" s="445"/>
      <c r="C13" s="445"/>
      <c r="D13" s="456" t="s">
        <v>566</v>
      </c>
      <c r="E13" s="457"/>
      <c r="F13" s="457"/>
      <c r="G13" s="458"/>
      <c r="H13" s="120"/>
    </row>
    <row r="14" spans="1:14" ht="28.8">
      <c r="A14" s="306" t="s">
        <v>2</v>
      </c>
      <c r="B14" s="306" t="s">
        <v>185</v>
      </c>
      <c r="C14" s="263" t="s">
        <v>568</v>
      </c>
      <c r="D14" s="263" t="s">
        <v>556</v>
      </c>
      <c r="E14" s="263" t="s">
        <v>527</v>
      </c>
      <c r="F14" s="307" t="s">
        <v>558</v>
      </c>
      <c r="G14" s="263" t="s">
        <v>569</v>
      </c>
      <c r="H14" s="307" t="s">
        <v>22</v>
      </c>
    </row>
    <row r="15" spans="1:14" ht="36.6" customHeight="1">
      <c r="A15" s="308" t="s">
        <v>570</v>
      </c>
      <c r="B15" s="309" t="s">
        <v>485</v>
      </c>
      <c r="C15" s="310">
        <v>14.121617783561639</v>
      </c>
      <c r="D15" s="120"/>
      <c r="E15" s="120"/>
      <c r="F15" s="120"/>
      <c r="G15" s="272">
        <f>C15</f>
        <v>14.121617783561639</v>
      </c>
      <c r="H15" s="208" t="s">
        <v>571</v>
      </c>
    </row>
    <row r="16" spans="1:14" ht="34.200000000000003" customHeight="1">
      <c r="A16" s="308" t="s">
        <v>573</v>
      </c>
      <c r="B16" s="311" t="s">
        <v>427</v>
      </c>
      <c r="C16" s="310">
        <f>0.465700000000001-0.1</f>
        <v>0.36570000000000102</v>
      </c>
      <c r="D16" s="312"/>
      <c r="E16" s="313">
        <f>C16</f>
        <v>0.36570000000000102</v>
      </c>
      <c r="F16" s="120"/>
      <c r="G16" s="120"/>
      <c r="H16" s="120"/>
    </row>
    <row r="17" spans="1:10" ht="31.95" customHeight="1">
      <c r="A17" s="308" t="s">
        <v>572</v>
      </c>
      <c r="B17" s="309" t="s">
        <v>485</v>
      </c>
      <c r="C17" s="310">
        <f>3.7040967+0.08</f>
        <v>3.7840967000000001</v>
      </c>
      <c r="D17" s="313">
        <f>C17</f>
        <v>3.7840967000000001</v>
      </c>
      <c r="E17" s="120"/>
      <c r="F17" s="120"/>
      <c r="G17" s="120"/>
      <c r="H17" s="120"/>
    </row>
    <row r="18" spans="1:10" ht="31.95" customHeight="1">
      <c r="A18" s="308" t="s">
        <v>574</v>
      </c>
      <c r="B18" s="311" t="s">
        <v>253</v>
      </c>
      <c r="C18" s="310">
        <v>198.81</v>
      </c>
      <c r="D18" s="120"/>
      <c r="E18" s="120"/>
      <c r="F18" s="120"/>
      <c r="G18" s="313">
        <f>C18</f>
        <v>198.81</v>
      </c>
      <c r="H18" s="312" t="s">
        <v>575</v>
      </c>
    </row>
    <row r="19" spans="1:10" ht="29.4" customHeight="1">
      <c r="A19" s="120"/>
      <c r="B19" s="239" t="s">
        <v>21</v>
      </c>
      <c r="C19" s="314">
        <f>SUM(C15:C18)</f>
        <v>217.08141448356164</v>
      </c>
      <c r="D19" s="315">
        <f>SUM(D15:D18)</f>
        <v>3.7840967000000001</v>
      </c>
      <c r="E19" s="315">
        <f>SUM(E15:E18)</f>
        <v>0.36570000000000102</v>
      </c>
      <c r="F19" s="315">
        <v>0</v>
      </c>
      <c r="G19" s="314">
        <f>SUM(G15:G18)</f>
        <v>212.93161778356165</v>
      </c>
      <c r="H19" s="120"/>
    </row>
    <row r="20" spans="1:10" ht="46.95" customHeight="1">
      <c r="G20" s="304" t="s">
        <v>529</v>
      </c>
      <c r="H20" s="305">
        <v>1</v>
      </c>
      <c r="I20" s="123">
        <f>H20+1</f>
        <v>2</v>
      </c>
      <c r="J20" s="123">
        <f t="shared" ref="J20" si="1">I20+1</f>
        <v>3</v>
      </c>
    </row>
    <row r="21" spans="1:10" ht="63.6" customHeight="1">
      <c r="B21" s="258"/>
      <c r="C21" s="258">
        <f>C19-E7</f>
        <v>1.4144835616320961E-3</v>
      </c>
      <c r="D21" s="258"/>
      <c r="E21" s="258"/>
      <c r="G21" s="255" t="s">
        <v>64</v>
      </c>
      <c r="H21" s="240">
        <f>E7</f>
        <v>217.08</v>
      </c>
      <c r="I21" s="241"/>
      <c r="J21" s="241"/>
    </row>
    <row r="22" spans="1:10" ht="45.6" customHeight="1">
      <c r="B22" s="258"/>
      <c r="C22" s="258"/>
      <c r="D22" s="258"/>
      <c r="E22" s="258"/>
      <c r="G22" s="239" t="s">
        <v>559</v>
      </c>
      <c r="H22" s="240">
        <f>D19</f>
        <v>3.7840967000000001</v>
      </c>
      <c r="I22" s="240">
        <f>E19</f>
        <v>0.36570000000000102</v>
      </c>
      <c r="J22" s="240">
        <f>G19</f>
        <v>212.93161778356165</v>
      </c>
    </row>
    <row r="23" spans="1:10" ht="32.4" customHeight="1">
      <c r="G23" s="239" t="s">
        <v>532</v>
      </c>
      <c r="H23" s="241">
        <v>1</v>
      </c>
      <c r="I23" s="241">
        <f>H23+1</f>
        <v>2</v>
      </c>
      <c r="J23" s="241">
        <f t="shared" ref="J23" si="2">I23+1</f>
        <v>3</v>
      </c>
    </row>
    <row r="24" spans="1:10" ht="30" customHeight="1">
      <c r="B24" s="258"/>
      <c r="C24" s="258"/>
      <c r="D24" s="258"/>
      <c r="E24" s="258"/>
      <c r="G24" s="239" t="s">
        <v>533</v>
      </c>
      <c r="H24" s="242">
        <f>1/(1+$H$25)^H23</f>
        <v>0.9174311926605504</v>
      </c>
      <c r="I24" s="242">
        <f t="shared" ref="I24" si="3">1/(1+$H$25)^I23</f>
        <v>0.84167999326655996</v>
      </c>
      <c r="J24" s="364">
        <v>0.6</v>
      </c>
    </row>
    <row r="25" spans="1:10" ht="32.4" customHeight="1">
      <c r="G25" s="239" t="s">
        <v>534</v>
      </c>
      <c r="H25" s="243">
        <v>0.09</v>
      </c>
      <c r="I25" s="241"/>
      <c r="J25" s="241"/>
    </row>
    <row r="26" spans="1:10" ht="48" customHeight="1">
      <c r="B26" s="258"/>
      <c r="C26" s="258"/>
      <c r="D26" s="258"/>
      <c r="E26" s="258"/>
      <c r="G26" s="239" t="s">
        <v>535</v>
      </c>
      <c r="H26" s="240">
        <f>H22*H24</f>
        <v>3.471648348623853</v>
      </c>
      <c r="I26" s="240">
        <f t="shared" ref="I26" si="4">I22*I24</f>
        <v>0.30780237353758183</v>
      </c>
      <c r="J26" s="240">
        <f>J22*J24</f>
        <v>127.75897067013699</v>
      </c>
    </row>
    <row r="27" spans="1:10" ht="86.4">
      <c r="B27" s="258"/>
      <c r="G27" s="244" t="s">
        <v>576</v>
      </c>
      <c r="H27" s="245">
        <f>SUM(H26:J26)</f>
        <v>131.53842139229843</v>
      </c>
      <c r="I27" s="238"/>
      <c r="J27" s="238"/>
    </row>
    <row r="28" spans="1:10">
      <c r="G28" s="365" t="s">
        <v>683</v>
      </c>
      <c r="H28" s="363">
        <f>(H22*0.75)+(I22*0.65)</f>
        <v>3.0757775250000008</v>
      </c>
    </row>
    <row r="35" spans="14:20" ht="15" thickBot="1"/>
    <row r="36" spans="14:20" ht="15" thickBot="1">
      <c r="N36" s="439" t="s">
        <v>565</v>
      </c>
      <c r="O36" s="440"/>
      <c r="P36" s="441"/>
      <c r="Q36" s="439" t="s">
        <v>566</v>
      </c>
      <c r="R36" s="440"/>
      <c r="S36" s="440"/>
      <c r="T36" s="442"/>
    </row>
    <row r="37" spans="14:20" ht="29.4" thickBot="1">
      <c r="N37" s="367" t="s">
        <v>2</v>
      </c>
      <c r="O37" s="368" t="s">
        <v>185</v>
      </c>
      <c r="P37" s="368" t="s">
        <v>568</v>
      </c>
      <c r="Q37" s="368" t="s">
        <v>556</v>
      </c>
      <c r="R37" s="368" t="s">
        <v>527</v>
      </c>
      <c r="S37" s="368" t="s">
        <v>558</v>
      </c>
      <c r="T37" s="368" t="s">
        <v>569</v>
      </c>
    </row>
    <row r="38" spans="14:20" ht="31.8" customHeight="1" thickBot="1">
      <c r="N38" s="369" t="s">
        <v>570</v>
      </c>
      <c r="O38" s="370" t="s">
        <v>485</v>
      </c>
      <c r="P38" s="371">
        <v>14.12</v>
      </c>
      <c r="Q38" s="372" t="s">
        <v>705</v>
      </c>
      <c r="R38" s="372" t="s">
        <v>705</v>
      </c>
      <c r="S38" s="372" t="s">
        <v>705</v>
      </c>
      <c r="T38" s="372">
        <v>14.12</v>
      </c>
    </row>
    <row r="39" spans="14:20" ht="25.8" customHeight="1" thickBot="1">
      <c r="N39" s="369" t="s">
        <v>573</v>
      </c>
      <c r="O39" s="370" t="s">
        <v>427</v>
      </c>
      <c r="P39" s="371">
        <v>0.37</v>
      </c>
      <c r="Q39" s="372" t="s">
        <v>705</v>
      </c>
      <c r="R39" s="372">
        <v>0.37</v>
      </c>
      <c r="S39" s="372" t="s">
        <v>705</v>
      </c>
      <c r="T39" s="372" t="s">
        <v>705</v>
      </c>
    </row>
    <row r="40" spans="14:20" ht="34.200000000000003" customHeight="1" thickBot="1">
      <c r="N40" s="369" t="s">
        <v>572</v>
      </c>
      <c r="O40" s="370" t="s">
        <v>485</v>
      </c>
      <c r="P40" s="371">
        <v>3.78</v>
      </c>
      <c r="Q40" s="372">
        <v>3.78</v>
      </c>
      <c r="R40" s="372" t="s">
        <v>705</v>
      </c>
      <c r="S40" s="372" t="s">
        <v>705</v>
      </c>
      <c r="T40" s="372" t="s">
        <v>705</v>
      </c>
    </row>
    <row r="41" spans="14:20" ht="27" customHeight="1" thickBot="1">
      <c r="N41" s="369" t="s">
        <v>574</v>
      </c>
      <c r="O41" s="370" t="s">
        <v>253</v>
      </c>
      <c r="P41" s="371">
        <v>198.81</v>
      </c>
      <c r="Q41" s="372" t="s">
        <v>705</v>
      </c>
      <c r="R41" s="372" t="s">
        <v>705</v>
      </c>
      <c r="S41" s="372" t="s">
        <v>705</v>
      </c>
      <c r="T41" s="372">
        <v>198.81</v>
      </c>
    </row>
    <row r="42" spans="14:20" ht="15" thickBot="1">
      <c r="N42" s="443" t="s">
        <v>21</v>
      </c>
      <c r="O42" s="444"/>
      <c r="P42" s="373">
        <v>217.08</v>
      </c>
      <c r="Q42" s="373">
        <v>3.78</v>
      </c>
      <c r="R42" s="373">
        <v>0.37</v>
      </c>
      <c r="S42" s="373">
        <v>0</v>
      </c>
      <c r="T42" s="373">
        <v>212.93</v>
      </c>
    </row>
  </sheetData>
  <mergeCells count="10">
    <mergeCell ref="C3:L3"/>
    <mergeCell ref="C2:L2"/>
    <mergeCell ref="C8:L8"/>
    <mergeCell ref="C9:L9"/>
    <mergeCell ref="D13:G13"/>
    <mergeCell ref="N36:P36"/>
    <mergeCell ref="Q36:T36"/>
    <mergeCell ref="N42:O42"/>
    <mergeCell ref="A13:C13"/>
    <mergeCell ref="C5:L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2:I9"/>
  <sheetViews>
    <sheetView topLeftCell="A8" workbookViewId="0">
      <selection activeCell="B9" sqref="B9:G9"/>
    </sheetView>
  </sheetViews>
  <sheetFormatPr defaultRowHeight="14.4"/>
  <cols>
    <col min="3" max="3" width="20.109375" customWidth="1"/>
    <col min="4" max="4" width="16.109375" customWidth="1"/>
    <col min="5" max="5" width="13.88671875" customWidth="1"/>
    <col min="6" max="6" width="14.109375" customWidth="1"/>
    <col min="7" max="7" width="78.5546875" customWidth="1"/>
  </cols>
  <sheetData>
    <row r="2" spans="2:9">
      <c r="B2" s="459" t="s">
        <v>672</v>
      </c>
      <c r="C2" s="460"/>
      <c r="D2" s="460"/>
      <c r="E2" s="460"/>
      <c r="F2" s="460"/>
      <c r="G2" s="461"/>
    </row>
    <row r="3" spans="2:9">
      <c r="B3" s="435" t="str">
        <f>'SUMMARY-2023'!B3</f>
        <v>Details as on 31st March 2023</v>
      </c>
      <c r="C3" s="462"/>
      <c r="D3" s="462"/>
      <c r="E3" s="462"/>
      <c r="F3" s="462"/>
      <c r="G3" s="463"/>
    </row>
    <row r="4" spans="2:9" ht="24">
      <c r="B4" s="24" t="s">
        <v>0</v>
      </c>
      <c r="C4" s="24" t="s">
        <v>69</v>
      </c>
      <c r="D4" s="37" t="s">
        <v>64</v>
      </c>
      <c r="E4" s="24" t="s">
        <v>142</v>
      </c>
      <c r="F4" s="24" t="s">
        <v>143</v>
      </c>
      <c r="G4" s="24" t="s">
        <v>22</v>
      </c>
    </row>
    <row r="5" spans="2:9">
      <c r="B5" s="435" t="str">
        <f>'SUMMARY-2023'!B5</f>
        <v>Figures in INR Crores</v>
      </c>
      <c r="C5" s="436"/>
      <c r="D5" s="436"/>
      <c r="E5" s="436"/>
      <c r="F5" s="436"/>
      <c r="G5" s="437"/>
    </row>
    <row r="6" spans="2:9" ht="145.5" customHeight="1">
      <c r="B6" s="54">
        <v>1</v>
      </c>
      <c r="C6" s="77" t="s">
        <v>672</v>
      </c>
      <c r="D6" s="76">
        <v>1.56</v>
      </c>
      <c r="E6" s="76">
        <f t="shared" ref="E6" si="0">$D6*H6</f>
        <v>1.2480000000000002</v>
      </c>
      <c r="F6" s="76">
        <f>$E6*I6</f>
        <v>0.62400000000000011</v>
      </c>
      <c r="G6" s="322" t="s">
        <v>701</v>
      </c>
      <c r="H6" s="47">
        <v>0.8</v>
      </c>
      <c r="I6" s="47">
        <v>0.5</v>
      </c>
    </row>
    <row r="7" spans="2:9">
      <c r="B7" s="38"/>
      <c r="C7" s="36" t="s">
        <v>23</v>
      </c>
      <c r="D7" s="61">
        <f>SUM(D6:D6)</f>
        <v>1.56</v>
      </c>
      <c r="E7" s="61">
        <f>SUM(E6:E6)</f>
        <v>1.2480000000000002</v>
      </c>
      <c r="F7" s="61">
        <f>SUM(F6:F6)</f>
        <v>0.62400000000000011</v>
      </c>
      <c r="G7" s="38"/>
    </row>
    <row r="8" spans="2:9">
      <c r="B8" s="406" t="s">
        <v>20</v>
      </c>
      <c r="C8" s="407"/>
      <c r="D8" s="407"/>
      <c r="E8" s="407"/>
      <c r="F8" s="407"/>
      <c r="G8" s="438"/>
    </row>
    <row r="9" spans="2:9" ht="132.75" customHeight="1">
      <c r="B9" s="409" t="s">
        <v>679</v>
      </c>
      <c r="C9" s="409"/>
      <c r="D9" s="409"/>
      <c r="E9" s="409"/>
      <c r="F9" s="409"/>
      <c r="G9" s="409"/>
    </row>
  </sheetData>
  <mergeCells count="5">
    <mergeCell ref="B2:G2"/>
    <mergeCell ref="B3:G3"/>
    <mergeCell ref="B5:G5"/>
    <mergeCell ref="B8:G8"/>
    <mergeCell ref="B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32</vt:i4>
      </vt:variant>
      <vt:variant>
        <vt:lpstr>Named Ranges</vt:lpstr>
      </vt:variant>
      <vt:variant>
        <vt:i4>1</vt:i4>
      </vt:variant>
    </vt:vector>
  </HeadingPairs>
  <TitlesOfParts>
    <vt:vector size="33" baseType="lpstr">
      <vt:lpstr>General</vt:lpstr>
      <vt:lpstr>SUMMARY-2023</vt:lpstr>
      <vt:lpstr>NCI-I</vt:lpstr>
      <vt:lpstr>Provisions TR 2023</vt:lpstr>
      <vt:lpstr>Trade Receivable-II</vt:lpstr>
      <vt:lpstr>Provisions 2023</vt:lpstr>
      <vt:lpstr>Loans-III</vt:lpstr>
      <vt:lpstr>Interest Accrued-IV</vt:lpstr>
      <vt:lpstr>Claim for PBG-V</vt:lpstr>
      <vt:lpstr>Other Receivables-VI</vt:lpstr>
      <vt:lpstr>Margin Money-VII</vt:lpstr>
      <vt:lpstr>Tax Assets-VIII</vt:lpstr>
      <vt:lpstr>Deposits-IX</vt:lpstr>
      <vt:lpstr>Advances to Vendor-X</vt:lpstr>
      <vt:lpstr>Balance - Satutory Authority-XI</vt:lpstr>
      <vt:lpstr>Contract Assets-WIP-XII</vt:lpstr>
      <vt:lpstr>ONCA-VI</vt:lpstr>
      <vt:lpstr>Retention Money-XIII</vt:lpstr>
      <vt:lpstr>INVENTORY-VII</vt:lpstr>
      <vt:lpstr>Cash &amp; Cash Equivalents-XIV</vt:lpstr>
      <vt:lpstr>Award Summary-2023 </vt:lpstr>
      <vt:lpstr>SUMMARY-2018</vt:lpstr>
      <vt:lpstr>Award Summary 2018 </vt:lpstr>
      <vt:lpstr>OCFA-IX</vt:lpstr>
      <vt:lpstr>CTA-X</vt:lpstr>
      <vt:lpstr>OCA-XI</vt:lpstr>
      <vt:lpstr>Debenture-2023</vt:lpstr>
      <vt:lpstr>Preferred - 2023</vt:lpstr>
      <vt:lpstr>MSEDCL Assets</vt:lpstr>
      <vt:lpstr>SECL Assets</vt:lpstr>
      <vt:lpstr>WCL Assets</vt:lpstr>
      <vt:lpstr>Sheet4</vt:lpstr>
      <vt:lpstr>'SUMMARY-2023'!Print_Area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Mohit Agarwal</dc:creator>
  <cp:lastModifiedBy>welcome</cp:lastModifiedBy>
  <cp:lastPrinted>2020-09-30T11:24:21Z</cp:lastPrinted>
  <dcterms:created xsi:type="dcterms:W3CDTF">2017-12-18T06:17:30Z</dcterms:created>
  <dcterms:modified xsi:type="dcterms:W3CDTF">2024-03-28T11:06:29Z</dcterms:modified>
</cp:coreProperties>
</file>