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Y:\In Progress Files\Amit Jaiswal\VIS(2023-24)-PL164-141-195 Omega printopack\"/>
    </mc:Choice>
  </mc:AlternateContent>
  <xr:revisionPtr revIDLastSave="0" documentId="13_ncr:1_{3CB300C4-DFF5-4A7E-BD2D-B99FCA840AB2}" xr6:coauthVersionLast="47" xr6:coauthVersionMax="47" xr10:uidLastSave="{00000000-0000-0000-0000-000000000000}"/>
  <bookViews>
    <workbookView showVerticalScroll="0" xWindow="-120" yWindow="-120" windowWidth="24240" windowHeight="13140" xr2:uid="{00000000-000D-0000-FFFF-FFFF00000000}"/>
  </bookViews>
  <sheets>
    <sheet name="Building" sheetId="1" r:id="rId1"/>
    <sheet name="Sheet3" sheetId="3" r:id="rId2"/>
    <sheet name="Land" sheetId="2" r:id="rId3"/>
  </sheets>
  <definedNames>
    <definedName name="_xlnm.Print_Area" localSheetId="0">Building!$A$1:$R$14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N7" i="1" s="1"/>
  <c r="L6" i="1"/>
  <c r="L7" i="1"/>
  <c r="I6" i="1"/>
  <c r="I7" i="1"/>
  <c r="E6" i="1"/>
  <c r="N6" i="1" s="1"/>
  <c r="I8" i="1"/>
  <c r="L8" i="1"/>
  <c r="N8" i="1"/>
  <c r="M17" i="1"/>
  <c r="E5" i="1"/>
  <c r="N5" i="1" s="1"/>
  <c r="E4" i="1"/>
  <c r="N4" i="1" s="1"/>
  <c r="K33" i="1"/>
  <c r="K34" i="1" s="1"/>
  <c r="J33" i="1"/>
  <c r="N9" i="1"/>
  <c r="J18" i="1"/>
  <c r="M30" i="1"/>
  <c r="L5" i="1"/>
  <c r="L9" i="1"/>
  <c r="I5" i="1"/>
  <c r="I9" i="1"/>
  <c r="O7" i="1" l="1"/>
  <c r="P7" i="1" s="1"/>
  <c r="R7" i="1" s="1"/>
  <c r="O6" i="1"/>
  <c r="P6" i="1" s="1"/>
  <c r="R6" i="1" s="1"/>
  <c r="O8" i="1"/>
  <c r="P8" i="1" s="1"/>
  <c r="R8" i="1" s="1"/>
  <c r="J34" i="1"/>
  <c r="J35" i="1" s="1"/>
  <c r="O9" i="1"/>
  <c r="P9" i="1" s="1"/>
  <c r="R9" i="1" s="1"/>
  <c r="S9" i="1" s="1"/>
  <c r="O5" i="1"/>
  <c r="P5" i="1" s="1"/>
  <c r="R5" i="1" s="1"/>
  <c r="S5" i="1" s="1"/>
  <c r="E10" i="1"/>
  <c r="N10" i="1"/>
  <c r="Q17" i="1"/>
  <c r="U18" i="1"/>
  <c r="C18" i="1"/>
  <c r="S18" i="1"/>
  <c r="R19" i="1"/>
  <c r="P25" i="1"/>
  <c r="Q25" i="1" s="1"/>
  <c r="R25" i="1" s="1"/>
  <c r="P24" i="1"/>
  <c r="Q24" i="1" s="1"/>
  <c r="R24" i="1" s="1"/>
  <c r="P23" i="1"/>
  <c r="Q23" i="1" s="1"/>
  <c r="R23" i="1" s="1"/>
  <c r="R26" i="1" l="1"/>
  <c r="P26" i="1"/>
  <c r="S20" i="1"/>
  <c r="Q21" i="1" s="1"/>
  <c r="L4" i="1" l="1"/>
  <c r="I4" i="1" l="1"/>
  <c r="O4" i="1" l="1"/>
  <c r="P4" i="1" s="1"/>
  <c r="P10" i="1" s="1"/>
  <c r="R4" i="1" l="1"/>
  <c r="R10" i="1" l="1"/>
  <c r="J19" i="1" s="1"/>
  <c r="J20" i="1" s="1"/>
  <c r="J21" i="1" s="1"/>
  <c r="S4" i="1"/>
  <c r="J28" i="1" l="1"/>
  <c r="M20" i="1"/>
  <c r="G23" i="1" l="1"/>
  <c r="G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<sst xmlns="http://schemas.openxmlformats.org/spreadsheetml/2006/main" count="55" uniqueCount="44">
  <si>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</si>
  <si>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</si>
  <si>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</si>
  <si>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</si>
  <si>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</si>
  <si>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</si>
  <si>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</si>
  <si>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</si>
  <si>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</si>
  <si>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</si>
  <si>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</si>
  <si>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Discounting Factor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</si>
  <si>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</si>
  <si>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</si>
  <si>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</si>
  <si>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</si>
  <si>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</si>
  <si>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</si>
  <si>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</si>
  <si>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</si>
  <si>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</si>
  <si>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</si>
  <si>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</si>
  <si>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</si>
  <si>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</si>
  <si>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</si>
  <si>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</si>
  <si>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</si>
  <si>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r>
      <t xml:space="preserve">1. </t>
    </r>
    <r>
      <rPr>
        <b/>
        <i/>
        <sz val="10"/>
        <color theme="1"/>
        <rFont val="Calibri"/>
        <family val="2"/>
        <scheme val="minor"/>
      </rPr>
      <t>All the details pertaing to the building area statement such as area, floor, etc has been taken from unapproved map taken during site survey since no other relevant building area statement has been provided to us by the bank or client.</t>
    </r>
  </si>
  <si>
    <t>total</t>
  </si>
  <si>
    <t>Building value</t>
  </si>
  <si>
    <r>
      <t xml:space="preserve">Built-up Area  Rate 
</t>
    </r>
    <r>
      <rPr>
        <b/>
        <i/>
        <sz val="10"/>
        <rFont val="Calibri"/>
        <family val="2"/>
        <scheme val="minor"/>
      </rPr>
      <t>(in per sq.ft)</t>
    </r>
  </si>
  <si>
    <t>Fair Market Value
(INR)</t>
  </si>
  <si>
    <t>Office Block</t>
  </si>
  <si>
    <t>First Floor</t>
  </si>
  <si>
    <t>Ground Floor</t>
  </si>
  <si>
    <t xml:space="preserve">RCC Framed  Structure </t>
  </si>
  <si>
    <t xml:space="preserve"> </t>
  </si>
  <si>
    <t>BUILDING VALUATION OF M/S. OMEGA PRINTOPACK PVT. LTD.</t>
  </si>
  <si>
    <r>
      <t xml:space="preserve">2. </t>
    </r>
    <r>
      <rPr>
        <i/>
        <sz val="10"/>
        <color theme="1"/>
        <rFont val="Calibri"/>
        <family val="2"/>
        <scheme val="minor"/>
      </rPr>
      <t>All the structure that has been taken in the area statemnet belonging to M/s Omega Printopack Pvt. Ltd.</t>
    </r>
  </si>
  <si>
    <t xml:space="preserve">Guard Room </t>
  </si>
  <si>
    <t xml:space="preserve">Electrical Panel Room </t>
  </si>
  <si>
    <t>Tin Shed</t>
  </si>
  <si>
    <t>Tin Shed Mounted on RCC Structre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</si>
</sst>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family val="2"/>
    </font>
    <font>
      <b/>
      <sz val="9"/>
      <color indexed="81"/>
      <name val="Tahoma"/>
      <family val="2"/>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8">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0" fontId="2" fillId="6" borderId="0" xfId="0" applyFont="1" applyFill="1" applyAlignment="1">
      <alignment wrapText="1"/>
    </xf>
    <xf numFmtId="167" fontId="0" fillId="5" borderId="0" xfId="0" applyNumberFormat="1" applyFill="1"/>
    <xf numFmtId="167" fontId="2" fillId="5" borderId="0" xfId="0" applyNumberFormat="1" applyFont="1" applyFill="1"/>
    <xf numFmtId="166" fontId="2" fillId="5" borderId="0" xfId="1" applyNumberFormat="1" applyFont="1" applyFill="1"/>
    <xf numFmtId="164" fontId="0" fillId="0" borderId="1" xfId="3" applyNumberFormat="1" applyFont="1" applyBorder="1" applyAlignment="1">
      <alignment vertical="center"/>
    </xf>
    <xf numFmtId="164" fontId="5" fillId="2" borderId="1" xfId="3" applyNumberFormat="1" applyFont="1" applyFill="1" applyBorder="1" applyAlignment="1">
      <alignment horizontal="left" vertical="center" wrapText="1"/>
    </xf>
    <xf numFmtId="164" fontId="0" fillId="0" borderId="0" xfId="3" applyNumberFormat="1" applyFont="1" applyAlignment="1">
      <alignment horizontal="left"/>
    </xf>
    <xf numFmtId="0" fontId="14" fillId="6" borderId="0" xfId="0" applyFont="1" applyFill="1" applyAlignment="1">
      <alignment horizontal="center"/>
    </xf>
    <xf numFmtId="167" fontId="0" fillId="0" borderId="0" xfId="0" applyNumberFormat="1"/>
    <xf numFmtId="0" fontId="15" fillId="6" borderId="0" xfId="0" applyFont="1" applyFill="1"/>
    <xf numFmtId="167" fontId="0" fillId="5" borderId="0" xfId="0" applyNumberFormat="1" applyFill="1" applyAlignment="1">
      <alignment horizontal="center"/>
    </xf>
    <xf numFmtId="168" fontId="2" fillId="0" borderId="0" xfId="0" applyNumberFormat="1" applyFont="1"/>
    <xf numFmtId="166" fontId="2" fillId="5" borderId="1" xfId="1" applyNumberFormat="1" applyFont="1" applyFill="1" applyBorder="1" applyAlignment="1">
      <alignment horizontal="center" vertical="center"/>
    </xf>
    <xf numFmtId="164" fontId="2" fillId="0" borderId="8" xfId="3" applyNumberFormat="1" applyFont="1" applyBorder="1" applyAlignment="1">
      <alignment horizontal="left" vertical="center"/>
    </xf>
    <xf numFmtId="0" fontId="2" fillId="0" borderId="8" xfId="0" applyFont="1" applyBorder="1" applyAlignment="1">
      <alignment horizontal="center" vertical="center"/>
    </xf>
    <xf numFmtId="166" fontId="2" fillId="0" borderId="8" xfId="1" applyNumberFormat="1" applyFont="1" applyBorder="1" applyAlignment="1">
      <alignment horizontal="center" vertical="center"/>
    </xf>
    <xf numFmtId="168" fontId="0" fillId="0" borderId="0" xfId="0" applyNumberFormat="1"/>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6" fillId="6" borderId="0" xfId="0" applyFont="1" applyFill="1" applyAlignment="1">
      <alignment horizont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U35"/>
  <sheetViews>
    <sheetView tabSelected="1" zoomScale="85" zoomScaleNormal="85" zoomScaleSheetLayoutView="85" workbookViewId="0">
      <selection activeCell="J21" sqref="J21"/>
    </sheetView>
  </sheetViews>
  <sheetFormatPr defaultRowHeight="15" x14ac:dyDescent="0.25"/>
  <cols>
    <col min="1" max="1" width="6.42578125" customWidth="1"/>
    <col min="2" max="2" width="13.85546875" customWidth="1"/>
    <col min="3" max="3" width="15.42578125" style="16" customWidth="1"/>
    <col min="4" max="4" width="26.7109375" style="16" customWidth="1"/>
    <col min="5" max="5" width="9.85546875" style="27" customWidth="1"/>
    <col min="6" max="6" width="7" customWidth="1"/>
    <col min="7" max="7" width="16" customWidth="1"/>
    <col min="8" max="8" width="10.28515625" customWidth="1"/>
    <col min="9" max="9" width="12.85546875" customWidth="1"/>
    <col min="10" max="10" width="18.42578125" customWidth="1"/>
    <col min="11" max="11" width="7.7109375" customWidth="1"/>
    <col min="12" max="12" width="7.85546875" customWidth="1"/>
    <col min="13" max="13" width="14.140625" customWidth="1"/>
    <col min="14" max="14" width="17.85546875" customWidth="1"/>
    <col min="15" max="15" width="16.140625" customWidth="1"/>
    <col min="16" max="16" width="18.140625" hidden="1" customWidth="1"/>
    <col min="17" max="17" width="19.7109375" hidden="1" customWidth="1"/>
    <col min="18" max="18" width="18.28515625" style="19" customWidth="1"/>
    <col min="19" max="19" width="17" bestFit="1" customWidth="1"/>
    <col min="20" max="21" width="14.28515625" bestFit="1" customWidth="1"/>
  </cols>
  <sheetData>
    <row r="2" spans="1:21" ht="15.75" customHeight="1" x14ac:dyDescent="0.25">
      <c r="A2" s="38" t="s">
        <v>38</v>
      </c>
      <c r="B2" s="39"/>
      <c r="C2" s="39"/>
      <c r="D2" s="39"/>
      <c r="E2" s="39"/>
      <c r="F2" s="39"/>
      <c r="G2" s="39"/>
      <c r="H2" s="39"/>
      <c r="I2" s="39"/>
      <c r="J2" s="39"/>
      <c r="K2" s="39"/>
      <c r="L2" s="39"/>
      <c r="M2" s="39"/>
      <c r="N2" s="39"/>
      <c r="O2" s="39"/>
      <c r="P2" s="39"/>
      <c r="Q2" s="39"/>
      <c r="R2" s="40"/>
    </row>
    <row r="3" spans="1:21" s="14" customFormat="1" ht="60" x14ac:dyDescent="0.25">
      <c r="A3" s="12" t="s">
        <v>0</v>
      </c>
      <c r="B3" s="12" t="s">
        <v>21</v>
      </c>
      <c r="C3" s="13" t="s">
        <v>1</v>
      </c>
      <c r="D3" s="13" t="s">
        <v>4</v>
      </c>
      <c r="E3" s="26" t="s">
        <v>15</v>
      </c>
      <c r="F3" s="13" t="s">
        <v>12</v>
      </c>
      <c r="G3" s="13" t="s">
        <v>2</v>
      </c>
      <c r="H3" s="13" t="s">
        <v>3</v>
      </c>
      <c r="I3" s="13" t="s">
        <v>13</v>
      </c>
      <c r="J3" s="13" t="s">
        <v>14</v>
      </c>
      <c r="K3" s="13" t="s">
        <v>5</v>
      </c>
      <c r="L3" s="13" t="s">
        <v>7</v>
      </c>
      <c r="M3" s="13" t="s">
        <v>31</v>
      </c>
      <c r="N3" s="13" t="s">
        <v>32</v>
      </c>
      <c r="O3" s="13" t="s">
        <v>8</v>
      </c>
      <c r="P3" s="13" t="s">
        <v>9</v>
      </c>
      <c r="Q3" s="13" t="s">
        <v>11</v>
      </c>
      <c r="R3" s="13" t="s">
        <v>10</v>
      </c>
    </row>
    <row r="4" spans="1:21" ht="27.75" customHeight="1" x14ac:dyDescent="0.25">
      <c r="A4" s="2">
        <v>1</v>
      </c>
      <c r="B4" s="15" t="s">
        <v>33</v>
      </c>
      <c r="C4" s="15" t="s">
        <v>35</v>
      </c>
      <c r="D4" s="15" t="s">
        <v>36</v>
      </c>
      <c r="E4" s="25">
        <f>22*47</f>
        <v>1034</v>
      </c>
      <c r="F4" s="9">
        <v>12</v>
      </c>
      <c r="G4" s="2">
        <v>2015</v>
      </c>
      <c r="H4" s="2">
        <v>2023</v>
      </c>
      <c r="I4" s="2">
        <f>H4-G4</f>
        <v>8</v>
      </c>
      <c r="J4" s="2">
        <v>60</v>
      </c>
      <c r="K4" s="3">
        <v>0.1</v>
      </c>
      <c r="L4" s="5">
        <f>(1-K4)/J4</f>
        <v>1.5000000000000001E-2</v>
      </c>
      <c r="M4" s="6">
        <v>1400</v>
      </c>
      <c r="N4" s="6">
        <f>M4*E4</f>
        <v>1447600</v>
      </c>
      <c r="O4" s="6">
        <f t="shared" ref="O4:O9" si="0">N4*L4*I4</f>
        <v>173712</v>
      </c>
      <c r="P4" s="6">
        <f t="shared" ref="P4:P9" si="1">MAX(N4-O4,0)</f>
        <v>1273888</v>
      </c>
      <c r="Q4" s="10">
        <v>0</v>
      </c>
      <c r="R4" s="6">
        <f>P4</f>
        <v>1273888</v>
      </c>
      <c r="S4" s="11">
        <f>R4/E4</f>
        <v>1232</v>
      </c>
      <c r="T4" s="1"/>
      <c r="U4" s="1"/>
    </row>
    <row r="5" spans="1:21" ht="22.5" customHeight="1" x14ac:dyDescent="0.25">
      <c r="A5" s="2">
        <v>2</v>
      </c>
      <c r="B5" s="15" t="s">
        <v>33</v>
      </c>
      <c r="C5" s="15" t="s">
        <v>34</v>
      </c>
      <c r="D5" s="15" t="s">
        <v>36</v>
      </c>
      <c r="E5" s="25">
        <f>22*47</f>
        <v>1034</v>
      </c>
      <c r="F5" s="9">
        <v>12</v>
      </c>
      <c r="G5" s="2">
        <v>2015</v>
      </c>
      <c r="H5" s="2">
        <v>2023</v>
      </c>
      <c r="I5" s="2">
        <f t="shared" ref="I5:I9" si="2">H5-G5</f>
        <v>8</v>
      </c>
      <c r="J5" s="2">
        <v>60</v>
      </c>
      <c r="K5" s="3">
        <v>0.1</v>
      </c>
      <c r="L5" s="5">
        <f t="shared" ref="L5:L9" si="3">(1-K5)/J5</f>
        <v>1.5000000000000001E-2</v>
      </c>
      <c r="M5" s="6">
        <v>1400</v>
      </c>
      <c r="N5" s="6">
        <f t="shared" ref="N5:N9" si="4">M5*E5</f>
        <v>1447600</v>
      </c>
      <c r="O5" s="6">
        <f t="shared" si="0"/>
        <v>173712</v>
      </c>
      <c r="P5" s="6">
        <f t="shared" si="1"/>
        <v>1273888</v>
      </c>
      <c r="Q5" s="10">
        <v>0</v>
      </c>
      <c r="R5" s="6">
        <f t="shared" ref="R5:R9" si="5">P5</f>
        <v>1273888</v>
      </c>
      <c r="S5" s="11">
        <f t="shared" ref="S5:S9" si="6">R5/E5</f>
        <v>1232</v>
      </c>
      <c r="T5" s="1"/>
      <c r="U5" s="1"/>
    </row>
    <row r="6" spans="1:21" ht="30" customHeight="1" x14ac:dyDescent="0.25">
      <c r="A6" s="2">
        <v>5</v>
      </c>
      <c r="B6" s="15" t="s">
        <v>42</v>
      </c>
      <c r="C6" s="15" t="s">
        <v>35</v>
      </c>
      <c r="D6" s="15" t="s">
        <v>43</v>
      </c>
      <c r="E6" s="25">
        <f>143*68</f>
        <v>9724</v>
      </c>
      <c r="F6" s="9">
        <v>20</v>
      </c>
      <c r="G6" s="2">
        <v>2015</v>
      </c>
      <c r="H6" s="2">
        <v>2023</v>
      </c>
      <c r="I6" s="2">
        <f t="shared" si="2"/>
        <v>8</v>
      </c>
      <c r="J6" s="2">
        <v>50</v>
      </c>
      <c r="K6" s="3">
        <v>0.1</v>
      </c>
      <c r="L6" s="5">
        <f t="shared" si="3"/>
        <v>1.8000000000000002E-2</v>
      </c>
      <c r="M6" s="6">
        <v>1100</v>
      </c>
      <c r="N6" s="6">
        <f t="shared" si="4"/>
        <v>10696400</v>
      </c>
      <c r="O6" s="6">
        <f t="shared" si="0"/>
        <v>1540281.6</v>
      </c>
      <c r="P6" s="6">
        <f t="shared" si="1"/>
        <v>9156118.4000000004</v>
      </c>
      <c r="Q6" s="10">
        <v>0</v>
      </c>
      <c r="R6" s="6">
        <f t="shared" si="5"/>
        <v>9156118.4000000004</v>
      </c>
      <c r="S6" s="11"/>
      <c r="T6" s="1"/>
      <c r="U6" s="1"/>
    </row>
    <row r="7" spans="1:21" ht="28.5" customHeight="1" x14ac:dyDescent="0.25">
      <c r="A7" s="2">
        <v>6</v>
      </c>
      <c r="B7" s="15" t="s">
        <v>42</v>
      </c>
      <c r="C7" s="15" t="s">
        <v>35</v>
      </c>
      <c r="D7" s="15" t="s">
        <v>43</v>
      </c>
      <c r="E7" s="25">
        <f>124*47</f>
        <v>5828</v>
      </c>
      <c r="F7" s="9">
        <v>22</v>
      </c>
      <c r="G7" s="2">
        <v>2015</v>
      </c>
      <c r="H7" s="2">
        <v>2023</v>
      </c>
      <c r="I7" s="2">
        <f t="shared" si="2"/>
        <v>8</v>
      </c>
      <c r="J7" s="2">
        <v>50</v>
      </c>
      <c r="K7" s="3">
        <v>0.1</v>
      </c>
      <c r="L7" s="5">
        <f t="shared" si="3"/>
        <v>1.8000000000000002E-2</v>
      </c>
      <c r="M7" s="6">
        <v>1100</v>
      </c>
      <c r="N7" s="6">
        <f t="shared" si="4"/>
        <v>6410800</v>
      </c>
      <c r="O7" s="6">
        <f t="shared" si="0"/>
        <v>923155.20000000007</v>
      </c>
      <c r="P7" s="6">
        <f t="shared" si="1"/>
        <v>5487644.7999999998</v>
      </c>
      <c r="Q7" s="10">
        <v>0</v>
      </c>
      <c r="R7" s="6">
        <f t="shared" si="5"/>
        <v>5487644.7999999998</v>
      </c>
      <c r="S7" s="11"/>
      <c r="T7" s="1"/>
      <c r="U7" s="1"/>
    </row>
    <row r="8" spans="1:21" ht="20.25" customHeight="1" x14ac:dyDescent="0.25">
      <c r="A8" s="2">
        <v>7</v>
      </c>
      <c r="B8" s="15" t="s">
        <v>40</v>
      </c>
      <c r="C8" s="15" t="s">
        <v>35</v>
      </c>
      <c r="D8" s="15" t="s">
        <v>36</v>
      </c>
      <c r="E8" s="25">
        <v>200</v>
      </c>
      <c r="F8" s="9">
        <v>8</v>
      </c>
      <c r="G8" s="2">
        <v>2015</v>
      </c>
      <c r="H8" s="2">
        <v>2023</v>
      </c>
      <c r="I8" s="2">
        <f t="shared" si="2"/>
        <v>8</v>
      </c>
      <c r="J8" s="2">
        <v>60</v>
      </c>
      <c r="K8" s="3">
        <v>0.1</v>
      </c>
      <c r="L8" s="5">
        <f t="shared" si="3"/>
        <v>1.5000000000000001E-2</v>
      </c>
      <c r="M8" s="6">
        <v>1200</v>
      </c>
      <c r="N8" s="6">
        <f t="shared" si="4"/>
        <v>240000</v>
      </c>
      <c r="O8" s="6">
        <f t="shared" si="0"/>
        <v>28800.000000000004</v>
      </c>
      <c r="P8" s="6">
        <f t="shared" si="1"/>
        <v>211200</v>
      </c>
      <c r="Q8" s="10">
        <v>0</v>
      </c>
      <c r="R8" s="6">
        <f t="shared" si="5"/>
        <v>211200</v>
      </c>
      <c r="S8" s="11"/>
      <c r="T8" s="1"/>
      <c r="U8" s="1"/>
    </row>
    <row r="9" spans="1:21" ht="38.25" customHeight="1" x14ac:dyDescent="0.25">
      <c r="A9" s="2">
        <v>8</v>
      </c>
      <c r="B9" s="15" t="s">
        <v>41</v>
      </c>
      <c r="C9" s="15" t="s">
        <v>35</v>
      </c>
      <c r="D9" s="15" t="s">
        <v>36</v>
      </c>
      <c r="E9" s="25">
        <v>200</v>
      </c>
      <c r="F9" s="9">
        <v>8</v>
      </c>
      <c r="G9" s="2">
        <v>2015</v>
      </c>
      <c r="H9" s="2">
        <v>2023</v>
      </c>
      <c r="I9" s="2">
        <f t="shared" si="2"/>
        <v>8</v>
      </c>
      <c r="J9" s="2">
        <v>60</v>
      </c>
      <c r="K9" s="3">
        <v>0.1</v>
      </c>
      <c r="L9" s="5">
        <f t="shared" si="3"/>
        <v>1.5000000000000001E-2</v>
      </c>
      <c r="M9" s="6">
        <v>1200</v>
      </c>
      <c r="N9" s="6">
        <f t="shared" si="4"/>
        <v>240000</v>
      </c>
      <c r="O9" s="6">
        <f t="shared" si="0"/>
        <v>28800.000000000004</v>
      </c>
      <c r="P9" s="6">
        <f t="shared" si="1"/>
        <v>211200</v>
      </c>
      <c r="Q9" s="10">
        <v>0</v>
      </c>
      <c r="R9" s="6">
        <f t="shared" si="5"/>
        <v>211200</v>
      </c>
      <c r="S9" s="11">
        <f t="shared" si="6"/>
        <v>1056</v>
      </c>
      <c r="T9" s="1"/>
      <c r="U9" s="1"/>
    </row>
    <row r="10" spans="1:21" ht="21" customHeight="1" x14ac:dyDescent="0.25">
      <c r="A10" s="45" t="s">
        <v>6</v>
      </c>
      <c r="B10" s="46"/>
      <c r="C10" s="46"/>
      <c r="D10" s="47"/>
      <c r="E10" s="34">
        <f>SUM(E4:E9)</f>
        <v>18020</v>
      </c>
      <c r="F10" s="35"/>
      <c r="G10" s="48"/>
      <c r="H10" s="48"/>
      <c r="I10" s="48"/>
      <c r="J10" s="48"/>
      <c r="K10" s="48"/>
      <c r="L10" s="48"/>
      <c r="M10" s="48"/>
      <c r="N10" s="36">
        <f>SUM(N4:N9)</f>
        <v>20482400</v>
      </c>
      <c r="O10" s="36"/>
      <c r="P10" s="36">
        <f>SUM(P4:P9)</f>
        <v>17613939.199999999</v>
      </c>
      <c r="Q10" s="36"/>
      <c r="R10" s="36">
        <f>SUM(R4:R9)</f>
        <v>17613939.199999999</v>
      </c>
      <c r="S10" s="11"/>
    </row>
    <row r="11" spans="1:21" x14ac:dyDescent="0.25">
      <c r="A11" s="52" t="s">
        <v>16</v>
      </c>
      <c r="B11" s="53"/>
      <c r="C11" s="53"/>
      <c r="D11" s="53"/>
      <c r="E11" s="53"/>
      <c r="F11" s="53"/>
      <c r="G11" s="53"/>
      <c r="H11" s="53"/>
      <c r="I11" s="53"/>
      <c r="J11" s="53"/>
      <c r="K11" s="53"/>
      <c r="L11" s="53"/>
      <c r="M11" s="53"/>
      <c r="N11" s="53"/>
      <c r="O11" s="53"/>
      <c r="P11" s="53"/>
      <c r="Q11" s="53"/>
      <c r="R11" s="54"/>
      <c r="S11" s="11"/>
    </row>
    <row r="12" spans="1:21" ht="29.25" customHeight="1" x14ac:dyDescent="0.25">
      <c r="A12" s="49" t="s">
        <v>28</v>
      </c>
      <c r="B12" s="50"/>
      <c r="C12" s="50"/>
      <c r="D12" s="50"/>
      <c r="E12" s="50"/>
      <c r="F12" s="50"/>
      <c r="G12" s="50"/>
      <c r="H12" s="50"/>
      <c r="I12" s="50"/>
      <c r="J12" s="50"/>
      <c r="K12" s="50"/>
      <c r="L12" s="50"/>
      <c r="M12" s="50"/>
      <c r="N12" s="50"/>
      <c r="O12" s="50"/>
      <c r="P12" s="50"/>
      <c r="Q12" s="50"/>
      <c r="R12" s="51"/>
      <c r="S12" s="11"/>
    </row>
    <row r="13" spans="1:21" ht="15" customHeight="1" x14ac:dyDescent="0.25">
      <c r="A13" s="49" t="s">
        <v>39</v>
      </c>
      <c r="B13" s="50"/>
      <c r="C13" s="50"/>
      <c r="D13" s="50"/>
      <c r="E13" s="50"/>
      <c r="F13" s="50"/>
      <c r="G13" s="50"/>
      <c r="H13" s="50"/>
      <c r="I13" s="50"/>
      <c r="J13" s="50"/>
      <c r="K13" s="50"/>
      <c r="L13" s="50"/>
      <c r="M13" s="50"/>
      <c r="N13" s="50"/>
      <c r="O13" s="50"/>
      <c r="P13" s="50"/>
      <c r="Q13" s="50"/>
      <c r="R13" s="51"/>
      <c r="S13" s="11"/>
    </row>
    <row r="14" spans="1:21" x14ac:dyDescent="0.25">
      <c r="A14" s="42" t="s">
        <v>17</v>
      </c>
      <c r="B14" s="43"/>
      <c r="C14" s="43"/>
      <c r="D14" s="43"/>
      <c r="E14" s="43"/>
      <c r="F14" s="43"/>
      <c r="G14" s="43"/>
      <c r="H14" s="43"/>
      <c r="I14" s="43"/>
      <c r="J14" s="43"/>
      <c r="K14" s="43"/>
      <c r="L14" s="43"/>
      <c r="M14" s="43"/>
      <c r="N14" s="43"/>
      <c r="O14" s="43"/>
      <c r="P14" s="43"/>
      <c r="Q14" s="43"/>
      <c r="R14" s="44"/>
      <c r="S14" s="11"/>
    </row>
    <row r="15" spans="1:21" x14ac:dyDescent="0.25">
      <c r="S15" s="11"/>
    </row>
    <row r="16" spans="1:21" ht="18.75" x14ac:dyDescent="0.3">
      <c r="P16" s="41" t="s">
        <v>27</v>
      </c>
      <c r="Q16" s="41"/>
      <c r="S16" s="11"/>
    </row>
    <row r="17" spans="3:21" ht="15.75" x14ac:dyDescent="0.25">
      <c r="I17" s="20" t="s">
        <v>23</v>
      </c>
      <c r="J17" s="22">
        <v>925000</v>
      </c>
      <c r="M17">
        <f>1034/10.764</f>
        <v>96.060943887030845</v>
      </c>
      <c r="P17" s="28" t="s">
        <v>26</v>
      </c>
      <c r="Q17" s="22">
        <f>Q18*2700</f>
        <v>29700000</v>
      </c>
      <c r="S17" s="11"/>
    </row>
    <row r="18" spans="3:21" ht="15.75" x14ac:dyDescent="0.25">
      <c r="C18" s="16">
        <f>4*3.28</f>
        <v>13.12</v>
      </c>
      <c r="I18" s="20" t="s">
        <v>24</v>
      </c>
      <c r="J18" s="22">
        <f>12000*2700</f>
        <v>32400000</v>
      </c>
      <c r="P18" s="28" t="s">
        <v>27</v>
      </c>
      <c r="Q18" s="22">
        <v>11000</v>
      </c>
      <c r="R18" s="19">
        <v>14000</v>
      </c>
      <c r="S18" s="31">
        <f>R18*83.6</f>
        <v>1170400</v>
      </c>
      <c r="U18">
        <f>1992.37/2</f>
        <v>996.18499999999995</v>
      </c>
    </row>
    <row r="19" spans="3:21" ht="12.75" customHeight="1" x14ac:dyDescent="0.25">
      <c r="I19" s="20" t="s">
        <v>25</v>
      </c>
      <c r="J19" s="22">
        <f>R10</f>
        <v>17613939.199999999</v>
      </c>
      <c r="P19" s="30" t="s">
        <v>30</v>
      </c>
      <c r="Q19" s="31"/>
      <c r="R19" s="19">
        <f>(0.9/60)*2</f>
        <v>3.0000000000000002E-2</v>
      </c>
      <c r="S19" s="11"/>
    </row>
    <row r="20" spans="3:21" ht="15" customHeight="1" x14ac:dyDescent="0.25">
      <c r="I20" s="21" t="s">
        <v>20</v>
      </c>
      <c r="J20" s="33">
        <f>J19+J18+J17</f>
        <v>50938939.200000003</v>
      </c>
      <c r="M20" s="29">
        <f>J18+J19</f>
        <v>50013939.200000003</v>
      </c>
      <c r="S20" s="11">
        <f>S18*R19</f>
        <v>35112</v>
      </c>
    </row>
    <row r="21" spans="3:21" ht="18" customHeight="1" x14ac:dyDescent="0.25">
      <c r="I21" s="21" t="s">
        <v>22</v>
      </c>
      <c r="J21" s="23">
        <f>ROUND(J20,-5)</f>
        <v>50900000</v>
      </c>
      <c r="Q21" s="32">
        <f>Q17+Q19</f>
        <v>29700000</v>
      </c>
      <c r="S21" s="11"/>
    </row>
    <row r="22" spans="3:21" x14ac:dyDescent="0.25">
      <c r="F22" s="20" t="s">
        <v>18</v>
      </c>
      <c r="G22" s="24">
        <f>0.85*J21</f>
        <v>43265000</v>
      </c>
      <c r="J22" t="s">
        <v>37</v>
      </c>
      <c r="S22" s="11"/>
    </row>
    <row r="23" spans="3:21" x14ac:dyDescent="0.25">
      <c r="F23" s="20" t="s">
        <v>19</v>
      </c>
      <c r="G23" s="24">
        <f>0.75*J21</f>
        <v>38175000</v>
      </c>
      <c r="N23">
        <v>101.71</v>
      </c>
      <c r="O23">
        <v>14000</v>
      </c>
      <c r="P23">
        <f>N23*O23</f>
        <v>1423940</v>
      </c>
      <c r="Q23">
        <f>P23*0.015*15</f>
        <v>320386.5</v>
      </c>
      <c r="R23" s="19">
        <f>P23-Q23</f>
        <v>1103553.5</v>
      </c>
      <c r="S23" s="11"/>
    </row>
    <row r="24" spans="3:21" ht="15" customHeight="1" x14ac:dyDescent="0.25">
      <c r="N24">
        <v>83.28</v>
      </c>
      <c r="O24">
        <v>14000</v>
      </c>
      <c r="P24">
        <f>N24*O24</f>
        <v>1165920</v>
      </c>
      <c r="Q24">
        <f>P24*0.015*8</f>
        <v>139910.39999999999</v>
      </c>
      <c r="R24" s="19">
        <f>P24-Q24</f>
        <v>1026009.6</v>
      </c>
      <c r="S24" s="11"/>
    </row>
    <row r="25" spans="3:21" x14ac:dyDescent="0.25">
      <c r="N25">
        <v>18.28</v>
      </c>
      <c r="O25">
        <v>14000</v>
      </c>
      <c r="P25">
        <f>N25*O25</f>
        <v>255920.00000000003</v>
      </c>
      <c r="Q25">
        <f>P25*0.015*8</f>
        <v>30710.400000000001</v>
      </c>
      <c r="R25" s="19">
        <f>P25-Q25</f>
        <v>225209.60000000003</v>
      </c>
    </row>
    <row r="26" spans="3:21" x14ac:dyDescent="0.25">
      <c r="O26" t="s">
        <v>29</v>
      </c>
      <c r="P26">
        <f>P23+P24+P25</f>
        <v>2845780</v>
      </c>
      <c r="R26" s="19">
        <f>R23+R24+R25</f>
        <v>2354772.7000000002</v>
      </c>
      <c r="S26" s="7"/>
      <c r="T26" s="4"/>
      <c r="U26" s="4"/>
    </row>
    <row r="28" spans="3:21" x14ac:dyDescent="0.25">
      <c r="J28" s="37">
        <f>J19*0.8</f>
        <v>14091151.359999999</v>
      </c>
    </row>
    <row r="30" spans="3:21" x14ac:dyDescent="0.25">
      <c r="M30">
        <f>21040/10.764</f>
        <v>1954.6636937941287</v>
      </c>
    </row>
    <row r="33" spans="10:12" x14ac:dyDescent="0.25">
      <c r="J33">
        <f>210*5000</f>
        <v>1050000</v>
      </c>
      <c r="K33">
        <f>0.9/60</f>
        <v>1.5000000000000001E-2</v>
      </c>
      <c r="L33">
        <v>8</v>
      </c>
    </row>
    <row r="34" spans="10:12" x14ac:dyDescent="0.25">
      <c r="J34">
        <f>J33*K34</f>
        <v>126000.00000000001</v>
      </c>
      <c r="K34">
        <f>K33*L33</f>
        <v>0.12000000000000001</v>
      </c>
    </row>
    <row r="35" spans="10:12" ht="15" customHeight="1" x14ac:dyDescent="0.25">
      <c r="J35">
        <f>J33-J34</f>
        <v>924000</v>
      </c>
    </row>
  </sheetData>
  <mergeCells count="8">
    <mergeCell ref="A2:R2"/>
    <mergeCell ref="P16:Q16"/>
    <mergeCell ref="A14:R14"/>
    <mergeCell ref="A10:D10"/>
    <mergeCell ref="G10:M10"/>
    <mergeCell ref="A12:R12"/>
    <mergeCell ref="A13:R13"/>
    <mergeCell ref="A11:R11"/>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17"/>
      <c r="C5" s="17"/>
      <c r="D5" s="17"/>
      <c r="E5" s="18"/>
    </row>
    <row r="6" spans="2:5" x14ac:dyDescent="0.25">
      <c r="B6" s="2"/>
      <c r="C6" s="2"/>
      <c r="D6" s="2"/>
      <c r="E6" s="2"/>
    </row>
    <row r="7" spans="2:5" x14ac:dyDescent="0.25">
      <c r="B7" s="2"/>
      <c r="C7" s="2"/>
      <c r="D7" s="2"/>
      <c r="E7" s="2"/>
    </row>
    <row r="8" spans="2:5" x14ac:dyDescent="0.25">
      <c r="B8" s="2"/>
      <c r="C8" s="2"/>
      <c r="D8" s="2"/>
      <c r="E8" s="2"/>
    </row>
    <row r="9" spans="2:5" x14ac:dyDescent="0.25">
      <c r="B9" s="55"/>
      <c r="C9" s="56"/>
      <c r="D9" s="57"/>
      <c r="E9" s="8"/>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Sheet3</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Rajani Gupta</cp:lastModifiedBy>
  <cp:lastPrinted>2022-01-07T08:12:53Z</cp:lastPrinted>
  <dcterms:created xsi:type="dcterms:W3CDTF">2021-09-16T11:33:35Z</dcterms:created>
  <dcterms:modified xsi:type="dcterms:W3CDTF">2023-07-24T09:18:59Z</dcterms:modified>
</cp:coreProperties>
</file>