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Vishal Singh\Review\Riyadiya Agro Farms LLP\"/>
    </mc:Choice>
  </mc:AlternateContent>
  <bookViews>
    <workbookView xWindow="0" yWindow="0" windowWidth="15105" windowHeight="8385" activeTab="4"/>
  </bookViews>
  <sheets>
    <sheet name="Status" sheetId="1" r:id="rId1"/>
    <sheet name="% completion" sheetId="5" r:id="rId2"/>
    <sheet name="Building Sheet" sheetId="3" r:id="rId3"/>
    <sheet name="Construction Cost" sheetId="4" r:id="rId4"/>
    <sheet name="Expenses" sheetId="6" r:id="rId5"/>
    <sheet name="Sheet1" sheetId="7" r:id="rId6"/>
    <sheet name="Cost Summary" sheetId="2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7" l="1"/>
  <c r="G8" i="7"/>
  <c r="E17" i="6" l="1"/>
  <c r="G3" i="6"/>
  <c r="M16" i="6"/>
  <c r="N14" i="6"/>
  <c r="N15" i="6" s="1"/>
  <c r="N12" i="6" l="1"/>
  <c r="M15" i="6"/>
  <c r="N13" i="6"/>
  <c r="E19" i="6"/>
  <c r="E18" i="6"/>
  <c r="E16" i="6"/>
  <c r="I3" i="6" l="1"/>
  <c r="G6" i="6"/>
  <c r="I6" i="6" s="1"/>
  <c r="G7" i="6"/>
  <c r="I7" i="6" s="1"/>
  <c r="G8" i="6"/>
  <c r="G9" i="6"/>
  <c r="I9" i="6" s="1"/>
  <c r="G10" i="6"/>
  <c r="I10" i="6" s="1"/>
  <c r="D5" i="6"/>
  <c r="G5" i="6" s="1"/>
  <c r="I5" i="6" s="1"/>
  <c r="G4" i="6"/>
  <c r="I4" i="6" s="1"/>
  <c r="I11" i="6" l="1"/>
  <c r="I13" i="6" s="1"/>
  <c r="H7" i="3"/>
  <c r="H8" i="3"/>
  <c r="H9" i="3"/>
  <c r="H10" i="3"/>
  <c r="H11" i="3"/>
  <c r="H6" i="3"/>
  <c r="H5" i="3"/>
  <c r="AA10" i="4" l="1"/>
  <c r="Z6" i="4"/>
  <c r="F17" i="1" l="1"/>
  <c r="Q42" i="4" l="1"/>
  <c r="Q7" i="4"/>
  <c r="Q8" i="4"/>
  <c r="Q9" i="4"/>
  <c r="Q10" i="4"/>
  <c r="Q11" i="4"/>
  <c r="Q12" i="4"/>
  <c r="Q14" i="4"/>
  <c r="Q15" i="4"/>
  <c r="Q16" i="4"/>
  <c r="Q17" i="4"/>
  <c r="Q18" i="4"/>
  <c r="Q19" i="4"/>
  <c r="Q20" i="4"/>
  <c r="Q21" i="4"/>
  <c r="Q23" i="4"/>
  <c r="Q24" i="4"/>
  <c r="Q25" i="4"/>
  <c r="Q29" i="4"/>
  <c r="Q30" i="4"/>
  <c r="Q31" i="4"/>
  <c r="Q32" i="4"/>
  <c r="Q33" i="4"/>
  <c r="Q34" i="4"/>
  <c r="Q36" i="4"/>
  <c r="Q37" i="4"/>
  <c r="Q38" i="4"/>
  <c r="Q39" i="4"/>
  <c r="Q5" i="4"/>
  <c r="G74" i="4" l="1"/>
  <c r="G73" i="4"/>
  <c r="F67" i="4"/>
  <c r="G67" i="4" s="1"/>
  <c r="L66" i="4"/>
  <c r="G63" i="4"/>
  <c r="G65" i="4" s="1"/>
  <c r="G62" i="4"/>
  <c r="F58" i="4"/>
  <c r="G58" i="4" s="1"/>
  <c r="AB51" i="4"/>
  <c r="AB50" i="4"/>
  <c r="AB49" i="4"/>
  <c r="V47" i="4"/>
  <c r="AC38" i="4"/>
  <c r="N38" i="4"/>
  <c r="P38" i="4" s="1"/>
  <c r="M38" i="4"/>
  <c r="S38" i="4"/>
  <c r="N37" i="4"/>
  <c r="P37" i="4" s="1"/>
  <c r="M37" i="4"/>
  <c r="S37" i="4"/>
  <c r="N36" i="4"/>
  <c r="P36" i="4" s="1"/>
  <c r="T36" i="4" s="1"/>
  <c r="M36" i="4"/>
  <c r="S36" i="4"/>
  <c r="Z35" i="4"/>
  <c r="AA36" i="4" s="1"/>
  <c r="P35" i="4"/>
  <c r="T35" i="4" s="1"/>
  <c r="N35" i="4"/>
  <c r="M35" i="4"/>
  <c r="S35" i="4"/>
  <c r="P34" i="4"/>
  <c r="T34" i="4" s="1"/>
  <c r="N34" i="4"/>
  <c r="M34" i="4"/>
  <c r="S34" i="4"/>
  <c r="Z33" i="4"/>
  <c r="N33" i="4"/>
  <c r="P33" i="4" s="1"/>
  <c r="M33" i="4"/>
  <c r="Z26" i="4"/>
  <c r="M26" i="4"/>
  <c r="S26" i="4"/>
  <c r="E26" i="4"/>
  <c r="N26" i="4" s="1"/>
  <c r="P26" i="4" s="1"/>
  <c r="T26" i="4" s="1"/>
  <c r="I47" i="4" l="1"/>
  <c r="T38" i="4"/>
  <c r="T33" i="4"/>
  <c r="T37" i="4"/>
  <c r="U37" i="4" s="1"/>
  <c r="W37" i="4" s="1"/>
  <c r="U38" i="4"/>
  <c r="W38" i="4" s="1"/>
  <c r="I58" i="4"/>
  <c r="U26" i="4"/>
  <c r="W26" i="4" s="1"/>
  <c r="U34" i="4"/>
  <c r="W34" i="4" s="1"/>
  <c r="U35" i="4"/>
  <c r="W35" i="4" s="1"/>
  <c r="U36" i="4"/>
  <c r="W36" i="4" s="1"/>
  <c r="S33" i="4"/>
  <c r="G64" i="4"/>
  <c r="Q6" i="3"/>
  <c r="Q9" i="3"/>
  <c r="Q10" i="3"/>
  <c r="G38" i="3"/>
  <c r="G37" i="3"/>
  <c r="F31" i="3"/>
  <c r="G31" i="3" s="1"/>
  <c r="K30" i="3"/>
  <c r="G27" i="3"/>
  <c r="G29" i="3" s="1"/>
  <c r="G26" i="3"/>
  <c r="F22" i="3"/>
  <c r="G22" i="3" s="1"/>
  <c r="Z15" i="3"/>
  <c r="Z14" i="3"/>
  <c r="T12" i="3"/>
  <c r="AA11" i="3"/>
  <c r="M11" i="3"/>
  <c r="O11" i="3" s="1"/>
  <c r="L11" i="3"/>
  <c r="Q11" i="3"/>
  <c r="M10" i="3"/>
  <c r="O10" i="3" s="1"/>
  <c r="L10" i="3"/>
  <c r="M9" i="3"/>
  <c r="O9" i="3" s="1"/>
  <c r="L9" i="3"/>
  <c r="X8" i="3"/>
  <c r="Y9" i="3" s="1"/>
  <c r="M8" i="3"/>
  <c r="O8" i="3" s="1"/>
  <c r="L8" i="3"/>
  <c r="Q8" i="3"/>
  <c r="M7" i="3"/>
  <c r="O7" i="3" s="1"/>
  <c r="L7" i="3"/>
  <c r="Q7" i="3"/>
  <c r="X6" i="3"/>
  <c r="M6" i="3"/>
  <c r="O6" i="3" s="1"/>
  <c r="L6" i="3"/>
  <c r="X5" i="3"/>
  <c r="L5" i="3"/>
  <c r="E5" i="3"/>
  <c r="M5" i="3" s="1"/>
  <c r="O5" i="3" s="1"/>
  <c r="U33" i="4" l="1"/>
  <c r="W33" i="4" s="1"/>
  <c r="W47" i="4" s="1"/>
  <c r="S47" i="4"/>
  <c r="S55" i="4" s="1"/>
  <c r="R5" i="3"/>
  <c r="R8" i="3"/>
  <c r="S8" i="3" s="1"/>
  <c r="U8" i="3" s="1"/>
  <c r="R9" i="3"/>
  <c r="S9" i="3" s="1"/>
  <c r="U9" i="3" s="1"/>
  <c r="R7" i="3"/>
  <c r="R10" i="3"/>
  <c r="S10" i="3" s="1"/>
  <c r="U10" i="3" s="1"/>
  <c r="R11" i="3"/>
  <c r="S11" i="3" s="1"/>
  <c r="U11" i="3" s="1"/>
  <c r="R6" i="3"/>
  <c r="S6" i="3" s="1"/>
  <c r="U6" i="3" s="1"/>
  <c r="H12" i="3"/>
  <c r="Q5" i="3"/>
  <c r="H22" i="3"/>
  <c r="G28" i="3"/>
  <c r="Y47" i="4" l="1"/>
  <c r="G59" i="4"/>
  <c r="Z48" i="4"/>
  <c r="S7" i="3"/>
  <c r="U7" i="3" s="1"/>
  <c r="Q12" i="3"/>
  <c r="Q19" i="3" s="1"/>
  <c r="S5" i="3"/>
  <c r="U5" i="3" s="1"/>
  <c r="G68" i="4" l="1"/>
  <c r="G61" i="4"/>
  <c r="U12" i="3"/>
  <c r="X13" i="3" s="1"/>
  <c r="G70" i="4" l="1"/>
  <c r="G71" i="4" s="1"/>
  <c r="G23" i="3"/>
  <c r="G32" i="3" s="1"/>
  <c r="W12" i="3"/>
  <c r="G25" i="3" l="1"/>
  <c r="G34" i="3"/>
  <c r="G35" i="3" s="1"/>
  <c r="C10" i="2" l="1"/>
</calcChain>
</file>

<file path=xl/sharedStrings.xml><?xml version="1.0" encoding="utf-8"?>
<sst xmlns="http://schemas.openxmlformats.org/spreadsheetml/2006/main" count="266" uniqueCount="175">
  <si>
    <t>Particulars</t>
  </si>
  <si>
    <t>Supplier/Vendor</t>
  </si>
  <si>
    <t>Status Achieved</t>
  </si>
  <si>
    <t>Quotation (Y/N)</t>
  </si>
  <si>
    <t>Received on site(Y/N)</t>
  </si>
  <si>
    <t>Installed(Y/N)</t>
  </si>
  <si>
    <t>Purchased (Y/N)</t>
  </si>
  <si>
    <t>Water Plant</t>
  </si>
  <si>
    <t>Netsol Water Solutions Pvt Ltd</t>
  </si>
  <si>
    <t>DSI Automatic Cage 4 Row 5 tier(one growing and 4 layer house)</t>
  </si>
  <si>
    <t>Mash feed Plant</t>
  </si>
  <si>
    <t>Silos</t>
  </si>
  <si>
    <t>DS ISPAT</t>
  </si>
  <si>
    <t>Sai Durga Agrotech Industries</t>
  </si>
  <si>
    <t>Sai Durga Industries</t>
  </si>
  <si>
    <t>Purchase Basic Amount(In CR.)</t>
  </si>
  <si>
    <t>S. No</t>
  </si>
  <si>
    <t>In Rs. In Cr.</t>
  </si>
  <si>
    <t>Land Development/Building/Other Civil Works</t>
  </si>
  <si>
    <t>Plant &amp; Machinery</t>
  </si>
  <si>
    <t>Electrical Installation</t>
  </si>
  <si>
    <t>Furniture &amp; Fixture</t>
  </si>
  <si>
    <t>Security Deposit</t>
  </si>
  <si>
    <t>Others</t>
  </si>
  <si>
    <t>Working Capital Margin</t>
  </si>
  <si>
    <t>Total</t>
  </si>
  <si>
    <t>Start Date</t>
  </si>
  <si>
    <t>End Date</t>
  </si>
  <si>
    <t>31/12/2024</t>
  </si>
  <si>
    <t>Purchase Basic Amount In Rs.(In CR.)</t>
  </si>
  <si>
    <t>YES</t>
  </si>
  <si>
    <t>NO</t>
  </si>
  <si>
    <t>SR. No.</t>
  </si>
  <si>
    <t>Type of Structure</t>
  </si>
  <si>
    <t>L</t>
  </si>
  <si>
    <t>B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</si>
  <si>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</si>
  <si>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</si>
  <si>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</si>
  <si>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</si>
  <si>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</si>
  <si>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</si>
  <si>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</si>
  <si>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</si>
  <si>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</si>
  <si>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>Depreciation</t>
  </si>
  <si>
    <t>Depreciated Value
(INR)</t>
  </si>
  <si>
    <t>Discounting Factor</t>
  </si>
  <si>
    <t>Depreciated Replacement Market Value
(INR)</t>
  </si>
  <si>
    <t>Tin Shed</t>
  </si>
  <si>
    <t>Remarks:</t>
  </si>
  <si>
    <t>Land</t>
  </si>
  <si>
    <t>Building</t>
  </si>
  <si>
    <t>Boundary</t>
  </si>
  <si>
    <t>Floors</t>
  </si>
  <si>
    <t>G+1</t>
  </si>
  <si>
    <r>
      <t xml:space="preserve">Height </t>
    </r>
    <r>
      <rPr>
        <b/>
        <i/>
        <sz val="10"/>
        <rFont val="Calibri"/>
        <family val="2"/>
        <scheme val="minor"/>
      </rPr>
      <t>(in feet)</t>
    </r>
  </si>
  <si>
    <t>Building Sheet For Riya Diya Agro Farms LLP, Village Baranata, Chakulia, Purbi Singbhum, Jharkhand</t>
  </si>
  <si>
    <t>Grooming and Breeding Shed</t>
  </si>
  <si>
    <t>Administrative Building</t>
  </si>
  <si>
    <t>Layer 1</t>
  </si>
  <si>
    <t>Layer 2</t>
  </si>
  <si>
    <t>Layer 3</t>
  </si>
  <si>
    <t>Layer 4</t>
  </si>
  <si>
    <t>Food Mill</t>
  </si>
  <si>
    <t>Rate</t>
  </si>
  <si>
    <t>Amount</t>
  </si>
  <si>
    <t>Rate Approved</t>
  </si>
  <si>
    <t>Remarks</t>
  </si>
  <si>
    <t xml:space="preserve">Amount Approved </t>
  </si>
  <si>
    <t>Boundary Wall(RCC Slab Boundary)</t>
  </si>
  <si>
    <t>Land Survey</t>
  </si>
  <si>
    <t>Land Dressing</t>
  </si>
  <si>
    <t>Staff quarters</t>
  </si>
  <si>
    <t>Office</t>
  </si>
  <si>
    <t>Breading And Grooming Shed</t>
  </si>
  <si>
    <t>Layer Sheds</t>
  </si>
  <si>
    <t>Labour Huts</t>
  </si>
  <si>
    <t>Boring</t>
  </si>
  <si>
    <t>Underground Water storage &amp; Over head tank</t>
  </si>
  <si>
    <t>Security Room</t>
  </si>
  <si>
    <t>Generator Room</t>
  </si>
  <si>
    <t>Food meal storage</t>
  </si>
  <si>
    <t>Elec Sub Station Room</t>
  </si>
  <si>
    <t>Misc Room</t>
  </si>
  <si>
    <t>Lab</t>
  </si>
  <si>
    <t>Mess and kitchen</t>
  </si>
  <si>
    <t>Silo civil work</t>
  </si>
  <si>
    <t>Parking Shed</t>
  </si>
  <si>
    <t>Toilet</t>
  </si>
  <si>
    <t>Changing Room</t>
  </si>
  <si>
    <t>Entry and exit gate</t>
  </si>
  <si>
    <t>Safety tank</t>
  </si>
  <si>
    <t>Wastage water storage</t>
  </si>
  <si>
    <t>Temple</t>
  </si>
  <si>
    <t>Pump room</t>
  </si>
  <si>
    <t>Egg store</t>
  </si>
  <si>
    <t>Guest House</t>
  </si>
  <si>
    <t>First Aid Room</t>
  </si>
  <si>
    <t>Green Development</t>
  </si>
  <si>
    <t>Disinfectant Area</t>
  </si>
  <si>
    <t>Drain for waste water</t>
  </si>
  <si>
    <t>Drain for rain water</t>
  </si>
  <si>
    <t>Internal Boundary</t>
  </si>
  <si>
    <t>Internal road</t>
  </si>
  <si>
    <t xml:space="preserve">Chimney </t>
  </si>
  <si>
    <t>Water Purifing Plant</t>
  </si>
  <si>
    <t>QTY</t>
  </si>
  <si>
    <t>Unit</t>
  </si>
  <si>
    <t>LS</t>
  </si>
  <si>
    <t>Total(Rs.)</t>
  </si>
  <si>
    <t>Store</t>
  </si>
  <si>
    <t>Labour Quarter</t>
  </si>
  <si>
    <t>Silo</t>
  </si>
  <si>
    <t>Boundary wall</t>
  </si>
  <si>
    <t>Land development</t>
  </si>
  <si>
    <t>Layer 1 Shed</t>
  </si>
  <si>
    <t>Layer 2 Shed</t>
  </si>
  <si>
    <t>Layer 3 Shed</t>
  </si>
  <si>
    <t>Layer 4 Shed</t>
  </si>
  <si>
    <t>Food Mill Shed</t>
  </si>
  <si>
    <t>Parameter</t>
  </si>
  <si>
    <t>Limits</t>
  </si>
  <si>
    <t>Total Dissolved Solids (TDS)</t>
  </si>
  <si>
    <t>Temperature</t>
  </si>
  <si>
    <t>pH</t>
  </si>
  <si>
    <t>Hardness</t>
  </si>
  <si>
    <t>Free Chlorine</t>
  </si>
  <si>
    <t>Turbidity</t>
  </si>
  <si>
    <t>SDI</t>
  </si>
  <si>
    <t>Iron (Fe)</t>
  </si>
  <si>
    <t>Organics</t>
  </si>
  <si>
    <t>Hydrogen Sulphide</t>
  </si>
  <si>
    <t>Upto 3500ppm(mg/L)</t>
  </si>
  <si>
    <t>40-100F(4-38Degree C)</t>
  </si>
  <si>
    <t>4-11</t>
  </si>
  <si>
    <t>&lt;280mg/L</t>
  </si>
  <si>
    <t>&lt;1mg/L</t>
  </si>
  <si>
    <t>&lt;1NTU</t>
  </si>
  <si>
    <t>&lt;0.1mg/L</t>
  </si>
  <si>
    <t>&lt; 2.5</t>
  </si>
  <si>
    <t>Not Allowed</t>
  </si>
  <si>
    <r>
      <t xml:space="preserve">2. </t>
    </r>
    <r>
      <rPr>
        <b/>
        <i/>
        <sz val="10"/>
        <color theme="1"/>
        <rFont val="Calibri"/>
        <family val="2"/>
        <scheme val="minor"/>
      </rPr>
      <t>All the structure that has been taken in the area statemnet belonging to M/S. Riya Diya Agro Farm LLP</t>
    </r>
  </si>
  <si>
    <r>
      <t>3.</t>
    </r>
    <r>
      <rPr>
        <b/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</si>
  <si>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from the sanctioned building sheet provided by the company only.</t>
    </r>
  </si>
  <si>
    <t>Grooming Shed</t>
  </si>
  <si>
    <t>Layer Shed</t>
  </si>
  <si>
    <t>Silo Excavation</t>
  </si>
  <si>
    <t>H</t>
  </si>
  <si>
    <t>Qty</t>
  </si>
  <si>
    <t>Sqft</t>
  </si>
  <si>
    <t>Earth Work</t>
  </si>
  <si>
    <t>m3</t>
  </si>
  <si>
    <t>Construction Cost</t>
  </si>
  <si>
    <t>P &amp; M</t>
  </si>
  <si>
    <t>Amount Finalised</t>
  </si>
  <si>
    <t>% Advance</t>
  </si>
  <si>
    <t>Advance amount</t>
  </si>
  <si>
    <t>Sai Durga</t>
  </si>
  <si>
    <t>DS Ispat</t>
  </si>
  <si>
    <t>ADVANCES PAID</t>
  </si>
  <si>
    <t>AMOUNT INCURRED TILL 30.06.2023</t>
  </si>
  <si>
    <t>AMOUNT OF WORK DONE ON SITE</t>
  </si>
  <si>
    <t>PARTICULARS</t>
  </si>
  <si>
    <t>REMARKS</t>
  </si>
  <si>
    <t>Land Development, Building and other civil works.</t>
  </si>
  <si>
    <t>Plant, Machinery and equipment.</t>
  </si>
  <si>
    <t>Pre-operative Expenses</t>
  </si>
  <si>
    <t>Interest During Construction</t>
  </si>
  <si>
    <t>EXPENDITURE SHOWN BY COMPANY(In Rs. In Cr.)</t>
  </si>
  <si>
    <t>TOTAL ESTIMATED COST (In Rs. In Cr.)</t>
  </si>
  <si>
    <t>No information available</t>
  </si>
  <si>
    <t xml:space="preserve">Total </t>
  </si>
  <si>
    <t>Precast(Boundary Wall)</t>
  </si>
  <si>
    <t xml:space="preserve">Chain Link Fencing(Boundary Wall)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</si>
</sst>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_ ;_ @_ "/>
    <numFmt numFmtId="167" formatCode="_(* #,##0_);_(* \(#,##0\);_(* &quot;-&quot;??_);_(@_)"/>
    <numFmt numFmtId="168" formatCode="_ [$₹-4009]\ * #,##0.00_ ;_ [$₹-4009]\ * \-#,##0.00_ ;_ [$₹-4009]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1">
    <xf numFmtId="0" fontId="0" fillId="0" borderId="0" xfId="0"/>
    <xf numFmtId="0" fontId="0" fillId="2" borderId="7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5" fontId="0" fillId="0" borderId="0" xfId="1" applyNumberFormat="1" applyFont="1"/>
    <xf numFmtId="0" fontId="4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0" fillId="0" borderId="0" xfId="1" applyFont="1"/>
    <xf numFmtId="4" fontId="7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4" fillId="5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3" fontId="4" fillId="0" borderId="10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4" fillId="5" borderId="10" xfId="1" applyFont="1" applyFill="1" applyBorder="1" applyAlignment="1">
      <alignment horizontal="center" vertical="center" wrapText="1"/>
    </xf>
    <xf numFmtId="165" fontId="4" fillId="5" borderId="10" xfId="1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0" fontId="0" fillId="0" borderId="0" xfId="0" applyAlignment="1">
      <alignment wrapText="1"/>
    </xf>
    <xf numFmtId="0" fontId="0" fillId="5" borderId="0" xfId="0" applyFill="1"/>
    <xf numFmtId="166" fontId="0" fillId="0" borderId="0" xfId="0" applyNumberFormat="1"/>
    <xf numFmtId="165" fontId="0" fillId="0" borderId="0" xfId="0" applyNumberForma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5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9" fontId="6" fillId="5" borderId="10" xfId="0" applyNumberFormat="1" applyFont="1" applyFill="1" applyBorder="1" applyAlignment="1">
      <alignment horizontal="center" vertical="center" wrapText="1"/>
    </xf>
    <xf numFmtId="2" fontId="6" fillId="5" borderId="10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5" borderId="10" xfId="0" applyNumberFormat="1" applyFont="1" applyFill="1" applyBorder="1" applyAlignment="1">
      <alignment horizontal="center" vertical="center" wrapText="1"/>
    </xf>
    <xf numFmtId="2" fontId="4" fillId="5" borderId="10" xfId="0" applyNumberFormat="1" applyFont="1" applyFill="1" applyBorder="1" applyAlignment="1">
      <alignment horizontal="center" vertical="center" wrapText="1"/>
    </xf>
    <xf numFmtId="167" fontId="6" fillId="0" borderId="1" xfId="1" applyNumberFormat="1" applyFont="1" applyFill="1" applyBorder="1" applyAlignment="1">
      <alignment horizontal="center" vertical="center" wrapText="1"/>
    </xf>
    <xf numFmtId="167" fontId="4" fillId="5" borderId="10" xfId="1" applyNumberFormat="1" applyFont="1" applyFill="1" applyBorder="1" applyAlignment="1">
      <alignment horizontal="center" vertical="center" wrapText="1"/>
    </xf>
    <xf numFmtId="167" fontId="6" fillId="5" borderId="1" xfId="1" applyNumberFormat="1" applyFont="1" applyFill="1" applyBorder="1" applyAlignment="1">
      <alignment horizontal="center" vertical="center" wrapText="1"/>
    </xf>
    <xf numFmtId="167" fontId="6" fillId="0" borderId="1" xfId="1" applyNumberFormat="1" applyFont="1" applyBorder="1" applyAlignment="1">
      <alignment horizontal="center" vertical="center" wrapText="1"/>
    </xf>
    <xf numFmtId="167" fontId="6" fillId="0" borderId="10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9" fontId="0" fillId="0" borderId="0" xfId="2" applyFon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6" fillId="4" borderId="1" xfId="0" applyNumberFormat="1" applyFont="1" applyFill="1" applyBorder="1" applyAlignment="1">
      <alignment horizontal="center" vertical="center" wrapText="1"/>
    </xf>
    <xf numFmtId="43" fontId="1" fillId="0" borderId="0" xfId="1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10" fillId="0" borderId="16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>
      <alignment horizontal="center" wrapText="1"/>
    </xf>
    <xf numFmtId="168" fontId="0" fillId="0" borderId="0" xfId="0" applyNumberFormat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8" fontId="1" fillId="0" borderId="1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'% completion'!$B$3:$B$14</c:f>
              <c:strCache>
                <c:ptCount val="12"/>
                <c:pt idx="0">
                  <c:v>Boundary wall</c:v>
                </c:pt>
                <c:pt idx="1">
                  <c:v>Land development</c:v>
                </c:pt>
                <c:pt idx="2">
                  <c:v>Administrative Building</c:v>
                </c:pt>
                <c:pt idx="3">
                  <c:v>Grooming and Breeding Shed</c:v>
                </c:pt>
                <c:pt idx="4">
                  <c:v>Layer 1 Shed</c:v>
                </c:pt>
                <c:pt idx="5">
                  <c:v>Layer 2 Shed</c:v>
                </c:pt>
                <c:pt idx="6">
                  <c:v>Layer 3 Shed</c:v>
                </c:pt>
                <c:pt idx="7">
                  <c:v>Layer 4 Shed</c:v>
                </c:pt>
                <c:pt idx="8">
                  <c:v>Food Mill Shed</c:v>
                </c:pt>
                <c:pt idx="9">
                  <c:v>Store</c:v>
                </c:pt>
                <c:pt idx="10">
                  <c:v>Labour Quarter</c:v>
                </c:pt>
                <c:pt idx="11">
                  <c:v>Silo</c:v>
                </c:pt>
              </c:strCache>
            </c:strRef>
          </c:cat>
          <c:val>
            <c:numRef>
              <c:f>'% completion'!$C$3:$C$14</c:f>
              <c:numCache>
                <c:formatCode>0%</c:formatCode>
                <c:ptCount val="12"/>
                <c:pt idx="0">
                  <c:v>1</c:v>
                </c:pt>
                <c:pt idx="1">
                  <c:v>0.5</c:v>
                </c:pt>
                <c:pt idx="2">
                  <c:v>0</c:v>
                </c:pt>
                <c:pt idx="3">
                  <c:v>0.4</c:v>
                </c:pt>
                <c:pt idx="4">
                  <c:v>0.35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0.7</c:v>
                </c:pt>
                <c:pt idx="11">
                  <c:v>0.05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54294952"/>
        <c:axId val="254296128"/>
      </c:barChart>
      <c:catAx>
        <c:axId val="254294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296128"/>
        <c:crosses val="autoZero"/>
        <c:auto val="1"/>
        <c:lblAlgn val="ctr"/>
        <c:lblOffset val="100"/>
        <c:noMultiLvlLbl val="0"/>
      </c:catAx>
      <c:valAx>
        <c:axId val="25429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294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'Cost Summary'!$B$3:$B$9</c:f>
              <c:strCache>
                <c:ptCount val="7"/>
                <c:pt idx="0">
                  <c:v>Land Development/Building/Other Civil Works</c:v>
                </c:pt>
                <c:pt idx="1">
                  <c:v>Plant &amp; Machinery</c:v>
                </c:pt>
                <c:pt idx="2">
                  <c:v>Electrical Installation</c:v>
                </c:pt>
                <c:pt idx="3">
                  <c:v>Furniture &amp; Fixture</c:v>
                </c:pt>
                <c:pt idx="4">
                  <c:v>Security Deposit</c:v>
                </c:pt>
                <c:pt idx="5">
                  <c:v>Others</c:v>
                </c:pt>
                <c:pt idx="6">
                  <c:v>Working Capital Margin</c:v>
                </c:pt>
              </c:strCache>
            </c:strRef>
          </c:cat>
          <c:val>
            <c:numRef>
              <c:f>'Cost Summary'!$C$3:$C$9</c:f>
              <c:numCache>
                <c:formatCode>General</c:formatCode>
                <c:ptCount val="7"/>
                <c:pt idx="0">
                  <c:v>11.72</c:v>
                </c:pt>
                <c:pt idx="1">
                  <c:v>8.66</c:v>
                </c:pt>
                <c:pt idx="2">
                  <c:v>0.41</c:v>
                </c:pt>
                <c:pt idx="3">
                  <c:v>0.06</c:v>
                </c:pt>
                <c:pt idx="4">
                  <c:v>0.02</c:v>
                </c:pt>
                <c:pt idx="5">
                  <c:v>1.42</c:v>
                </c:pt>
                <c:pt idx="6">
                  <c:v>1.66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1</xdr:row>
      <xdr:rowOff>138112</xdr:rowOff>
    </xdr:from>
    <xdr:to>
      <xdr:col>11</xdr:col>
      <xdr:colOff>85725</xdr:colOff>
      <xdr:row>10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886238</xdr:colOff>
      <xdr:row>0</xdr:row>
      <xdr:rowOff>0</xdr:rowOff>
    </xdr:from>
    <xdr:to>
      <xdr:col>10</xdr:col>
      <xdr:colOff>256760</xdr:colOff>
      <xdr:row>13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7"/>
  <sheetViews>
    <sheetView topLeftCell="C1" workbookViewId="0">
      <selection activeCell="C11" sqref="C11:J16"/>
    </sheetView>
  </sheetViews>
  <sheetFormatPr defaultRowHeight="15" x14ac:dyDescent="0.25"/>
  <cols>
    <col min="4" max="4" width="23.42578125" customWidth="1"/>
    <col min="5" max="5" width="20.7109375" customWidth="1"/>
    <col min="6" max="6" width="19.42578125" hidden="1" customWidth="1"/>
    <col min="7" max="7" width="10" bestFit="1" customWidth="1"/>
    <col min="8" max="8" width="10.7109375" customWidth="1"/>
    <col min="9" max="9" width="11.85546875" customWidth="1"/>
    <col min="10" max="10" width="13.85546875" customWidth="1"/>
  </cols>
  <sheetData>
    <row r="1" spans="3:10" ht="15.75" thickBot="1" x14ac:dyDescent="0.3"/>
    <row r="2" spans="3:10" x14ac:dyDescent="0.25">
      <c r="C2" s="76" t="s">
        <v>16</v>
      </c>
      <c r="D2" s="76" t="s">
        <v>0</v>
      </c>
      <c r="E2" s="78" t="s">
        <v>1</v>
      </c>
      <c r="F2" s="80" t="s">
        <v>15</v>
      </c>
      <c r="G2" s="74" t="s">
        <v>2</v>
      </c>
      <c r="H2" s="74"/>
      <c r="I2" s="74"/>
      <c r="J2" s="75"/>
    </row>
    <row r="3" spans="3:10" ht="30.75" thickBot="1" x14ac:dyDescent="0.3">
      <c r="C3" s="77"/>
      <c r="D3" s="77"/>
      <c r="E3" s="79"/>
      <c r="F3" s="81"/>
      <c r="G3" s="1" t="s">
        <v>3</v>
      </c>
      <c r="H3" s="1" t="s">
        <v>6</v>
      </c>
      <c r="I3" s="1" t="s">
        <v>4</v>
      </c>
      <c r="J3" s="14" t="s">
        <v>5</v>
      </c>
    </row>
    <row r="4" spans="3:10" ht="30" x14ac:dyDescent="0.25">
      <c r="C4" s="2">
        <v>1</v>
      </c>
      <c r="D4" s="2" t="s">
        <v>7</v>
      </c>
      <c r="E4" s="3" t="s">
        <v>8</v>
      </c>
      <c r="F4" s="4"/>
      <c r="G4" s="4"/>
      <c r="H4" s="4"/>
      <c r="I4" s="4"/>
      <c r="J4" s="5"/>
    </row>
    <row r="5" spans="3:10" ht="45" x14ac:dyDescent="0.25">
      <c r="C5" s="6">
        <v>2</v>
      </c>
      <c r="D5" s="6" t="s">
        <v>9</v>
      </c>
      <c r="E5" s="7" t="s">
        <v>12</v>
      </c>
      <c r="F5" s="8"/>
      <c r="G5" s="8"/>
      <c r="H5" s="8"/>
      <c r="I5" s="8"/>
      <c r="J5" s="9"/>
    </row>
    <row r="6" spans="3:10" ht="30" x14ac:dyDescent="0.25">
      <c r="C6" s="6">
        <v>3</v>
      </c>
      <c r="D6" s="6" t="s">
        <v>10</v>
      </c>
      <c r="E6" s="7" t="s">
        <v>13</v>
      </c>
      <c r="F6" s="8"/>
      <c r="G6" s="8"/>
      <c r="H6" s="8"/>
      <c r="I6" s="8"/>
      <c r="J6" s="9"/>
    </row>
    <row r="7" spans="3:10" ht="15.75" thickBot="1" x14ac:dyDescent="0.3">
      <c r="C7" s="10">
        <v>4</v>
      </c>
      <c r="D7" s="10" t="s">
        <v>11</v>
      </c>
      <c r="E7" s="11" t="s">
        <v>14</v>
      </c>
      <c r="F7" s="12"/>
      <c r="G7" s="12"/>
      <c r="H7" s="12"/>
      <c r="I7" s="12"/>
      <c r="J7" s="13"/>
    </row>
    <row r="11" spans="3:10" x14ac:dyDescent="0.25">
      <c r="C11" s="72" t="s">
        <v>16</v>
      </c>
      <c r="D11" s="72" t="s">
        <v>0</v>
      </c>
      <c r="E11" s="72" t="s">
        <v>1</v>
      </c>
      <c r="F11" s="73" t="s">
        <v>29</v>
      </c>
      <c r="G11" s="72" t="s">
        <v>2</v>
      </c>
      <c r="H11" s="72"/>
      <c r="I11" s="72"/>
      <c r="J11" s="72"/>
    </row>
    <row r="12" spans="3:10" ht="30" x14ac:dyDescent="0.25">
      <c r="C12" s="72"/>
      <c r="D12" s="72"/>
      <c r="E12" s="72"/>
      <c r="F12" s="73"/>
      <c r="G12" s="20" t="s">
        <v>3</v>
      </c>
      <c r="H12" s="20" t="s">
        <v>6</v>
      </c>
      <c r="I12" s="20" t="s">
        <v>4</v>
      </c>
      <c r="J12" s="18" t="s">
        <v>5</v>
      </c>
    </row>
    <row r="13" spans="3:10" ht="30" x14ac:dyDescent="0.25">
      <c r="C13" s="7">
        <v>1</v>
      </c>
      <c r="D13" s="7" t="s">
        <v>7</v>
      </c>
      <c r="E13" s="7" t="s">
        <v>8</v>
      </c>
      <c r="F13" s="8">
        <v>0.11</v>
      </c>
      <c r="G13" s="8" t="s">
        <v>30</v>
      </c>
      <c r="H13" s="8" t="s">
        <v>31</v>
      </c>
      <c r="I13" s="8" t="s">
        <v>31</v>
      </c>
      <c r="J13" s="8" t="s">
        <v>31</v>
      </c>
    </row>
    <row r="14" spans="3:10" ht="45" x14ac:dyDescent="0.25">
      <c r="C14" s="7">
        <v>2</v>
      </c>
      <c r="D14" s="7" t="s">
        <v>9</v>
      </c>
      <c r="E14" s="7" t="s">
        <v>12</v>
      </c>
      <c r="F14" s="8">
        <v>7.72</v>
      </c>
      <c r="G14" s="8" t="s">
        <v>30</v>
      </c>
      <c r="H14" s="8" t="s">
        <v>30</v>
      </c>
      <c r="I14" s="8" t="s">
        <v>31</v>
      </c>
      <c r="J14" s="8" t="s">
        <v>31</v>
      </c>
    </row>
    <row r="15" spans="3:10" ht="30" x14ac:dyDescent="0.25">
      <c r="C15" s="7">
        <v>3</v>
      </c>
      <c r="D15" s="7" t="s">
        <v>10</v>
      </c>
      <c r="E15" s="7" t="s">
        <v>13</v>
      </c>
      <c r="F15" s="8">
        <v>0.24</v>
      </c>
      <c r="G15" s="8" t="s">
        <v>30</v>
      </c>
      <c r="H15" s="8" t="s">
        <v>30</v>
      </c>
      <c r="I15" s="8" t="s">
        <v>31</v>
      </c>
      <c r="J15" s="8" t="s">
        <v>31</v>
      </c>
    </row>
    <row r="16" spans="3:10" x14ac:dyDescent="0.25">
      <c r="C16" s="7">
        <v>4</v>
      </c>
      <c r="D16" s="7" t="s">
        <v>11</v>
      </c>
      <c r="E16" s="7" t="s">
        <v>14</v>
      </c>
      <c r="F16" s="8">
        <v>0.59</v>
      </c>
      <c r="G16" s="8" t="s">
        <v>30</v>
      </c>
      <c r="H16" s="8" t="s">
        <v>30</v>
      </c>
      <c r="I16" s="8" t="s">
        <v>31</v>
      </c>
      <c r="J16" s="8" t="s">
        <v>31</v>
      </c>
    </row>
    <row r="17" spans="3:6" x14ac:dyDescent="0.25">
      <c r="C17" s="53"/>
      <c r="D17" s="53" t="s">
        <v>25</v>
      </c>
      <c r="E17" s="53"/>
      <c r="F17" s="53">
        <f>SUM(F13:F16)</f>
        <v>8.66</v>
      </c>
    </row>
  </sheetData>
  <mergeCells count="10">
    <mergeCell ref="G2:J2"/>
    <mergeCell ref="D2:D3"/>
    <mergeCell ref="E2:E3"/>
    <mergeCell ref="F2:F3"/>
    <mergeCell ref="C2:C3"/>
    <mergeCell ref="C11:C12"/>
    <mergeCell ref="D11:D12"/>
    <mergeCell ref="E11:E12"/>
    <mergeCell ref="F11:F12"/>
    <mergeCell ref="G11:J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9"/>
  <sheetViews>
    <sheetView workbookViewId="0">
      <selection activeCell="G19" sqref="G19"/>
    </sheetView>
  </sheetViews>
  <sheetFormatPr defaultRowHeight="15" x14ac:dyDescent="0.25"/>
  <cols>
    <col min="2" max="2" width="22" customWidth="1"/>
    <col min="16" max="16" width="25.85546875" bestFit="1" customWidth="1"/>
    <col min="17" max="17" width="21.140625" bestFit="1" customWidth="1"/>
  </cols>
  <sheetData>
    <row r="3" spans="2:17" x14ac:dyDescent="0.25">
      <c r="B3" t="s">
        <v>114</v>
      </c>
      <c r="C3" s="67">
        <v>1</v>
      </c>
    </row>
    <row r="4" spans="2:17" x14ac:dyDescent="0.25">
      <c r="B4" t="s">
        <v>115</v>
      </c>
      <c r="C4" s="67">
        <v>0.5</v>
      </c>
    </row>
    <row r="5" spans="2:17" ht="45.75" thickBot="1" x14ac:dyDescent="0.3">
      <c r="B5" s="65" t="s">
        <v>59</v>
      </c>
      <c r="C5" s="67">
        <v>0</v>
      </c>
    </row>
    <row r="6" spans="2:17" ht="60.75" thickBot="1" x14ac:dyDescent="0.3">
      <c r="B6" s="65" t="s">
        <v>58</v>
      </c>
      <c r="C6" s="67">
        <v>0.4</v>
      </c>
    </row>
    <row r="7" spans="2:17" ht="15.75" thickBot="1" x14ac:dyDescent="0.3">
      <c r="B7" s="65" t="s">
        <v>116</v>
      </c>
      <c r="C7" s="67">
        <v>0.35</v>
      </c>
    </row>
    <row r="8" spans="2:17" ht="15.75" thickBot="1" x14ac:dyDescent="0.3">
      <c r="B8" s="65" t="s">
        <v>117</v>
      </c>
      <c r="C8" s="67">
        <v>0</v>
      </c>
    </row>
    <row r="9" spans="2:17" ht="15.75" thickBot="1" x14ac:dyDescent="0.3">
      <c r="B9" s="65" t="s">
        <v>118</v>
      </c>
      <c r="C9" s="67">
        <v>0</v>
      </c>
      <c r="P9" s="64" t="s">
        <v>121</v>
      </c>
      <c r="Q9" s="64" t="s">
        <v>122</v>
      </c>
    </row>
    <row r="10" spans="2:17" ht="15.75" thickBot="1" x14ac:dyDescent="0.3">
      <c r="B10" s="65" t="s">
        <v>119</v>
      </c>
      <c r="C10" s="67">
        <v>0</v>
      </c>
      <c r="P10" s="68" t="s">
        <v>123</v>
      </c>
      <c r="Q10" s="68" t="s">
        <v>133</v>
      </c>
    </row>
    <row r="11" spans="2:17" ht="15.75" thickBot="1" x14ac:dyDescent="0.3">
      <c r="B11" s="65" t="s">
        <v>120</v>
      </c>
      <c r="C11" s="67">
        <v>0</v>
      </c>
      <c r="P11" s="68" t="s">
        <v>124</v>
      </c>
      <c r="Q11" s="68" t="s">
        <v>134</v>
      </c>
    </row>
    <row r="12" spans="2:17" x14ac:dyDescent="0.25">
      <c r="B12" s="66" t="s">
        <v>111</v>
      </c>
      <c r="C12" s="67">
        <v>1</v>
      </c>
      <c r="P12" s="68" t="s">
        <v>125</v>
      </c>
      <c r="Q12" s="69" t="s">
        <v>135</v>
      </c>
    </row>
    <row r="13" spans="2:17" x14ac:dyDescent="0.25">
      <c r="B13" s="66" t="s">
        <v>112</v>
      </c>
      <c r="C13" s="67">
        <v>0.7</v>
      </c>
      <c r="P13" s="68" t="s">
        <v>126</v>
      </c>
      <c r="Q13" s="68" t="s">
        <v>136</v>
      </c>
    </row>
    <row r="14" spans="2:17" x14ac:dyDescent="0.25">
      <c r="B14" s="66" t="s">
        <v>113</v>
      </c>
      <c r="C14" s="67">
        <v>0.05</v>
      </c>
      <c r="P14" s="68" t="s">
        <v>127</v>
      </c>
      <c r="Q14" s="68" t="s">
        <v>137</v>
      </c>
    </row>
    <row r="15" spans="2:17" x14ac:dyDescent="0.25">
      <c r="P15" s="68" t="s">
        <v>128</v>
      </c>
      <c r="Q15" s="68" t="s">
        <v>138</v>
      </c>
    </row>
    <row r="16" spans="2:17" x14ac:dyDescent="0.25">
      <c r="P16" s="68" t="s">
        <v>130</v>
      </c>
      <c r="Q16" s="68" t="s">
        <v>139</v>
      </c>
    </row>
    <row r="17" spans="16:17" x14ac:dyDescent="0.25">
      <c r="P17" s="68" t="s">
        <v>129</v>
      </c>
      <c r="Q17" s="68" t="s">
        <v>140</v>
      </c>
    </row>
    <row r="18" spans="16:17" x14ac:dyDescent="0.25">
      <c r="P18" s="68" t="s">
        <v>132</v>
      </c>
      <c r="Q18" s="68" t="s">
        <v>141</v>
      </c>
    </row>
    <row r="19" spans="16:17" x14ac:dyDescent="0.25">
      <c r="P19" s="68" t="s">
        <v>131</v>
      </c>
      <c r="Q19" s="68" t="s">
        <v>137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I40"/>
  <sheetViews>
    <sheetView workbookViewId="0">
      <selection activeCell="P6" sqref="P6:P11"/>
    </sheetView>
  </sheetViews>
  <sheetFormatPr defaultRowHeight="15" x14ac:dyDescent="0.25"/>
  <cols>
    <col min="1" max="1" width="7.42578125" customWidth="1"/>
    <col min="2" max="2" width="9" bestFit="1" customWidth="1"/>
    <col min="3" max="4" width="15.7109375" customWidth="1"/>
    <col min="5" max="6" width="8.85546875" style="40" customWidth="1"/>
    <col min="7" max="7" width="15.42578125" style="40" customWidth="1"/>
    <col min="8" max="8" width="13.7109375" customWidth="1"/>
    <col min="9" max="9" width="6.5703125" style="41" customWidth="1"/>
    <col min="10" max="10" width="6.5703125" customWidth="1"/>
    <col min="11" max="11" width="9.5703125" customWidth="1"/>
    <col min="12" max="12" width="10.42578125" customWidth="1"/>
    <col min="13" max="13" width="11" customWidth="1"/>
    <col min="14" max="14" width="7.85546875" customWidth="1"/>
    <col min="15" max="15" width="8.140625" customWidth="1"/>
    <col min="16" max="16" width="10.85546875" customWidth="1"/>
    <col min="17" max="17" width="15.42578125" customWidth="1"/>
    <col min="18" max="18" width="12.42578125" hidden="1" customWidth="1"/>
    <col min="19" max="19" width="13.42578125" hidden="1" customWidth="1"/>
    <col min="20" max="20" width="11.7109375" hidden="1" customWidth="1"/>
    <col min="21" max="21" width="15.28515625" customWidth="1"/>
    <col min="22" max="22" width="11.7109375" bestFit="1" customWidth="1"/>
    <col min="23" max="23" width="15.28515625" style="21" bestFit="1" customWidth="1"/>
    <col min="24" max="24" width="15.42578125" bestFit="1" customWidth="1"/>
    <col min="25" max="25" width="15.28515625" bestFit="1" customWidth="1"/>
    <col min="26" max="27" width="15.42578125" bestFit="1" customWidth="1"/>
    <col min="28" max="28" width="14.42578125" bestFit="1" customWidth="1"/>
    <col min="29" max="29" width="10.28515625" bestFit="1" customWidth="1"/>
    <col min="32" max="32" width="14.42578125" bestFit="1" customWidth="1"/>
  </cols>
  <sheetData>
    <row r="3" spans="2:35" ht="34.5" customHeight="1" x14ac:dyDescent="0.25">
      <c r="B3" s="85" t="s">
        <v>57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7"/>
    </row>
    <row r="4" spans="2:35" ht="75" x14ac:dyDescent="0.25">
      <c r="B4" s="22" t="s">
        <v>32</v>
      </c>
      <c r="C4" s="22" t="s">
        <v>0</v>
      </c>
      <c r="D4" s="22" t="s">
        <v>54</v>
      </c>
      <c r="E4" s="22" t="s">
        <v>33</v>
      </c>
      <c r="F4" s="22" t="s">
        <v>34</v>
      </c>
      <c r="G4" s="22" t="s">
        <v>35</v>
      </c>
      <c r="H4" s="22" t="s">
        <v>36</v>
      </c>
      <c r="I4" s="22" t="s">
        <v>56</v>
      </c>
      <c r="J4" s="22" t="s">
        <v>37</v>
      </c>
      <c r="K4" s="22" t="s">
        <v>38</v>
      </c>
      <c r="L4" s="22" t="s">
        <v>39</v>
      </c>
      <c r="M4" s="22" t="s">
        <v>40</v>
      </c>
      <c r="N4" s="22" t="s">
        <v>41</v>
      </c>
      <c r="O4" s="22" t="s">
        <v>42</v>
      </c>
      <c r="P4" s="22" t="s">
        <v>43</v>
      </c>
      <c r="Q4" s="22" t="s">
        <v>44</v>
      </c>
      <c r="R4" s="22" t="s">
        <v>45</v>
      </c>
      <c r="S4" s="22" t="s">
        <v>46</v>
      </c>
      <c r="T4" s="22" t="s">
        <v>47</v>
      </c>
      <c r="U4" s="22" t="s">
        <v>48</v>
      </c>
      <c r="W4"/>
    </row>
    <row r="5" spans="2:35" ht="30" x14ac:dyDescent="0.25">
      <c r="B5" s="23">
        <v>1</v>
      </c>
      <c r="C5" s="23" t="s">
        <v>59</v>
      </c>
      <c r="D5" s="23" t="s">
        <v>55</v>
      </c>
      <c r="E5" s="23" t="str">
        <f>IF(I5&gt;12,"Tin Shed","R.C.C")</f>
        <v>R.C.C</v>
      </c>
      <c r="F5" s="25">
        <v>18.099</v>
      </c>
      <c r="G5" s="25">
        <v>43.43</v>
      </c>
      <c r="H5" s="54">
        <f>(G5*F5)*2*10.7639</f>
        <v>16921.702655046</v>
      </c>
      <c r="I5" s="23">
        <v>10</v>
      </c>
      <c r="J5" s="23">
        <v>2023</v>
      </c>
      <c r="K5" s="23">
        <v>2023</v>
      </c>
      <c r="L5" s="23">
        <f>K5-J5</f>
        <v>0</v>
      </c>
      <c r="M5" s="23" t="str">
        <f>IF(E5="R.C.C","65","45")</f>
        <v>65</v>
      </c>
      <c r="N5" s="24">
        <v>0.1</v>
      </c>
      <c r="O5" s="25">
        <f>(1-N5)/M5</f>
        <v>1.3846153846153847E-2</v>
      </c>
      <c r="P5" s="54">
        <v>1500</v>
      </c>
      <c r="Q5" s="54">
        <f>P5*H5</f>
        <v>25382553.982568998</v>
      </c>
      <c r="R5" s="54">
        <f t="shared" ref="R5:R11" si="0">O5*L5</f>
        <v>0</v>
      </c>
      <c r="S5" s="54">
        <f t="shared" ref="S5:S11" si="1">Q5*R5</f>
        <v>0</v>
      </c>
      <c r="T5" s="70"/>
      <c r="U5" s="55">
        <f t="shared" ref="U5:U11" si="2">Q5-S5</f>
        <v>25382553.982568998</v>
      </c>
      <c r="V5">
        <v>86</v>
      </c>
      <c r="W5">
        <v>56</v>
      </c>
      <c r="X5">
        <f>W5*V5</f>
        <v>4816</v>
      </c>
    </row>
    <row r="6" spans="2:35" ht="30" x14ac:dyDescent="0.25">
      <c r="B6" s="23">
        <v>2</v>
      </c>
      <c r="C6" s="23" t="s">
        <v>58</v>
      </c>
      <c r="D6" s="23">
        <v>1</v>
      </c>
      <c r="E6" s="28" t="s">
        <v>49</v>
      </c>
      <c r="F6" s="25">
        <v>12.805999999999999</v>
      </c>
      <c r="G6" s="25">
        <v>77.751000000000005</v>
      </c>
      <c r="H6" s="54">
        <f>G6*F6*10.7639</f>
        <v>10717.3924818534</v>
      </c>
      <c r="I6" s="23">
        <v>45</v>
      </c>
      <c r="J6" s="23">
        <v>2023</v>
      </c>
      <c r="K6" s="23">
        <v>2023</v>
      </c>
      <c r="L6" s="23">
        <f t="shared" ref="L6:L11" si="3">K6-J6</f>
        <v>0</v>
      </c>
      <c r="M6" s="23" t="str">
        <f t="shared" ref="M6:M11" si="4">IF(E6="R.C.C","65","45")</f>
        <v>45</v>
      </c>
      <c r="N6" s="24">
        <v>0.1</v>
      </c>
      <c r="O6" s="25">
        <f t="shared" ref="O6:O11" si="5">(1-N6)/M6</f>
        <v>0.02</v>
      </c>
      <c r="P6" s="54">
        <v>800</v>
      </c>
      <c r="Q6" s="54">
        <f t="shared" ref="Q6:Q11" si="6">P6*H6</f>
        <v>8573913.9854827188</v>
      </c>
      <c r="R6" s="54">
        <f t="shared" si="0"/>
        <v>0</v>
      </c>
      <c r="S6" s="54">
        <f t="shared" si="1"/>
        <v>0</v>
      </c>
      <c r="T6" s="70"/>
      <c r="U6" s="55">
        <f t="shared" si="2"/>
        <v>8573913.9854827188</v>
      </c>
      <c r="V6">
        <v>70</v>
      </c>
      <c r="W6">
        <v>31</v>
      </c>
      <c r="X6">
        <f>W6*V6</f>
        <v>2170</v>
      </c>
    </row>
    <row r="7" spans="2:35" x14ac:dyDescent="0.25">
      <c r="B7" s="23">
        <v>3</v>
      </c>
      <c r="C7" s="23" t="s">
        <v>60</v>
      </c>
      <c r="D7" s="23">
        <v>1</v>
      </c>
      <c r="E7" s="28" t="s">
        <v>49</v>
      </c>
      <c r="F7" s="25">
        <v>12.4</v>
      </c>
      <c r="G7" s="25">
        <v>108.241</v>
      </c>
      <c r="H7" s="54">
        <f t="shared" ref="H7:H11" si="7">G7*F7*10.7639</f>
        <v>14447.181718759999</v>
      </c>
      <c r="I7" s="23">
        <v>45</v>
      </c>
      <c r="J7" s="23">
        <v>2023</v>
      </c>
      <c r="K7" s="23">
        <v>2023</v>
      </c>
      <c r="L7" s="23">
        <f t="shared" si="3"/>
        <v>0</v>
      </c>
      <c r="M7" s="23" t="str">
        <f t="shared" si="4"/>
        <v>45</v>
      </c>
      <c r="N7" s="24">
        <v>0.1</v>
      </c>
      <c r="O7" s="25">
        <f t="shared" si="5"/>
        <v>0.02</v>
      </c>
      <c r="P7" s="54">
        <v>800</v>
      </c>
      <c r="Q7" s="54">
        <f t="shared" si="6"/>
        <v>11557745.375008</v>
      </c>
      <c r="R7" s="54">
        <f t="shared" si="0"/>
        <v>0</v>
      </c>
      <c r="S7" s="54">
        <f t="shared" si="1"/>
        <v>0</v>
      </c>
      <c r="T7" s="70"/>
      <c r="U7" s="55">
        <f t="shared" si="2"/>
        <v>11557745.375008</v>
      </c>
      <c r="W7"/>
      <c r="X7">
        <v>262362</v>
      </c>
    </row>
    <row r="8" spans="2:35" x14ac:dyDescent="0.25">
      <c r="B8" s="23">
        <v>4</v>
      </c>
      <c r="C8" s="23" t="s">
        <v>61</v>
      </c>
      <c r="D8" s="23">
        <v>1</v>
      </c>
      <c r="E8" s="28" t="s">
        <v>49</v>
      </c>
      <c r="F8" s="27">
        <v>12.805999999999999</v>
      </c>
      <c r="G8" s="27">
        <v>108.241</v>
      </c>
      <c r="H8" s="54">
        <f t="shared" si="7"/>
        <v>14920.210410519398</v>
      </c>
      <c r="I8" s="23">
        <v>45</v>
      </c>
      <c r="J8" s="23">
        <v>2023</v>
      </c>
      <c r="K8" s="28">
        <v>2023</v>
      </c>
      <c r="L8" s="23">
        <f t="shared" si="3"/>
        <v>0</v>
      </c>
      <c r="M8" s="23" t="str">
        <f t="shared" si="4"/>
        <v>45</v>
      </c>
      <c r="N8" s="24">
        <v>0.1</v>
      </c>
      <c r="O8" s="25">
        <f t="shared" si="5"/>
        <v>0.02</v>
      </c>
      <c r="P8" s="54">
        <v>800</v>
      </c>
      <c r="Q8" s="54">
        <f t="shared" si="6"/>
        <v>11936168.328415519</v>
      </c>
      <c r="R8" s="54">
        <f t="shared" si="0"/>
        <v>0</v>
      </c>
      <c r="S8" s="54">
        <f t="shared" si="1"/>
        <v>0</v>
      </c>
      <c r="T8" s="70"/>
      <c r="U8" s="55">
        <f t="shared" si="2"/>
        <v>11936168.328415519</v>
      </c>
      <c r="W8"/>
      <c r="X8" s="29">
        <f>SUM(X7:X7)</f>
        <v>262362</v>
      </c>
      <c r="Y8">
        <v>10.763999999999999</v>
      </c>
    </row>
    <row r="9" spans="2:35" x14ac:dyDescent="0.25">
      <c r="B9" s="23">
        <v>5</v>
      </c>
      <c r="C9" s="23" t="s">
        <v>62</v>
      </c>
      <c r="D9" s="23">
        <v>1</v>
      </c>
      <c r="E9" s="28" t="s">
        <v>49</v>
      </c>
      <c r="F9" s="27">
        <v>12.805999999999999</v>
      </c>
      <c r="G9" s="27">
        <v>108.241</v>
      </c>
      <c r="H9" s="54">
        <f t="shared" si="7"/>
        <v>14920.210410519398</v>
      </c>
      <c r="I9" s="23">
        <v>45</v>
      </c>
      <c r="J9" s="23">
        <v>2023</v>
      </c>
      <c r="K9" s="28">
        <v>2023</v>
      </c>
      <c r="L9" s="23">
        <f t="shared" si="3"/>
        <v>0</v>
      </c>
      <c r="M9" s="23" t="str">
        <f t="shared" si="4"/>
        <v>45</v>
      </c>
      <c r="N9" s="24">
        <v>0.1</v>
      </c>
      <c r="O9" s="25">
        <f t="shared" si="5"/>
        <v>0.02</v>
      </c>
      <c r="P9" s="54">
        <v>800</v>
      </c>
      <c r="Q9" s="54">
        <f t="shared" si="6"/>
        <v>11936168.328415519</v>
      </c>
      <c r="R9" s="54">
        <f t="shared" si="0"/>
        <v>0</v>
      </c>
      <c r="S9" s="54">
        <f t="shared" si="1"/>
        <v>0</v>
      </c>
      <c r="T9" s="70"/>
      <c r="U9" s="55">
        <f t="shared" si="2"/>
        <v>11936168.328415519</v>
      </c>
      <c r="W9"/>
      <c r="Y9" s="29">
        <f>X8*Y8</f>
        <v>2824064.568</v>
      </c>
    </row>
    <row r="10" spans="2:35" x14ac:dyDescent="0.25">
      <c r="B10" s="23">
        <v>6</v>
      </c>
      <c r="C10" s="23" t="s">
        <v>63</v>
      </c>
      <c r="D10" s="23">
        <v>1</v>
      </c>
      <c r="E10" s="28" t="s">
        <v>49</v>
      </c>
      <c r="F10" s="27">
        <v>12.805999999999999</v>
      </c>
      <c r="G10" s="27">
        <v>108.241</v>
      </c>
      <c r="H10" s="54">
        <f t="shared" si="7"/>
        <v>14920.210410519398</v>
      </c>
      <c r="I10" s="23">
        <v>45</v>
      </c>
      <c r="J10" s="23">
        <v>2023</v>
      </c>
      <c r="K10" s="28">
        <v>2023</v>
      </c>
      <c r="L10" s="23">
        <f t="shared" si="3"/>
        <v>0</v>
      </c>
      <c r="M10" s="23" t="str">
        <f t="shared" si="4"/>
        <v>45</v>
      </c>
      <c r="N10" s="24">
        <v>0.1</v>
      </c>
      <c r="O10" s="25">
        <f t="shared" si="5"/>
        <v>0.02</v>
      </c>
      <c r="P10" s="54">
        <v>800</v>
      </c>
      <c r="Q10" s="54">
        <f t="shared" si="6"/>
        <v>11936168.328415519</v>
      </c>
      <c r="R10" s="54">
        <f t="shared" si="0"/>
        <v>0</v>
      </c>
      <c r="S10" s="54">
        <f t="shared" si="1"/>
        <v>0</v>
      </c>
      <c r="T10" s="70"/>
      <c r="U10" s="55">
        <f t="shared" si="2"/>
        <v>11936168.328415519</v>
      </c>
      <c r="W10"/>
    </row>
    <row r="11" spans="2:35" x14ac:dyDescent="0.25">
      <c r="B11" s="23">
        <v>7</v>
      </c>
      <c r="C11" s="23" t="s">
        <v>64</v>
      </c>
      <c r="D11" s="23">
        <v>1</v>
      </c>
      <c r="E11" s="28" t="s">
        <v>49</v>
      </c>
      <c r="F11" s="27">
        <v>19.222999999999999</v>
      </c>
      <c r="G11" s="27">
        <v>29.292999999999999</v>
      </c>
      <c r="H11" s="54">
        <f t="shared" si="7"/>
        <v>6061.1449750620995</v>
      </c>
      <c r="I11" s="23">
        <v>45</v>
      </c>
      <c r="J11" s="23">
        <v>2023</v>
      </c>
      <c r="K11" s="28">
        <v>2023</v>
      </c>
      <c r="L11" s="23">
        <f t="shared" si="3"/>
        <v>0</v>
      </c>
      <c r="M11" s="23" t="str">
        <f t="shared" si="4"/>
        <v>45</v>
      </c>
      <c r="N11" s="24">
        <v>0.1</v>
      </c>
      <c r="O11" s="25">
        <f t="shared" si="5"/>
        <v>0.02</v>
      </c>
      <c r="P11" s="54">
        <v>800</v>
      </c>
      <c r="Q11" s="54">
        <f t="shared" si="6"/>
        <v>4848915.98004968</v>
      </c>
      <c r="R11" s="54">
        <f t="shared" si="0"/>
        <v>0</v>
      </c>
      <c r="S11" s="54">
        <f t="shared" si="1"/>
        <v>0</v>
      </c>
      <c r="T11" s="70"/>
      <c r="U11" s="55">
        <f t="shared" si="2"/>
        <v>4848915.98004968</v>
      </c>
      <c r="W11"/>
      <c r="Y11" s="30">
        <v>53654.59</v>
      </c>
      <c r="Z11">
        <v>14000</v>
      </c>
      <c r="AA11" s="29">
        <f>Y11*Z11</f>
        <v>751164260</v>
      </c>
    </row>
    <row r="12" spans="2:35" x14ac:dyDescent="0.25">
      <c r="B12" s="33"/>
      <c r="C12" s="34"/>
      <c r="D12" s="34"/>
      <c r="E12" s="34"/>
      <c r="F12" s="34"/>
      <c r="G12" s="34"/>
      <c r="H12" s="35">
        <f>SUM(H5:H11)</f>
        <v>92908.053062279694</v>
      </c>
      <c r="I12" s="35"/>
      <c r="J12" s="36"/>
      <c r="K12" s="37"/>
      <c r="L12" s="37"/>
      <c r="M12" s="37"/>
      <c r="N12" s="37"/>
      <c r="O12" s="37"/>
      <c r="P12" s="37"/>
      <c r="Q12" s="38">
        <f>SUM(Q5:Q11)</f>
        <v>86171634.308355957</v>
      </c>
      <c r="R12" s="38"/>
      <c r="S12" s="38"/>
      <c r="T12" s="38">
        <f>SUM(T5:T11)</f>
        <v>0</v>
      </c>
      <c r="U12" s="38">
        <f>SUM(U5:U11)</f>
        <v>86171634.308355957</v>
      </c>
      <c r="V12" s="39">
        <v>329450000</v>
      </c>
      <c r="W12" s="32">
        <f>V12+U12</f>
        <v>415621634.30835593</v>
      </c>
      <c r="X12" s="29">
        <v>444100000</v>
      </c>
    </row>
    <row r="13" spans="2:35" ht="24" customHeight="1" x14ac:dyDescent="0.25">
      <c r="B13" s="88" t="s">
        <v>50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90"/>
      <c r="V13">
        <v>751164260</v>
      </c>
      <c r="W13">
        <v>2800000</v>
      </c>
      <c r="X13" s="31">
        <f>W13+V13+U12</f>
        <v>840135894.30835593</v>
      </c>
    </row>
    <row r="14" spans="2:35" x14ac:dyDescent="0.25">
      <c r="B14" s="82" t="s">
        <v>144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4"/>
      <c r="W14"/>
      <c r="X14">
        <v>911700000</v>
      </c>
      <c r="Y14">
        <v>0.85</v>
      </c>
      <c r="Z14" s="29">
        <f>Y14*X14</f>
        <v>774945000</v>
      </c>
    </row>
    <row r="15" spans="2:35" x14ac:dyDescent="0.25">
      <c r="B15" s="91" t="s">
        <v>142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3"/>
      <c r="W15"/>
      <c r="X15">
        <v>285992600</v>
      </c>
      <c r="Y15">
        <v>0.75</v>
      </c>
      <c r="Z15" s="29">
        <f>Y15*X15</f>
        <v>214494450</v>
      </c>
      <c r="AA15" s="29"/>
      <c r="AB15" s="29"/>
      <c r="AC15" s="29"/>
      <c r="AD15" s="29"/>
      <c r="AE15" s="29"/>
      <c r="AF15" s="29"/>
      <c r="AG15" s="29"/>
      <c r="AH15" s="29"/>
      <c r="AI15" s="29"/>
    </row>
    <row r="16" spans="2:35" x14ac:dyDescent="0.25">
      <c r="B16" s="82" t="s">
        <v>143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4"/>
      <c r="W16"/>
      <c r="AA16" s="29"/>
      <c r="AB16" s="21"/>
      <c r="AC16" s="29"/>
      <c r="AD16" s="29"/>
      <c r="AE16" s="29"/>
      <c r="AF16" s="29"/>
      <c r="AG16" s="29"/>
      <c r="AH16" s="29"/>
      <c r="AI16" s="29"/>
    </row>
    <row r="17" spans="3:35" x14ac:dyDescent="0.25">
      <c r="W17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3:35" x14ac:dyDescent="0.25">
      <c r="E18"/>
      <c r="F18"/>
      <c r="G18"/>
      <c r="I18"/>
      <c r="W18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3:35" x14ac:dyDescent="0.25">
      <c r="E19"/>
      <c r="F19"/>
      <c r="G19"/>
      <c r="I19"/>
      <c r="Q19" s="42">
        <f>0.8*Q12</f>
        <v>68937307.446684763</v>
      </c>
      <c r="W1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3:35" ht="28.5" customHeight="1" x14ac:dyDescent="0.25">
      <c r="C20" s="21"/>
      <c r="D20" s="21"/>
      <c r="E20"/>
      <c r="F20"/>
      <c r="G20"/>
      <c r="I20"/>
      <c r="W20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3:35" x14ac:dyDescent="0.25">
      <c r="E21"/>
      <c r="F21"/>
      <c r="G21"/>
      <c r="I21"/>
      <c r="W21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3:35" x14ac:dyDescent="0.25">
      <c r="C22" t="s">
        <v>51</v>
      </c>
      <c r="E22">
        <v>11.98</v>
      </c>
      <c r="F22">
        <f>(2.26*10^7)</f>
        <v>22599999.999999996</v>
      </c>
      <c r="G22" s="21">
        <f>E22*F22</f>
        <v>270747999.99999994</v>
      </c>
      <c r="H22">
        <f>G22/10^7/11.98</f>
        <v>2.2599999999999993</v>
      </c>
      <c r="I22"/>
      <c r="W22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3:35" ht="15.75" customHeight="1" x14ac:dyDescent="0.25">
      <c r="C23" t="s">
        <v>52</v>
      </c>
      <c r="E23"/>
      <c r="F23"/>
      <c r="G23" s="32">
        <f>U12</f>
        <v>86171634.308355957</v>
      </c>
      <c r="I23"/>
      <c r="W23"/>
    </row>
    <row r="24" spans="3:35" ht="15" customHeight="1" x14ac:dyDescent="0.25">
      <c r="C24" t="s">
        <v>53</v>
      </c>
      <c r="E24"/>
      <c r="F24"/>
      <c r="G24" s="21">
        <v>14500000</v>
      </c>
      <c r="I24"/>
      <c r="W24"/>
    </row>
    <row r="25" spans="3:35" x14ac:dyDescent="0.25">
      <c r="E25"/>
      <c r="F25"/>
      <c r="G25" s="21">
        <f>SUM(G22:G24)</f>
        <v>371419634.30835593</v>
      </c>
      <c r="I25"/>
      <c r="W25"/>
    </row>
    <row r="26" spans="3:35" x14ac:dyDescent="0.25">
      <c r="E26"/>
      <c r="F26"/>
      <c r="G26" s="21">
        <f>40.3*10^7</f>
        <v>403000000</v>
      </c>
      <c r="I26"/>
      <c r="W26"/>
    </row>
    <row r="27" spans="3:35" x14ac:dyDescent="0.25">
      <c r="E27"/>
      <c r="F27"/>
      <c r="G27" s="21">
        <f>40.3*10^7</f>
        <v>403000000</v>
      </c>
      <c r="I27"/>
      <c r="W27"/>
    </row>
    <row r="28" spans="3:35" x14ac:dyDescent="0.25">
      <c r="E28"/>
      <c r="F28">
        <v>0.85</v>
      </c>
      <c r="G28" s="32">
        <f>G27*F28</f>
        <v>342550000</v>
      </c>
      <c r="I28"/>
      <c r="W28"/>
    </row>
    <row r="29" spans="3:35" x14ac:dyDescent="0.25">
      <c r="F29" s="40">
        <v>0.75</v>
      </c>
      <c r="G29" s="43">
        <f>G27*F29</f>
        <v>302250000</v>
      </c>
      <c r="M29">
        <v>516</v>
      </c>
      <c r="W29"/>
    </row>
    <row r="30" spans="3:35" x14ac:dyDescent="0.25">
      <c r="K30">
        <f>11000*0.7</f>
        <v>7699.9999999999991</v>
      </c>
    </row>
    <row r="31" spans="3:35" x14ac:dyDescent="0.25">
      <c r="E31">
        <v>11.98</v>
      </c>
      <c r="F31">
        <f>(1.81*10^7)*1.25</f>
        <v>22625000</v>
      </c>
      <c r="G31">
        <f>E31*F31</f>
        <v>271047500</v>
      </c>
      <c r="K31" s="21"/>
      <c r="L31" s="31"/>
      <c r="M31" s="31"/>
      <c r="Q31" s="31"/>
      <c r="R31" s="31"/>
    </row>
    <row r="32" spans="3:35" x14ac:dyDescent="0.25">
      <c r="E32"/>
      <c r="F32"/>
      <c r="G32" s="32">
        <f>$G$23</f>
        <v>86171634.308355957</v>
      </c>
    </row>
    <row r="33" spans="5:18" x14ac:dyDescent="0.25">
      <c r="E33"/>
      <c r="F33"/>
      <c r="G33">
        <v>14000000</v>
      </c>
    </row>
    <row r="34" spans="5:18" x14ac:dyDescent="0.25">
      <c r="E34"/>
      <c r="F34"/>
      <c r="G34">
        <f>SUM(G31:G33)</f>
        <v>371219134.30835593</v>
      </c>
      <c r="L34" s="31"/>
      <c r="M34" s="31"/>
      <c r="Q34" s="31"/>
      <c r="R34" s="31"/>
    </row>
    <row r="35" spans="5:18" x14ac:dyDescent="0.25">
      <c r="E35"/>
      <c r="F35"/>
      <c r="G35" s="21">
        <f>SUM(G31:G34)</f>
        <v>742438268.61671185</v>
      </c>
    </row>
    <row r="36" spans="5:18" x14ac:dyDescent="0.25">
      <c r="E36"/>
      <c r="F36"/>
      <c r="G36" s="29">
        <v>350000000</v>
      </c>
    </row>
    <row r="37" spans="5:18" x14ac:dyDescent="0.25">
      <c r="E37"/>
      <c r="F37">
        <v>0.85</v>
      </c>
      <c r="G37" s="32">
        <f>G36*F37</f>
        <v>297500000</v>
      </c>
    </row>
    <row r="38" spans="5:18" x14ac:dyDescent="0.25">
      <c r="F38" s="40">
        <v>0.75</v>
      </c>
      <c r="G38" s="43">
        <f>G36*F38</f>
        <v>262500000</v>
      </c>
    </row>
    <row r="39" spans="5:18" x14ac:dyDescent="0.25">
      <c r="L39" s="21"/>
    </row>
    <row r="40" spans="5:18" x14ac:dyDescent="0.25">
      <c r="R40" s="21"/>
    </row>
  </sheetData>
  <mergeCells count="5">
    <mergeCell ref="B16:U16"/>
    <mergeCell ref="B3:U3"/>
    <mergeCell ref="B13:U13"/>
    <mergeCell ref="B14:U14"/>
    <mergeCell ref="B15:U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76"/>
  <sheetViews>
    <sheetView topLeftCell="A7" workbookViewId="0">
      <selection activeCell="Q11" sqref="Q10:Q12"/>
    </sheetView>
  </sheetViews>
  <sheetFormatPr defaultRowHeight="15" x14ac:dyDescent="0.25"/>
  <cols>
    <col min="1" max="1" width="7.42578125" customWidth="1"/>
    <col min="2" max="2" width="9" bestFit="1" customWidth="1"/>
    <col min="3" max="3" width="15.7109375" customWidth="1"/>
    <col min="4" max="4" width="15.7109375" hidden="1" customWidth="1"/>
    <col min="5" max="6" width="8.85546875" style="40" hidden="1" customWidth="1"/>
    <col min="7" max="7" width="15.42578125" style="40" hidden="1" customWidth="1"/>
    <col min="8" max="8" width="9.42578125" style="40" hidden="1" customWidth="1"/>
    <col min="9" max="9" width="13.7109375" customWidth="1"/>
    <col min="10" max="10" width="9" style="41" bestFit="1" customWidth="1"/>
    <col min="11" max="11" width="6.5703125" hidden="1" customWidth="1"/>
    <col min="12" max="12" width="9.5703125" hidden="1" customWidth="1"/>
    <col min="13" max="13" width="10.42578125" hidden="1" customWidth="1"/>
    <col min="14" max="14" width="11" hidden="1" customWidth="1"/>
    <col min="15" max="15" width="7.85546875" hidden="1" customWidth="1"/>
    <col min="16" max="16" width="8.140625" hidden="1" customWidth="1"/>
    <col min="17" max="17" width="14.7109375" bestFit="1" customWidth="1"/>
    <col min="18" max="18" width="10.85546875" customWidth="1"/>
    <col min="19" max="19" width="15.42578125" customWidth="1"/>
    <col min="20" max="20" width="12.42578125" customWidth="1"/>
    <col min="21" max="21" width="13.42578125" hidden="1" customWidth="1"/>
    <col min="22" max="22" width="11.7109375" hidden="1" customWidth="1"/>
    <col min="23" max="23" width="15.28515625" hidden="1" customWidth="1"/>
    <col min="24" max="24" width="11.7109375" customWidth="1"/>
    <col min="25" max="25" width="15.28515625" style="21" bestFit="1" customWidth="1"/>
    <col min="26" max="26" width="17.42578125" bestFit="1" customWidth="1"/>
    <col min="27" max="27" width="15.28515625" bestFit="1" customWidth="1"/>
    <col min="28" max="29" width="15.42578125" bestFit="1" customWidth="1"/>
    <col min="30" max="30" width="14.42578125" bestFit="1" customWidth="1"/>
    <col min="31" max="31" width="10.28515625" bestFit="1" customWidth="1"/>
    <col min="34" max="34" width="14.42578125" bestFit="1" customWidth="1"/>
  </cols>
  <sheetData>
    <row r="3" spans="2:27" ht="42.75" customHeight="1" x14ac:dyDescent="0.25">
      <c r="B3" s="85" t="s">
        <v>57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7"/>
    </row>
    <row r="4" spans="2:27" ht="75" x14ac:dyDescent="0.25">
      <c r="B4" s="22" t="s">
        <v>32</v>
      </c>
      <c r="C4" s="22" t="s">
        <v>0</v>
      </c>
      <c r="D4" s="22" t="s">
        <v>54</v>
      </c>
      <c r="E4" s="22" t="s">
        <v>33</v>
      </c>
      <c r="F4" s="22" t="s">
        <v>34</v>
      </c>
      <c r="G4" s="22" t="s">
        <v>35</v>
      </c>
      <c r="H4" s="22" t="s">
        <v>108</v>
      </c>
      <c r="I4" s="22" t="s">
        <v>107</v>
      </c>
      <c r="J4" s="22" t="s">
        <v>65</v>
      </c>
      <c r="K4" s="22" t="s">
        <v>37</v>
      </c>
      <c r="L4" s="22" t="s">
        <v>38</v>
      </c>
      <c r="M4" s="22" t="s">
        <v>39</v>
      </c>
      <c r="N4" s="22" t="s">
        <v>40</v>
      </c>
      <c r="O4" s="22" t="s">
        <v>41</v>
      </c>
      <c r="P4" s="22" t="s">
        <v>42</v>
      </c>
      <c r="Q4" s="22" t="s">
        <v>66</v>
      </c>
      <c r="R4" s="22" t="s">
        <v>67</v>
      </c>
      <c r="S4" s="22" t="s">
        <v>69</v>
      </c>
      <c r="T4" s="22" t="s">
        <v>68</v>
      </c>
      <c r="U4" s="22" t="s">
        <v>46</v>
      </c>
      <c r="V4" s="22" t="s">
        <v>47</v>
      </c>
      <c r="W4" s="22" t="s">
        <v>48</v>
      </c>
      <c r="Y4"/>
    </row>
    <row r="5" spans="2:27" s="45" customFormat="1" ht="45" x14ac:dyDescent="0.25">
      <c r="B5" s="52">
        <v>1</v>
      </c>
      <c r="C5" s="52" t="s">
        <v>70</v>
      </c>
      <c r="D5" s="52"/>
      <c r="E5" s="52"/>
      <c r="F5" s="52"/>
      <c r="G5" s="52"/>
      <c r="H5" s="52"/>
      <c r="I5" s="59">
        <v>2250</v>
      </c>
      <c r="J5" s="59">
        <v>1200</v>
      </c>
      <c r="K5" s="52"/>
      <c r="L5" s="52"/>
      <c r="M5" s="52"/>
      <c r="N5" s="52"/>
      <c r="O5" s="52"/>
      <c r="P5" s="52"/>
      <c r="Q5" s="59">
        <f>J5*I5</f>
        <v>2700000</v>
      </c>
      <c r="R5" s="44"/>
      <c r="S5" s="44"/>
      <c r="T5" s="44"/>
      <c r="U5" s="44"/>
      <c r="V5" s="44"/>
      <c r="W5" s="44"/>
      <c r="Z5" s="45">
        <v>25074</v>
      </c>
    </row>
    <row r="6" spans="2:27" s="45" customFormat="1" x14ac:dyDescent="0.25">
      <c r="B6" s="52">
        <v>2</v>
      </c>
      <c r="C6" s="52" t="s">
        <v>71</v>
      </c>
      <c r="D6" s="52"/>
      <c r="E6" s="52"/>
      <c r="F6" s="52"/>
      <c r="G6" s="52"/>
      <c r="H6" s="52"/>
      <c r="I6" s="59">
        <v>1</v>
      </c>
      <c r="J6" s="59"/>
      <c r="K6" s="52"/>
      <c r="L6" s="52"/>
      <c r="M6" s="52"/>
      <c r="N6" s="52"/>
      <c r="O6" s="52"/>
      <c r="P6" s="52"/>
      <c r="Q6" s="59">
        <v>100000</v>
      </c>
      <c r="R6" s="44"/>
      <c r="S6" s="44"/>
      <c r="T6" s="44"/>
      <c r="U6" s="44"/>
      <c r="V6" s="44"/>
      <c r="W6" s="44"/>
      <c r="Z6" s="45">
        <f>Z5/10^7</f>
        <v>2.5073999999999999E-3</v>
      </c>
    </row>
    <row r="7" spans="2:27" s="45" customFormat="1" x14ac:dyDescent="0.25">
      <c r="B7" s="52">
        <v>3</v>
      </c>
      <c r="C7" s="52" t="s">
        <v>72</v>
      </c>
      <c r="D7" s="52"/>
      <c r="E7" s="52"/>
      <c r="F7" s="52"/>
      <c r="G7" s="52"/>
      <c r="H7" s="52"/>
      <c r="I7" s="59">
        <v>210000</v>
      </c>
      <c r="J7" s="59">
        <v>50</v>
      </c>
      <c r="K7" s="52"/>
      <c r="L7" s="52"/>
      <c r="M7" s="52"/>
      <c r="N7" s="52"/>
      <c r="O7" s="52"/>
      <c r="P7" s="52"/>
      <c r="Q7" s="59">
        <f t="shared" ref="Q7:Q39" si="0">J7*I7</f>
        <v>10500000</v>
      </c>
      <c r="R7" s="44"/>
      <c r="S7" s="44"/>
      <c r="T7" s="44"/>
      <c r="U7" s="44"/>
      <c r="V7" s="44"/>
      <c r="W7" s="44"/>
      <c r="AA7" s="45">
        <v>13.92</v>
      </c>
    </row>
    <row r="8" spans="2:27" s="45" customFormat="1" x14ac:dyDescent="0.25">
      <c r="B8" s="52">
        <v>4</v>
      </c>
      <c r="C8" s="52" t="s">
        <v>73</v>
      </c>
      <c r="D8" s="52"/>
      <c r="E8" s="52"/>
      <c r="F8" s="52"/>
      <c r="G8" s="52"/>
      <c r="H8" s="52"/>
      <c r="I8" s="59">
        <v>4000</v>
      </c>
      <c r="J8" s="59">
        <v>2000</v>
      </c>
      <c r="K8" s="52"/>
      <c r="L8" s="52"/>
      <c r="M8" s="52"/>
      <c r="N8" s="52"/>
      <c r="O8" s="52"/>
      <c r="P8" s="52"/>
      <c r="Q8" s="59">
        <f t="shared" si="0"/>
        <v>8000000</v>
      </c>
      <c r="R8" s="44"/>
      <c r="S8" s="44"/>
      <c r="T8" s="44"/>
      <c r="U8" s="44"/>
      <c r="V8" s="44"/>
      <c r="W8" s="44"/>
      <c r="AA8" s="45">
        <v>3.4</v>
      </c>
    </row>
    <row r="9" spans="2:27" s="45" customFormat="1" x14ac:dyDescent="0.25">
      <c r="B9" s="52">
        <v>5</v>
      </c>
      <c r="C9" s="52" t="s">
        <v>74</v>
      </c>
      <c r="D9" s="52"/>
      <c r="E9" s="52"/>
      <c r="F9" s="52"/>
      <c r="G9" s="52"/>
      <c r="H9" s="52"/>
      <c r="I9" s="59">
        <v>1500</v>
      </c>
      <c r="J9" s="59">
        <v>2000</v>
      </c>
      <c r="K9" s="52"/>
      <c r="L9" s="52"/>
      <c r="M9" s="52"/>
      <c r="N9" s="52"/>
      <c r="O9" s="52"/>
      <c r="P9" s="52"/>
      <c r="Q9" s="59">
        <f t="shared" si="0"/>
        <v>3000000</v>
      </c>
      <c r="R9" s="44"/>
      <c r="S9" s="44"/>
      <c r="T9" s="44"/>
      <c r="U9" s="44"/>
      <c r="V9" s="44"/>
      <c r="W9" s="44"/>
      <c r="AA9" s="45">
        <v>0.2</v>
      </c>
    </row>
    <row r="10" spans="2:27" s="45" customFormat="1" ht="30" x14ac:dyDescent="0.25">
      <c r="B10" s="52">
        <v>6</v>
      </c>
      <c r="C10" s="52" t="s">
        <v>75</v>
      </c>
      <c r="D10" s="52"/>
      <c r="E10" s="52"/>
      <c r="F10" s="52"/>
      <c r="G10" s="52"/>
      <c r="H10" s="52"/>
      <c r="I10" s="59">
        <v>10500</v>
      </c>
      <c r="J10" s="59">
        <v>800</v>
      </c>
      <c r="K10" s="52"/>
      <c r="L10" s="52"/>
      <c r="M10" s="52"/>
      <c r="N10" s="52"/>
      <c r="O10" s="52"/>
      <c r="P10" s="52"/>
      <c r="Q10" s="59">
        <f t="shared" si="0"/>
        <v>8400000</v>
      </c>
      <c r="R10" s="44"/>
      <c r="S10" s="44"/>
      <c r="T10" s="44"/>
      <c r="U10" s="44"/>
      <c r="V10" s="44"/>
      <c r="W10" s="44"/>
      <c r="AA10" s="45">
        <f>SUM(AA7:AA9)</f>
        <v>17.52</v>
      </c>
    </row>
    <row r="11" spans="2:27" s="45" customFormat="1" x14ac:dyDescent="0.25">
      <c r="B11" s="52">
        <v>7</v>
      </c>
      <c r="C11" s="52" t="s">
        <v>76</v>
      </c>
      <c r="D11" s="52"/>
      <c r="E11" s="52"/>
      <c r="F11" s="52"/>
      <c r="G11" s="52"/>
      <c r="H11" s="52"/>
      <c r="I11" s="59">
        <v>60000</v>
      </c>
      <c r="J11" s="59">
        <v>800</v>
      </c>
      <c r="K11" s="52"/>
      <c r="L11" s="52"/>
      <c r="M11" s="52"/>
      <c r="N11" s="52"/>
      <c r="O11" s="52"/>
      <c r="P11" s="52"/>
      <c r="Q11" s="59">
        <f t="shared" si="0"/>
        <v>48000000</v>
      </c>
      <c r="R11" s="44"/>
      <c r="S11" s="44"/>
      <c r="T11" s="44"/>
      <c r="U11" s="44"/>
      <c r="V11" s="44"/>
      <c r="W11" s="44"/>
    </row>
    <row r="12" spans="2:27" s="45" customFormat="1" x14ac:dyDescent="0.25">
      <c r="B12" s="52">
        <v>8</v>
      </c>
      <c r="C12" s="52" t="s">
        <v>77</v>
      </c>
      <c r="D12" s="52"/>
      <c r="E12" s="52"/>
      <c r="F12" s="52"/>
      <c r="G12" s="52"/>
      <c r="H12" s="52"/>
      <c r="I12" s="59">
        <v>2000</v>
      </c>
      <c r="J12" s="59">
        <v>1500</v>
      </c>
      <c r="K12" s="52"/>
      <c r="L12" s="52"/>
      <c r="M12" s="52"/>
      <c r="N12" s="52"/>
      <c r="O12" s="52"/>
      <c r="P12" s="52"/>
      <c r="Q12" s="59">
        <f t="shared" si="0"/>
        <v>3000000</v>
      </c>
      <c r="R12" s="44"/>
      <c r="S12" s="44"/>
      <c r="T12" s="44"/>
      <c r="U12" s="44"/>
      <c r="V12" s="44"/>
      <c r="W12" s="44"/>
    </row>
    <row r="13" spans="2:27" s="45" customFormat="1" x14ac:dyDescent="0.25">
      <c r="B13" s="52">
        <v>9</v>
      </c>
      <c r="C13" s="52" t="s">
        <v>78</v>
      </c>
      <c r="D13" s="52"/>
      <c r="E13" s="52"/>
      <c r="F13" s="52"/>
      <c r="G13" s="52"/>
      <c r="H13" s="52"/>
      <c r="I13" s="59">
        <v>3</v>
      </c>
      <c r="J13" s="59"/>
      <c r="K13" s="52"/>
      <c r="L13" s="52"/>
      <c r="M13" s="52"/>
      <c r="N13" s="52"/>
      <c r="O13" s="52"/>
      <c r="P13" s="52"/>
      <c r="Q13" s="59">
        <v>800000</v>
      </c>
      <c r="R13" s="44"/>
      <c r="S13" s="44"/>
      <c r="T13" s="44"/>
      <c r="U13" s="44"/>
      <c r="V13" s="44"/>
      <c r="W13" s="44"/>
    </row>
    <row r="14" spans="2:27" s="45" customFormat="1" ht="45" x14ac:dyDescent="0.25">
      <c r="B14" s="52">
        <v>10</v>
      </c>
      <c r="C14" s="52" t="s">
        <v>79</v>
      </c>
      <c r="D14" s="52"/>
      <c r="E14" s="52"/>
      <c r="F14" s="52"/>
      <c r="G14" s="52"/>
      <c r="H14" s="52"/>
      <c r="I14" s="59">
        <v>200000</v>
      </c>
      <c r="J14" s="59">
        <v>10</v>
      </c>
      <c r="K14" s="52"/>
      <c r="L14" s="52"/>
      <c r="M14" s="52"/>
      <c r="N14" s="52"/>
      <c r="O14" s="52"/>
      <c r="P14" s="52"/>
      <c r="Q14" s="59">
        <f t="shared" si="0"/>
        <v>2000000</v>
      </c>
      <c r="R14" s="44"/>
      <c r="S14" s="44"/>
      <c r="T14" s="44"/>
      <c r="U14" s="44"/>
      <c r="V14" s="44"/>
      <c r="W14" s="44"/>
    </row>
    <row r="15" spans="2:27" s="45" customFormat="1" x14ac:dyDescent="0.25">
      <c r="B15" s="52">
        <v>11</v>
      </c>
      <c r="C15" s="52" t="s">
        <v>80</v>
      </c>
      <c r="D15" s="52"/>
      <c r="E15" s="52"/>
      <c r="F15" s="52"/>
      <c r="G15" s="52"/>
      <c r="H15" s="52"/>
      <c r="I15" s="59">
        <v>200</v>
      </c>
      <c r="J15" s="59">
        <v>1500</v>
      </c>
      <c r="K15" s="52"/>
      <c r="L15" s="52"/>
      <c r="M15" s="52"/>
      <c r="N15" s="52"/>
      <c r="O15" s="52"/>
      <c r="P15" s="52"/>
      <c r="Q15" s="59">
        <f t="shared" si="0"/>
        <v>300000</v>
      </c>
      <c r="R15" s="44"/>
      <c r="S15" s="44"/>
      <c r="T15" s="44"/>
      <c r="U15" s="44"/>
      <c r="V15" s="44"/>
      <c r="W15" s="44"/>
    </row>
    <row r="16" spans="2:27" s="45" customFormat="1" x14ac:dyDescent="0.25">
      <c r="B16" s="52">
        <v>12</v>
      </c>
      <c r="C16" s="52" t="s">
        <v>81</v>
      </c>
      <c r="D16" s="52"/>
      <c r="E16" s="52"/>
      <c r="F16" s="52"/>
      <c r="G16" s="52"/>
      <c r="H16" s="52"/>
      <c r="I16" s="59">
        <v>500</v>
      </c>
      <c r="J16" s="59">
        <v>1000</v>
      </c>
      <c r="K16" s="52"/>
      <c r="L16" s="52"/>
      <c r="M16" s="52"/>
      <c r="N16" s="52"/>
      <c r="O16" s="52"/>
      <c r="P16" s="52"/>
      <c r="Q16" s="59">
        <f t="shared" si="0"/>
        <v>500000</v>
      </c>
      <c r="R16" s="44"/>
      <c r="S16" s="44"/>
      <c r="T16" s="44"/>
      <c r="U16" s="44"/>
      <c r="V16" s="44"/>
      <c r="W16" s="44"/>
    </row>
    <row r="17" spans="2:26" s="45" customFormat="1" ht="30" x14ac:dyDescent="0.25">
      <c r="B17" s="52">
        <v>13</v>
      </c>
      <c r="C17" s="52" t="s">
        <v>82</v>
      </c>
      <c r="D17" s="52"/>
      <c r="E17" s="52"/>
      <c r="F17" s="52"/>
      <c r="G17" s="52"/>
      <c r="H17" s="52"/>
      <c r="I17" s="59">
        <v>9000</v>
      </c>
      <c r="J17" s="59">
        <v>800</v>
      </c>
      <c r="K17" s="52"/>
      <c r="L17" s="52"/>
      <c r="M17" s="52"/>
      <c r="N17" s="52"/>
      <c r="O17" s="52"/>
      <c r="P17" s="52"/>
      <c r="Q17" s="59">
        <f t="shared" si="0"/>
        <v>7200000</v>
      </c>
      <c r="R17" s="44"/>
      <c r="S17" s="44"/>
      <c r="T17" s="44"/>
      <c r="U17" s="44"/>
      <c r="V17" s="44"/>
      <c r="W17" s="44"/>
    </row>
    <row r="18" spans="2:26" s="45" customFormat="1" ht="30" x14ac:dyDescent="0.25">
      <c r="B18" s="52">
        <v>14</v>
      </c>
      <c r="C18" s="52" t="s">
        <v>83</v>
      </c>
      <c r="D18" s="52"/>
      <c r="E18" s="52"/>
      <c r="F18" s="52"/>
      <c r="G18" s="52"/>
      <c r="H18" s="52"/>
      <c r="I18" s="59">
        <v>320</v>
      </c>
      <c r="J18" s="59">
        <v>1250</v>
      </c>
      <c r="K18" s="52"/>
      <c r="L18" s="52"/>
      <c r="M18" s="52"/>
      <c r="N18" s="52"/>
      <c r="O18" s="52"/>
      <c r="P18" s="52"/>
      <c r="Q18" s="59">
        <f t="shared" si="0"/>
        <v>400000</v>
      </c>
      <c r="R18" s="44"/>
      <c r="S18" s="44"/>
      <c r="T18" s="44"/>
      <c r="U18" s="44"/>
      <c r="V18" s="44"/>
      <c r="W18" s="44"/>
    </row>
    <row r="19" spans="2:26" s="45" customFormat="1" x14ac:dyDescent="0.25">
      <c r="B19" s="52">
        <v>15</v>
      </c>
      <c r="C19" s="52" t="s">
        <v>84</v>
      </c>
      <c r="D19" s="52"/>
      <c r="E19" s="52"/>
      <c r="F19" s="52"/>
      <c r="G19" s="52"/>
      <c r="H19" s="52"/>
      <c r="I19" s="59">
        <v>500</v>
      </c>
      <c r="J19" s="59">
        <v>1200</v>
      </c>
      <c r="K19" s="52"/>
      <c r="L19" s="52"/>
      <c r="M19" s="52"/>
      <c r="N19" s="52"/>
      <c r="O19" s="52"/>
      <c r="P19" s="52"/>
      <c r="Q19" s="59">
        <f t="shared" si="0"/>
        <v>600000</v>
      </c>
      <c r="R19" s="44"/>
      <c r="S19" s="44"/>
      <c r="T19" s="44"/>
      <c r="U19" s="44"/>
      <c r="V19" s="44"/>
      <c r="W19" s="44"/>
    </row>
    <row r="20" spans="2:26" s="45" customFormat="1" x14ac:dyDescent="0.25">
      <c r="B20" s="52">
        <v>16</v>
      </c>
      <c r="C20" s="52" t="s">
        <v>85</v>
      </c>
      <c r="D20" s="52"/>
      <c r="E20" s="52"/>
      <c r="F20" s="52"/>
      <c r="G20" s="52"/>
      <c r="H20" s="52"/>
      <c r="I20" s="59">
        <v>150</v>
      </c>
      <c r="J20" s="59">
        <v>2000</v>
      </c>
      <c r="K20" s="52"/>
      <c r="L20" s="52"/>
      <c r="M20" s="52"/>
      <c r="N20" s="52"/>
      <c r="O20" s="52"/>
      <c r="P20" s="52"/>
      <c r="Q20" s="59">
        <f t="shared" si="0"/>
        <v>300000</v>
      </c>
      <c r="R20" s="44"/>
      <c r="S20" s="44"/>
      <c r="T20" s="44"/>
      <c r="U20" s="44"/>
      <c r="V20" s="44"/>
      <c r="W20" s="44"/>
    </row>
    <row r="21" spans="2:26" s="45" customFormat="1" ht="30" x14ac:dyDescent="0.25">
      <c r="B21" s="52">
        <v>17</v>
      </c>
      <c r="C21" s="52" t="s">
        <v>86</v>
      </c>
      <c r="D21" s="52"/>
      <c r="E21" s="52"/>
      <c r="F21" s="52"/>
      <c r="G21" s="52"/>
      <c r="H21" s="52"/>
      <c r="I21" s="59">
        <v>400</v>
      </c>
      <c r="J21" s="59">
        <v>2000</v>
      </c>
      <c r="K21" s="52"/>
      <c r="L21" s="52"/>
      <c r="M21" s="52"/>
      <c r="N21" s="52"/>
      <c r="O21" s="52"/>
      <c r="P21" s="52"/>
      <c r="Q21" s="59">
        <f t="shared" si="0"/>
        <v>800000</v>
      </c>
      <c r="R21" s="44"/>
      <c r="S21" s="44"/>
      <c r="T21" s="44"/>
      <c r="U21" s="44"/>
      <c r="V21" s="44"/>
      <c r="W21" s="44"/>
    </row>
    <row r="22" spans="2:26" s="45" customFormat="1" x14ac:dyDescent="0.25">
      <c r="B22" s="52">
        <v>18</v>
      </c>
      <c r="C22" s="52" t="s">
        <v>87</v>
      </c>
      <c r="D22" s="52"/>
      <c r="E22" s="52"/>
      <c r="F22" s="52"/>
      <c r="G22" s="52"/>
      <c r="H22" s="52"/>
      <c r="I22" s="59"/>
      <c r="J22" s="59"/>
      <c r="K22" s="52"/>
      <c r="L22" s="52"/>
      <c r="M22" s="52"/>
      <c r="N22" s="52"/>
      <c r="O22" s="52"/>
      <c r="P22" s="52"/>
      <c r="Q22" s="59">
        <v>1500000</v>
      </c>
      <c r="R22" s="44"/>
      <c r="S22" s="44"/>
      <c r="T22" s="44"/>
      <c r="U22" s="44"/>
      <c r="V22" s="44"/>
      <c r="W22" s="44"/>
    </row>
    <row r="23" spans="2:26" s="45" customFormat="1" x14ac:dyDescent="0.25">
      <c r="B23" s="52">
        <v>19</v>
      </c>
      <c r="C23" s="52" t="s">
        <v>88</v>
      </c>
      <c r="D23" s="52"/>
      <c r="E23" s="52"/>
      <c r="F23" s="52"/>
      <c r="G23" s="52"/>
      <c r="H23" s="52"/>
      <c r="I23" s="59">
        <v>800</v>
      </c>
      <c r="J23" s="59">
        <v>500</v>
      </c>
      <c r="K23" s="52"/>
      <c r="L23" s="52"/>
      <c r="M23" s="52"/>
      <c r="N23" s="52"/>
      <c r="O23" s="52"/>
      <c r="P23" s="52"/>
      <c r="Q23" s="59">
        <f t="shared" si="0"/>
        <v>400000</v>
      </c>
      <c r="R23" s="44"/>
      <c r="S23" s="44"/>
      <c r="T23" s="44"/>
      <c r="U23" s="44"/>
      <c r="V23" s="44"/>
      <c r="W23" s="44"/>
    </row>
    <row r="24" spans="2:26" s="45" customFormat="1" x14ac:dyDescent="0.25">
      <c r="B24" s="52">
        <v>20</v>
      </c>
      <c r="C24" s="52" t="s">
        <v>89</v>
      </c>
      <c r="D24" s="52"/>
      <c r="E24" s="52"/>
      <c r="F24" s="52"/>
      <c r="G24" s="52"/>
      <c r="H24" s="52"/>
      <c r="I24" s="59">
        <v>400</v>
      </c>
      <c r="J24" s="59">
        <v>3000</v>
      </c>
      <c r="K24" s="52"/>
      <c r="L24" s="52"/>
      <c r="M24" s="52"/>
      <c r="N24" s="52"/>
      <c r="O24" s="52"/>
      <c r="P24" s="52"/>
      <c r="Q24" s="59">
        <f t="shared" si="0"/>
        <v>1200000</v>
      </c>
      <c r="R24" s="44"/>
      <c r="S24" s="44"/>
      <c r="T24" s="44"/>
      <c r="U24" s="44"/>
      <c r="V24" s="44"/>
      <c r="W24" s="44"/>
    </row>
    <row r="25" spans="2:26" s="45" customFormat="1" x14ac:dyDescent="0.25">
      <c r="B25" s="52">
        <v>21</v>
      </c>
      <c r="C25" s="52" t="s">
        <v>90</v>
      </c>
      <c r="D25" s="52"/>
      <c r="E25" s="52"/>
      <c r="F25" s="52"/>
      <c r="G25" s="52"/>
      <c r="H25" s="52"/>
      <c r="I25" s="59">
        <v>200</v>
      </c>
      <c r="J25" s="59">
        <v>2000</v>
      </c>
      <c r="K25" s="52"/>
      <c r="L25" s="52"/>
      <c r="M25" s="52"/>
      <c r="N25" s="52"/>
      <c r="O25" s="52"/>
      <c r="P25" s="52"/>
      <c r="Q25" s="59">
        <f t="shared" si="0"/>
        <v>400000</v>
      </c>
      <c r="R25" s="44"/>
      <c r="S25" s="44"/>
      <c r="T25" s="44"/>
      <c r="U25" s="44"/>
      <c r="V25" s="44"/>
      <c r="W25" s="44"/>
    </row>
    <row r="26" spans="2:26" ht="30" x14ac:dyDescent="0.25">
      <c r="B26" s="52">
        <v>22</v>
      </c>
      <c r="C26" s="23" t="s">
        <v>91</v>
      </c>
      <c r="D26" s="23" t="s">
        <v>55</v>
      </c>
      <c r="E26" s="23" t="str">
        <f>IF(J26&gt;12,"Tin Shed","R.C.C")</f>
        <v>Tin Shed</v>
      </c>
      <c r="F26" s="23">
        <v>18.099</v>
      </c>
      <c r="G26" s="23">
        <v>43.43</v>
      </c>
      <c r="H26" s="23"/>
      <c r="I26" s="59"/>
      <c r="J26" s="59" t="s">
        <v>109</v>
      </c>
      <c r="K26" s="23">
        <v>1990</v>
      </c>
      <c r="L26" s="23">
        <v>2023</v>
      </c>
      <c r="M26" s="23">
        <f>L26-K26</f>
        <v>33</v>
      </c>
      <c r="N26" s="23" t="str">
        <f>IF(E26="R.C.C","65","45")</f>
        <v>45</v>
      </c>
      <c r="O26" s="24">
        <v>0.1</v>
      </c>
      <c r="P26" s="25">
        <f>(1-O26)/N26</f>
        <v>0.02</v>
      </c>
      <c r="Q26" s="59">
        <v>600000</v>
      </c>
      <c r="R26" s="25"/>
      <c r="S26" s="25">
        <f>Q26*I26</f>
        <v>0</v>
      </c>
      <c r="T26" s="25">
        <f>P26*M26</f>
        <v>0.66</v>
      </c>
      <c r="U26" s="25">
        <f>S26*T26</f>
        <v>0</v>
      </c>
      <c r="V26" s="26"/>
      <c r="W26" s="27">
        <f>S26-U26</f>
        <v>0</v>
      </c>
      <c r="X26">
        <v>86</v>
      </c>
      <c r="Y26">
        <v>56</v>
      </c>
      <c r="Z26">
        <f>Y26*X26</f>
        <v>4816</v>
      </c>
    </row>
    <row r="27" spans="2:26" x14ac:dyDescent="0.25">
      <c r="B27" s="52">
        <v>23</v>
      </c>
      <c r="C27" s="23" t="s">
        <v>92</v>
      </c>
      <c r="D27" s="23"/>
      <c r="E27" s="23"/>
      <c r="F27" s="23"/>
      <c r="G27" s="23"/>
      <c r="H27" s="23"/>
      <c r="I27" s="59"/>
      <c r="J27" s="59" t="s">
        <v>109</v>
      </c>
      <c r="K27" s="23"/>
      <c r="L27" s="23"/>
      <c r="M27" s="23"/>
      <c r="N27" s="23"/>
      <c r="O27" s="24"/>
      <c r="P27" s="25"/>
      <c r="Q27" s="59">
        <v>1000000</v>
      </c>
      <c r="R27" s="25"/>
      <c r="S27" s="25"/>
      <c r="T27" s="25"/>
      <c r="U27" s="25"/>
      <c r="V27" s="26"/>
      <c r="W27" s="27"/>
      <c r="Y27"/>
    </row>
    <row r="28" spans="2:26" ht="30" x14ac:dyDescent="0.25">
      <c r="B28" s="52">
        <v>24</v>
      </c>
      <c r="C28" s="23" t="s">
        <v>93</v>
      </c>
      <c r="D28" s="23"/>
      <c r="E28" s="23"/>
      <c r="F28" s="23"/>
      <c r="G28" s="23"/>
      <c r="H28" s="23"/>
      <c r="I28" s="59"/>
      <c r="J28" s="59" t="s">
        <v>109</v>
      </c>
      <c r="K28" s="23"/>
      <c r="L28" s="23"/>
      <c r="M28" s="23"/>
      <c r="N28" s="23"/>
      <c r="O28" s="24"/>
      <c r="P28" s="25"/>
      <c r="Q28" s="59">
        <v>500000</v>
      </c>
      <c r="R28" s="25"/>
      <c r="S28" s="25"/>
      <c r="T28" s="25"/>
      <c r="U28" s="25"/>
      <c r="V28" s="26"/>
      <c r="W28" s="27"/>
      <c r="Y28"/>
    </row>
    <row r="29" spans="2:26" x14ac:dyDescent="0.25">
      <c r="B29" s="52">
        <v>25</v>
      </c>
      <c r="C29" s="23" t="s">
        <v>94</v>
      </c>
      <c r="D29" s="23"/>
      <c r="E29" s="23"/>
      <c r="F29" s="23"/>
      <c r="G29" s="23"/>
      <c r="H29" s="23"/>
      <c r="I29" s="61">
        <v>100</v>
      </c>
      <c r="J29" s="61">
        <v>2000</v>
      </c>
      <c r="K29" s="23"/>
      <c r="L29" s="23"/>
      <c r="M29" s="23"/>
      <c r="N29" s="23"/>
      <c r="O29" s="24"/>
      <c r="P29" s="25"/>
      <c r="Q29" s="59">
        <f t="shared" si="0"/>
        <v>200000</v>
      </c>
      <c r="R29" s="25"/>
      <c r="S29" s="25"/>
      <c r="T29" s="25"/>
      <c r="U29" s="25"/>
      <c r="V29" s="26"/>
      <c r="W29" s="27"/>
      <c r="Y29"/>
    </row>
    <row r="30" spans="2:26" x14ac:dyDescent="0.25">
      <c r="B30" s="52">
        <v>26</v>
      </c>
      <c r="C30" s="23" t="s">
        <v>95</v>
      </c>
      <c r="D30" s="23"/>
      <c r="E30" s="23"/>
      <c r="F30" s="23"/>
      <c r="G30" s="23"/>
      <c r="H30" s="23"/>
      <c r="I30" s="61">
        <v>200</v>
      </c>
      <c r="J30" s="61">
        <v>1500</v>
      </c>
      <c r="K30" s="23"/>
      <c r="L30" s="23"/>
      <c r="M30" s="23"/>
      <c r="N30" s="23"/>
      <c r="O30" s="24"/>
      <c r="P30" s="25"/>
      <c r="Q30" s="59">
        <f t="shared" si="0"/>
        <v>300000</v>
      </c>
      <c r="R30" s="25"/>
      <c r="S30" s="25"/>
      <c r="T30" s="25"/>
      <c r="U30" s="25"/>
      <c r="V30" s="26"/>
      <c r="W30" s="27"/>
      <c r="Y30"/>
    </row>
    <row r="31" spans="2:26" x14ac:dyDescent="0.25">
      <c r="B31" s="52">
        <v>27</v>
      </c>
      <c r="C31" s="23" t="s">
        <v>96</v>
      </c>
      <c r="D31" s="23"/>
      <c r="E31" s="23"/>
      <c r="F31" s="23"/>
      <c r="G31" s="23"/>
      <c r="H31" s="23"/>
      <c r="I31" s="61">
        <v>1000</v>
      </c>
      <c r="J31" s="61">
        <v>2000</v>
      </c>
      <c r="K31" s="23"/>
      <c r="L31" s="23"/>
      <c r="M31" s="23"/>
      <c r="N31" s="23"/>
      <c r="O31" s="24"/>
      <c r="P31" s="25"/>
      <c r="Q31" s="59">
        <f t="shared" si="0"/>
        <v>2000000</v>
      </c>
      <c r="R31" s="25"/>
      <c r="S31" s="25"/>
      <c r="T31" s="25"/>
      <c r="U31" s="25"/>
      <c r="V31" s="26"/>
      <c r="W31" s="27"/>
      <c r="Y31"/>
    </row>
    <row r="32" spans="2:26" x14ac:dyDescent="0.25">
      <c r="B32" s="52">
        <v>28</v>
      </c>
      <c r="C32" s="23" t="s">
        <v>97</v>
      </c>
      <c r="D32" s="23"/>
      <c r="E32" s="23"/>
      <c r="F32" s="23"/>
      <c r="G32" s="23"/>
      <c r="H32" s="23"/>
      <c r="I32" s="61">
        <v>2000</v>
      </c>
      <c r="J32" s="61">
        <v>2000</v>
      </c>
      <c r="K32" s="23"/>
      <c r="L32" s="23"/>
      <c r="M32" s="23"/>
      <c r="N32" s="23"/>
      <c r="O32" s="24"/>
      <c r="P32" s="25"/>
      <c r="Q32" s="59">
        <f t="shared" si="0"/>
        <v>4000000</v>
      </c>
      <c r="R32" s="25"/>
      <c r="S32" s="25"/>
      <c r="T32" s="25"/>
      <c r="U32" s="25"/>
      <c r="V32" s="26"/>
      <c r="W32" s="27"/>
      <c r="Y32"/>
    </row>
    <row r="33" spans="2:29" x14ac:dyDescent="0.25">
      <c r="B33" s="52">
        <v>29</v>
      </c>
      <c r="C33" s="23" t="s">
        <v>98</v>
      </c>
      <c r="D33" s="23">
        <v>1</v>
      </c>
      <c r="E33" s="28" t="s">
        <v>49</v>
      </c>
      <c r="F33" s="23">
        <v>12.805999999999999</v>
      </c>
      <c r="G33" s="23">
        <v>77.751000000000005</v>
      </c>
      <c r="H33" s="23"/>
      <c r="I33" s="61">
        <v>100</v>
      </c>
      <c r="J33" s="61">
        <v>2000</v>
      </c>
      <c r="K33" s="23">
        <v>1990</v>
      </c>
      <c r="L33" s="23">
        <v>2023</v>
      </c>
      <c r="M33" s="23">
        <f t="shared" ref="M33:M38" si="1">L33-K33</f>
        <v>33</v>
      </c>
      <c r="N33" s="23" t="str">
        <f t="shared" ref="N33:N38" si="2">IF(E33="R.C.C","65","45")</f>
        <v>45</v>
      </c>
      <c r="O33" s="24">
        <v>0.1</v>
      </c>
      <c r="P33" s="25">
        <f t="shared" ref="P33:P38" si="3">(1-O33)/N33</f>
        <v>0.02</v>
      </c>
      <c r="Q33" s="59">
        <f t="shared" si="0"/>
        <v>200000</v>
      </c>
      <c r="R33" s="25"/>
      <c r="S33" s="25">
        <f t="shared" ref="S33:S38" si="4">Q33*I33</f>
        <v>20000000</v>
      </c>
      <c r="T33" s="25">
        <f t="shared" ref="T33:T38" si="5">P33*M33</f>
        <v>0.66</v>
      </c>
      <c r="U33" s="25">
        <f t="shared" ref="U33:U38" si="6">S33*T33</f>
        <v>13200000</v>
      </c>
      <c r="V33" s="26"/>
      <c r="W33" s="27">
        <f t="shared" ref="W33:W38" si="7">S33-U33</f>
        <v>6800000</v>
      </c>
      <c r="X33">
        <v>70</v>
      </c>
      <c r="Y33">
        <v>31</v>
      </c>
      <c r="Z33">
        <f>Y33*X33</f>
        <v>2170</v>
      </c>
    </row>
    <row r="34" spans="2:29" ht="30" x14ac:dyDescent="0.25">
      <c r="B34" s="52">
        <v>30</v>
      </c>
      <c r="C34" s="23" t="s">
        <v>99</v>
      </c>
      <c r="D34" s="23">
        <v>1</v>
      </c>
      <c r="E34" s="28" t="s">
        <v>49</v>
      </c>
      <c r="F34" s="23">
        <v>12.4</v>
      </c>
      <c r="G34" s="23">
        <v>108.241</v>
      </c>
      <c r="H34" s="23"/>
      <c r="I34" s="61">
        <v>20000</v>
      </c>
      <c r="J34" s="61">
        <v>50</v>
      </c>
      <c r="K34" s="23">
        <v>1994</v>
      </c>
      <c r="L34" s="23">
        <v>2023</v>
      </c>
      <c r="M34" s="23">
        <f t="shared" si="1"/>
        <v>29</v>
      </c>
      <c r="N34" s="23" t="str">
        <f t="shared" si="2"/>
        <v>45</v>
      </c>
      <c r="O34" s="24">
        <v>0.1</v>
      </c>
      <c r="P34" s="25">
        <f t="shared" si="3"/>
        <v>0.02</v>
      </c>
      <c r="Q34" s="59">
        <f t="shared" si="0"/>
        <v>1000000</v>
      </c>
      <c r="R34" s="25"/>
      <c r="S34" s="25">
        <f t="shared" si="4"/>
        <v>20000000000</v>
      </c>
      <c r="T34" s="25">
        <f t="shared" si="5"/>
        <v>0.57999999999999996</v>
      </c>
      <c r="U34" s="25">
        <f t="shared" si="6"/>
        <v>11600000000</v>
      </c>
      <c r="V34" s="26"/>
      <c r="W34" s="27">
        <f t="shared" si="7"/>
        <v>8400000000</v>
      </c>
      <c r="Y34"/>
      <c r="Z34">
        <v>262362</v>
      </c>
    </row>
    <row r="35" spans="2:29" ht="30" x14ac:dyDescent="0.25">
      <c r="B35" s="52">
        <v>31</v>
      </c>
      <c r="C35" s="23" t="s">
        <v>100</v>
      </c>
      <c r="D35" s="23">
        <v>1</v>
      </c>
      <c r="E35" s="28" t="s">
        <v>49</v>
      </c>
      <c r="F35" s="28">
        <v>12.805999999999999</v>
      </c>
      <c r="G35" s="28">
        <v>108.241</v>
      </c>
      <c r="H35" s="28"/>
      <c r="I35" s="62"/>
      <c r="J35" s="62" t="s">
        <v>109</v>
      </c>
      <c r="K35" s="28">
        <v>1996</v>
      </c>
      <c r="L35" s="28">
        <v>2023</v>
      </c>
      <c r="M35" s="23">
        <f t="shared" si="1"/>
        <v>27</v>
      </c>
      <c r="N35" s="23" t="str">
        <f t="shared" si="2"/>
        <v>45</v>
      </c>
      <c r="O35" s="24">
        <v>0.1</v>
      </c>
      <c r="P35" s="25">
        <f t="shared" si="3"/>
        <v>0.02</v>
      </c>
      <c r="Q35" s="59">
        <v>200000</v>
      </c>
      <c r="R35" s="25"/>
      <c r="S35" s="25">
        <f t="shared" si="4"/>
        <v>0</v>
      </c>
      <c r="T35" s="25">
        <f t="shared" si="5"/>
        <v>0.54</v>
      </c>
      <c r="U35" s="25">
        <f t="shared" si="6"/>
        <v>0</v>
      </c>
      <c r="V35" s="26"/>
      <c r="W35" s="27">
        <f t="shared" si="7"/>
        <v>0</v>
      </c>
      <c r="Y35"/>
      <c r="Z35" s="29">
        <f>SUM(Z34:Z34)</f>
        <v>262362</v>
      </c>
      <c r="AA35">
        <v>10.763999999999999</v>
      </c>
    </row>
    <row r="36" spans="2:29" ht="30" x14ac:dyDescent="0.25">
      <c r="B36" s="52">
        <v>32</v>
      </c>
      <c r="C36" s="23" t="s">
        <v>101</v>
      </c>
      <c r="D36" s="23">
        <v>1</v>
      </c>
      <c r="E36" s="28" t="s">
        <v>49</v>
      </c>
      <c r="F36" s="28">
        <v>12.805999999999999</v>
      </c>
      <c r="G36" s="28">
        <v>108.241</v>
      </c>
      <c r="H36" s="28"/>
      <c r="I36" s="62">
        <v>1000</v>
      </c>
      <c r="J36" s="62">
        <v>1000</v>
      </c>
      <c r="K36" s="28">
        <v>1985</v>
      </c>
      <c r="L36" s="28">
        <v>2023</v>
      </c>
      <c r="M36" s="23">
        <f t="shared" si="1"/>
        <v>38</v>
      </c>
      <c r="N36" s="23" t="str">
        <f t="shared" si="2"/>
        <v>45</v>
      </c>
      <c r="O36" s="24">
        <v>0.1</v>
      </c>
      <c r="P36" s="25">
        <f t="shared" si="3"/>
        <v>0.02</v>
      </c>
      <c r="Q36" s="59">
        <f t="shared" si="0"/>
        <v>1000000</v>
      </c>
      <c r="R36" s="25"/>
      <c r="S36" s="25">
        <f t="shared" si="4"/>
        <v>1000000000</v>
      </c>
      <c r="T36" s="25">
        <f t="shared" si="5"/>
        <v>0.76</v>
      </c>
      <c r="U36" s="25">
        <f t="shared" si="6"/>
        <v>760000000</v>
      </c>
      <c r="V36" s="26"/>
      <c r="W36" s="27">
        <f t="shared" si="7"/>
        <v>240000000</v>
      </c>
      <c r="Y36"/>
      <c r="AA36" s="29">
        <f>Z35*AA35</f>
        <v>2824064.568</v>
      </c>
    </row>
    <row r="37" spans="2:29" ht="30" x14ac:dyDescent="0.25">
      <c r="B37" s="52">
        <v>33</v>
      </c>
      <c r="C37" s="23" t="s">
        <v>102</v>
      </c>
      <c r="D37" s="23">
        <v>1</v>
      </c>
      <c r="E37" s="28" t="s">
        <v>49</v>
      </c>
      <c r="F37" s="28">
        <v>12.805999999999999</v>
      </c>
      <c r="G37" s="28">
        <v>108.241</v>
      </c>
      <c r="H37" s="28"/>
      <c r="I37" s="62">
        <v>1000</v>
      </c>
      <c r="J37" s="62">
        <v>1000</v>
      </c>
      <c r="K37" s="28">
        <v>2006</v>
      </c>
      <c r="L37" s="28">
        <v>2023</v>
      </c>
      <c r="M37" s="23">
        <f t="shared" si="1"/>
        <v>17</v>
      </c>
      <c r="N37" s="23" t="str">
        <f t="shared" si="2"/>
        <v>45</v>
      </c>
      <c r="O37" s="24">
        <v>0.1</v>
      </c>
      <c r="P37" s="25">
        <f t="shared" si="3"/>
        <v>0.02</v>
      </c>
      <c r="Q37" s="59">
        <f t="shared" si="0"/>
        <v>1000000</v>
      </c>
      <c r="R37" s="25"/>
      <c r="S37" s="25">
        <f t="shared" si="4"/>
        <v>1000000000</v>
      </c>
      <c r="T37" s="25">
        <f t="shared" si="5"/>
        <v>0.34</v>
      </c>
      <c r="U37" s="25">
        <f t="shared" si="6"/>
        <v>340000000</v>
      </c>
      <c r="V37" s="26"/>
      <c r="W37" s="27">
        <f t="shared" si="7"/>
        <v>660000000</v>
      </c>
      <c r="Y37"/>
    </row>
    <row r="38" spans="2:29" ht="30" x14ac:dyDescent="0.25">
      <c r="B38" s="52">
        <v>34</v>
      </c>
      <c r="C38" s="23" t="s">
        <v>103</v>
      </c>
      <c r="D38" s="23">
        <v>1</v>
      </c>
      <c r="E38" s="28" t="s">
        <v>49</v>
      </c>
      <c r="F38" s="28">
        <v>19.222999999999999</v>
      </c>
      <c r="G38" s="28">
        <v>29.292999999999999</v>
      </c>
      <c r="H38" s="28"/>
      <c r="I38" s="62">
        <v>1250</v>
      </c>
      <c r="J38" s="62">
        <v>1200</v>
      </c>
      <c r="K38" s="28">
        <v>1985</v>
      </c>
      <c r="L38" s="28">
        <v>2023</v>
      </c>
      <c r="M38" s="23">
        <f t="shared" si="1"/>
        <v>38</v>
      </c>
      <c r="N38" s="23" t="str">
        <f t="shared" si="2"/>
        <v>45</v>
      </c>
      <c r="O38" s="24">
        <v>0.1</v>
      </c>
      <c r="P38" s="25">
        <f t="shared" si="3"/>
        <v>0.02</v>
      </c>
      <c r="Q38" s="59">
        <f t="shared" si="0"/>
        <v>1500000</v>
      </c>
      <c r="R38" s="25"/>
      <c r="S38" s="25">
        <f t="shared" si="4"/>
        <v>1875000000</v>
      </c>
      <c r="T38" s="25">
        <f t="shared" si="5"/>
        <v>0.76</v>
      </c>
      <c r="U38" s="25">
        <f t="shared" si="6"/>
        <v>1425000000</v>
      </c>
      <c r="V38" s="26"/>
      <c r="W38" s="27">
        <f t="shared" si="7"/>
        <v>450000000</v>
      </c>
      <c r="Y38"/>
      <c r="AA38" s="30">
        <v>53654.59</v>
      </c>
      <c r="AB38">
        <v>14000</v>
      </c>
      <c r="AC38" s="29">
        <f>AA38*AB38</f>
        <v>751164260</v>
      </c>
    </row>
    <row r="39" spans="2:29" x14ac:dyDescent="0.25">
      <c r="B39" s="52">
        <v>35</v>
      </c>
      <c r="C39" s="46" t="s">
        <v>104</v>
      </c>
      <c r="D39" s="46"/>
      <c r="E39" s="47"/>
      <c r="F39" s="47"/>
      <c r="G39" s="47"/>
      <c r="H39" s="47"/>
      <c r="I39" s="63">
        <v>40000</v>
      </c>
      <c r="J39" s="63">
        <v>75</v>
      </c>
      <c r="K39" s="28"/>
      <c r="L39" s="47"/>
      <c r="M39" s="46"/>
      <c r="N39" s="46"/>
      <c r="O39" s="48"/>
      <c r="P39" s="49"/>
      <c r="Q39" s="59">
        <f t="shared" si="0"/>
        <v>3000000</v>
      </c>
      <c r="R39" s="49"/>
      <c r="S39" s="49"/>
      <c r="T39" s="49"/>
      <c r="U39" s="49"/>
      <c r="V39" s="50"/>
      <c r="W39" s="51"/>
      <c r="Y39"/>
      <c r="AA39" s="30"/>
      <c r="AC39" s="29"/>
    </row>
    <row r="40" spans="2:29" x14ac:dyDescent="0.25">
      <c r="B40" s="52">
        <v>36</v>
      </c>
      <c r="C40" s="46" t="s">
        <v>105</v>
      </c>
      <c r="D40" s="46"/>
      <c r="E40" s="47"/>
      <c r="F40" s="47"/>
      <c r="G40" s="47"/>
      <c r="H40" s="47"/>
      <c r="I40" s="47"/>
      <c r="J40" s="63" t="s">
        <v>109</v>
      </c>
      <c r="K40" s="28"/>
      <c r="L40" s="47"/>
      <c r="M40" s="46"/>
      <c r="N40" s="46"/>
      <c r="O40" s="48"/>
      <c r="P40" s="49"/>
      <c r="Q40" s="59">
        <v>300000</v>
      </c>
      <c r="R40" s="49"/>
      <c r="S40" s="49"/>
      <c r="T40" s="49"/>
      <c r="U40" s="49"/>
      <c r="V40" s="50"/>
      <c r="W40" s="51"/>
      <c r="Y40"/>
      <c r="AA40" s="30"/>
      <c r="AC40" s="29"/>
    </row>
    <row r="41" spans="2:29" ht="30" x14ac:dyDescent="0.25">
      <c r="B41" s="52">
        <v>37</v>
      </c>
      <c r="C41" s="46" t="s">
        <v>106</v>
      </c>
      <c r="D41" s="46"/>
      <c r="E41" s="47"/>
      <c r="F41" s="47"/>
      <c r="G41" s="47"/>
      <c r="H41" s="47"/>
      <c r="I41" s="47"/>
      <c r="J41" s="63" t="s">
        <v>109</v>
      </c>
      <c r="K41" s="28"/>
      <c r="L41" s="47"/>
      <c r="M41" s="46"/>
      <c r="N41" s="46"/>
      <c r="O41" s="48"/>
      <c r="P41" s="49"/>
      <c r="Q41" s="59">
        <v>500000</v>
      </c>
      <c r="R41" s="49"/>
      <c r="S41" s="49"/>
      <c r="T41" s="49"/>
      <c r="U41" s="49"/>
      <c r="V41" s="50"/>
      <c r="W41" s="51"/>
      <c r="Y41"/>
      <c r="AA41" s="30"/>
      <c r="AC41" s="29"/>
    </row>
    <row r="42" spans="2:29" x14ac:dyDescent="0.25">
      <c r="B42" s="94" t="s">
        <v>110</v>
      </c>
      <c r="C42" s="95"/>
      <c r="D42" s="95"/>
      <c r="E42" s="95"/>
      <c r="F42" s="95"/>
      <c r="G42" s="95"/>
      <c r="H42" s="95"/>
      <c r="I42" s="95"/>
      <c r="J42" s="96"/>
      <c r="K42" s="56"/>
      <c r="L42" s="34"/>
      <c r="M42" s="33"/>
      <c r="N42" s="33"/>
      <c r="O42" s="57"/>
      <c r="P42" s="58"/>
      <c r="Q42" s="60">
        <f>SUM(Q5:Q41)</f>
        <v>117400000</v>
      </c>
      <c r="R42" s="49"/>
      <c r="S42" s="49"/>
      <c r="T42" s="49"/>
      <c r="U42" s="49"/>
      <c r="V42" s="50"/>
      <c r="W42" s="51"/>
      <c r="Y42"/>
      <c r="AA42" s="30"/>
      <c r="AC42" s="29"/>
    </row>
    <row r="43" spans="2:29" x14ac:dyDescent="0.25">
      <c r="B43" s="46"/>
      <c r="C43" s="46"/>
      <c r="D43" s="46"/>
      <c r="E43" s="47"/>
      <c r="F43" s="47"/>
      <c r="G43" s="47"/>
      <c r="H43" s="47"/>
      <c r="I43" s="47"/>
      <c r="J43" s="46"/>
      <c r="K43" s="28"/>
      <c r="L43" s="47"/>
      <c r="M43" s="46"/>
      <c r="N43" s="46"/>
      <c r="O43" s="48"/>
      <c r="P43" s="49"/>
      <c r="Q43" s="49"/>
      <c r="R43" s="49"/>
      <c r="S43" s="49"/>
      <c r="T43" s="49"/>
      <c r="U43" s="49"/>
      <c r="V43" s="50"/>
      <c r="W43" s="51"/>
      <c r="Y43"/>
      <c r="AA43" s="30"/>
      <c r="AC43" s="29"/>
    </row>
    <row r="44" spans="2:29" x14ac:dyDescent="0.25">
      <c r="B44" s="46"/>
      <c r="C44" s="46"/>
      <c r="D44" s="46"/>
      <c r="E44" s="47"/>
      <c r="F44" s="47"/>
      <c r="G44" s="47"/>
      <c r="H44" s="47"/>
      <c r="I44" s="47"/>
      <c r="J44" s="46"/>
      <c r="K44" s="28"/>
      <c r="L44" s="47"/>
      <c r="M44" s="46"/>
      <c r="N44" s="46"/>
      <c r="O44" s="48"/>
      <c r="P44" s="49"/>
      <c r="Q44" s="49"/>
      <c r="R44" s="49"/>
      <c r="S44" s="49"/>
      <c r="T44" s="49"/>
      <c r="U44" s="49"/>
      <c r="V44" s="50"/>
      <c r="W44" s="51"/>
      <c r="Y44"/>
      <c r="AA44" s="30"/>
      <c r="AC44" s="29"/>
    </row>
    <row r="45" spans="2:29" x14ac:dyDescent="0.25">
      <c r="B45" s="46"/>
      <c r="C45" s="46"/>
      <c r="D45" s="46"/>
      <c r="E45" s="47"/>
      <c r="F45" s="47"/>
      <c r="G45" s="47"/>
      <c r="H45" s="47"/>
      <c r="I45" s="47"/>
      <c r="J45" s="46"/>
      <c r="K45" s="28"/>
      <c r="L45" s="47"/>
      <c r="M45" s="46"/>
      <c r="N45" s="46"/>
      <c r="O45" s="48"/>
      <c r="P45" s="49"/>
      <c r="Q45" s="49"/>
      <c r="R45" s="49"/>
      <c r="S45" s="49"/>
      <c r="T45" s="49"/>
      <c r="U45" s="49"/>
      <c r="V45" s="50"/>
      <c r="W45" s="51"/>
      <c r="Y45"/>
      <c r="AA45" s="30"/>
      <c r="AC45" s="29"/>
    </row>
    <row r="46" spans="2:29" x14ac:dyDescent="0.25">
      <c r="B46" s="46"/>
      <c r="C46" s="46"/>
      <c r="D46" s="46"/>
      <c r="E46" s="47"/>
      <c r="F46" s="47"/>
      <c r="G46" s="47"/>
      <c r="H46" s="47"/>
      <c r="I46" s="47"/>
      <c r="J46" s="46"/>
      <c r="K46" s="28"/>
      <c r="L46" s="47"/>
      <c r="M46" s="46"/>
      <c r="N46" s="46"/>
      <c r="O46" s="48"/>
      <c r="P46" s="49"/>
      <c r="Q46" s="49"/>
      <c r="R46" s="49"/>
      <c r="S46" s="49"/>
      <c r="T46" s="49"/>
      <c r="U46" s="49"/>
      <c r="V46" s="50"/>
      <c r="W46" s="51"/>
      <c r="Y46"/>
      <c r="AA46" s="30"/>
      <c r="AC46" s="29"/>
    </row>
    <row r="47" spans="2:29" x14ac:dyDescent="0.25">
      <c r="B47" s="33"/>
      <c r="C47" s="34"/>
      <c r="D47" s="34"/>
      <c r="E47" s="34"/>
      <c r="F47" s="34"/>
      <c r="G47" s="34"/>
      <c r="H47" s="34"/>
      <c r="I47" s="35">
        <f>SUM(I26:I38)</f>
        <v>26650</v>
      </c>
      <c r="J47" s="35"/>
      <c r="K47" s="36"/>
      <c r="L47" s="37"/>
      <c r="M47" s="37"/>
      <c r="N47" s="37"/>
      <c r="O47" s="37"/>
      <c r="P47" s="37"/>
      <c r="Q47" s="37"/>
      <c r="R47" s="37"/>
      <c r="S47" s="38">
        <f>SUM(S26:S38)</f>
        <v>23895000000</v>
      </c>
      <c r="T47" s="38"/>
      <c r="U47" s="38"/>
      <c r="V47" s="38">
        <f>SUM(V26:V38)</f>
        <v>0</v>
      </c>
      <c r="W47" s="38">
        <f>SUM(W26:W38)</f>
        <v>9756800000</v>
      </c>
      <c r="X47" s="39">
        <v>329450000</v>
      </c>
      <c r="Y47" s="32">
        <f>X47+W47</f>
        <v>10086250000</v>
      </c>
      <c r="Z47" s="29">
        <v>444100000</v>
      </c>
    </row>
    <row r="48" spans="2:29" ht="24" customHeight="1" x14ac:dyDescent="0.25">
      <c r="B48" s="82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4"/>
      <c r="X48">
        <v>751164260</v>
      </c>
      <c r="Y48">
        <v>2800000</v>
      </c>
      <c r="Z48" s="31">
        <f>Y48+X48+W47</f>
        <v>10510764260</v>
      </c>
    </row>
    <row r="49" spans="2:37" x14ac:dyDescent="0.25">
      <c r="B49" s="82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4"/>
      <c r="Y49"/>
      <c r="Z49">
        <v>911700000</v>
      </c>
      <c r="AA49">
        <v>0.85</v>
      </c>
      <c r="AB49" s="29">
        <f>AA49*Z49</f>
        <v>774945000</v>
      </c>
    </row>
    <row r="50" spans="2:37" x14ac:dyDescent="0.25">
      <c r="B50" s="97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9"/>
      <c r="Y50"/>
      <c r="Z50">
        <v>911700000</v>
      </c>
      <c r="AA50">
        <v>0.75</v>
      </c>
      <c r="AB50" s="29">
        <f>AA50*Z50</f>
        <v>683775000</v>
      </c>
      <c r="AC50" s="29"/>
      <c r="AD50" s="29"/>
      <c r="AE50" s="29"/>
      <c r="AF50" s="29"/>
      <c r="AG50" s="29"/>
      <c r="AH50" s="29"/>
      <c r="AI50" s="29"/>
      <c r="AJ50" s="29"/>
      <c r="AK50" s="29"/>
    </row>
    <row r="51" spans="2:37" x14ac:dyDescent="0.25">
      <c r="B51" s="91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Y51"/>
      <c r="Z51">
        <v>285992600</v>
      </c>
      <c r="AA51">
        <v>0.75</v>
      </c>
      <c r="AB51" s="29">
        <f>AA51*Z51</f>
        <v>214494450</v>
      </c>
      <c r="AC51" s="29"/>
      <c r="AD51" s="29"/>
      <c r="AE51" s="29"/>
      <c r="AF51" s="29"/>
      <c r="AG51" s="29"/>
      <c r="AH51" s="29"/>
      <c r="AI51" s="29"/>
      <c r="AJ51" s="29"/>
      <c r="AK51" s="29"/>
    </row>
    <row r="52" spans="2:37" x14ac:dyDescent="0.25">
      <c r="B52" s="82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4"/>
      <c r="Y52"/>
      <c r="AC52" s="29"/>
      <c r="AD52" s="21"/>
      <c r="AE52" s="29"/>
      <c r="AF52" s="29"/>
      <c r="AG52" s="29"/>
      <c r="AH52" s="29"/>
      <c r="AI52" s="29"/>
      <c r="AJ52" s="29"/>
      <c r="AK52" s="29"/>
    </row>
    <row r="53" spans="2:37" x14ac:dyDescent="0.25">
      <c r="Y53"/>
      <c r="AC53" s="29"/>
      <c r="AD53" s="29"/>
      <c r="AE53" s="29"/>
      <c r="AF53" s="29"/>
      <c r="AG53" s="29"/>
      <c r="AH53" s="29"/>
      <c r="AI53" s="29"/>
      <c r="AJ53" s="29"/>
      <c r="AK53" s="29"/>
    </row>
    <row r="54" spans="2:37" x14ac:dyDescent="0.25">
      <c r="E54"/>
      <c r="F54"/>
      <c r="G54"/>
      <c r="H54"/>
      <c r="J54"/>
      <c r="Y54"/>
      <c r="AC54" s="29"/>
      <c r="AD54" s="29"/>
      <c r="AE54" s="29"/>
      <c r="AF54" s="29"/>
      <c r="AG54" s="29"/>
      <c r="AH54" s="29"/>
      <c r="AI54" s="29"/>
      <c r="AJ54" s="29"/>
      <c r="AK54" s="29"/>
    </row>
    <row r="55" spans="2:37" x14ac:dyDescent="0.25">
      <c r="E55"/>
      <c r="F55"/>
      <c r="G55"/>
      <c r="H55"/>
      <c r="J55"/>
      <c r="S55" s="42">
        <f>0.8*S47</f>
        <v>19116000000</v>
      </c>
      <c r="Y55"/>
      <c r="AC55" s="29"/>
      <c r="AD55" s="29"/>
      <c r="AE55" s="29"/>
      <c r="AF55" s="29"/>
      <c r="AG55" s="29"/>
      <c r="AH55" s="29"/>
      <c r="AI55" s="29"/>
      <c r="AJ55" s="29"/>
      <c r="AK55" s="29"/>
    </row>
    <row r="56" spans="2:37" ht="28.5" customHeight="1" x14ac:dyDescent="0.25">
      <c r="C56" s="21"/>
      <c r="D56" s="21"/>
      <c r="E56"/>
      <c r="F56"/>
      <c r="G56"/>
      <c r="H56"/>
      <c r="J56"/>
      <c r="Y56"/>
      <c r="AC56" s="29"/>
      <c r="AD56" s="29"/>
      <c r="AE56" s="29"/>
      <c r="AF56" s="29"/>
      <c r="AG56" s="29"/>
      <c r="AH56" s="29"/>
      <c r="AI56" s="29"/>
      <c r="AJ56" s="29"/>
      <c r="AK56" s="29"/>
    </row>
    <row r="57" spans="2:37" x14ac:dyDescent="0.25">
      <c r="E57"/>
      <c r="F57"/>
      <c r="G57"/>
      <c r="H57"/>
      <c r="J57"/>
      <c r="Y57"/>
      <c r="AC57" s="29"/>
      <c r="AD57" s="29"/>
      <c r="AE57" s="29"/>
      <c r="AF57" s="29"/>
      <c r="AG57" s="29"/>
      <c r="AH57" s="29"/>
      <c r="AI57" s="29"/>
      <c r="AJ57" s="29"/>
      <c r="AK57" s="29"/>
    </row>
    <row r="58" spans="2:37" x14ac:dyDescent="0.25">
      <c r="C58" t="s">
        <v>51</v>
      </c>
      <c r="E58">
        <v>11.98</v>
      </c>
      <c r="F58">
        <f>(2.26*10^7)</f>
        <v>22599999.999999996</v>
      </c>
      <c r="G58" s="21">
        <f>E58*F58</f>
        <v>270747999.99999994</v>
      </c>
      <c r="H58" s="21"/>
      <c r="I58">
        <f>G58/10^7/11.98</f>
        <v>2.2599999999999993</v>
      </c>
      <c r="J58"/>
      <c r="Y58"/>
      <c r="AC58" s="29"/>
      <c r="AD58" s="29"/>
      <c r="AE58" s="29"/>
      <c r="AF58" s="29"/>
      <c r="AG58" s="29"/>
      <c r="AH58" s="29"/>
      <c r="AI58" s="29"/>
      <c r="AJ58" s="29"/>
      <c r="AK58" s="29"/>
    </row>
    <row r="59" spans="2:37" ht="15.75" customHeight="1" x14ac:dyDescent="0.25">
      <c r="C59" t="s">
        <v>52</v>
      </c>
      <c r="E59"/>
      <c r="F59"/>
      <c r="G59" s="32">
        <f>W47</f>
        <v>9756800000</v>
      </c>
      <c r="H59" s="32"/>
      <c r="J59"/>
      <c r="Y59"/>
    </row>
    <row r="60" spans="2:37" ht="15" customHeight="1" x14ac:dyDescent="0.25">
      <c r="C60" t="s">
        <v>53</v>
      </c>
      <c r="E60"/>
      <c r="F60"/>
      <c r="G60" s="21">
        <v>14500000</v>
      </c>
      <c r="H60" s="21"/>
      <c r="J60"/>
      <c r="Y60"/>
    </row>
    <row r="61" spans="2:37" x14ac:dyDescent="0.25">
      <c r="E61"/>
      <c r="F61"/>
      <c r="G61" s="21">
        <f>SUM(G58:G60)</f>
        <v>10042048000</v>
      </c>
      <c r="H61" s="21"/>
      <c r="J61"/>
      <c r="Y61"/>
    </row>
    <row r="62" spans="2:37" x14ac:dyDescent="0.25">
      <c r="E62"/>
      <c r="F62"/>
      <c r="G62" s="21">
        <f>40.3*10^7</f>
        <v>403000000</v>
      </c>
      <c r="H62" s="21"/>
      <c r="J62"/>
      <c r="Y62"/>
    </row>
    <row r="63" spans="2:37" x14ac:dyDescent="0.25">
      <c r="E63"/>
      <c r="F63"/>
      <c r="G63" s="21">
        <f>40.3*10^7</f>
        <v>403000000</v>
      </c>
      <c r="H63" s="21"/>
      <c r="J63"/>
      <c r="Y63"/>
    </row>
    <row r="64" spans="2:37" x14ac:dyDescent="0.25">
      <c r="E64"/>
      <c r="F64">
        <v>0.85</v>
      </c>
      <c r="G64" s="32">
        <f>G63*F64</f>
        <v>342550000</v>
      </c>
      <c r="H64" s="32"/>
      <c r="J64"/>
      <c r="Y64"/>
    </row>
    <row r="65" spans="5:25" x14ac:dyDescent="0.25">
      <c r="F65" s="40">
        <v>0.75</v>
      </c>
      <c r="G65" s="43">
        <f>G63*F65</f>
        <v>302250000</v>
      </c>
      <c r="H65" s="43"/>
      <c r="N65">
        <v>516</v>
      </c>
      <c r="Y65"/>
    </row>
    <row r="66" spans="5:25" x14ac:dyDescent="0.25">
      <c r="L66">
        <f>11000*0.7</f>
        <v>7699.9999999999991</v>
      </c>
    </row>
    <row r="67" spans="5:25" x14ac:dyDescent="0.25">
      <c r="E67">
        <v>11.98</v>
      </c>
      <c r="F67">
        <f>(1.81*10^7)*1.25</f>
        <v>22625000</v>
      </c>
      <c r="G67">
        <f>E67*F67</f>
        <v>271047500</v>
      </c>
      <c r="H67"/>
      <c r="L67" s="21"/>
      <c r="M67" s="31"/>
      <c r="N67" s="31"/>
      <c r="S67" s="31"/>
      <c r="T67" s="31"/>
    </row>
    <row r="68" spans="5:25" x14ac:dyDescent="0.25">
      <c r="E68"/>
      <c r="F68"/>
      <c r="G68" s="32">
        <f>$G$59</f>
        <v>9756800000</v>
      </c>
      <c r="H68" s="32"/>
    </row>
    <row r="69" spans="5:25" x14ac:dyDescent="0.25">
      <c r="E69"/>
      <c r="F69"/>
      <c r="G69">
        <v>14000000</v>
      </c>
      <c r="H69"/>
    </row>
    <row r="70" spans="5:25" x14ac:dyDescent="0.25">
      <c r="E70"/>
      <c r="F70"/>
      <c r="G70">
        <f>SUM(G67:G69)</f>
        <v>10041847500</v>
      </c>
      <c r="H70"/>
      <c r="M70" s="31"/>
      <c r="N70" s="31"/>
      <c r="S70" s="31"/>
      <c r="T70" s="31"/>
    </row>
    <row r="71" spans="5:25" x14ac:dyDescent="0.25">
      <c r="E71"/>
      <c r="F71"/>
      <c r="G71" s="21">
        <f>SUM(G67:G70)</f>
        <v>20083695000</v>
      </c>
      <c r="H71" s="21"/>
    </row>
    <row r="72" spans="5:25" x14ac:dyDescent="0.25">
      <c r="E72"/>
      <c r="F72"/>
      <c r="G72" s="29">
        <v>350000000</v>
      </c>
      <c r="H72" s="29"/>
    </row>
    <row r="73" spans="5:25" x14ac:dyDescent="0.25">
      <c r="E73"/>
      <c r="F73">
        <v>0.85</v>
      </c>
      <c r="G73" s="32">
        <f>G72*F73</f>
        <v>297500000</v>
      </c>
      <c r="H73" s="32"/>
    </row>
    <row r="74" spans="5:25" x14ac:dyDescent="0.25">
      <c r="F74" s="40">
        <v>0.75</v>
      </c>
      <c r="G74" s="43">
        <f>G72*F74</f>
        <v>262500000</v>
      </c>
      <c r="H74" s="43"/>
    </row>
    <row r="75" spans="5:25" x14ac:dyDescent="0.25">
      <c r="M75" s="21"/>
    </row>
    <row r="76" spans="5:25" x14ac:dyDescent="0.25">
      <c r="T76" s="21"/>
    </row>
  </sheetData>
  <mergeCells count="7">
    <mergeCell ref="B52:W52"/>
    <mergeCell ref="B42:J42"/>
    <mergeCell ref="B3:W3"/>
    <mergeCell ref="B48:W48"/>
    <mergeCell ref="B49:W49"/>
    <mergeCell ref="B50:W50"/>
    <mergeCell ref="B51:W5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tabSelected="1" workbookViewId="0">
      <selection activeCell="J6" sqref="J6"/>
    </sheetView>
  </sheetViews>
  <sheetFormatPr defaultRowHeight="15" x14ac:dyDescent="0.25"/>
  <cols>
    <col min="2" max="2" width="19.42578125" bestFit="1" customWidth="1"/>
    <col min="4" max="4" width="10.5703125" bestFit="1" customWidth="1"/>
    <col min="5" max="5" width="14.28515625" bestFit="1" customWidth="1"/>
    <col min="6" max="6" width="0" hidden="1" customWidth="1"/>
    <col min="9" max="9" width="15.28515625" bestFit="1" customWidth="1"/>
    <col min="12" max="12" width="10" bestFit="1" customWidth="1"/>
    <col min="14" max="14" width="14.28515625" bestFit="1" customWidth="1"/>
  </cols>
  <sheetData>
    <row r="1" spans="2:14" ht="15.75" thickBot="1" x14ac:dyDescent="0.3">
      <c r="B1" s="107" t="s">
        <v>153</v>
      </c>
      <c r="C1" s="107"/>
      <c r="D1" s="107"/>
      <c r="E1" s="107"/>
      <c r="F1" s="107"/>
      <c r="G1" s="107"/>
      <c r="H1" s="107"/>
      <c r="I1" s="108"/>
    </row>
    <row r="2" spans="2:14" x14ac:dyDescent="0.25">
      <c r="B2" s="4"/>
      <c r="C2" s="4" t="s">
        <v>108</v>
      </c>
      <c r="D2" s="4" t="s">
        <v>34</v>
      </c>
      <c r="E2" s="4" t="s">
        <v>35</v>
      </c>
      <c r="F2" s="4" t="s">
        <v>148</v>
      </c>
      <c r="G2" s="4" t="s">
        <v>149</v>
      </c>
      <c r="H2" s="4" t="s">
        <v>65</v>
      </c>
      <c r="I2" s="4" t="s">
        <v>66</v>
      </c>
    </row>
    <row r="3" spans="2:14" x14ac:dyDescent="0.25">
      <c r="B3" s="109" t="s">
        <v>151</v>
      </c>
      <c r="C3" s="8" t="s">
        <v>152</v>
      </c>
      <c r="D3" s="8"/>
      <c r="E3" s="8"/>
      <c r="F3" s="8"/>
      <c r="G3" s="8">
        <f>6.15*4046.86*1.5</f>
        <v>37332.283500000005</v>
      </c>
      <c r="H3" s="8">
        <v>200</v>
      </c>
      <c r="I3" s="8">
        <f>H3*G3</f>
        <v>7466456.7000000011</v>
      </c>
    </row>
    <row r="4" spans="2:14" ht="30" x14ac:dyDescent="0.25">
      <c r="B4" s="101" t="s">
        <v>173</v>
      </c>
      <c r="C4" s="8" t="s">
        <v>150</v>
      </c>
      <c r="D4" s="8">
        <v>2478</v>
      </c>
      <c r="E4" s="8">
        <v>7</v>
      </c>
      <c r="F4" s="8"/>
      <c r="G4" s="8">
        <f>E4*D4</f>
        <v>17346</v>
      </c>
      <c r="H4" s="8">
        <v>100</v>
      </c>
      <c r="I4" s="8">
        <f>H4*G4</f>
        <v>1734600</v>
      </c>
    </row>
    <row r="5" spans="2:14" ht="45" x14ac:dyDescent="0.25">
      <c r="B5" s="101" t="s">
        <v>174</v>
      </c>
      <c r="C5" s="8" t="s">
        <v>150</v>
      </c>
      <c r="D5" s="8">
        <f>3552-D4</f>
        <v>1074</v>
      </c>
      <c r="E5" s="8">
        <v>7</v>
      </c>
      <c r="F5" s="8"/>
      <c r="G5" s="8">
        <f t="shared" ref="G5:G10" si="0">E5*D5</f>
        <v>7518</v>
      </c>
      <c r="H5" s="8">
        <v>90</v>
      </c>
      <c r="I5" s="8">
        <f t="shared" ref="I5:I10" si="1">H5*G5</f>
        <v>676620</v>
      </c>
    </row>
    <row r="6" spans="2:14" x14ac:dyDescent="0.25">
      <c r="B6" s="109" t="s">
        <v>145</v>
      </c>
      <c r="C6" s="8" t="s">
        <v>150</v>
      </c>
      <c r="D6" s="8">
        <v>253</v>
      </c>
      <c r="E6" s="8">
        <v>44</v>
      </c>
      <c r="F6" s="8"/>
      <c r="G6" s="8">
        <f t="shared" si="0"/>
        <v>11132</v>
      </c>
      <c r="H6" s="8">
        <v>400</v>
      </c>
      <c r="I6" s="8">
        <f t="shared" si="1"/>
        <v>4452800</v>
      </c>
    </row>
    <row r="7" spans="2:14" x14ac:dyDescent="0.25">
      <c r="B7" s="109" t="s">
        <v>146</v>
      </c>
      <c r="C7" s="8" t="s">
        <v>150</v>
      </c>
      <c r="D7" s="8">
        <v>354</v>
      </c>
      <c r="E7" s="8">
        <v>45</v>
      </c>
      <c r="F7" s="8"/>
      <c r="G7" s="8">
        <f t="shared" si="0"/>
        <v>15930</v>
      </c>
      <c r="H7" s="8">
        <v>450</v>
      </c>
      <c r="I7" s="8">
        <f t="shared" si="1"/>
        <v>7168500</v>
      </c>
    </row>
    <row r="8" spans="2:14" x14ac:dyDescent="0.25">
      <c r="B8" s="109" t="s">
        <v>147</v>
      </c>
      <c r="C8" s="8" t="s">
        <v>150</v>
      </c>
      <c r="D8" s="8"/>
      <c r="E8" s="8"/>
      <c r="F8" s="8"/>
      <c r="G8" s="8">
        <f t="shared" si="0"/>
        <v>0</v>
      </c>
      <c r="H8" s="8"/>
      <c r="I8" s="8">
        <v>300000</v>
      </c>
    </row>
    <row r="9" spans="2:14" x14ac:dyDescent="0.25">
      <c r="B9" s="109" t="s">
        <v>112</v>
      </c>
      <c r="C9" s="8" t="s">
        <v>150</v>
      </c>
      <c r="D9" s="8">
        <v>80</v>
      </c>
      <c r="E9" s="8">
        <v>22</v>
      </c>
      <c r="F9" s="8"/>
      <c r="G9" s="8">
        <f t="shared" si="0"/>
        <v>1760</v>
      </c>
      <c r="H9" s="8">
        <v>1000</v>
      </c>
      <c r="I9" s="8">
        <f t="shared" si="1"/>
        <v>1760000</v>
      </c>
    </row>
    <row r="10" spans="2:14" x14ac:dyDescent="0.25">
      <c r="B10" s="109" t="s">
        <v>111</v>
      </c>
      <c r="C10" s="8" t="s">
        <v>150</v>
      </c>
      <c r="D10" s="8">
        <v>50</v>
      </c>
      <c r="E10" s="8">
        <v>30</v>
      </c>
      <c r="F10" s="8"/>
      <c r="G10" s="8">
        <f t="shared" si="0"/>
        <v>1500</v>
      </c>
      <c r="H10" s="8">
        <v>450</v>
      </c>
      <c r="I10" s="8">
        <f t="shared" si="1"/>
        <v>675000</v>
      </c>
    </row>
    <row r="11" spans="2:14" x14ac:dyDescent="0.25">
      <c r="B11" s="8"/>
      <c r="C11" s="8"/>
      <c r="D11" s="8"/>
      <c r="E11" s="8"/>
      <c r="F11" s="8"/>
      <c r="G11" s="8"/>
      <c r="H11" s="8"/>
      <c r="I11" s="110">
        <f>SUM(I3:I10)</f>
        <v>24233976.700000003</v>
      </c>
    </row>
    <row r="12" spans="2:14" x14ac:dyDescent="0.25">
      <c r="N12">
        <f>N14*0.75</f>
        <v>132588000</v>
      </c>
    </row>
    <row r="13" spans="2:14" x14ac:dyDescent="0.25">
      <c r="I13" s="106">
        <f>I11/10^7</f>
        <v>2.4233976700000004</v>
      </c>
      <c r="N13">
        <f>N14*0.85</f>
        <v>150266400</v>
      </c>
    </row>
    <row r="14" spans="2:14" x14ac:dyDescent="0.25">
      <c r="B14" s="100" t="s">
        <v>154</v>
      </c>
      <c r="C14" s="100"/>
      <c r="D14" s="100"/>
      <c r="E14" s="100"/>
      <c r="F14" s="100"/>
      <c r="G14" s="100"/>
      <c r="H14" s="100"/>
      <c r="I14" s="100"/>
      <c r="N14">
        <f>1767.84*10^5</f>
        <v>176784000</v>
      </c>
    </row>
    <row r="15" spans="2:14" ht="30" x14ac:dyDescent="0.25">
      <c r="B15" t="s">
        <v>0</v>
      </c>
      <c r="C15" s="40" t="s">
        <v>155</v>
      </c>
      <c r="D15" t="s">
        <v>156</v>
      </c>
      <c r="E15" s="40" t="s">
        <v>157</v>
      </c>
      <c r="L15">
        <v>33411.858</v>
      </c>
      <c r="M15">
        <f>N14/L15</f>
        <v>5291.0556485664465</v>
      </c>
      <c r="N15" s="29">
        <f>N14/M16</f>
        <v>21412055.640844639</v>
      </c>
    </row>
    <row r="16" spans="2:14" x14ac:dyDescent="0.25">
      <c r="B16" t="s">
        <v>158</v>
      </c>
      <c r="C16">
        <v>11726000</v>
      </c>
      <c r="D16" s="67">
        <v>0.25</v>
      </c>
      <c r="E16">
        <f>D16*C16</f>
        <v>2931500</v>
      </c>
      <c r="M16">
        <f>L15/4046.84</f>
        <v>8.2562834211384679</v>
      </c>
    </row>
    <row r="17" spans="2:5" x14ac:dyDescent="0.25">
      <c r="B17" t="s">
        <v>159</v>
      </c>
      <c r="C17">
        <v>61268480</v>
      </c>
      <c r="D17" s="67">
        <v>0.5</v>
      </c>
      <c r="E17">
        <f>D17*C17/4</f>
        <v>7658560</v>
      </c>
    </row>
    <row r="18" spans="2:5" x14ac:dyDescent="0.25">
      <c r="B18" t="s">
        <v>159</v>
      </c>
      <c r="C18">
        <v>15270528</v>
      </c>
      <c r="D18" s="67">
        <v>0.5</v>
      </c>
      <c r="E18">
        <f t="shared" ref="E18" si="2">D18*C18</f>
        <v>7635264</v>
      </c>
    </row>
    <row r="19" spans="2:5" x14ac:dyDescent="0.25">
      <c r="E19" s="71">
        <f>SUM(E16:E18)</f>
        <v>18225324</v>
      </c>
    </row>
  </sheetData>
  <mergeCells count="2">
    <mergeCell ref="B1:I1"/>
    <mergeCell ref="B14:I1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L8"/>
  <sheetViews>
    <sheetView workbookViewId="0">
      <selection activeCell="F3" sqref="F3:L8"/>
    </sheetView>
  </sheetViews>
  <sheetFormatPr defaultRowHeight="15" x14ac:dyDescent="0.25"/>
  <cols>
    <col min="6" max="6" width="25.42578125" customWidth="1"/>
    <col min="7" max="7" width="12.5703125" customWidth="1"/>
    <col min="8" max="8" width="14" customWidth="1"/>
    <col min="9" max="9" width="16.140625" customWidth="1"/>
    <col min="10" max="10" width="19.7109375" customWidth="1"/>
    <col min="11" max="11" width="12.85546875" customWidth="1"/>
    <col min="12" max="12" width="30.5703125" customWidth="1"/>
  </cols>
  <sheetData>
    <row r="3" spans="6:12" ht="60" x14ac:dyDescent="0.25">
      <c r="F3" s="101" t="s">
        <v>163</v>
      </c>
      <c r="G3" s="101" t="s">
        <v>170</v>
      </c>
      <c r="H3" s="101" t="s">
        <v>169</v>
      </c>
      <c r="I3" s="101" t="s">
        <v>162</v>
      </c>
      <c r="J3" s="101" t="s">
        <v>160</v>
      </c>
      <c r="K3" s="101" t="s">
        <v>161</v>
      </c>
      <c r="L3" s="101" t="s">
        <v>164</v>
      </c>
    </row>
    <row r="4" spans="6:12" ht="45" x14ac:dyDescent="0.25">
      <c r="F4" s="102" t="s">
        <v>165</v>
      </c>
      <c r="G4" s="103">
        <v>11.72</v>
      </c>
      <c r="H4" s="103">
        <v>2.41</v>
      </c>
      <c r="I4" s="103"/>
      <c r="J4" s="103" t="s">
        <v>171</v>
      </c>
      <c r="K4" s="103"/>
      <c r="L4" s="103"/>
    </row>
    <row r="5" spans="6:12" ht="30" x14ac:dyDescent="0.25">
      <c r="F5" s="103" t="s">
        <v>166</v>
      </c>
      <c r="G5" s="103">
        <v>8.66</v>
      </c>
      <c r="H5" s="103">
        <v>0.79</v>
      </c>
      <c r="I5" s="103"/>
      <c r="J5" s="103" t="s">
        <v>171</v>
      </c>
      <c r="K5" s="103"/>
      <c r="L5" s="103"/>
    </row>
    <row r="6" spans="6:12" ht="30" x14ac:dyDescent="0.25">
      <c r="F6" s="103" t="s">
        <v>167</v>
      </c>
      <c r="G6" s="103"/>
      <c r="H6" s="103">
        <v>0.215</v>
      </c>
      <c r="I6" s="103"/>
      <c r="J6" s="103" t="s">
        <v>171</v>
      </c>
      <c r="K6" s="103"/>
      <c r="L6" s="103"/>
    </row>
    <row r="7" spans="6:12" ht="30" x14ac:dyDescent="0.25">
      <c r="F7" s="103" t="s">
        <v>168</v>
      </c>
      <c r="G7" s="103"/>
      <c r="H7" s="103">
        <v>2.5000000000000001E-3</v>
      </c>
      <c r="I7" s="103"/>
      <c r="J7" s="103" t="s">
        <v>171</v>
      </c>
      <c r="K7" s="103"/>
      <c r="L7" s="103"/>
    </row>
    <row r="8" spans="6:12" x14ac:dyDescent="0.25">
      <c r="F8" s="105" t="s">
        <v>172</v>
      </c>
      <c r="G8" s="104">
        <f>SUM(G4:G7)</f>
        <v>20.380000000000003</v>
      </c>
      <c r="H8" s="104">
        <f>SUM(H4:H7)</f>
        <v>3.4175</v>
      </c>
      <c r="I8" s="104"/>
      <c r="J8" s="104"/>
      <c r="K8" s="104"/>
      <c r="L8" s="10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zoomScale="115" zoomScaleNormal="115" workbookViewId="0">
      <selection activeCell="B3" sqref="B3:C9"/>
    </sheetView>
  </sheetViews>
  <sheetFormatPr defaultRowHeight="15" x14ac:dyDescent="0.25"/>
  <cols>
    <col min="2" max="2" width="36.42578125" customWidth="1"/>
    <col min="3" max="3" width="21.85546875" customWidth="1"/>
    <col min="4" max="4" width="22.85546875" customWidth="1"/>
  </cols>
  <sheetData>
    <row r="2" spans="2:4" x14ac:dyDescent="0.25">
      <c r="B2" s="15" t="s">
        <v>0</v>
      </c>
      <c r="C2" s="15" t="s">
        <v>17</v>
      </c>
    </row>
    <row r="3" spans="2:4" ht="30" x14ac:dyDescent="0.25">
      <c r="B3" s="16" t="s">
        <v>18</v>
      </c>
      <c r="C3" s="8">
        <v>11.72</v>
      </c>
    </row>
    <row r="4" spans="2:4" x14ac:dyDescent="0.25">
      <c r="B4" s="17" t="s">
        <v>19</v>
      </c>
      <c r="C4" s="8">
        <v>8.66</v>
      </c>
    </row>
    <row r="5" spans="2:4" x14ac:dyDescent="0.25">
      <c r="B5" s="17" t="s">
        <v>20</v>
      </c>
      <c r="C5" s="8">
        <v>0.41</v>
      </c>
    </row>
    <row r="6" spans="2:4" x14ac:dyDescent="0.25">
      <c r="B6" s="17" t="s">
        <v>21</v>
      </c>
      <c r="C6" s="8">
        <v>0.06</v>
      </c>
    </row>
    <row r="7" spans="2:4" x14ac:dyDescent="0.25">
      <c r="B7" s="17" t="s">
        <v>22</v>
      </c>
      <c r="C7" s="8">
        <v>0.02</v>
      </c>
    </row>
    <row r="8" spans="2:4" x14ac:dyDescent="0.25">
      <c r="B8" s="17" t="s">
        <v>23</v>
      </c>
      <c r="C8" s="8">
        <v>1.42</v>
      </c>
    </row>
    <row r="9" spans="2:4" x14ac:dyDescent="0.25">
      <c r="B9" s="17" t="s">
        <v>24</v>
      </c>
      <c r="C9" s="8">
        <v>1.66</v>
      </c>
    </row>
    <row r="10" spans="2:4" x14ac:dyDescent="0.25">
      <c r="B10" s="15" t="s">
        <v>25</v>
      </c>
      <c r="C10" s="15">
        <f>SUM(C3:C9)</f>
        <v>23.95</v>
      </c>
    </row>
    <row r="13" spans="2:4" x14ac:dyDescent="0.25">
      <c r="B13" t="s">
        <v>26</v>
      </c>
      <c r="C13" s="18" t="s">
        <v>26</v>
      </c>
      <c r="D13" s="18" t="s">
        <v>27</v>
      </c>
    </row>
    <row r="14" spans="2:4" x14ac:dyDescent="0.25">
      <c r="C14" s="19">
        <v>44929</v>
      </c>
      <c r="D14" s="8" t="s">
        <v>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Status</vt:lpstr>
      <vt:lpstr>% completion</vt:lpstr>
      <vt:lpstr>Building Sheet</vt:lpstr>
      <vt:lpstr>Construction Cost</vt:lpstr>
      <vt:lpstr>Expenses</vt:lpstr>
      <vt:lpstr>Sheet1</vt:lpstr>
      <vt:lpstr>Cost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Vishal Singh</dc:creator>
  <cp:lastModifiedBy>Vishal Singh</cp:lastModifiedBy>
  <dcterms:created xsi:type="dcterms:W3CDTF">2023-07-28T11:31:37Z</dcterms:created>
  <dcterms:modified xsi:type="dcterms:W3CDTF">2023-09-11T09:43:41Z</dcterms:modified>
</cp:coreProperties>
</file>