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Z:\In Progress Files\Mahesh Joshi\uploads\VIS(2023-24)-PL184-157-219_MS Marut Nandan Overseas Ltd\"/>
    </mc:Choice>
  </mc:AlternateContent>
  <xr:revisionPtr revIDLastSave="0" documentId="13_ncr:1_{53BD1707-5466-4A21-BACB-E98276509C26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working" sheetId="2" r:id="rId1"/>
    <sheet name="Sheet1" sheetId="1" r:id="rId2"/>
    <sheet name="Sheet2" sheetId="3" r:id="rId3"/>
    <sheet name="Sheet3" sheetId="4" r:id="rId4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2" l="1"/>
  <c r="H29" i="2"/>
  <c r="T15" i="2"/>
  <c r="H5" i="2"/>
  <c r="H6" i="2"/>
  <c r="H7" i="2"/>
  <c r="P7" i="2" s="1"/>
  <c r="H8" i="2"/>
  <c r="P8" i="2" s="1"/>
  <c r="H9" i="2"/>
  <c r="P9" i="2" s="1"/>
  <c r="H10" i="2"/>
  <c r="H11" i="2"/>
  <c r="H12" i="2"/>
  <c r="P12" i="2" s="1"/>
  <c r="H13" i="2"/>
  <c r="H14" i="2"/>
  <c r="P14" i="2" s="1"/>
  <c r="H4" i="2"/>
  <c r="P4" i="2" s="1"/>
  <c r="P5" i="2"/>
  <c r="P6" i="2"/>
  <c r="P10" i="2"/>
  <c r="P11" i="2"/>
  <c r="P13" i="2"/>
  <c r="Q13" i="2" s="1"/>
  <c r="N5" i="2"/>
  <c r="N6" i="2"/>
  <c r="N7" i="2"/>
  <c r="N8" i="2"/>
  <c r="N9" i="2"/>
  <c r="N10" i="2"/>
  <c r="N11" i="2"/>
  <c r="N12" i="2"/>
  <c r="N13" i="2"/>
  <c r="N14" i="2"/>
  <c r="K5" i="2"/>
  <c r="K6" i="2"/>
  <c r="K7" i="2"/>
  <c r="K8" i="2"/>
  <c r="K9" i="2"/>
  <c r="K10" i="2"/>
  <c r="K11" i="2"/>
  <c r="K12" i="2"/>
  <c r="K13" i="2"/>
  <c r="K14" i="2"/>
  <c r="B5" i="2"/>
  <c r="B6" i="2" s="1"/>
  <c r="B7" i="2" s="1"/>
  <c r="B8" i="2" s="1"/>
  <c r="B9" i="2" s="1"/>
  <c r="B10" i="2" s="1"/>
  <c r="B11" i="2" s="1"/>
  <c r="B12" i="2" s="1"/>
  <c r="B13" i="2" s="1"/>
  <c r="B14" i="2" s="1"/>
  <c r="O18" i="1"/>
  <c r="N18" i="1"/>
  <c r="K13" i="1"/>
  <c r="M6" i="4"/>
  <c r="K5" i="4"/>
  <c r="I5" i="4"/>
  <c r="F6" i="4"/>
  <c r="D4" i="4"/>
  <c r="I3" i="3"/>
  <c r="G3" i="3"/>
  <c r="D3" i="3"/>
  <c r="G4" i="1"/>
  <c r="G5" i="1"/>
  <c r="E5" i="1"/>
  <c r="C5" i="1"/>
  <c r="N4" i="2"/>
  <c r="K4" i="2"/>
  <c r="Q7" i="2" l="1"/>
  <c r="Q6" i="2"/>
  <c r="Q5" i="2"/>
  <c r="R5" i="2" s="1"/>
  <c r="T5" i="2" s="1"/>
  <c r="Q9" i="2"/>
  <c r="R9" i="2" s="1"/>
  <c r="T9" i="2" s="1"/>
  <c r="Q10" i="2"/>
  <c r="R10" i="2" s="1"/>
  <c r="T10" i="2" s="1"/>
  <c r="Q11" i="2"/>
  <c r="R13" i="2"/>
  <c r="T13" i="2" s="1"/>
  <c r="Q8" i="2"/>
  <c r="R8" i="2" s="1"/>
  <c r="T8" i="2" s="1"/>
  <c r="Q14" i="2"/>
  <c r="R14" i="2" s="1"/>
  <c r="T14" i="2" s="1"/>
  <c r="Q12" i="2"/>
  <c r="R12" i="2" s="1"/>
  <c r="T12" i="2" s="1"/>
  <c r="R11" i="2"/>
  <c r="T11" i="2" s="1"/>
  <c r="R7" i="2"/>
  <c r="T7" i="2" s="1"/>
  <c r="R6" i="2"/>
  <c r="T6" i="2" s="1"/>
  <c r="G15" i="2"/>
  <c r="P15" i="2"/>
  <c r="H15" i="2"/>
  <c r="J3" i="3"/>
  <c r="K3" i="3" s="1"/>
  <c r="M3" i="3" s="1"/>
  <c r="Q4" i="2"/>
  <c r="Q15" i="2" l="1"/>
  <c r="R4" i="2"/>
  <c r="R15" i="2" s="1"/>
  <c r="T4" i="2" l="1"/>
</calcChain>
</file>

<file path=xl/sharedStrings.xml><?xml version="1.0" encoding="utf-8"?>
<sst xmlns="http://schemas.openxmlformats.org/spreadsheetml/2006/main" count="76" uniqueCount="51">
  <si>
    <t>SR. No.</t>
  </si>
  <si>
    <t>Type of Structure</t>
  </si>
  <si>
    <t xml:space="preserve">Year of Valuation </t>
  </si>
  <si>
    <t>Total Life Consumed 
(In year)</t>
  </si>
  <si>
    <t>Total Economical Life
(In year)</t>
  </si>
  <si>
    <t>Salvage value</t>
  </si>
  <si>
    <t>Depreciation Rate</t>
  </si>
  <si>
    <t>Plinth Area  Rate 
(In per sq ft)</t>
  </si>
  <si>
    <t>Gross Replacement Value
(INR)</t>
  </si>
  <si>
    <t xml:space="preserve">Depreciation
(INR) </t>
  </si>
  <si>
    <t>Depreciated Value
(INR)</t>
  </si>
  <si>
    <t>Depreciated Replacement Market Value
(INR)</t>
  </si>
  <si>
    <t>TOTAL</t>
  </si>
  <si>
    <t>Remarks:</t>
  </si>
  <si>
    <t>Detoration</t>
  </si>
  <si>
    <t>Details of Building</t>
  </si>
  <si>
    <t>Boundary wall valuation</t>
  </si>
  <si>
    <t>Year of Construction</t>
  </si>
  <si>
    <r>
      <t xml:space="preserve">Total Life Consumed 
</t>
    </r>
    <r>
      <rPr>
        <b/>
        <i/>
        <sz val="10"/>
        <rFont val="Calibri"/>
        <family val="2"/>
        <scheme val="minor"/>
      </rPr>
      <t>(in years)</t>
    </r>
  </si>
  <si>
    <r>
      <t xml:space="preserve">Total Economical Life
</t>
    </r>
    <r>
      <rPr>
        <b/>
        <i/>
        <sz val="10"/>
        <rFont val="Calibri"/>
        <family val="2"/>
        <scheme val="minor"/>
      </rPr>
      <t>(in years)</t>
    </r>
  </si>
  <si>
    <t>Discounting Factor</t>
  </si>
  <si>
    <t>Covered area (in sq.mtr)</t>
  </si>
  <si>
    <t>Covered Area 
(in sq ft)</t>
  </si>
  <si>
    <t>Height in Feet</t>
  </si>
  <si>
    <r>
      <t xml:space="preserve">Wall
</t>
    </r>
    <r>
      <rPr>
        <b/>
        <i/>
        <sz val="10"/>
        <rFont val="Calibri"/>
        <family val="2"/>
        <scheme val="minor"/>
      </rPr>
      <t>(in Running mtr.)As per approved plan approx.</t>
    </r>
  </si>
  <si>
    <r>
      <t xml:space="preserve">Plinth Area  Rate 
</t>
    </r>
    <r>
      <rPr>
        <b/>
        <i/>
        <sz val="10"/>
        <rFont val="Calibri"/>
        <family val="2"/>
        <scheme val="minor"/>
      </rPr>
      <t>(in per running mtr)</t>
    </r>
  </si>
  <si>
    <t>1/1.19</t>
  </si>
  <si>
    <t xml:space="preserve">Year of Construction </t>
  </si>
  <si>
    <t>1. All the details pertaing to the building area statement such as area, floor, etc has been taken from the site survey measurement.</t>
  </si>
  <si>
    <t>3. Age of construction taken from the information get at the time of site survey.</t>
  </si>
  <si>
    <t>M/S. MARUT NANDAN OVERSEAS LTD.| MAUZA MAJRI GRANT, DEHRADUN HARIDWAR NATIONAL HIGHWAY, PARGANA PARWADOON, TEHSIL RISHIKESH, DISTRICT DEHRADUN</t>
  </si>
  <si>
    <t>Entry Gateway</t>
  </si>
  <si>
    <t>Cottage</t>
  </si>
  <si>
    <t>Restaurant in campus</t>
  </si>
  <si>
    <t>Security Cabin</t>
  </si>
  <si>
    <t>Clock Room</t>
  </si>
  <si>
    <t>Toilets in Campus</t>
  </si>
  <si>
    <t>Merchandise shop</t>
  </si>
  <si>
    <t>Sub station</t>
  </si>
  <si>
    <t>Work shop &amp; yard</t>
  </si>
  <si>
    <t>Staff quarters</t>
  </si>
  <si>
    <t>Temple strine</t>
  </si>
  <si>
    <t>RCC</t>
  </si>
  <si>
    <t>Type of Building</t>
  </si>
  <si>
    <t>G+2</t>
  </si>
  <si>
    <t>G+1</t>
  </si>
  <si>
    <t>Ground Floor</t>
  </si>
  <si>
    <t xml:space="preserve">2.The maintinence of the building is averege as per site survey observation. </t>
  </si>
  <si>
    <t>3.The number of buildings taken after physical verification of buildings at the time of site survey not from the approved map.</t>
  </si>
  <si>
    <t>Land devlopement</t>
  </si>
  <si>
    <t>guideline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</si>
</sst>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0.0000"/>
    <numFmt numFmtId="165" formatCode="_ &quot;₹&quot;\ * #,##0_ ;_ &quot;₹&quot;\ * \-#,##0_ ;_ &quot;₹&quot;\ * &quot;-&quot;??_ ;_ @_ "/>
    <numFmt numFmtId="166" formatCode="_ * #,##0_ ;_ * \-#,##0_ ;_ * &quot;-&quot;??_ ;_ @_ "/>
    <numFmt numFmtId="167" formatCode="&quot;₹&quot;\ #,##0.00"/>
    <numFmt numFmtId="169" formatCode="0&quot;Ft.&quot;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rgb="FF1E3661"/>
        <bgColor indexed="64"/>
      </patternFill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2" borderId="1" xfId="3" applyFont="1" applyBorder="1" applyAlignment="1">
      <alignment horizontal="center" vertical="center" wrapText="1"/>
    </xf>
    <xf numFmtId="9" fontId="2" fillId="2" borderId="1" xfId="3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5" fontId="0" fillId="0" borderId="1" xfId="1" applyNumberFormat="1" applyFont="1" applyBorder="1" applyAlignment="1">
      <alignment horizontal="center" vertical="center" wrapText="1"/>
    </xf>
    <xf numFmtId="9" fontId="0" fillId="0" borderId="1" xfId="2" applyFont="1" applyBorder="1" applyAlignment="1">
      <alignment horizontal="center" vertical="center" wrapText="1"/>
    </xf>
    <xf numFmtId="165" fontId="2" fillId="0" borderId="1" xfId="1" applyNumberFormat="1" applyFont="1" applyBorder="1" applyAlignment="1">
      <alignment horizontal="center" vertical="center" wrapText="1"/>
    </xf>
    <xf numFmtId="9" fontId="2" fillId="0" borderId="1" xfId="2" applyFont="1" applyBorder="1" applyAlignment="1">
      <alignment horizontal="center" vertical="center" wrapText="1"/>
    </xf>
    <xf numFmtId="165" fontId="0" fillId="0" borderId="0" xfId="0" applyNumberFormat="1"/>
    <xf numFmtId="43" fontId="0" fillId="0" borderId="0" xfId="0" applyNumberFormat="1"/>
    <xf numFmtId="2" fontId="2" fillId="0" borderId="1" xfId="0" applyNumberFormat="1" applyFont="1" applyBorder="1" applyAlignment="1">
      <alignment horizontal="center" vertical="center" wrapText="1"/>
    </xf>
    <xf numFmtId="166" fontId="0" fillId="0" borderId="0" xfId="6" applyNumberFormat="1" applyFont="1"/>
    <xf numFmtId="0" fontId="6" fillId="4" borderId="1" xfId="0" applyFont="1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5" fontId="0" fillId="0" borderId="1" xfId="1" applyNumberFormat="1" applyFont="1" applyBorder="1" applyAlignment="1">
      <alignment horizontal="center" vertical="center"/>
    </xf>
    <xf numFmtId="9" fontId="0" fillId="0" borderId="1" xfId="2" applyFont="1" applyBorder="1" applyAlignment="1">
      <alignment horizontal="center" vertical="center"/>
    </xf>
    <xf numFmtId="43" fontId="0" fillId="0" borderId="1" xfId="0" applyNumberFormat="1" applyBorder="1" applyAlignment="1">
      <alignment horizontal="center" vertical="center" wrapText="1"/>
    </xf>
    <xf numFmtId="166" fontId="2" fillId="2" borderId="1" xfId="6" applyNumberFormat="1" applyFont="1" applyFill="1" applyBorder="1" applyAlignment="1">
      <alignment horizontal="center" vertical="center" wrapText="1"/>
    </xf>
    <xf numFmtId="166" fontId="2" fillId="0" borderId="1" xfId="6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67" fontId="0" fillId="0" borderId="0" xfId="0" applyNumberFormat="1"/>
    <xf numFmtId="166" fontId="0" fillId="0" borderId="0" xfId="0" applyNumberFormat="1"/>
    <xf numFmtId="0" fontId="3" fillId="3" borderId="2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69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wrapText="1"/>
    </xf>
    <xf numFmtId="44" fontId="0" fillId="0" borderId="0" xfId="0" applyNumberFormat="1"/>
    <xf numFmtId="167" fontId="0" fillId="0" borderId="0" xfId="0" applyNumberFormat="1" applyAlignment="1">
      <alignment wrapText="1"/>
    </xf>
  </cellXfs>
  <cellStyles count="7">
    <cellStyle name="40% - Accent1" xfId="3" builtinId="31"/>
    <cellStyle name="Comma" xfId="6" builtinId="3"/>
    <cellStyle name="Comma 2" xfId="4" xr:uid="{00000000-0005-0000-0000-000002000000}"/>
    <cellStyle name="Currency" xfId="1" builtinId="4"/>
    <cellStyle name="Currency 2" xfId="5" xr:uid="{00000000-0005-0000-0000-000004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U30"/>
  <sheetViews>
    <sheetView tabSelected="1" zoomScale="85" zoomScaleNormal="85" workbookViewId="0">
      <selection activeCell="X14" sqref="X14"/>
    </sheetView>
  </sheetViews>
  <sheetFormatPr defaultRowHeight="15" x14ac:dyDescent="0.25"/>
  <cols>
    <col min="1" max="1" width="2" customWidth="1"/>
    <col min="2" max="2" width="3.85546875" customWidth="1"/>
    <col min="3" max="3" width="11.28515625" customWidth="1"/>
    <col min="4" max="4" width="10.140625" customWidth="1"/>
    <col min="5" max="5" width="8.140625" customWidth="1"/>
    <col min="6" max="6" width="7.42578125" customWidth="1"/>
    <col min="7" max="7" width="10" customWidth="1"/>
    <col min="8" max="8" width="15.140625" customWidth="1"/>
    <col min="9" max="9" width="8.7109375" customWidth="1"/>
    <col min="10" max="10" width="19.5703125" customWidth="1"/>
    <col min="11" max="11" width="10.42578125" hidden="1" customWidth="1"/>
    <col min="12" max="12" width="11.28515625" hidden="1" customWidth="1"/>
    <col min="13" max="13" width="7.7109375" hidden="1" customWidth="1"/>
    <col min="14" max="14" width="8.7109375" customWidth="1"/>
    <col min="15" max="15" width="8" customWidth="1"/>
    <col min="16" max="16" width="13.28515625" hidden="1" customWidth="1"/>
    <col min="17" max="18" width="15.140625" hidden="1" customWidth="1"/>
    <col min="19" max="19" width="9.85546875" hidden="1" customWidth="1"/>
    <col min="20" max="20" width="14.85546875" customWidth="1"/>
    <col min="21" max="21" width="12.7109375" customWidth="1"/>
    <col min="22" max="22" width="5.85546875" bestFit="1" customWidth="1"/>
    <col min="23" max="23" width="12.140625" bestFit="1" customWidth="1"/>
    <col min="24" max="24" width="11.7109375" customWidth="1"/>
    <col min="25" max="25" width="14.28515625" customWidth="1"/>
    <col min="26" max="26" width="12.5703125" customWidth="1"/>
    <col min="27" max="27" width="11.85546875" customWidth="1"/>
    <col min="28" max="28" width="12.42578125" customWidth="1"/>
    <col min="29" max="29" width="10.42578125" bestFit="1" customWidth="1"/>
  </cols>
  <sheetData>
    <row r="2" spans="2:20" ht="57" customHeight="1" x14ac:dyDescent="0.25">
      <c r="B2" s="27" t="s">
        <v>30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</row>
    <row r="3" spans="2:20" ht="75" x14ac:dyDescent="0.25">
      <c r="B3" s="1" t="s">
        <v>0</v>
      </c>
      <c r="C3" s="1" t="s">
        <v>15</v>
      </c>
      <c r="D3" s="1" t="s">
        <v>43</v>
      </c>
      <c r="E3" s="1" t="s">
        <v>23</v>
      </c>
      <c r="F3" s="1" t="s">
        <v>1</v>
      </c>
      <c r="G3" s="1" t="s">
        <v>21</v>
      </c>
      <c r="H3" s="22" t="s">
        <v>22</v>
      </c>
      <c r="I3" s="1" t="s">
        <v>27</v>
      </c>
      <c r="J3" s="1" t="s">
        <v>2</v>
      </c>
      <c r="K3" s="1" t="s">
        <v>3</v>
      </c>
      <c r="L3" s="1" t="s">
        <v>4</v>
      </c>
      <c r="M3" s="1" t="s">
        <v>5</v>
      </c>
      <c r="N3" s="1" t="s">
        <v>6</v>
      </c>
      <c r="O3" s="1" t="s">
        <v>7</v>
      </c>
      <c r="P3" s="1" t="s">
        <v>8</v>
      </c>
      <c r="Q3" s="1" t="s">
        <v>9</v>
      </c>
      <c r="R3" s="1" t="s">
        <v>10</v>
      </c>
      <c r="S3" s="2" t="s">
        <v>14</v>
      </c>
      <c r="T3" s="1" t="s">
        <v>11</v>
      </c>
    </row>
    <row r="4" spans="2:20" ht="30" x14ac:dyDescent="0.25">
      <c r="B4" s="3">
        <v>1</v>
      </c>
      <c r="C4" s="24" t="s">
        <v>31</v>
      </c>
      <c r="D4" s="24" t="s">
        <v>44</v>
      </c>
      <c r="E4" s="37">
        <v>30</v>
      </c>
      <c r="F4" s="3" t="s">
        <v>42</v>
      </c>
      <c r="G4" s="21">
        <v>942.4</v>
      </c>
      <c r="H4" s="21">
        <f>G4*10.764</f>
        <v>10143.9936</v>
      </c>
      <c r="I4" s="3">
        <v>2005</v>
      </c>
      <c r="J4" s="3">
        <v>2023</v>
      </c>
      <c r="K4" s="3">
        <f t="shared" ref="K4:K14" si="0">J4-I4</f>
        <v>18</v>
      </c>
      <c r="L4" s="3">
        <v>60</v>
      </c>
      <c r="M4" s="4">
        <v>0.1</v>
      </c>
      <c r="N4" s="5">
        <f>(1-M4)/L4</f>
        <v>1.5000000000000001E-2</v>
      </c>
      <c r="O4" s="6">
        <v>1300</v>
      </c>
      <c r="P4" s="6">
        <f>O4*H4</f>
        <v>13187191.68</v>
      </c>
      <c r="Q4" s="6">
        <f>P4*N4*K4</f>
        <v>3560541.7536000004</v>
      </c>
      <c r="R4" s="6">
        <f>MAX(P4-Q4,0)</f>
        <v>9626649.9263999984</v>
      </c>
      <c r="S4" s="7">
        <v>0</v>
      </c>
      <c r="T4" s="6">
        <f>IF(R4&gt;M4*P4,R4*(1-S4),P4*M4)</f>
        <v>9626649.9263999984</v>
      </c>
    </row>
    <row r="5" spans="2:20" x14ac:dyDescent="0.25">
      <c r="B5" s="3">
        <f>B4+1</f>
        <v>2</v>
      </c>
      <c r="C5" s="24" t="s">
        <v>32</v>
      </c>
      <c r="D5" s="24" t="s">
        <v>45</v>
      </c>
      <c r="E5" s="37">
        <v>20</v>
      </c>
      <c r="F5" s="3" t="s">
        <v>42</v>
      </c>
      <c r="G5" s="21">
        <v>1589.67</v>
      </c>
      <c r="H5" s="21">
        <f t="shared" ref="H5:H14" si="1">G5*10.764</f>
        <v>17111.207879999998</v>
      </c>
      <c r="I5" s="3">
        <v>2005</v>
      </c>
      <c r="J5" s="3">
        <v>2023</v>
      </c>
      <c r="K5" s="3">
        <f t="shared" si="0"/>
        <v>18</v>
      </c>
      <c r="L5" s="3">
        <v>60</v>
      </c>
      <c r="M5" s="4">
        <v>0.1</v>
      </c>
      <c r="N5" s="5">
        <f t="shared" ref="N5:N14" si="2">(1-M5)/L5</f>
        <v>1.5000000000000001E-2</v>
      </c>
      <c r="O5" s="6">
        <v>1400</v>
      </c>
      <c r="P5" s="6">
        <f t="shared" ref="P5:P14" si="3">O5*H5</f>
        <v>23955691.031999998</v>
      </c>
      <c r="Q5" s="6">
        <f t="shared" ref="Q5:Q14" si="4">P5*N5*K5</f>
        <v>6468036.57864</v>
      </c>
      <c r="R5" s="6">
        <f t="shared" ref="R5:R14" si="5">MAX(P5-Q5,0)</f>
        <v>17487654.453359999</v>
      </c>
      <c r="S5" s="7">
        <v>0</v>
      </c>
      <c r="T5" s="6">
        <f t="shared" ref="T5:T14" si="6">IF(R5&gt;M5*P5,R5*(1-S5),P5*M5)</f>
        <v>17487654.453359999</v>
      </c>
    </row>
    <row r="6" spans="2:20" ht="30" x14ac:dyDescent="0.25">
      <c r="B6" s="3">
        <f t="shared" ref="B6:B14" si="7">B5+1</f>
        <v>3</v>
      </c>
      <c r="C6" s="24" t="s">
        <v>33</v>
      </c>
      <c r="D6" s="24" t="s">
        <v>46</v>
      </c>
      <c r="E6" s="37">
        <v>10</v>
      </c>
      <c r="F6" s="3" t="s">
        <v>42</v>
      </c>
      <c r="G6" s="21">
        <v>237.54</v>
      </c>
      <c r="H6" s="21">
        <f t="shared" si="1"/>
        <v>2556.8805599999996</v>
      </c>
      <c r="I6" s="3">
        <v>2005</v>
      </c>
      <c r="J6" s="3">
        <v>2023</v>
      </c>
      <c r="K6" s="3">
        <f t="shared" si="0"/>
        <v>18</v>
      </c>
      <c r="L6" s="3">
        <v>60</v>
      </c>
      <c r="M6" s="4">
        <v>0.1</v>
      </c>
      <c r="N6" s="5">
        <f t="shared" si="2"/>
        <v>1.5000000000000001E-2</v>
      </c>
      <c r="O6" s="6">
        <v>1200</v>
      </c>
      <c r="P6" s="6">
        <f t="shared" si="3"/>
        <v>3068256.6719999993</v>
      </c>
      <c r="Q6" s="6">
        <f t="shared" si="4"/>
        <v>828429.30143999995</v>
      </c>
      <c r="R6" s="6">
        <f t="shared" si="5"/>
        <v>2239827.3705599993</v>
      </c>
      <c r="S6" s="7">
        <v>0</v>
      </c>
      <c r="T6" s="6">
        <f t="shared" si="6"/>
        <v>2239827.3705599993</v>
      </c>
    </row>
    <row r="7" spans="2:20" ht="30" x14ac:dyDescent="0.25">
      <c r="B7" s="3">
        <f t="shared" si="7"/>
        <v>4</v>
      </c>
      <c r="C7" s="24" t="s">
        <v>34</v>
      </c>
      <c r="D7" s="24" t="s">
        <v>46</v>
      </c>
      <c r="E7" s="37">
        <v>10</v>
      </c>
      <c r="F7" s="3" t="s">
        <v>42</v>
      </c>
      <c r="G7" s="21">
        <v>24.5</v>
      </c>
      <c r="H7" s="21">
        <f t="shared" si="1"/>
        <v>263.71799999999996</v>
      </c>
      <c r="I7" s="3">
        <v>2005</v>
      </c>
      <c r="J7" s="3">
        <v>2023</v>
      </c>
      <c r="K7" s="3">
        <f t="shared" si="0"/>
        <v>18</v>
      </c>
      <c r="L7" s="3">
        <v>60</v>
      </c>
      <c r="M7" s="4">
        <v>0.1</v>
      </c>
      <c r="N7" s="5">
        <f t="shared" si="2"/>
        <v>1.5000000000000001E-2</v>
      </c>
      <c r="O7" s="6">
        <v>1200</v>
      </c>
      <c r="P7" s="6">
        <f t="shared" si="3"/>
        <v>316461.59999999998</v>
      </c>
      <c r="Q7" s="6">
        <f t="shared" si="4"/>
        <v>85444.631999999998</v>
      </c>
      <c r="R7" s="6">
        <f t="shared" si="5"/>
        <v>231016.96799999999</v>
      </c>
      <c r="S7" s="7">
        <v>0</v>
      </c>
      <c r="T7" s="6">
        <f t="shared" si="6"/>
        <v>231016.96799999999</v>
      </c>
    </row>
    <row r="8" spans="2:20" x14ac:dyDescent="0.25">
      <c r="B8" s="3">
        <f t="shared" si="7"/>
        <v>5</v>
      </c>
      <c r="C8" s="24" t="s">
        <v>35</v>
      </c>
      <c r="D8" s="24" t="s">
        <v>46</v>
      </c>
      <c r="E8" s="37">
        <v>10</v>
      </c>
      <c r="F8" s="3" t="s">
        <v>42</v>
      </c>
      <c r="G8" s="21">
        <v>570.65</v>
      </c>
      <c r="H8" s="21">
        <f t="shared" si="1"/>
        <v>6142.4765999999991</v>
      </c>
      <c r="I8" s="3">
        <v>2005</v>
      </c>
      <c r="J8" s="3">
        <v>2023</v>
      </c>
      <c r="K8" s="3">
        <f t="shared" si="0"/>
        <v>18</v>
      </c>
      <c r="L8" s="3">
        <v>60</v>
      </c>
      <c r="M8" s="4">
        <v>0.1</v>
      </c>
      <c r="N8" s="5">
        <f t="shared" si="2"/>
        <v>1.5000000000000001E-2</v>
      </c>
      <c r="O8" s="6">
        <v>1200</v>
      </c>
      <c r="P8" s="6">
        <f t="shared" si="3"/>
        <v>7370971.919999999</v>
      </c>
      <c r="Q8" s="6">
        <f t="shared" si="4"/>
        <v>1990162.4183999998</v>
      </c>
      <c r="R8" s="6">
        <f t="shared" si="5"/>
        <v>5380809.5015999991</v>
      </c>
      <c r="S8" s="7">
        <v>0</v>
      </c>
      <c r="T8" s="6">
        <f t="shared" si="6"/>
        <v>5380809.5015999991</v>
      </c>
    </row>
    <row r="9" spans="2:20" ht="30" x14ac:dyDescent="0.25">
      <c r="B9" s="3">
        <f t="shared" si="7"/>
        <v>6</v>
      </c>
      <c r="C9" s="24" t="s">
        <v>36</v>
      </c>
      <c r="D9" s="24" t="s">
        <v>46</v>
      </c>
      <c r="E9" s="37">
        <v>10</v>
      </c>
      <c r="F9" s="3" t="s">
        <v>42</v>
      </c>
      <c r="G9" s="21">
        <v>97.56</v>
      </c>
      <c r="H9" s="21">
        <f t="shared" si="1"/>
        <v>1050.1358399999999</v>
      </c>
      <c r="I9" s="3">
        <v>2005</v>
      </c>
      <c r="J9" s="3">
        <v>2023</v>
      </c>
      <c r="K9" s="3">
        <f t="shared" si="0"/>
        <v>18</v>
      </c>
      <c r="L9" s="3">
        <v>60</v>
      </c>
      <c r="M9" s="4">
        <v>0.1</v>
      </c>
      <c r="N9" s="5">
        <f t="shared" si="2"/>
        <v>1.5000000000000001E-2</v>
      </c>
      <c r="O9" s="6">
        <v>1200</v>
      </c>
      <c r="P9" s="6">
        <f t="shared" si="3"/>
        <v>1260163.0079999999</v>
      </c>
      <c r="Q9" s="6">
        <f t="shared" si="4"/>
        <v>340244.01215999998</v>
      </c>
      <c r="R9" s="6">
        <f t="shared" si="5"/>
        <v>919918.99583999999</v>
      </c>
      <c r="S9" s="7">
        <v>0</v>
      </c>
      <c r="T9" s="6">
        <f t="shared" si="6"/>
        <v>919918.99583999999</v>
      </c>
    </row>
    <row r="10" spans="2:20" ht="30" x14ac:dyDescent="0.25">
      <c r="B10" s="3">
        <f t="shared" si="7"/>
        <v>7</v>
      </c>
      <c r="C10" s="24" t="s">
        <v>37</v>
      </c>
      <c r="D10" s="24" t="s">
        <v>46</v>
      </c>
      <c r="E10" s="37">
        <v>10</v>
      </c>
      <c r="F10" s="3" t="s">
        <v>42</v>
      </c>
      <c r="G10" s="21">
        <v>104</v>
      </c>
      <c r="H10" s="21">
        <f t="shared" si="1"/>
        <v>1119.4559999999999</v>
      </c>
      <c r="I10" s="3">
        <v>2005</v>
      </c>
      <c r="J10" s="3">
        <v>2023</v>
      </c>
      <c r="K10" s="3">
        <f t="shared" si="0"/>
        <v>18</v>
      </c>
      <c r="L10" s="3">
        <v>60</v>
      </c>
      <c r="M10" s="4">
        <v>0.1</v>
      </c>
      <c r="N10" s="5">
        <f t="shared" si="2"/>
        <v>1.5000000000000001E-2</v>
      </c>
      <c r="O10" s="6">
        <v>1200</v>
      </c>
      <c r="P10" s="6">
        <f t="shared" si="3"/>
        <v>1343347.2</v>
      </c>
      <c r="Q10" s="6">
        <f t="shared" si="4"/>
        <v>362703.74400000006</v>
      </c>
      <c r="R10" s="6">
        <f t="shared" si="5"/>
        <v>980643.45599999989</v>
      </c>
      <c r="S10" s="7">
        <v>0</v>
      </c>
      <c r="T10" s="6">
        <f t="shared" si="6"/>
        <v>980643.45599999989</v>
      </c>
    </row>
    <row r="11" spans="2:20" x14ac:dyDescent="0.25">
      <c r="B11" s="3">
        <f t="shared" si="7"/>
        <v>8</v>
      </c>
      <c r="C11" s="24" t="s">
        <v>38</v>
      </c>
      <c r="D11" s="24" t="s">
        <v>46</v>
      </c>
      <c r="E11" s="37">
        <v>10</v>
      </c>
      <c r="F11" s="3" t="s">
        <v>42</v>
      </c>
      <c r="G11" s="21">
        <v>76.94</v>
      </c>
      <c r="H11" s="21">
        <f t="shared" si="1"/>
        <v>828.18215999999995</v>
      </c>
      <c r="I11" s="3">
        <v>2005</v>
      </c>
      <c r="J11" s="3">
        <v>2023</v>
      </c>
      <c r="K11" s="3">
        <f t="shared" si="0"/>
        <v>18</v>
      </c>
      <c r="L11" s="3">
        <v>60</v>
      </c>
      <c r="M11" s="4">
        <v>0.1</v>
      </c>
      <c r="N11" s="5">
        <f t="shared" si="2"/>
        <v>1.5000000000000001E-2</v>
      </c>
      <c r="O11" s="6">
        <v>1200</v>
      </c>
      <c r="P11" s="6">
        <f t="shared" si="3"/>
        <v>993818.59199999995</v>
      </c>
      <c r="Q11" s="6">
        <f t="shared" si="4"/>
        <v>268331.01984000002</v>
      </c>
      <c r="R11" s="6">
        <f t="shared" si="5"/>
        <v>725487.57215999998</v>
      </c>
      <c r="S11" s="7">
        <v>0</v>
      </c>
      <c r="T11" s="6">
        <f t="shared" si="6"/>
        <v>725487.57215999998</v>
      </c>
    </row>
    <row r="12" spans="2:20" ht="30" x14ac:dyDescent="0.25">
      <c r="B12" s="3">
        <f t="shared" si="7"/>
        <v>9</v>
      </c>
      <c r="C12" s="24" t="s">
        <v>39</v>
      </c>
      <c r="D12" s="24" t="s">
        <v>46</v>
      </c>
      <c r="E12" s="37">
        <v>10</v>
      </c>
      <c r="F12" s="3" t="s">
        <v>42</v>
      </c>
      <c r="G12" s="21">
        <v>135.79</v>
      </c>
      <c r="H12" s="21">
        <f t="shared" si="1"/>
        <v>1461.6435599999998</v>
      </c>
      <c r="I12" s="3">
        <v>2005</v>
      </c>
      <c r="J12" s="3">
        <v>2023</v>
      </c>
      <c r="K12" s="3">
        <f t="shared" si="0"/>
        <v>18</v>
      </c>
      <c r="L12" s="3">
        <v>60</v>
      </c>
      <c r="M12" s="4">
        <v>0.1</v>
      </c>
      <c r="N12" s="5">
        <f t="shared" si="2"/>
        <v>1.5000000000000001E-2</v>
      </c>
      <c r="O12" s="6">
        <v>1200</v>
      </c>
      <c r="P12" s="6">
        <f t="shared" si="3"/>
        <v>1753972.2719999996</v>
      </c>
      <c r="Q12" s="6">
        <f t="shared" si="4"/>
        <v>473572.51343999995</v>
      </c>
      <c r="R12" s="6">
        <f t="shared" si="5"/>
        <v>1280399.7585599998</v>
      </c>
      <c r="S12" s="7">
        <v>0</v>
      </c>
      <c r="T12" s="6">
        <f t="shared" si="6"/>
        <v>1280399.7585599998</v>
      </c>
    </row>
    <row r="13" spans="2:20" x14ac:dyDescent="0.25">
      <c r="B13" s="3">
        <f t="shared" si="7"/>
        <v>10</v>
      </c>
      <c r="C13" s="24" t="s">
        <v>40</v>
      </c>
      <c r="D13" s="24" t="s">
        <v>45</v>
      </c>
      <c r="E13" s="37">
        <v>20</v>
      </c>
      <c r="F13" s="3" t="s">
        <v>42</v>
      </c>
      <c r="G13" s="21">
        <v>512.64</v>
      </c>
      <c r="H13" s="21">
        <f t="shared" si="1"/>
        <v>5518.0569599999999</v>
      </c>
      <c r="I13" s="3">
        <v>2005</v>
      </c>
      <c r="J13" s="3">
        <v>2023</v>
      </c>
      <c r="K13" s="3">
        <f t="shared" si="0"/>
        <v>18</v>
      </c>
      <c r="L13" s="3">
        <v>60</v>
      </c>
      <c r="M13" s="4">
        <v>0.1</v>
      </c>
      <c r="N13" s="5">
        <f t="shared" si="2"/>
        <v>1.5000000000000001E-2</v>
      </c>
      <c r="O13" s="6">
        <v>1200</v>
      </c>
      <c r="P13" s="6">
        <f t="shared" si="3"/>
        <v>6621668.352</v>
      </c>
      <c r="Q13" s="6">
        <f t="shared" si="4"/>
        <v>1787850.4550399999</v>
      </c>
      <c r="R13" s="6">
        <f t="shared" si="5"/>
        <v>4833817.8969599996</v>
      </c>
      <c r="S13" s="7">
        <v>0</v>
      </c>
      <c r="T13" s="6">
        <f t="shared" si="6"/>
        <v>4833817.8969599996</v>
      </c>
    </row>
    <row r="14" spans="2:20" x14ac:dyDescent="0.25">
      <c r="B14" s="3">
        <f t="shared" si="7"/>
        <v>11</v>
      </c>
      <c r="C14" s="24" t="s">
        <v>41</v>
      </c>
      <c r="D14" s="24" t="s">
        <v>46</v>
      </c>
      <c r="E14" s="37">
        <v>10</v>
      </c>
      <c r="F14" s="3" t="s">
        <v>42</v>
      </c>
      <c r="G14" s="21">
        <v>51.98</v>
      </c>
      <c r="H14" s="21">
        <f t="shared" si="1"/>
        <v>559.51271999999994</v>
      </c>
      <c r="I14" s="3">
        <v>2005</v>
      </c>
      <c r="J14" s="3">
        <v>2023</v>
      </c>
      <c r="K14" s="3">
        <f t="shared" si="0"/>
        <v>18</v>
      </c>
      <c r="L14" s="3">
        <v>60</v>
      </c>
      <c r="M14" s="4">
        <v>0.1</v>
      </c>
      <c r="N14" s="5">
        <f t="shared" si="2"/>
        <v>1.5000000000000001E-2</v>
      </c>
      <c r="O14" s="6">
        <v>1200</v>
      </c>
      <c r="P14" s="6">
        <f t="shared" si="3"/>
        <v>671415.26399999997</v>
      </c>
      <c r="Q14" s="6">
        <f t="shared" si="4"/>
        <v>181282.12128000002</v>
      </c>
      <c r="R14" s="6">
        <f t="shared" si="5"/>
        <v>490133.14271999995</v>
      </c>
      <c r="S14" s="7">
        <v>0</v>
      </c>
      <c r="T14" s="6">
        <f t="shared" si="6"/>
        <v>490133.14271999995</v>
      </c>
    </row>
    <row r="15" spans="2:20" ht="15" customHeight="1" x14ac:dyDescent="0.25">
      <c r="B15" s="34" t="s">
        <v>12</v>
      </c>
      <c r="C15" s="35"/>
      <c r="D15" s="35"/>
      <c r="E15" s="35"/>
      <c r="F15" s="36"/>
      <c r="G15" s="12">
        <f>SUM(G4:G14)</f>
        <v>4343.67</v>
      </c>
      <c r="H15" s="23">
        <f>SUM(H4:H14)</f>
        <v>46755.263879999991</v>
      </c>
      <c r="I15" s="34"/>
      <c r="J15" s="35"/>
      <c r="K15" s="35"/>
      <c r="L15" s="35"/>
      <c r="M15" s="35"/>
      <c r="N15" s="35"/>
      <c r="O15" s="36"/>
      <c r="P15" s="8">
        <f>SUM(P4:P14)</f>
        <v>60542957.592</v>
      </c>
      <c r="Q15" s="8">
        <f>SUM(Q4:Q14)</f>
        <v>16346598.549840001</v>
      </c>
      <c r="R15" s="8">
        <f>SUM(R4:R14)</f>
        <v>44196359.042159989</v>
      </c>
      <c r="S15" s="9">
        <v>0</v>
      </c>
      <c r="T15" s="8">
        <f>SUM(T4:T14)</f>
        <v>44196359.042159989</v>
      </c>
    </row>
    <row r="16" spans="2:20" ht="17.25" customHeight="1" x14ac:dyDescent="0.25">
      <c r="B16" s="31" t="s">
        <v>13</v>
      </c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3"/>
    </row>
    <row r="17" spans="2:21" ht="12.75" customHeight="1" x14ac:dyDescent="0.25">
      <c r="B17" s="28" t="s">
        <v>28</v>
      </c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30"/>
    </row>
    <row r="18" spans="2:21" ht="18.75" customHeight="1" x14ac:dyDescent="0.25">
      <c r="B18" s="28" t="s">
        <v>47</v>
      </c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30"/>
    </row>
    <row r="19" spans="2:21" ht="29.25" customHeight="1" x14ac:dyDescent="0.25">
      <c r="B19" s="28" t="s">
        <v>48</v>
      </c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30"/>
    </row>
    <row r="20" spans="2:21" ht="13.5" customHeight="1" x14ac:dyDescent="0.25">
      <c r="B20" s="28" t="s">
        <v>29</v>
      </c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30"/>
    </row>
    <row r="22" spans="2:21" x14ac:dyDescent="0.25">
      <c r="H22" s="11"/>
    </row>
    <row r="23" spans="2:21" x14ac:dyDescent="0.25">
      <c r="I23" s="25"/>
      <c r="U23" s="26"/>
    </row>
    <row r="24" spans="2:21" x14ac:dyDescent="0.25">
      <c r="I24" s="25"/>
    </row>
    <row r="25" spans="2:21" ht="30" x14ac:dyDescent="0.25">
      <c r="I25" s="40" t="s">
        <v>50</v>
      </c>
      <c r="J25" s="25">
        <f>G15*12000*0.834</f>
        <v>43471449.359999999</v>
      </c>
      <c r="M25" s="10"/>
    </row>
    <row r="29" spans="2:21" ht="45" x14ac:dyDescent="0.25">
      <c r="G29" s="38" t="s">
        <v>49</v>
      </c>
      <c r="H29" s="39">
        <f>T15*0.1</f>
        <v>4419635.9042159989</v>
      </c>
    </row>
    <row r="30" spans="2:21" x14ac:dyDescent="0.25">
      <c r="J30" s="11"/>
    </row>
  </sheetData>
  <mergeCells count="8">
    <mergeCell ref="B20:T20"/>
    <mergeCell ref="B2:T2"/>
    <mergeCell ref="B15:F15"/>
    <mergeCell ref="I15:O15"/>
    <mergeCell ref="B16:T16"/>
    <mergeCell ref="B17:T17"/>
    <mergeCell ref="B18:T18"/>
    <mergeCell ref="B19:T1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3:O18"/>
  <sheetViews>
    <sheetView topLeftCell="A22" workbookViewId="0">
      <selection activeCell="P73" sqref="P73"/>
    </sheetView>
  </sheetViews>
  <sheetFormatPr defaultRowHeight="15" x14ac:dyDescent="0.25"/>
  <cols>
    <col min="2" max="2" width="12.42578125" bestFit="1" customWidth="1"/>
    <col min="3" max="3" width="14.28515625" bestFit="1" customWidth="1"/>
    <col min="5" max="5" width="14.28515625" bestFit="1" customWidth="1"/>
    <col min="8" max="8" width="20" customWidth="1"/>
    <col min="11" max="11" width="13.5703125" customWidth="1"/>
  </cols>
  <sheetData>
    <row r="3" spans="3:14" x14ac:dyDescent="0.25">
      <c r="C3">
        <v>87120</v>
      </c>
      <c r="E3">
        <v>7943455</v>
      </c>
      <c r="G3">
        <v>36000000</v>
      </c>
    </row>
    <row r="4" spans="3:14" x14ac:dyDescent="0.25">
      <c r="C4">
        <v>500</v>
      </c>
      <c r="E4">
        <v>2</v>
      </c>
      <c r="G4">
        <f>60000</f>
        <v>60000</v>
      </c>
    </row>
    <row r="5" spans="3:14" x14ac:dyDescent="0.25">
      <c r="C5" s="13">
        <f>C4*C3</f>
        <v>43560000</v>
      </c>
      <c r="E5" s="13">
        <f>E4*E3</f>
        <v>15886910</v>
      </c>
      <c r="G5">
        <f>G3/G4</f>
        <v>600</v>
      </c>
    </row>
    <row r="12" spans="3:14" x14ac:dyDescent="0.25">
      <c r="H12">
        <v>2003</v>
      </c>
      <c r="K12">
        <v>2017</v>
      </c>
    </row>
    <row r="13" spans="3:14" x14ac:dyDescent="0.25">
      <c r="H13" s="13">
        <v>6000000</v>
      </c>
      <c r="K13">
        <f>M161</f>
        <v>0</v>
      </c>
    </row>
    <row r="16" spans="3:14" x14ac:dyDescent="0.25">
      <c r="N16" t="s">
        <v>26</v>
      </c>
    </row>
    <row r="18" spans="14:15" x14ac:dyDescent="0.25">
      <c r="N18">
        <f>1/1.19</f>
        <v>0.84033613445378152</v>
      </c>
      <c r="O18">
        <f>N18*10.764</f>
        <v>9.045378151260504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"/>
  <sheetViews>
    <sheetView workbookViewId="0">
      <selection activeCell="I9" sqref="I9"/>
    </sheetView>
  </sheetViews>
  <sheetFormatPr defaultRowHeight="15" x14ac:dyDescent="0.25"/>
  <cols>
    <col min="1" max="2" width="8.7109375" bestFit="1" customWidth="1"/>
    <col min="3" max="3" width="8.42578125" bestFit="1" customWidth="1"/>
    <col min="5" max="5" width="8.5703125" bestFit="1" customWidth="1"/>
    <col min="6" max="6" width="7.7109375" bestFit="1" customWidth="1"/>
    <col min="7" max="7" width="9" customWidth="1"/>
    <col min="8" max="8" width="8" customWidth="1"/>
    <col min="9" max="9" width="11.5703125" customWidth="1"/>
    <col min="10" max="10" width="10.5703125" customWidth="1"/>
    <col min="11" max="11" width="11.5703125" customWidth="1"/>
    <col min="12" max="12" width="8.7109375" customWidth="1"/>
    <col min="13" max="13" width="11.5703125" bestFit="1" customWidth="1"/>
  </cols>
  <sheetData>
    <row r="1" spans="1:13" ht="15.75" x14ac:dyDescent="0.25">
      <c r="A1" s="27" t="s">
        <v>16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3" ht="104.25" x14ac:dyDescent="0.25">
      <c r="A2" s="14" t="s">
        <v>24</v>
      </c>
      <c r="B2" s="14" t="s">
        <v>17</v>
      </c>
      <c r="C2" s="14" t="s">
        <v>2</v>
      </c>
      <c r="D2" s="14" t="s">
        <v>18</v>
      </c>
      <c r="E2" s="14" t="s">
        <v>19</v>
      </c>
      <c r="F2" s="14" t="s">
        <v>5</v>
      </c>
      <c r="G2" s="14" t="s">
        <v>6</v>
      </c>
      <c r="H2" s="14" t="s">
        <v>25</v>
      </c>
      <c r="I2" s="14" t="s">
        <v>8</v>
      </c>
      <c r="J2" s="14" t="s">
        <v>9</v>
      </c>
      <c r="K2" s="14" t="s">
        <v>10</v>
      </c>
      <c r="L2" s="14" t="s">
        <v>20</v>
      </c>
      <c r="M2" s="14" t="s">
        <v>11</v>
      </c>
    </row>
    <row r="3" spans="1:13" x14ac:dyDescent="0.25">
      <c r="A3" s="15">
        <v>1075</v>
      </c>
      <c r="B3" s="16">
        <v>2005</v>
      </c>
      <c r="C3" s="16">
        <v>2023</v>
      </c>
      <c r="D3" s="16">
        <f>C3-B3</f>
        <v>18</v>
      </c>
      <c r="E3" s="16">
        <v>60</v>
      </c>
      <c r="F3" s="17">
        <v>0.1</v>
      </c>
      <c r="G3" s="18">
        <f>(1-F3)/E3</f>
        <v>1.5000000000000001E-2</v>
      </c>
      <c r="H3" s="19">
        <v>3000</v>
      </c>
      <c r="I3" s="19">
        <f>H3*A3</f>
        <v>3225000</v>
      </c>
      <c r="J3" s="19">
        <f>I3*G3*D3</f>
        <v>870750.00000000012</v>
      </c>
      <c r="K3" s="19">
        <f>MAX(I3-J3,0)</f>
        <v>2354250</v>
      </c>
      <c r="L3" s="20">
        <v>0</v>
      </c>
      <c r="M3" s="19">
        <f>IF(K3&gt;F3*I3,K3*(1-L3),I3*F3)</f>
        <v>2354250</v>
      </c>
    </row>
  </sheetData>
  <mergeCells count="1">
    <mergeCell ref="A1:M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D3:M6"/>
  <sheetViews>
    <sheetView workbookViewId="0">
      <selection activeCell="G6" sqref="G6"/>
    </sheetView>
  </sheetViews>
  <sheetFormatPr defaultRowHeight="15" x14ac:dyDescent="0.25"/>
  <cols>
    <col min="4" max="4" width="10" bestFit="1" customWidth="1"/>
    <col min="6" max="6" width="10" bestFit="1" customWidth="1"/>
    <col min="9" max="9" width="10" bestFit="1" customWidth="1"/>
  </cols>
  <sheetData>
    <row r="3" spans="4:13" x14ac:dyDescent="0.25">
      <c r="D3">
        <v>106500000</v>
      </c>
    </row>
    <row r="4" spans="4:13" x14ac:dyDescent="0.25">
      <c r="D4">
        <f>D3/1430</f>
        <v>74475.524475524478</v>
      </c>
      <c r="F4">
        <v>120000000</v>
      </c>
      <c r="I4">
        <v>115000000</v>
      </c>
      <c r="K4">
        <v>98500000</v>
      </c>
      <c r="M4">
        <v>94000000</v>
      </c>
    </row>
    <row r="5" spans="4:13" x14ac:dyDescent="0.25">
      <c r="F5">
        <v>1650</v>
      </c>
      <c r="I5">
        <f>I4/1340</f>
        <v>85820.895522388062</v>
      </c>
      <c r="K5">
        <f>K4/1600</f>
        <v>61562.5</v>
      </c>
      <c r="M5">
        <v>1385</v>
      </c>
    </row>
    <row r="6" spans="4:13" x14ac:dyDescent="0.25">
      <c r="F6">
        <f>F4/F5</f>
        <v>72727.272727272721</v>
      </c>
      <c r="M6">
        <f>M4/M5</f>
        <v>67870.036101083038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working</vt:lpstr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Rahul Gupta</dc:creator>
  <cp:lastModifiedBy>Mahesh Joshi</cp:lastModifiedBy>
  <dcterms:created xsi:type="dcterms:W3CDTF">2022-07-28T09:17:09Z</dcterms:created>
  <dcterms:modified xsi:type="dcterms:W3CDTF">2023-07-19T09:56:50Z</dcterms:modified>
</cp:coreProperties>
</file>