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In Progress Files\Amit Jaiswal\Speedingo india pvt ltd\"/>
    </mc:Choice>
  </mc:AlternateContent>
  <xr:revisionPtr revIDLastSave="0" documentId="13_ncr:1_{69EB5D7C-7BEE-4AE1-A04D-EAC2EF7B345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J29" i="1"/>
  <c r="J31" i="1"/>
  <c r="K9" i="1"/>
  <c r="N9" i="1"/>
  <c r="N13" i="1"/>
  <c r="P13" i="1"/>
  <c r="K13" i="1"/>
  <c r="G13" i="1"/>
  <c r="G9" i="1"/>
  <c r="P9" i="1" s="1"/>
  <c r="Q9" i="1" s="1"/>
  <c r="R9" i="1" s="1"/>
  <c r="T9" i="1" s="1"/>
  <c r="H24" i="1"/>
  <c r="J34" i="1"/>
  <c r="Q13" i="1" l="1"/>
  <c r="R13" i="1" s="1"/>
  <c r="T13" i="1" s="1"/>
  <c r="T31" i="1"/>
  <c r="K12" i="1"/>
  <c r="N12" i="1"/>
  <c r="G12" i="1"/>
  <c r="P12" i="1" s="1"/>
  <c r="M25" i="1"/>
  <c r="M24" i="1"/>
  <c r="Q12" i="1" l="1"/>
  <c r="R12" i="1" s="1"/>
  <c r="T12" i="1" s="1"/>
  <c r="M26" i="1"/>
  <c r="H25" i="1" s="1"/>
  <c r="N14" i="1"/>
  <c r="K14" i="1"/>
  <c r="G14" i="1"/>
  <c r="P14" i="1" s="1"/>
  <c r="N7" i="1"/>
  <c r="N8" i="1"/>
  <c r="N10" i="1"/>
  <c r="N11" i="1"/>
  <c r="G10" i="1"/>
  <c r="P10" i="1" s="1"/>
  <c r="F15" i="1"/>
  <c r="K7" i="1"/>
  <c r="K8" i="1"/>
  <c r="K10" i="1"/>
  <c r="K11" i="1"/>
  <c r="K6" i="1"/>
  <c r="G6" i="1"/>
  <c r="P6" i="1" s="1"/>
  <c r="G7" i="1"/>
  <c r="P7" i="1" s="1"/>
  <c r="Q7" i="1" l="1"/>
  <c r="R7" i="1" s="1"/>
  <c r="T7" i="1" s="1"/>
  <c r="Q14" i="1"/>
  <c r="R14" i="1" s="1"/>
  <c r="T14" i="1" s="1"/>
  <c r="Q10" i="1"/>
  <c r="R10" i="1" s="1"/>
  <c r="T10" i="1" s="1"/>
  <c r="R8" i="1"/>
  <c r="R11" i="1"/>
  <c r="D7" i="3"/>
  <c r="D6" i="3"/>
  <c r="D8" i="3" s="1"/>
  <c r="L13" i="2" l="1"/>
  <c r="L11" i="2" l="1"/>
  <c r="N6" i="1" l="1"/>
  <c r="Q6" i="1" l="1"/>
  <c r="R6" i="1" s="1"/>
  <c r="T6" i="1" s="1"/>
  <c r="H26" i="1"/>
  <c r="G15" i="1" l="1"/>
  <c r="P15" i="1" l="1"/>
  <c r="R15" i="1" l="1"/>
  <c r="T15" i="1" s="1"/>
  <c r="Q15" i="1"/>
  <c r="E25" i="1" l="1"/>
  <c r="E26" i="1" s="1"/>
  <c r="E27" i="1" s="1"/>
  <c r="H27" i="1" l="1"/>
  <c r="E29" i="1"/>
  <c r="E28" i="1"/>
</calcChain>
</file>

<file path=xl/sharedStrings.xml><?xml version="1.0" encoding="utf-8"?>
<sst xmlns="http://schemas.openxmlformats.org/spreadsheetml/2006/main" count="108" uniqueCount="85">
  <si>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</si>
  <si>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</si>
  <si>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</si>
  <si>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</si>
  <si>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</si>
  <si>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</si>
  <si>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</si>
  <si>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</si>
  <si>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</si>
  <si>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</si>
  <si>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</si>
  <si>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</si>
  <si>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</si>
  <si>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</si>
  <si>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</si>
  <si>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</si>
  <si>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</si>
  <si>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TOTAL</t>
  </si>
  <si>
    <t>Remarks: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</si>
  <si>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</si>
  <si>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LAND</t>
  </si>
  <si>
    <t>BUILDING</t>
  </si>
  <si>
    <t>TOTAL FMV</t>
  </si>
  <si>
    <t>ROUND OFF</t>
  </si>
  <si>
    <t>RV</t>
  </si>
  <si>
    <t>DV</t>
  </si>
  <si>
    <t>circle rate</t>
  </si>
  <si>
    <t>land</t>
  </si>
  <si>
    <t>building</t>
  </si>
  <si>
    <t>EXTRA SERVICES</t>
  </si>
  <si>
    <t>Total</t>
  </si>
  <si>
    <t>P.D.</t>
  </si>
  <si>
    <t>Plot No.</t>
  </si>
  <si>
    <t>Type of Land</t>
  </si>
  <si>
    <t xml:space="preserve">Use of Land </t>
  </si>
  <si>
    <t>M/s. Chandan Steel Ltd.</t>
  </si>
  <si>
    <t>Address</t>
  </si>
  <si>
    <t>Umbergaon Industrial Area</t>
  </si>
  <si>
    <t>GIDC</t>
  </si>
  <si>
    <t>Leasehold</t>
  </si>
  <si>
    <t>Industry</t>
  </si>
  <si>
    <t>East</t>
  </si>
  <si>
    <t>West</t>
  </si>
  <si>
    <t>North</t>
  </si>
  <si>
    <t>South</t>
  </si>
  <si>
    <t>Road</t>
  </si>
  <si>
    <t>Green Space</t>
  </si>
  <si>
    <t>Plot No.44</t>
  </si>
  <si>
    <t>Transfer date</t>
  </si>
  <si>
    <t>48 &amp; 49/2</t>
  </si>
  <si>
    <t>Lessor/ Seller</t>
  </si>
  <si>
    <t>lessee/Buyer</t>
  </si>
  <si>
    <t>GSFC</t>
  </si>
  <si>
    <t>Freehold</t>
  </si>
  <si>
    <t>Plot No.48+49/1</t>
  </si>
  <si>
    <t xml:space="preserve">Waste Land </t>
  </si>
  <si>
    <t>Plot No.47 &amp; Waste land</t>
  </si>
  <si>
    <t>100 ft. Road</t>
  </si>
  <si>
    <t>80 ft. wide road</t>
  </si>
  <si>
    <t>Existing W/S line space</t>
  </si>
  <si>
    <t>Plot No. 47</t>
  </si>
  <si>
    <t>Green space</t>
  </si>
  <si>
    <t>Green Area</t>
  </si>
  <si>
    <t>Plot Area (sq. mtr.)</t>
  </si>
  <si>
    <t>Adjoining property details (as per the documents)</t>
  </si>
  <si>
    <t>BIFURCATION OF LAND FOR M/S. CHANDAN STEEL LIMITED | PLOT NO. 45, 46, 48 &amp; 49/2, UMBERGAON INDUSTRIAL ESTATE, VALSAD, GUJARAT</t>
  </si>
  <si>
    <t>existing covererd area</t>
  </si>
  <si>
    <t>Unauthorised area</t>
  </si>
  <si>
    <t>RCC structure bounded by brick wall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</si>
  <si>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approved map provided by the company only.</t>
    </r>
  </si>
  <si>
    <t>2. Construction year of the plant has been taken from the information provided by the client during site survey.</t>
  </si>
  <si>
    <r>
      <t>4.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</si>
  <si>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 xml:space="preserve">Structure Name </t>
  </si>
  <si>
    <t>Volkswagen</t>
  </si>
  <si>
    <t>Main Office</t>
  </si>
  <si>
    <t>Workshop</t>
  </si>
  <si>
    <t>KIA</t>
  </si>
  <si>
    <t>Skoda</t>
  </si>
  <si>
    <t>Ground Floor</t>
  </si>
  <si>
    <t>GI Shed mounted  on brick wall</t>
  </si>
  <si>
    <t xml:space="preserve">Ground Floor </t>
  </si>
  <si>
    <t xml:space="preserve">Main Office </t>
  </si>
  <si>
    <t xml:space="preserve">first Floor </t>
  </si>
  <si>
    <t>BUILDING VALUATION FOR M/S. SPEEDINGO INDIA PVT. LTD.</t>
  </si>
  <si>
    <r>
      <t xml:space="preserve">3.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Speedingo India Private Limited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</si>
</sst>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Font="1"/>
    <xf numFmtId="9" fontId="0" fillId="0" borderId="0" xfId="2" applyFont="1"/>
    <xf numFmtId="167" fontId="0" fillId="0" borderId="4" xfId="3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7" fontId="2" fillId="0" borderId="5" xfId="3" applyNumberFormat="1" applyFont="1" applyBorder="1" applyAlignment="1">
      <alignment horizontal="left" vertical="center"/>
    </xf>
    <xf numFmtId="4" fontId="0" fillId="0" borderId="4" xfId="0" applyNumberFormat="1" applyBorder="1" applyAlignment="1">
      <alignment horizontal="center" vertical="center"/>
    </xf>
    <xf numFmtId="1" fontId="0" fillId="7" borderId="4" xfId="0" applyNumberFormat="1" applyFill="1" applyBorder="1" applyAlignment="1">
      <alignment horizontal="center" vertical="center"/>
    </xf>
    <xf numFmtId="0" fontId="0" fillId="7" borderId="0" xfId="0" applyFill="1"/>
    <xf numFmtId="166" fontId="0" fillId="7" borderId="4" xfId="0" applyNumberFormat="1" applyFill="1" applyBorder="1"/>
    <xf numFmtId="4" fontId="0" fillId="0" borderId="0" xfId="0" applyNumberFormat="1" applyAlignment="1">
      <alignment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2" fillId="0" borderId="4" xfId="0" applyFont="1" applyBorder="1"/>
    <xf numFmtId="0" fontId="0" fillId="0" borderId="4" xfId="0" applyBorder="1"/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V44"/>
  <sheetViews>
    <sheetView tabSelected="1" topLeftCell="A8" zoomScale="80" zoomScaleNormal="80" workbookViewId="0">
      <selection activeCell="E29" sqref="E29"/>
    </sheetView>
  </sheetViews>
  <sheetFormatPr defaultRowHeight="15" x14ac:dyDescent="0.25"/>
  <cols>
    <col min="1" max="1" width="7.42578125" customWidth="1"/>
    <col min="2" max="2" width="6.28515625" customWidth="1"/>
    <col min="3" max="3" width="16.85546875" customWidth="1"/>
    <col min="4" max="4" width="15.5703125" customWidth="1"/>
    <col min="5" max="5" width="19.7109375" style="9" customWidth="1"/>
    <col min="6" max="6" width="12.42578125" style="39" customWidth="1"/>
    <col min="7" max="7" width="14.28515625" customWidth="1"/>
    <col min="8" max="8" width="16.85546875" style="37" customWidth="1"/>
    <col min="9" max="9" width="15.7109375" customWidth="1"/>
    <col min="10" max="10" width="13" customWidth="1"/>
    <col min="11" max="11" width="12.5703125" hidden="1" customWidth="1"/>
    <col min="12" max="12" width="12.85546875" hidden="1" customWidth="1"/>
    <col min="13" max="13" width="11.42578125" customWidth="1"/>
    <col min="14" max="14" width="12.140625" customWidth="1"/>
    <col min="15" max="15" width="13.85546875" customWidth="1"/>
    <col min="16" max="16" width="15.140625" customWidth="1"/>
    <col min="17" max="17" width="14.28515625" customWidth="1"/>
    <col min="18" max="18" width="15.28515625" hidden="1" customWidth="1"/>
    <col min="19" max="19" width="11.7109375" hidden="1" customWidth="1"/>
    <col min="20" max="20" width="15.28515625" customWidth="1"/>
    <col min="21" max="21" width="9.140625" customWidth="1"/>
    <col min="22" max="22" width="14.28515625" style="15" bestFit="1" customWidth="1"/>
  </cols>
  <sheetData>
    <row r="3" spans="2:20" ht="29.25" customHeight="1" x14ac:dyDescent="0.25">
      <c r="B3" s="51" t="s">
        <v>83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3"/>
    </row>
    <row r="4" spans="2:20" ht="69" customHeight="1" x14ac:dyDescent="0.25">
      <c r="B4" s="1" t="s">
        <v>0</v>
      </c>
      <c r="C4" s="1" t="s">
        <v>72</v>
      </c>
      <c r="D4" s="1" t="s">
        <v>1</v>
      </c>
      <c r="E4" s="1" t="s">
        <v>2</v>
      </c>
      <c r="F4" s="40" t="s">
        <v>19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</row>
    <row r="5" spans="2:20" ht="14.25" customHeight="1" x14ac:dyDescent="0.25">
      <c r="B5" s="2"/>
      <c r="C5" s="43" t="s">
        <v>73</v>
      </c>
      <c r="D5" s="3"/>
      <c r="E5" s="3"/>
      <c r="F5" s="35"/>
      <c r="G5" s="20"/>
      <c r="H5" s="36"/>
      <c r="I5" s="2"/>
      <c r="J5" s="2"/>
      <c r="K5" s="2"/>
      <c r="L5" s="2"/>
      <c r="M5" s="4"/>
      <c r="N5" s="5"/>
      <c r="O5" s="6"/>
      <c r="P5" s="6"/>
      <c r="Q5" s="6"/>
      <c r="R5" s="6"/>
      <c r="S5" s="7"/>
      <c r="T5" s="6"/>
    </row>
    <row r="6" spans="2:20" ht="45" customHeight="1" x14ac:dyDescent="0.25">
      <c r="B6" s="2">
        <v>1</v>
      </c>
      <c r="C6" s="44" t="s">
        <v>74</v>
      </c>
      <c r="D6" s="3" t="s">
        <v>78</v>
      </c>
      <c r="E6" s="3" t="s">
        <v>68</v>
      </c>
      <c r="F6" s="35">
        <v>464.97</v>
      </c>
      <c r="G6" s="20">
        <f t="shared" ref="G6:G14" si="0">10.764*F6</f>
        <v>5004.9370799999997</v>
      </c>
      <c r="H6" s="36">
        <v>10</v>
      </c>
      <c r="I6" s="2">
        <v>2000</v>
      </c>
      <c r="J6" s="2">
        <v>2023</v>
      </c>
      <c r="K6" s="2">
        <f>J6-I6</f>
        <v>23</v>
      </c>
      <c r="L6" s="2">
        <v>39</v>
      </c>
      <c r="M6" s="4">
        <v>0.1</v>
      </c>
      <c r="N6" s="5">
        <f>(1-M6)/L6</f>
        <v>2.3076923076923078E-2</v>
      </c>
      <c r="O6" s="6">
        <v>1500</v>
      </c>
      <c r="P6" s="6">
        <f>O6*G6</f>
        <v>7507405.6199999992</v>
      </c>
      <c r="Q6" s="6">
        <f t="shared" ref="Q6:Q14" si="1">P6*N6*K6</f>
        <v>3984699.9059999995</v>
      </c>
      <c r="R6" s="6">
        <f t="shared" ref="R6:R11" si="2">MAX(P6-Q6,0)</f>
        <v>3522705.7139999997</v>
      </c>
      <c r="S6" s="7">
        <v>0</v>
      </c>
      <c r="T6" s="6">
        <f>IF(R6&gt;M6*P6,R6*(1-S6),P6*M6)</f>
        <v>3522705.7139999997</v>
      </c>
    </row>
    <row r="7" spans="2:20" ht="39.75" customHeight="1" x14ac:dyDescent="0.25">
      <c r="B7" s="2">
        <v>2</v>
      </c>
      <c r="C7" s="44" t="s">
        <v>75</v>
      </c>
      <c r="D7" s="3" t="s">
        <v>78</v>
      </c>
      <c r="E7" s="3" t="s">
        <v>79</v>
      </c>
      <c r="F7" s="35">
        <v>1065.94</v>
      </c>
      <c r="G7" s="20">
        <f t="shared" si="0"/>
        <v>11473.77816</v>
      </c>
      <c r="H7" s="36">
        <v>25</v>
      </c>
      <c r="I7" s="2">
        <v>2016</v>
      </c>
      <c r="J7" s="2">
        <v>2023</v>
      </c>
      <c r="K7" s="2">
        <f t="shared" ref="K7:K14" si="3">J7-I7</f>
        <v>7</v>
      </c>
      <c r="L7" s="2">
        <v>39</v>
      </c>
      <c r="M7" s="4">
        <v>0.1</v>
      </c>
      <c r="N7" s="5">
        <f t="shared" ref="N7:N14" si="4">(1-M7)/L7</f>
        <v>2.3076923076923078E-2</v>
      </c>
      <c r="O7" s="6">
        <v>1100</v>
      </c>
      <c r="P7" s="6">
        <f t="shared" ref="P7:P14" si="5">O7*G7</f>
        <v>12621155.976</v>
      </c>
      <c r="Q7" s="6">
        <f t="shared" si="1"/>
        <v>2038802.1192000003</v>
      </c>
      <c r="R7" s="6">
        <f t="shared" si="2"/>
        <v>10582353.856799999</v>
      </c>
      <c r="S7" s="7">
        <v>0</v>
      </c>
      <c r="T7" s="6">
        <f t="shared" ref="T7:T15" si="6">IF(R7&gt;M7*P7,R7*(1-S7),P7*M7)</f>
        <v>10582353.856799999</v>
      </c>
    </row>
    <row r="8" spans="2:20" ht="18" customHeight="1" x14ac:dyDescent="0.25">
      <c r="B8" s="2"/>
      <c r="C8" s="43" t="s">
        <v>76</v>
      </c>
      <c r="D8" s="3"/>
      <c r="E8" s="3"/>
      <c r="F8" s="35"/>
      <c r="G8" s="20"/>
      <c r="H8" s="36"/>
      <c r="I8" s="2"/>
      <c r="J8" s="2"/>
      <c r="K8" s="2">
        <f t="shared" si="3"/>
        <v>0</v>
      </c>
      <c r="L8" s="2">
        <v>39</v>
      </c>
      <c r="M8" s="4"/>
      <c r="N8" s="5">
        <f t="shared" si="4"/>
        <v>2.564102564102564E-2</v>
      </c>
      <c r="O8" s="6"/>
      <c r="P8" s="6"/>
      <c r="Q8" s="6"/>
      <c r="R8" s="6">
        <f t="shared" si="2"/>
        <v>0</v>
      </c>
      <c r="S8" s="7">
        <v>0</v>
      </c>
      <c r="T8" s="6"/>
    </row>
    <row r="9" spans="2:20" ht="38.25" customHeight="1" x14ac:dyDescent="0.25">
      <c r="B9" s="2">
        <v>1</v>
      </c>
      <c r="C9" s="44" t="s">
        <v>74</v>
      </c>
      <c r="D9" s="3" t="s">
        <v>78</v>
      </c>
      <c r="E9" s="3" t="s">
        <v>79</v>
      </c>
      <c r="F9" s="35">
        <v>264.20999999999998</v>
      </c>
      <c r="G9" s="20">
        <f t="shared" si="0"/>
        <v>2843.9564399999995</v>
      </c>
      <c r="H9" s="36">
        <v>10</v>
      </c>
      <c r="I9" s="2">
        <v>2019</v>
      </c>
      <c r="J9" s="2">
        <v>2023</v>
      </c>
      <c r="K9" s="2">
        <f t="shared" si="3"/>
        <v>4</v>
      </c>
      <c r="L9" s="2">
        <v>39</v>
      </c>
      <c r="M9" s="4">
        <v>0.1</v>
      </c>
      <c r="N9" s="5">
        <f t="shared" si="4"/>
        <v>2.3076923076923078E-2</v>
      </c>
      <c r="O9" s="6">
        <v>1100</v>
      </c>
      <c r="P9" s="6">
        <f t="shared" si="5"/>
        <v>3128352.0839999993</v>
      </c>
      <c r="Q9" s="6">
        <f t="shared" si="1"/>
        <v>288770.96159999998</v>
      </c>
      <c r="R9" s="6">
        <f t="shared" si="2"/>
        <v>2839581.1223999993</v>
      </c>
      <c r="S9" s="7">
        <v>0</v>
      </c>
      <c r="T9" s="6">
        <f>IF(R9&gt;M9*P9,R9*(1-S9),P9*M9)</f>
        <v>2839581.1223999993</v>
      </c>
    </row>
    <row r="10" spans="2:20" ht="42.75" customHeight="1" x14ac:dyDescent="0.25">
      <c r="B10" s="2">
        <v>2</v>
      </c>
      <c r="C10" s="44" t="s">
        <v>75</v>
      </c>
      <c r="D10" s="3" t="s">
        <v>80</v>
      </c>
      <c r="E10" s="3" t="s">
        <v>79</v>
      </c>
      <c r="F10" s="35">
        <v>1196.58</v>
      </c>
      <c r="G10" s="20">
        <f t="shared" si="0"/>
        <v>12879.987119999998</v>
      </c>
      <c r="H10" s="36">
        <v>40</v>
      </c>
      <c r="I10" s="2">
        <v>2019</v>
      </c>
      <c r="J10" s="2">
        <v>2023</v>
      </c>
      <c r="K10" s="2">
        <f t="shared" si="3"/>
        <v>4</v>
      </c>
      <c r="L10" s="2">
        <v>39</v>
      </c>
      <c r="M10" s="4">
        <v>0.1</v>
      </c>
      <c r="N10" s="5">
        <f t="shared" si="4"/>
        <v>2.3076923076923078E-2</v>
      </c>
      <c r="O10" s="6">
        <v>1400</v>
      </c>
      <c r="P10" s="6">
        <f t="shared" si="5"/>
        <v>18031981.967999998</v>
      </c>
      <c r="Q10" s="6">
        <f t="shared" si="1"/>
        <v>1664490.6432</v>
      </c>
      <c r="R10" s="6">
        <f t="shared" si="2"/>
        <v>16367491.324799998</v>
      </c>
      <c r="S10" s="7">
        <v>0</v>
      </c>
      <c r="T10" s="6">
        <f t="shared" si="6"/>
        <v>16367491.324799998</v>
      </c>
    </row>
    <row r="11" spans="2:20" ht="17.25" customHeight="1" x14ac:dyDescent="0.25">
      <c r="B11" s="2"/>
      <c r="C11" s="43" t="s">
        <v>77</v>
      </c>
      <c r="D11" s="3"/>
      <c r="E11" s="3"/>
      <c r="F11" s="35"/>
      <c r="G11" s="20"/>
      <c r="H11" s="36"/>
      <c r="I11" s="2"/>
      <c r="J11" s="2"/>
      <c r="K11" s="2">
        <f t="shared" si="3"/>
        <v>0</v>
      </c>
      <c r="L11" s="2">
        <v>39</v>
      </c>
      <c r="M11" s="4"/>
      <c r="N11" s="5">
        <f t="shared" si="4"/>
        <v>2.564102564102564E-2</v>
      </c>
      <c r="O11" s="6"/>
      <c r="P11" s="6"/>
      <c r="Q11" s="6"/>
      <c r="R11" s="6">
        <f t="shared" si="2"/>
        <v>0</v>
      </c>
      <c r="S11" s="7">
        <v>0</v>
      </c>
      <c r="T11" s="6"/>
    </row>
    <row r="12" spans="2:20" ht="45" customHeight="1" x14ac:dyDescent="0.25">
      <c r="B12" s="2">
        <v>1</v>
      </c>
      <c r="C12" s="44" t="s">
        <v>81</v>
      </c>
      <c r="D12" s="3" t="s">
        <v>80</v>
      </c>
      <c r="E12" s="3" t="s">
        <v>68</v>
      </c>
      <c r="F12" s="35">
        <v>162.58000000000001</v>
      </c>
      <c r="G12" s="20">
        <f>10.764*F12</f>
        <v>1750.0111200000001</v>
      </c>
      <c r="H12" s="36">
        <v>10</v>
      </c>
      <c r="I12" s="2">
        <v>2015</v>
      </c>
      <c r="J12" s="2">
        <v>2023</v>
      </c>
      <c r="K12" s="2">
        <f t="shared" ref="K12:K13" si="7">J12-I12</f>
        <v>8</v>
      </c>
      <c r="L12" s="2">
        <v>39</v>
      </c>
      <c r="M12" s="4">
        <v>0.1</v>
      </c>
      <c r="N12" s="5">
        <f t="shared" ref="N12:N13" si="8">(1-M12)/L12</f>
        <v>2.3076923076923078E-2</v>
      </c>
      <c r="O12" s="6">
        <v>1500</v>
      </c>
      <c r="P12" s="6">
        <f>O12*G12</f>
        <v>2625016.6800000002</v>
      </c>
      <c r="Q12" s="6">
        <f t="shared" si="1"/>
        <v>484618.46400000004</v>
      </c>
      <c r="R12" s="6">
        <f t="shared" ref="R12:R14" si="9">MAX(P12-Q12,0)</f>
        <v>2140398.216</v>
      </c>
      <c r="S12" s="7">
        <v>0</v>
      </c>
      <c r="T12" s="6">
        <f t="shared" si="6"/>
        <v>2140398.216</v>
      </c>
    </row>
    <row r="13" spans="2:20" ht="35.25" customHeight="1" x14ac:dyDescent="0.25">
      <c r="B13" s="2">
        <v>2</v>
      </c>
      <c r="C13" s="42" t="s">
        <v>81</v>
      </c>
      <c r="D13" s="3" t="s">
        <v>82</v>
      </c>
      <c r="E13" s="3" t="s">
        <v>79</v>
      </c>
      <c r="F13" s="35">
        <v>162.58000000000001</v>
      </c>
      <c r="G13" s="20">
        <f>10.764*F13</f>
        <v>1750.0111200000001</v>
      </c>
      <c r="H13" s="36">
        <v>10</v>
      </c>
      <c r="I13" s="2">
        <v>2015</v>
      </c>
      <c r="J13" s="2">
        <v>2023</v>
      </c>
      <c r="K13" s="2">
        <f t="shared" si="7"/>
        <v>8</v>
      </c>
      <c r="L13" s="2">
        <v>39</v>
      </c>
      <c r="M13" s="4">
        <v>0.1</v>
      </c>
      <c r="N13" s="5">
        <f t="shared" si="8"/>
        <v>2.3076923076923078E-2</v>
      </c>
      <c r="O13" s="6">
        <v>1100</v>
      </c>
      <c r="P13" s="6">
        <f>O13*G13</f>
        <v>1925012.2320000001</v>
      </c>
      <c r="Q13" s="6">
        <f t="shared" si="1"/>
        <v>355386.87360000005</v>
      </c>
      <c r="R13" s="6">
        <f t="shared" si="9"/>
        <v>1569625.3584</v>
      </c>
      <c r="S13" s="7">
        <v>0</v>
      </c>
      <c r="T13" s="6">
        <f t="shared" si="6"/>
        <v>1569625.3584</v>
      </c>
    </row>
    <row r="14" spans="2:20" ht="41.25" customHeight="1" x14ac:dyDescent="0.25">
      <c r="B14" s="2">
        <v>3</v>
      </c>
      <c r="C14" s="44" t="s">
        <v>75</v>
      </c>
      <c r="D14" s="3" t="s">
        <v>80</v>
      </c>
      <c r="E14" s="3" t="s">
        <v>79</v>
      </c>
      <c r="F14" s="35">
        <v>910.43</v>
      </c>
      <c r="G14" s="20">
        <f t="shared" si="0"/>
        <v>9799.8685199999982</v>
      </c>
      <c r="H14" s="36">
        <v>10</v>
      </c>
      <c r="I14" s="2">
        <v>2017</v>
      </c>
      <c r="J14" s="2">
        <v>2023</v>
      </c>
      <c r="K14" s="2">
        <f t="shared" si="3"/>
        <v>6</v>
      </c>
      <c r="L14" s="2">
        <v>39</v>
      </c>
      <c r="M14" s="4">
        <v>0.1</v>
      </c>
      <c r="N14" s="5">
        <f t="shared" si="4"/>
        <v>2.3076923076923078E-2</v>
      </c>
      <c r="O14" s="6">
        <v>1100</v>
      </c>
      <c r="P14" s="6">
        <f t="shared" si="5"/>
        <v>10779855.371999998</v>
      </c>
      <c r="Q14" s="6">
        <f t="shared" si="1"/>
        <v>1492595.3591999998</v>
      </c>
      <c r="R14" s="6">
        <f t="shared" si="9"/>
        <v>9287260.0127999969</v>
      </c>
      <c r="S14" s="7">
        <v>0</v>
      </c>
      <c r="T14" s="6">
        <f t="shared" si="6"/>
        <v>9287260.0127999969</v>
      </c>
    </row>
    <row r="15" spans="2:20" ht="19.5" customHeight="1" x14ac:dyDescent="0.25">
      <c r="B15" s="47" t="s">
        <v>17</v>
      </c>
      <c r="C15" s="48"/>
      <c r="D15" s="48"/>
      <c r="E15" s="49"/>
      <c r="F15" s="41">
        <f>SUM(F5:F14)</f>
        <v>4227.29</v>
      </c>
      <c r="G15" s="20">
        <f>SUM(G5:G14)</f>
        <v>45502.549559999992</v>
      </c>
      <c r="H15" s="47"/>
      <c r="I15" s="48"/>
      <c r="J15" s="48"/>
      <c r="K15" s="48"/>
      <c r="L15" s="48"/>
      <c r="M15" s="48"/>
      <c r="N15" s="48"/>
      <c r="O15" s="49"/>
      <c r="P15" s="8">
        <f>SUM(P5:P14)</f>
        <v>56618779.931999996</v>
      </c>
      <c r="Q15" s="8">
        <f>SUM(Q5:Q14)</f>
        <v>10309364.3268</v>
      </c>
      <c r="R15" s="8">
        <f>SUM(R5:R14)</f>
        <v>46309415.605199993</v>
      </c>
      <c r="S15" s="8"/>
      <c r="T15" s="8">
        <f t="shared" si="6"/>
        <v>46309415.605199993</v>
      </c>
    </row>
    <row r="16" spans="2:20" x14ac:dyDescent="0.25">
      <c r="B16" s="54" t="s">
        <v>18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2:22" x14ac:dyDescent="0.25">
      <c r="B17" s="54" t="s">
        <v>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pans="2:22" x14ac:dyDescent="0.25">
      <c r="B18" s="56" t="s">
        <v>70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2" x14ac:dyDescent="0.25">
      <c r="B19" s="55" t="s">
        <v>84</v>
      </c>
      <c r="C19" s="55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V19" s="18"/>
    </row>
    <row r="20" spans="2:22" x14ac:dyDescent="0.25">
      <c r="B20" s="50" t="s">
        <v>71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</row>
    <row r="23" spans="2:22" ht="28.5" customHeight="1" x14ac:dyDescent="0.25">
      <c r="D23" s="12" t="s">
        <v>29</v>
      </c>
      <c r="E23" s="11">
        <v>4500000</v>
      </c>
      <c r="G23" s="45" t="s">
        <v>26</v>
      </c>
      <c r="H23" s="46"/>
    </row>
    <row r="24" spans="2:22" x14ac:dyDescent="0.25">
      <c r="D24" s="10" t="s">
        <v>20</v>
      </c>
      <c r="E24" s="11">
        <f>32300*8658.09</f>
        <v>279656307</v>
      </c>
      <c r="G24" s="10" t="s">
        <v>27</v>
      </c>
      <c r="H24" s="38">
        <f>22000*8658.09</f>
        <v>190477980</v>
      </c>
      <c r="L24">
        <v>5186</v>
      </c>
      <c r="M24">
        <f>L24*10000*0.87</f>
        <v>45118200</v>
      </c>
      <c r="U24" s="15"/>
    </row>
    <row r="25" spans="2:22" x14ac:dyDescent="0.25">
      <c r="D25" s="10" t="s">
        <v>21</v>
      </c>
      <c r="E25" s="11">
        <f>T15</f>
        <v>46309415.605199993</v>
      </c>
      <c r="G25" s="10" t="s">
        <v>28</v>
      </c>
      <c r="H25" s="38">
        <f>M26</f>
        <v>125680280</v>
      </c>
      <c r="K25" s="17"/>
      <c r="L25">
        <v>8644</v>
      </c>
      <c r="M25">
        <f>L25*10000*0.932</f>
        <v>80562080</v>
      </c>
    </row>
    <row r="26" spans="2:22" ht="15.75" customHeight="1" x14ac:dyDescent="0.25">
      <c r="D26" s="12" t="s">
        <v>22</v>
      </c>
      <c r="E26" s="13">
        <f>SUM(E23:E25)</f>
        <v>330465722.60519999</v>
      </c>
      <c r="G26" s="10" t="s">
        <v>30</v>
      </c>
      <c r="H26" s="38">
        <f>H25+H24</f>
        <v>316158260</v>
      </c>
      <c r="K26" s="17"/>
      <c r="M26" s="15">
        <f>M25+M24</f>
        <v>125680280</v>
      </c>
    </row>
    <row r="27" spans="2:22" ht="15" customHeight="1" x14ac:dyDescent="0.25">
      <c r="D27" s="12" t="s">
        <v>23</v>
      </c>
      <c r="E27" s="13">
        <f>ROUND(E26,-5)</f>
        <v>330500000</v>
      </c>
      <c r="G27" t="s">
        <v>31</v>
      </c>
      <c r="H27" s="19">
        <f>1-(H26/E27)</f>
        <v>4.3394069591528028E-2</v>
      </c>
      <c r="K27" s="15"/>
    </row>
    <row r="28" spans="2:22" x14ac:dyDescent="0.25">
      <c r="D28" s="10" t="s">
        <v>24</v>
      </c>
      <c r="E28" s="14">
        <f>0.85*E27</f>
        <v>280925000</v>
      </c>
      <c r="H28"/>
      <c r="J28" s="19"/>
      <c r="K28" s="16"/>
    </row>
    <row r="29" spans="2:22" x14ac:dyDescent="0.25">
      <c r="D29" s="10" t="s">
        <v>25</v>
      </c>
      <c r="E29" s="14">
        <f>0.75*E27</f>
        <v>247875000</v>
      </c>
      <c r="H29"/>
      <c r="J29">
        <f>34000*0.95</f>
        <v>32300</v>
      </c>
      <c r="T29" s="15">
        <v>15700000</v>
      </c>
    </row>
    <row r="30" spans="2:22" x14ac:dyDescent="0.25">
      <c r="H30"/>
      <c r="T30">
        <v>2100</v>
      </c>
    </row>
    <row r="31" spans="2:22" x14ac:dyDescent="0.25">
      <c r="J31">
        <f>33000*0.05</f>
        <v>1650</v>
      </c>
      <c r="L31">
        <v>4561</v>
      </c>
      <c r="T31" s="16">
        <f>T29/T30</f>
        <v>7476.1904761904761</v>
      </c>
    </row>
    <row r="32" spans="2:22" x14ac:dyDescent="0.25">
      <c r="L32">
        <v>3712</v>
      </c>
    </row>
    <row r="33" spans="10:17" x14ac:dyDescent="0.25">
      <c r="L33">
        <v>516</v>
      </c>
    </row>
    <row r="34" spans="10:17" x14ac:dyDescent="0.25">
      <c r="J34">
        <f>11000*0.7</f>
        <v>7699.9999999999991</v>
      </c>
    </row>
    <row r="35" spans="10:17" x14ac:dyDescent="0.25">
      <c r="J35" s="15"/>
      <c r="K35" s="16"/>
      <c r="L35" s="16"/>
      <c r="P35" s="16"/>
      <c r="Q35" s="16"/>
    </row>
    <row r="38" spans="10:17" x14ac:dyDescent="0.25">
      <c r="K38" s="16"/>
      <c r="L38" s="16"/>
      <c r="P38" s="16"/>
      <c r="Q38" s="16"/>
    </row>
    <row r="43" spans="10:17" x14ac:dyDescent="0.25">
      <c r="K43" s="15"/>
    </row>
    <row r="44" spans="10:17" x14ac:dyDescent="0.25">
      <c r="Q44" s="15"/>
    </row>
  </sheetData>
  <mergeCells count="9">
    <mergeCell ref="G23:H23"/>
    <mergeCell ref="H15:O15"/>
    <mergeCell ref="B20:T20"/>
    <mergeCell ref="B3:T3"/>
    <mergeCell ref="B15:E15"/>
    <mergeCell ref="B16:T16"/>
    <mergeCell ref="B17:T17"/>
    <mergeCell ref="B19:T19"/>
    <mergeCell ref="B18:T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8"/>
  <sheetViews>
    <sheetView workbookViewId="0">
      <selection activeCell="I10" sqref="I10"/>
    </sheetView>
  </sheetViews>
  <sheetFormatPr defaultRowHeight="15" x14ac:dyDescent="0.25"/>
  <cols>
    <col min="3" max="3" width="12.7109375" customWidth="1"/>
  </cols>
  <sheetData>
    <row r="6" spans="2:4" x14ac:dyDescent="0.25">
      <c r="B6" s="57" t="s">
        <v>66</v>
      </c>
      <c r="C6" s="57"/>
      <c r="D6">
        <f>56816.25/10.764</f>
        <v>5278.3584169453734</v>
      </c>
    </row>
    <row r="7" spans="2:4" x14ac:dyDescent="0.25">
      <c r="B7" s="57" t="s">
        <v>67</v>
      </c>
      <c r="C7" s="57"/>
      <c r="D7">
        <f>(763.66+775.5)</f>
        <v>1539.1599999999999</v>
      </c>
    </row>
    <row r="8" spans="2:4" x14ac:dyDescent="0.25">
      <c r="D8">
        <f>D6-D7</f>
        <v>3739.1984169453735</v>
      </c>
    </row>
  </sheetData>
  <mergeCells count="2">
    <mergeCell ref="B6:C6"/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3:P13"/>
  <sheetViews>
    <sheetView topLeftCell="B1" workbookViewId="0">
      <selection activeCell="E4" sqref="E4:P11"/>
    </sheetView>
  </sheetViews>
  <sheetFormatPr defaultRowHeight="15" x14ac:dyDescent="0.25"/>
  <cols>
    <col min="6" max="6" width="16.85546875" customWidth="1"/>
    <col min="7" max="7" width="9" customWidth="1"/>
    <col min="8" max="8" width="15.28515625" customWidth="1"/>
    <col min="9" max="9" width="13.140625" customWidth="1"/>
    <col min="10" max="11" width="12.7109375" customWidth="1"/>
    <col min="12" max="12" width="11.7109375" customWidth="1"/>
    <col min="13" max="13" width="12.140625" customWidth="1"/>
    <col min="15" max="15" width="11.28515625" customWidth="1"/>
  </cols>
  <sheetData>
    <row r="3" spans="5:16" ht="15.75" thickBot="1" x14ac:dyDescent="0.3"/>
    <row r="4" spans="5:16" ht="21" customHeight="1" thickBot="1" x14ac:dyDescent="0.3">
      <c r="E4" s="67" t="s">
        <v>65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9"/>
    </row>
    <row r="5" spans="5:16" ht="27.75" customHeight="1" x14ac:dyDescent="0.25">
      <c r="E5" s="76" t="s">
        <v>32</v>
      </c>
      <c r="F5" s="78" t="s">
        <v>36</v>
      </c>
      <c r="G5" s="74" t="s">
        <v>50</v>
      </c>
      <c r="H5" s="74" t="s">
        <v>51</v>
      </c>
      <c r="I5" s="74" t="s">
        <v>48</v>
      </c>
      <c r="J5" s="78" t="s">
        <v>33</v>
      </c>
      <c r="K5" s="78" t="s">
        <v>34</v>
      </c>
      <c r="L5" s="74" t="s">
        <v>63</v>
      </c>
      <c r="M5" s="74" t="s">
        <v>64</v>
      </c>
      <c r="N5" s="74"/>
      <c r="O5" s="74"/>
      <c r="P5" s="75"/>
    </row>
    <row r="6" spans="5:16" ht="20.25" customHeight="1" thickBot="1" x14ac:dyDescent="0.3">
      <c r="E6" s="77"/>
      <c r="F6" s="79"/>
      <c r="G6" s="80"/>
      <c r="H6" s="80"/>
      <c r="I6" s="80"/>
      <c r="J6" s="79"/>
      <c r="K6" s="79"/>
      <c r="L6" s="80"/>
      <c r="M6" s="24" t="s">
        <v>41</v>
      </c>
      <c r="N6" s="24" t="s">
        <v>42</v>
      </c>
      <c r="O6" s="24" t="s">
        <v>43</v>
      </c>
      <c r="P6" s="25" t="s">
        <v>44</v>
      </c>
    </row>
    <row r="7" spans="5:16" ht="32.25" customHeight="1" x14ac:dyDescent="0.25">
      <c r="E7" s="26">
        <v>45</v>
      </c>
      <c r="F7" s="22" t="s">
        <v>37</v>
      </c>
      <c r="G7" s="21" t="s">
        <v>38</v>
      </c>
      <c r="H7" s="22" t="s">
        <v>35</v>
      </c>
      <c r="I7" s="23">
        <v>38147</v>
      </c>
      <c r="J7" s="21" t="s">
        <v>39</v>
      </c>
      <c r="K7" s="21" t="s">
        <v>40</v>
      </c>
      <c r="L7" s="21">
        <v>3663</v>
      </c>
      <c r="M7" s="21" t="s">
        <v>45</v>
      </c>
      <c r="N7" s="22" t="s">
        <v>46</v>
      </c>
      <c r="O7" s="21" t="s">
        <v>47</v>
      </c>
      <c r="P7" s="27" t="s">
        <v>46</v>
      </c>
    </row>
    <row r="8" spans="5:16" ht="21" customHeight="1" x14ac:dyDescent="0.25">
      <c r="E8" s="61">
        <v>46</v>
      </c>
      <c r="F8" s="63" t="s">
        <v>37</v>
      </c>
      <c r="G8" s="65" t="s">
        <v>38</v>
      </c>
      <c r="H8" s="63" t="s">
        <v>35</v>
      </c>
      <c r="I8" s="72">
        <v>38184</v>
      </c>
      <c r="J8" s="65" t="s">
        <v>39</v>
      </c>
      <c r="K8" s="2" t="s">
        <v>40</v>
      </c>
      <c r="L8" s="28">
        <v>3509</v>
      </c>
      <c r="M8" s="63" t="s">
        <v>58</v>
      </c>
      <c r="N8" s="63" t="s">
        <v>59</v>
      </c>
      <c r="O8" s="63" t="s">
        <v>61</v>
      </c>
      <c r="P8" s="70" t="s">
        <v>60</v>
      </c>
    </row>
    <row r="9" spans="5:16" ht="23.25" customHeight="1" x14ac:dyDescent="0.25">
      <c r="E9" s="62"/>
      <c r="F9" s="64"/>
      <c r="G9" s="66"/>
      <c r="H9" s="64"/>
      <c r="I9" s="73"/>
      <c r="J9" s="66"/>
      <c r="K9" s="2" t="s">
        <v>62</v>
      </c>
      <c r="L9" s="2">
        <v>3362</v>
      </c>
      <c r="M9" s="64"/>
      <c r="N9" s="64"/>
      <c r="O9" s="64"/>
      <c r="P9" s="71"/>
    </row>
    <row r="10" spans="5:16" ht="45.75" thickBot="1" x14ac:dyDescent="0.3">
      <c r="E10" s="29" t="s">
        <v>49</v>
      </c>
      <c r="F10" s="30" t="s">
        <v>37</v>
      </c>
      <c r="G10" s="31" t="s">
        <v>52</v>
      </c>
      <c r="H10" s="30" t="s">
        <v>35</v>
      </c>
      <c r="I10" s="32">
        <v>38026</v>
      </c>
      <c r="J10" s="31" t="s">
        <v>53</v>
      </c>
      <c r="K10" s="31" t="s">
        <v>40</v>
      </c>
      <c r="L10" s="31">
        <v>1663</v>
      </c>
      <c r="M10" s="30" t="s">
        <v>54</v>
      </c>
      <c r="N10" s="30" t="s">
        <v>55</v>
      </c>
      <c r="O10" s="30" t="s">
        <v>56</v>
      </c>
      <c r="P10" s="33" t="s">
        <v>57</v>
      </c>
    </row>
    <row r="11" spans="5:16" ht="15.75" thickBot="1" x14ac:dyDescent="0.3">
      <c r="E11" s="58" t="s">
        <v>17</v>
      </c>
      <c r="F11" s="59"/>
      <c r="G11" s="59"/>
      <c r="H11" s="59"/>
      <c r="I11" s="59"/>
      <c r="J11" s="59"/>
      <c r="K11" s="59"/>
      <c r="L11" s="34">
        <f>SUM(L7:L10)</f>
        <v>12197</v>
      </c>
      <c r="M11" s="58"/>
      <c r="N11" s="59"/>
      <c r="O11" s="59"/>
      <c r="P11" s="60"/>
    </row>
    <row r="13" spans="5:16" x14ac:dyDescent="0.25">
      <c r="L13">
        <f>L7+L8+L10</f>
        <v>8835</v>
      </c>
    </row>
  </sheetData>
  <mergeCells count="22">
    <mergeCell ref="E4:P4"/>
    <mergeCell ref="O8:O9"/>
    <mergeCell ref="P8:P9"/>
    <mergeCell ref="J8:J9"/>
    <mergeCell ref="I8:I9"/>
    <mergeCell ref="M5:P5"/>
    <mergeCell ref="E5:E6"/>
    <mergeCell ref="F5:F6"/>
    <mergeCell ref="G5:G6"/>
    <mergeCell ref="H5:H6"/>
    <mergeCell ref="I5:I6"/>
    <mergeCell ref="J5:J6"/>
    <mergeCell ref="K5:K6"/>
    <mergeCell ref="L5:L6"/>
    <mergeCell ref="E11:K11"/>
    <mergeCell ref="M11:P11"/>
    <mergeCell ref="E8:E9"/>
    <mergeCell ref="F8:F9"/>
    <mergeCell ref="G8:G9"/>
    <mergeCell ref="H8:H9"/>
    <mergeCell ref="M8:M9"/>
    <mergeCell ref="N8:N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Amit Jaiswal</cp:lastModifiedBy>
  <dcterms:created xsi:type="dcterms:W3CDTF">2022-11-04T05:05:51Z</dcterms:created>
  <dcterms:modified xsi:type="dcterms:W3CDTF">2023-07-18T11:33:27Z</dcterms:modified>
</cp:coreProperties>
</file>