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deco\Downloads\"/>
    </mc:Choice>
  </mc:AlternateContent>
  <xr:revisionPtr revIDLastSave="0" documentId="13_ncr:1_{CD40E29D-1158-4F10-8B6D-AF004989F85B}" xr6:coauthVersionLast="47" xr6:coauthVersionMax="47" xr10:uidLastSave="{00000000-0000-0000-0000-000000000000}"/>
  <bookViews>
    <workbookView xWindow="-110" yWindow="-110" windowWidth="19420" windowHeight="10300" activeTab="1" xr2:uid="{CD5C63C0-06B4-42CF-87EB-D09AA5C64840}"/>
  </bookViews>
  <sheets>
    <sheet name="Summary" sheetId="2" r:id="rId1"/>
    <sheet name="Bestview Cashflows 30042023_SBI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" l="1"/>
  <c r="C42" i="2"/>
  <c r="C41" i="2"/>
  <c r="C27" i="2"/>
  <c r="E17" i="2"/>
  <c r="E16" i="2"/>
  <c r="E13" i="2"/>
  <c r="C39" i="2" s="1"/>
  <c r="E12" i="2"/>
  <c r="E11" i="2"/>
  <c r="E8" i="2"/>
  <c r="E7" i="2"/>
  <c r="C35" i="2" s="1"/>
  <c r="I199" i="1"/>
  <c r="G199" i="1"/>
  <c r="C199" i="1"/>
  <c r="G198" i="1"/>
  <c r="B198" i="1" s="1"/>
  <c r="C198" i="1"/>
  <c r="B197" i="1"/>
  <c r="G196" i="1"/>
  <c r="B196" i="1" s="1"/>
  <c r="B195" i="1"/>
  <c r="B194" i="1"/>
  <c r="B190" i="1"/>
  <c r="B186" i="1"/>
  <c r="BK184" i="1"/>
  <c r="BJ184" i="1"/>
  <c r="BI184" i="1"/>
  <c r="BH184" i="1"/>
  <c r="BG184" i="1"/>
  <c r="BG31" i="1" s="1"/>
  <c r="BF184" i="1"/>
  <c r="BF31" i="1" s="1"/>
  <c r="BE184" i="1"/>
  <c r="BE31" i="1" s="1"/>
  <c r="BD184" i="1"/>
  <c r="BD31" i="1" s="1"/>
  <c r="BC184" i="1"/>
  <c r="BB184" i="1"/>
  <c r="BA184" i="1"/>
  <c r="AZ184" i="1"/>
  <c r="AY184" i="1"/>
  <c r="AY31" i="1" s="1"/>
  <c r="AX184" i="1"/>
  <c r="AX31" i="1" s="1"/>
  <c r="AW184" i="1"/>
  <c r="AW31" i="1" s="1"/>
  <c r="AV184" i="1"/>
  <c r="AV31" i="1" s="1"/>
  <c r="AU184" i="1"/>
  <c r="AT184" i="1"/>
  <c r="AS184" i="1"/>
  <c r="AR184" i="1"/>
  <c r="AQ184" i="1"/>
  <c r="AQ31" i="1" s="1"/>
  <c r="AP184" i="1"/>
  <c r="AP31" i="1" s="1"/>
  <c r="AO184" i="1"/>
  <c r="AO31" i="1" s="1"/>
  <c r="AN184" i="1"/>
  <c r="AN31" i="1" s="1"/>
  <c r="AM184" i="1"/>
  <c r="AL184" i="1"/>
  <c r="AK184" i="1"/>
  <c r="AJ184" i="1"/>
  <c r="AI184" i="1"/>
  <c r="AI31" i="1" s="1"/>
  <c r="AH184" i="1"/>
  <c r="AH31" i="1" s="1"/>
  <c r="AG184" i="1"/>
  <c r="AG31" i="1" s="1"/>
  <c r="AF184" i="1"/>
  <c r="AF31" i="1" s="1"/>
  <c r="AE184" i="1"/>
  <c r="AD184" i="1"/>
  <c r="B175" i="1"/>
  <c r="BA160" i="1"/>
  <c r="AJ160" i="1"/>
  <c r="I156" i="1"/>
  <c r="AJ171" i="1" s="1"/>
  <c r="B156" i="1"/>
  <c r="H155" i="1"/>
  <c r="B155" i="1" s="1"/>
  <c r="B154" i="1"/>
  <c r="B153" i="1"/>
  <c r="B152" i="1"/>
  <c r="B151" i="1"/>
  <c r="B147" i="1"/>
  <c r="B146" i="1"/>
  <c r="B144" i="1"/>
  <c r="B143" i="1"/>
  <c r="D138" i="1"/>
  <c r="D137" i="1"/>
  <c r="X131" i="1"/>
  <c r="X130" i="1"/>
  <c r="O130" i="1"/>
  <c r="X129" i="1"/>
  <c r="X128" i="1"/>
  <c r="C128" i="1"/>
  <c r="X127" i="1"/>
  <c r="F185" i="1" s="1"/>
  <c r="K127" i="1"/>
  <c r="M127" i="1" s="1"/>
  <c r="P127" i="1" s="1"/>
  <c r="Q127" i="1" s="1"/>
  <c r="E127" i="1"/>
  <c r="D160" i="1" s="1"/>
  <c r="W126" i="1"/>
  <c r="X169" i="1" s="1"/>
  <c r="K126" i="1"/>
  <c r="M126" i="1" s="1"/>
  <c r="E126" i="1"/>
  <c r="W125" i="1"/>
  <c r="BJ168" i="1" s="1"/>
  <c r="N125" i="1"/>
  <c r="L125" i="1"/>
  <c r="K125" i="1"/>
  <c r="M125" i="1" s="1"/>
  <c r="P125" i="1" s="1"/>
  <c r="Q125" i="1" s="1"/>
  <c r="E125" i="1"/>
  <c r="H125" i="1" s="1"/>
  <c r="I125" i="1" s="1"/>
  <c r="W124" i="1"/>
  <c r="V124" i="1"/>
  <c r="D123" i="1" s="1"/>
  <c r="E123" i="1" s="1"/>
  <c r="N124" i="1"/>
  <c r="K166" i="1" s="1"/>
  <c r="L124" i="1"/>
  <c r="K124" i="1"/>
  <c r="M124" i="1" s="1"/>
  <c r="H124" i="1"/>
  <c r="I124" i="1" s="1"/>
  <c r="E124" i="1"/>
  <c r="W123" i="1"/>
  <c r="V123" i="1"/>
  <c r="D122" i="1" s="1"/>
  <c r="L123" i="1"/>
  <c r="F123" i="1"/>
  <c r="B123" i="1"/>
  <c r="B128" i="1" s="1"/>
  <c r="R118" i="1" s="1"/>
  <c r="M122" i="1"/>
  <c r="K122" i="1"/>
  <c r="D109" i="1"/>
  <c r="D110" i="1" s="1"/>
  <c r="D111" i="1" s="1"/>
  <c r="C109" i="1"/>
  <c r="C110" i="1" s="1"/>
  <c r="C111" i="1" s="1"/>
  <c r="C104" i="1"/>
  <c r="C97" i="1"/>
  <c r="D92" i="1" s="1"/>
  <c r="D90" i="1"/>
  <c r="D89" i="1"/>
  <c r="C85" i="1"/>
  <c r="D80" i="1" s="1"/>
  <c r="D78" i="1"/>
  <c r="D77" i="1"/>
  <c r="C73" i="1"/>
  <c r="D68" i="1" s="1"/>
  <c r="D73" i="1" s="1"/>
  <c r="E68" i="1" s="1"/>
  <c r="E73" i="1" s="1"/>
  <c r="F68" i="1" s="1"/>
  <c r="BN72" i="1"/>
  <c r="B72" i="1"/>
  <c r="BN71" i="1"/>
  <c r="B71" i="1"/>
  <c r="BN69" i="1"/>
  <c r="B69" i="1"/>
  <c r="BN59" i="1"/>
  <c r="C58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N43" i="1"/>
  <c r="B43" i="1"/>
  <c r="BN42" i="1"/>
  <c r="B42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BN37" i="1"/>
  <c r="G36" i="1"/>
  <c r="B36" i="1" s="1"/>
  <c r="D13" i="2" s="1"/>
  <c r="BN34" i="1"/>
  <c r="C34" i="1"/>
  <c r="E15" i="2" s="1"/>
  <c r="BN32" i="1"/>
  <c r="B32" i="1"/>
  <c r="BK31" i="1"/>
  <c r="BJ31" i="1"/>
  <c r="BI31" i="1"/>
  <c r="BH31" i="1"/>
  <c r="BC31" i="1"/>
  <c r="BB31" i="1"/>
  <c r="BA31" i="1"/>
  <c r="AZ31" i="1"/>
  <c r="AU31" i="1"/>
  <c r="AT31" i="1"/>
  <c r="AS31" i="1"/>
  <c r="AR31" i="1"/>
  <c r="AM31" i="1"/>
  <c r="AL31" i="1"/>
  <c r="AK31" i="1"/>
  <c r="AJ31" i="1"/>
  <c r="AE31" i="1"/>
  <c r="AD31" i="1"/>
  <c r="BN30" i="1"/>
  <c r="C30" i="1"/>
  <c r="B30" i="1"/>
  <c r="S29" i="1"/>
  <c r="G28" i="1"/>
  <c r="J28" i="1" s="1"/>
  <c r="BK27" i="1"/>
  <c r="BJ27" i="1"/>
  <c r="BH27" i="1"/>
  <c r="BG27" i="1"/>
  <c r="BE27" i="1"/>
  <c r="BD27" i="1"/>
  <c r="BB27" i="1"/>
  <c r="BA27" i="1"/>
  <c r="AY27" i="1"/>
  <c r="AX27" i="1"/>
  <c r="AV27" i="1"/>
  <c r="AU27" i="1"/>
  <c r="AS27" i="1"/>
  <c r="AR27" i="1"/>
  <c r="AP27" i="1"/>
  <c r="AO27" i="1"/>
  <c r="AM27" i="1"/>
  <c r="AL27" i="1"/>
  <c r="AJ27" i="1"/>
  <c r="AI27" i="1"/>
  <c r="AG27" i="1"/>
  <c r="AF27" i="1"/>
  <c r="AD27" i="1"/>
  <c r="AC27" i="1"/>
  <c r="AA27" i="1"/>
  <c r="Z27" i="1"/>
  <c r="X27" i="1"/>
  <c r="W27" i="1"/>
  <c r="U27" i="1"/>
  <c r="T27" i="1"/>
  <c r="R27" i="1"/>
  <c r="Q27" i="1"/>
  <c r="O27" i="1"/>
  <c r="N27" i="1"/>
  <c r="L27" i="1"/>
  <c r="K27" i="1"/>
  <c r="I27" i="1"/>
  <c r="H27" i="1"/>
  <c r="G27" i="1"/>
  <c r="F27" i="1"/>
  <c r="E27" i="1"/>
  <c r="D27" i="1"/>
  <c r="D44" i="1" s="1"/>
  <c r="C27" i="1"/>
  <c r="BN26" i="1"/>
  <c r="B26" i="1"/>
  <c r="D8" i="2" s="1"/>
  <c r="BN25" i="1"/>
  <c r="B25" i="1"/>
  <c r="D7" i="2" s="1"/>
  <c r="B24" i="1"/>
  <c r="B23" i="1"/>
  <c r="C22" i="1"/>
  <c r="E5" i="2" s="1"/>
  <c r="B22" i="1"/>
  <c r="D5" i="2" s="1"/>
  <c r="BN17" i="1"/>
  <c r="C17" i="1"/>
  <c r="B17" i="1"/>
  <c r="BN16" i="1"/>
  <c r="C16" i="1"/>
  <c r="B16" i="1"/>
  <c r="BN15" i="1"/>
  <c r="B15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BN11" i="1"/>
  <c r="C11" i="1"/>
  <c r="B11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D19" i="1" s="1"/>
  <c r="BN9" i="1"/>
  <c r="C9" i="1"/>
  <c r="C24" i="2" s="1"/>
  <c r="D4" i="1"/>
  <c r="D79" i="1" s="1"/>
  <c r="E3" i="1"/>
  <c r="E2" i="1"/>
  <c r="E77" i="1" s="1"/>
  <c r="AF161" i="1" l="1"/>
  <c r="P126" i="1"/>
  <c r="Q126" i="1" s="1"/>
  <c r="AP171" i="1"/>
  <c r="O171" i="1"/>
  <c r="L171" i="1"/>
  <c r="BI160" i="1"/>
  <c r="C193" i="1"/>
  <c r="C14" i="1" s="1"/>
  <c r="C26" i="2" s="1"/>
  <c r="K123" i="1"/>
  <c r="M123" i="1" s="1"/>
  <c r="BK158" i="1" s="1"/>
  <c r="H127" i="1"/>
  <c r="I127" i="1" s="1"/>
  <c r="BJ160" i="1"/>
  <c r="L128" i="1"/>
  <c r="AU160" i="1"/>
  <c r="E160" i="1"/>
  <c r="O168" i="1"/>
  <c r="BK171" i="1"/>
  <c r="F2" i="1"/>
  <c r="G2" i="1" s="1"/>
  <c r="H2" i="1" s="1"/>
  <c r="U171" i="1"/>
  <c r="BN57" i="1"/>
  <c r="M160" i="1"/>
  <c r="Q168" i="1"/>
  <c r="X124" i="1"/>
  <c r="AD160" i="1"/>
  <c r="R169" i="1"/>
  <c r="X126" i="1"/>
  <c r="G188" i="1" s="1"/>
  <c r="C59" i="1"/>
  <c r="B59" i="1" s="1"/>
  <c r="AE160" i="1"/>
  <c r="T169" i="1"/>
  <c r="E6" i="2"/>
  <c r="C34" i="2" s="1"/>
  <c r="E10" i="2"/>
  <c r="C38" i="2" s="1"/>
  <c r="C36" i="2"/>
  <c r="F73" i="1"/>
  <c r="G68" i="1" s="1"/>
  <c r="M28" i="1"/>
  <c r="J27" i="1"/>
  <c r="B39" i="1"/>
  <c r="C8" i="2"/>
  <c r="C13" i="2"/>
  <c r="C25" i="2"/>
  <c r="C57" i="1"/>
  <c r="C19" i="1"/>
  <c r="C46" i="1" s="1"/>
  <c r="D6" i="1" s="1"/>
  <c r="D46" i="1" s="1"/>
  <c r="E6" i="1" s="1"/>
  <c r="E78" i="1"/>
  <c r="E90" i="1"/>
  <c r="E138" i="1"/>
  <c r="E4" i="1"/>
  <c r="B10" i="1"/>
  <c r="C7" i="2"/>
  <c r="D6" i="2"/>
  <c r="E9" i="2"/>
  <c r="C37" i="2" s="1"/>
  <c r="C44" i="1"/>
  <c r="F77" i="1"/>
  <c r="D1" i="1"/>
  <c r="C5" i="2"/>
  <c r="E14" i="2"/>
  <c r="C40" i="2"/>
  <c r="D91" i="1"/>
  <c r="D139" i="1"/>
  <c r="C33" i="2"/>
  <c r="V29" i="1"/>
  <c r="Y29" i="1" s="1"/>
  <c r="AB29" i="1" s="1"/>
  <c r="AE29" i="1" s="1"/>
  <c r="AH29" i="1" s="1"/>
  <c r="AK29" i="1" s="1"/>
  <c r="AN29" i="1" s="1"/>
  <c r="AQ29" i="1" s="1"/>
  <c r="AT29" i="1" s="1"/>
  <c r="AW29" i="1" s="1"/>
  <c r="AZ29" i="1" s="1"/>
  <c r="BC29" i="1" s="1"/>
  <c r="BF29" i="1" s="1"/>
  <c r="BI29" i="1" s="1"/>
  <c r="E137" i="1"/>
  <c r="E89" i="1"/>
  <c r="BN10" i="1"/>
  <c r="BN39" i="1"/>
  <c r="BE167" i="1"/>
  <c r="AW167" i="1"/>
  <c r="AO167" i="1"/>
  <c r="AG167" i="1"/>
  <c r="Y167" i="1"/>
  <c r="Q167" i="1"/>
  <c r="I167" i="1"/>
  <c r="BD167" i="1"/>
  <c r="AV167" i="1"/>
  <c r="AN167" i="1"/>
  <c r="AF167" i="1"/>
  <c r="X167" i="1"/>
  <c r="P167" i="1"/>
  <c r="H167" i="1"/>
  <c r="BK167" i="1"/>
  <c r="BC167" i="1"/>
  <c r="AU167" i="1"/>
  <c r="AM167" i="1"/>
  <c r="AE167" i="1"/>
  <c r="W167" i="1"/>
  <c r="O167" i="1"/>
  <c r="G167" i="1"/>
  <c r="BI167" i="1"/>
  <c r="BA167" i="1"/>
  <c r="AS167" i="1"/>
  <c r="AK167" i="1"/>
  <c r="AC167" i="1"/>
  <c r="U167" i="1"/>
  <c r="M167" i="1"/>
  <c r="E167" i="1"/>
  <c r="BF167" i="1"/>
  <c r="AP167" i="1"/>
  <c r="Z167" i="1"/>
  <c r="J167" i="1"/>
  <c r="BB167" i="1"/>
  <c r="AL167" i="1"/>
  <c r="V167" i="1"/>
  <c r="F167" i="1"/>
  <c r="AZ167" i="1"/>
  <c r="AJ167" i="1"/>
  <c r="T167" i="1"/>
  <c r="D167" i="1"/>
  <c r="AY167" i="1"/>
  <c r="AI167" i="1"/>
  <c r="S167" i="1"/>
  <c r="AQ167" i="1"/>
  <c r="K167" i="1"/>
  <c r="AH167" i="1"/>
  <c r="BJ167" i="1"/>
  <c r="AD167" i="1"/>
  <c r="BH167" i="1"/>
  <c r="AB167" i="1"/>
  <c r="AX167" i="1"/>
  <c r="AT167" i="1"/>
  <c r="AR167" i="1"/>
  <c r="AA167" i="1"/>
  <c r="R167" i="1"/>
  <c r="BG167" i="1"/>
  <c r="N167" i="1"/>
  <c r="L167" i="1"/>
  <c r="H123" i="1"/>
  <c r="I123" i="1" s="1"/>
  <c r="BJ166" i="1"/>
  <c r="BB166" i="1"/>
  <c r="AT166" i="1"/>
  <c r="AL166" i="1"/>
  <c r="AD166" i="1"/>
  <c r="V166" i="1"/>
  <c r="N166" i="1"/>
  <c r="F166" i="1"/>
  <c r="BI166" i="1"/>
  <c r="BA166" i="1"/>
  <c r="AS166" i="1"/>
  <c r="AK166" i="1"/>
  <c r="AC166" i="1"/>
  <c r="U166" i="1"/>
  <c r="M166" i="1"/>
  <c r="E166" i="1"/>
  <c r="BH166" i="1"/>
  <c r="AZ166" i="1"/>
  <c r="AR166" i="1"/>
  <c r="AJ166" i="1"/>
  <c r="AB166" i="1"/>
  <c r="T166" i="1"/>
  <c r="L166" i="1"/>
  <c r="D166" i="1"/>
  <c r="BF166" i="1"/>
  <c r="AX166" i="1"/>
  <c r="AP166" i="1"/>
  <c r="AH166" i="1"/>
  <c r="Z166" i="1"/>
  <c r="R166" i="1"/>
  <c r="J166" i="1"/>
  <c r="BC166" i="1"/>
  <c r="AM166" i="1"/>
  <c r="W166" i="1"/>
  <c r="G166" i="1"/>
  <c r="AY166" i="1"/>
  <c r="AI166" i="1"/>
  <c r="S166" i="1"/>
  <c r="AW166" i="1"/>
  <c r="AG166" i="1"/>
  <c r="Q166" i="1"/>
  <c r="AV166" i="1"/>
  <c r="AF166" i="1"/>
  <c r="P166" i="1"/>
  <c r="AN166" i="1"/>
  <c r="H166" i="1"/>
  <c r="BK166" i="1"/>
  <c r="AE166" i="1"/>
  <c r="BG166" i="1"/>
  <c r="AA166" i="1"/>
  <c r="BE166" i="1"/>
  <c r="Y166" i="1"/>
  <c r="AU166" i="1"/>
  <c r="AQ166" i="1"/>
  <c r="AO166" i="1"/>
  <c r="X166" i="1"/>
  <c r="O166" i="1"/>
  <c r="BD166" i="1"/>
  <c r="P124" i="1"/>
  <c r="Q124" i="1" s="1"/>
  <c r="I166" i="1"/>
  <c r="BC161" i="1"/>
  <c r="B188" i="1"/>
  <c r="D128" i="1"/>
  <c r="E122" i="1"/>
  <c r="BH168" i="1"/>
  <c r="AZ168" i="1"/>
  <c r="AR168" i="1"/>
  <c r="AJ168" i="1"/>
  <c r="AB168" i="1"/>
  <c r="T168" i="1"/>
  <c r="L168" i="1"/>
  <c r="D168" i="1"/>
  <c r="BG168" i="1"/>
  <c r="AY168" i="1"/>
  <c r="AQ168" i="1"/>
  <c r="AI168" i="1"/>
  <c r="AA168" i="1"/>
  <c r="S168" i="1"/>
  <c r="K168" i="1"/>
  <c r="BF168" i="1"/>
  <c r="AX168" i="1"/>
  <c r="AP168" i="1"/>
  <c r="AH168" i="1"/>
  <c r="Z168" i="1"/>
  <c r="R168" i="1"/>
  <c r="J168" i="1"/>
  <c r="BD168" i="1"/>
  <c r="AV168" i="1"/>
  <c r="AN168" i="1"/>
  <c r="AF168" i="1"/>
  <c r="X168" i="1"/>
  <c r="P168" i="1"/>
  <c r="H168" i="1"/>
  <c r="BI168" i="1"/>
  <c r="AS168" i="1"/>
  <c r="AC168" i="1"/>
  <c r="M168" i="1"/>
  <c r="BE168" i="1"/>
  <c r="AO168" i="1"/>
  <c r="Y168" i="1"/>
  <c r="I168" i="1"/>
  <c r="BC168" i="1"/>
  <c r="AM168" i="1"/>
  <c r="W168" i="1"/>
  <c r="G168" i="1"/>
  <c r="BB168" i="1"/>
  <c r="AL168" i="1"/>
  <c r="V168" i="1"/>
  <c r="F168" i="1"/>
  <c r="AT168" i="1"/>
  <c r="N168" i="1"/>
  <c r="AK168" i="1"/>
  <c r="E168" i="1"/>
  <c r="AG168" i="1"/>
  <c r="BK168" i="1"/>
  <c r="AE168" i="1"/>
  <c r="BA168" i="1"/>
  <c r="AW168" i="1"/>
  <c r="X125" i="1"/>
  <c r="F187" i="1" s="1"/>
  <c r="B187" i="1" s="1"/>
  <c r="AU168" i="1"/>
  <c r="AD168" i="1"/>
  <c r="U168" i="1"/>
  <c r="H158" i="1"/>
  <c r="G158" i="1"/>
  <c r="F158" i="1"/>
  <c r="E158" i="1"/>
  <c r="T158" i="1"/>
  <c r="BG158" i="1"/>
  <c r="P122" i="1"/>
  <c r="Q122" i="1" s="1"/>
  <c r="W161" i="1"/>
  <c r="X123" i="1"/>
  <c r="BJ161" i="1"/>
  <c r="BB161" i="1"/>
  <c r="AT161" i="1"/>
  <c r="AL161" i="1"/>
  <c r="AD161" i="1"/>
  <c r="V161" i="1"/>
  <c r="N161" i="1"/>
  <c r="F161" i="1"/>
  <c r="BI161" i="1"/>
  <c r="BA161" i="1"/>
  <c r="AS161" i="1"/>
  <c r="AK161" i="1"/>
  <c r="AC161" i="1"/>
  <c r="U161" i="1"/>
  <c r="M161" i="1"/>
  <c r="E161" i="1"/>
  <c r="BH161" i="1"/>
  <c r="AZ161" i="1"/>
  <c r="AR161" i="1"/>
  <c r="AJ161" i="1"/>
  <c r="AB161" i="1"/>
  <c r="T161" i="1"/>
  <c r="L161" i="1"/>
  <c r="D161" i="1"/>
  <c r="E176" i="1" s="1"/>
  <c r="E174" i="1" s="1"/>
  <c r="BG161" i="1"/>
  <c r="AY161" i="1"/>
  <c r="AQ161" i="1"/>
  <c r="AI161" i="1"/>
  <c r="AA161" i="1"/>
  <c r="S161" i="1"/>
  <c r="K161" i="1"/>
  <c r="BK161" i="1"/>
  <c r="AU161" i="1"/>
  <c r="AE161" i="1"/>
  <c r="O161" i="1"/>
  <c r="BF161" i="1"/>
  <c r="AP161" i="1"/>
  <c r="Z161" i="1"/>
  <c r="J161" i="1"/>
  <c r="BE161" i="1"/>
  <c r="AO161" i="1"/>
  <c r="Y161" i="1"/>
  <c r="I161" i="1"/>
  <c r="BD161" i="1"/>
  <c r="AN161" i="1"/>
  <c r="X161" i="1"/>
  <c r="H161" i="1"/>
  <c r="AX161" i="1"/>
  <c r="R161" i="1"/>
  <c r="AW161" i="1"/>
  <c r="Q161" i="1"/>
  <c r="AV161" i="1"/>
  <c r="P161" i="1"/>
  <c r="AM161" i="1"/>
  <c r="G161" i="1"/>
  <c r="AH161" i="1"/>
  <c r="V132" i="1"/>
  <c r="R119" i="1" s="1"/>
  <c r="AG161" i="1"/>
  <c r="N160" i="1"/>
  <c r="AK160" i="1"/>
  <c r="BK160" i="1"/>
  <c r="BK169" i="1"/>
  <c r="BC169" i="1"/>
  <c r="AU169" i="1"/>
  <c r="AM169" i="1"/>
  <c r="AE169" i="1"/>
  <c r="W169" i="1"/>
  <c r="O169" i="1"/>
  <c r="G169" i="1"/>
  <c r="BJ169" i="1"/>
  <c r="BB169" i="1"/>
  <c r="AT169" i="1"/>
  <c r="AL169" i="1"/>
  <c r="AD169" i="1"/>
  <c r="V169" i="1"/>
  <c r="N169" i="1"/>
  <c r="F169" i="1"/>
  <c r="BI169" i="1"/>
  <c r="BA169" i="1"/>
  <c r="AS169" i="1"/>
  <c r="AK169" i="1"/>
  <c r="AC169" i="1"/>
  <c r="U169" i="1"/>
  <c r="M169" i="1"/>
  <c r="E169" i="1"/>
  <c r="BG169" i="1"/>
  <c r="AY169" i="1"/>
  <c r="AQ169" i="1"/>
  <c r="AI169" i="1"/>
  <c r="AA169" i="1"/>
  <c r="S169" i="1"/>
  <c r="K169" i="1"/>
  <c r="AV169" i="1"/>
  <c r="AF169" i="1"/>
  <c r="P169" i="1"/>
  <c r="BH169" i="1"/>
  <c r="AR169" i="1"/>
  <c r="AB169" i="1"/>
  <c r="L169" i="1"/>
  <c r="BF169" i="1"/>
  <c r="AP169" i="1"/>
  <c r="Z169" i="1"/>
  <c r="J169" i="1"/>
  <c r="BE169" i="1"/>
  <c r="AO169" i="1"/>
  <c r="Y169" i="1"/>
  <c r="I169" i="1"/>
  <c r="AW169" i="1"/>
  <c r="Q169" i="1"/>
  <c r="AN169" i="1"/>
  <c r="H169" i="1"/>
  <c r="AJ169" i="1"/>
  <c r="D169" i="1"/>
  <c r="AH169" i="1"/>
  <c r="B185" i="1"/>
  <c r="O160" i="1"/>
  <c r="AS160" i="1"/>
  <c r="AG169" i="1"/>
  <c r="T160" i="1"/>
  <c r="AT160" i="1"/>
  <c r="AX169" i="1"/>
  <c r="U160" i="1"/>
  <c r="AZ169" i="1"/>
  <c r="BG160" i="1"/>
  <c r="AY160" i="1"/>
  <c r="AQ160" i="1"/>
  <c r="AI160" i="1"/>
  <c r="AA160" i="1"/>
  <c r="S160" i="1"/>
  <c r="K160" i="1"/>
  <c r="BF160" i="1"/>
  <c r="AX160" i="1"/>
  <c r="AP160" i="1"/>
  <c r="AH160" i="1"/>
  <c r="Z160" i="1"/>
  <c r="R160" i="1"/>
  <c r="J160" i="1"/>
  <c r="BE160" i="1"/>
  <c r="AW160" i="1"/>
  <c r="AO160" i="1"/>
  <c r="AG160" i="1"/>
  <c r="Y160" i="1"/>
  <c r="Q160" i="1"/>
  <c r="I160" i="1"/>
  <c r="BD160" i="1"/>
  <c r="AV160" i="1"/>
  <c r="AN160" i="1"/>
  <c r="AF160" i="1"/>
  <c r="X160" i="1"/>
  <c r="P160" i="1"/>
  <c r="H160" i="1"/>
  <c r="BH160" i="1"/>
  <c r="AR160" i="1"/>
  <c r="AB160" i="1"/>
  <c r="L160" i="1"/>
  <c r="BC160" i="1"/>
  <c r="AM160" i="1"/>
  <c r="W160" i="1"/>
  <c r="G160" i="1"/>
  <c r="BB160" i="1"/>
  <c r="AL160" i="1"/>
  <c r="V160" i="1"/>
  <c r="F160" i="1"/>
  <c r="H126" i="1"/>
  <c r="I126" i="1" s="1"/>
  <c r="G189" i="1"/>
  <c r="B189" i="1" s="1"/>
  <c r="N123" i="1"/>
  <c r="AC160" i="1"/>
  <c r="AZ160" i="1"/>
  <c r="BD169" i="1"/>
  <c r="AK171" i="1"/>
  <c r="BE171" i="1"/>
  <c r="AW171" i="1"/>
  <c r="AO171" i="1"/>
  <c r="AG171" i="1"/>
  <c r="Y171" i="1"/>
  <c r="Q171" i="1"/>
  <c r="I171" i="1"/>
  <c r="BD171" i="1"/>
  <c r="AV171" i="1"/>
  <c r="AN171" i="1"/>
  <c r="AF171" i="1"/>
  <c r="X171" i="1"/>
  <c r="P171" i="1"/>
  <c r="H171" i="1"/>
  <c r="BJ171" i="1"/>
  <c r="BB171" i="1"/>
  <c r="AT171" i="1"/>
  <c r="AL171" i="1"/>
  <c r="AD171" i="1"/>
  <c r="V171" i="1"/>
  <c r="N171" i="1"/>
  <c r="F171" i="1"/>
  <c r="BG171" i="1"/>
  <c r="AS171" i="1"/>
  <c r="AH171" i="1"/>
  <c r="T171" i="1"/>
  <c r="G171" i="1"/>
  <c r="BF171" i="1"/>
  <c r="AR171" i="1"/>
  <c r="AE171" i="1"/>
  <c r="S171" i="1"/>
  <c r="E171" i="1"/>
  <c r="BC171" i="1"/>
  <c r="AQ171" i="1"/>
  <c r="AC171" i="1"/>
  <c r="R171" i="1"/>
  <c r="D171" i="1"/>
  <c r="AZ171" i="1"/>
  <c r="AM171" i="1"/>
  <c r="AA171" i="1"/>
  <c r="M171" i="1"/>
  <c r="BH171" i="1"/>
  <c r="AI171" i="1"/>
  <c r="J171" i="1"/>
  <c r="BA171" i="1"/>
  <c r="AB171" i="1"/>
  <c r="AY171" i="1"/>
  <c r="Z171" i="1"/>
  <c r="AX171" i="1"/>
  <c r="W171" i="1"/>
  <c r="AU171" i="1"/>
  <c r="B199" i="1"/>
  <c r="K171" i="1"/>
  <c r="BI171" i="1"/>
  <c r="P123" i="1" l="1"/>
  <c r="Q123" i="1" s="1"/>
  <c r="AA158" i="1"/>
  <c r="AJ158" i="1"/>
  <c r="O158" i="1"/>
  <c r="D176" i="1"/>
  <c r="D174" i="1" s="1"/>
  <c r="U158" i="1"/>
  <c r="X158" i="1"/>
  <c r="M128" i="1"/>
  <c r="O128" i="1" s="1"/>
  <c r="AF158" i="1"/>
  <c r="AP158" i="1"/>
  <c r="B160" i="1"/>
  <c r="BF158" i="1"/>
  <c r="S158" i="1"/>
  <c r="I158" i="1"/>
  <c r="X173" i="1" s="1"/>
  <c r="AK158" i="1"/>
  <c r="AL158" i="1"/>
  <c r="AM158" i="1"/>
  <c r="AN158" i="1"/>
  <c r="G89" i="1"/>
  <c r="AQ158" i="1"/>
  <c r="BA176" i="1"/>
  <c r="BA174" i="1" s="1"/>
  <c r="K158" i="1"/>
  <c r="P158" i="1"/>
  <c r="AZ176" i="1"/>
  <c r="AZ174" i="1" s="1"/>
  <c r="AH158" i="1"/>
  <c r="V158" i="1"/>
  <c r="BH158" i="1"/>
  <c r="AC158" i="1"/>
  <c r="G77" i="1"/>
  <c r="AI158" i="1"/>
  <c r="Y158" i="1"/>
  <c r="AS158" i="1"/>
  <c r="AT158" i="1"/>
  <c r="AU158" i="1"/>
  <c r="AV158" i="1"/>
  <c r="R158" i="1"/>
  <c r="G137" i="1"/>
  <c r="G173" i="1"/>
  <c r="M158" i="1"/>
  <c r="AM173" i="1" s="1"/>
  <c r="F137" i="1"/>
  <c r="AS176" i="1"/>
  <c r="AS174" i="1" s="1"/>
  <c r="AX158" i="1"/>
  <c r="W158" i="1"/>
  <c r="C29" i="2"/>
  <c r="L158" i="1"/>
  <c r="AE158" i="1"/>
  <c r="AH176" i="1"/>
  <c r="AH174" i="1" s="1"/>
  <c r="Z158" i="1"/>
  <c r="J158" i="1"/>
  <c r="AY158" i="1"/>
  <c r="AO158" i="1"/>
  <c r="BA158" i="1"/>
  <c r="BB158" i="1"/>
  <c r="BC158" i="1"/>
  <c r="BD158" i="1"/>
  <c r="N158" i="1"/>
  <c r="AI173" i="1" s="1"/>
  <c r="K128" i="1"/>
  <c r="AZ158" i="1"/>
  <c r="AR158" i="1"/>
  <c r="AB158" i="1"/>
  <c r="AD158" i="1"/>
  <c r="Q158" i="1"/>
  <c r="AW158" i="1"/>
  <c r="AG158" i="1"/>
  <c r="D158" i="1"/>
  <c r="AD173" i="1" s="1"/>
  <c r="BE158" i="1"/>
  <c r="BI158" i="1"/>
  <c r="BJ158" i="1"/>
  <c r="F89" i="1"/>
  <c r="C44" i="2"/>
  <c r="BN29" i="1"/>
  <c r="X176" i="1"/>
  <c r="X174" i="1" s="1"/>
  <c r="BE176" i="1"/>
  <c r="BE174" i="1" s="1"/>
  <c r="B168" i="1"/>
  <c r="B171" i="1"/>
  <c r="Z176" i="1"/>
  <c r="Z174" i="1" s="1"/>
  <c r="BI176" i="1"/>
  <c r="BI174" i="1" s="1"/>
  <c r="BD176" i="1"/>
  <c r="BD174" i="1" s="1"/>
  <c r="AP173" i="1"/>
  <c r="B167" i="1"/>
  <c r="C6" i="2"/>
  <c r="AV176" i="1"/>
  <c r="AV174" i="1" s="1"/>
  <c r="J176" i="1"/>
  <c r="J174" i="1" s="1"/>
  <c r="I176" i="1"/>
  <c r="I174" i="1" s="1"/>
  <c r="AT173" i="1"/>
  <c r="B166" i="1"/>
  <c r="B29" i="1"/>
  <c r="D12" i="2" s="1"/>
  <c r="C12" i="2" s="1"/>
  <c r="K176" i="1"/>
  <c r="K174" i="1" s="1"/>
  <c r="BJ170" i="1"/>
  <c r="BB170" i="1"/>
  <c r="AT170" i="1"/>
  <c r="AL170" i="1"/>
  <c r="AD170" i="1"/>
  <c r="V170" i="1"/>
  <c r="N170" i="1"/>
  <c r="F170" i="1"/>
  <c r="BI170" i="1"/>
  <c r="BA170" i="1"/>
  <c r="AS170" i="1"/>
  <c r="AK170" i="1"/>
  <c r="AC170" i="1"/>
  <c r="U170" i="1"/>
  <c r="M170" i="1"/>
  <c r="E170" i="1"/>
  <c r="BG170" i="1"/>
  <c r="BD170" i="1"/>
  <c r="AR170" i="1"/>
  <c r="AH170" i="1"/>
  <c r="X170" i="1"/>
  <c r="L170" i="1"/>
  <c r="BC170" i="1"/>
  <c r="AQ170" i="1"/>
  <c r="AG170" i="1"/>
  <c r="W170" i="1"/>
  <c r="K170" i="1"/>
  <c r="AZ170" i="1"/>
  <c r="AP170" i="1"/>
  <c r="AF170" i="1"/>
  <c r="T170" i="1"/>
  <c r="J170" i="1"/>
  <c r="BK170" i="1"/>
  <c r="AX170" i="1"/>
  <c r="AN170" i="1"/>
  <c r="AB170" i="1"/>
  <c r="R170" i="1"/>
  <c r="H170" i="1"/>
  <c r="AU170" i="1"/>
  <c r="Y170" i="1"/>
  <c r="AO170" i="1"/>
  <c r="S170" i="1"/>
  <c r="BH170" i="1"/>
  <c r="AM170" i="1"/>
  <c r="Q170" i="1"/>
  <c r="BF170" i="1"/>
  <c r="AJ170" i="1"/>
  <c r="P170" i="1"/>
  <c r="Z170" i="1"/>
  <c r="BE170" i="1"/>
  <c r="O170" i="1"/>
  <c r="AY170" i="1"/>
  <c r="I170" i="1"/>
  <c r="AW170" i="1"/>
  <c r="G170" i="1"/>
  <c r="AV170" i="1"/>
  <c r="AI170" i="1"/>
  <c r="AE170" i="1"/>
  <c r="AA170" i="1"/>
  <c r="D170" i="1"/>
  <c r="AK176" i="1"/>
  <c r="AK174" i="1" s="1"/>
  <c r="BK176" i="1"/>
  <c r="BK174" i="1" s="1"/>
  <c r="AP176" i="1"/>
  <c r="AP174" i="1" s="1"/>
  <c r="Q176" i="1"/>
  <c r="Q174" i="1" s="1"/>
  <c r="AA176" i="1"/>
  <c r="AA174" i="1" s="1"/>
  <c r="AB176" i="1"/>
  <c r="AB174" i="1" s="1"/>
  <c r="Q128" i="1"/>
  <c r="Q129" i="1" s="1"/>
  <c r="H173" i="1"/>
  <c r="BB173" i="1"/>
  <c r="G73" i="1"/>
  <c r="H68" i="1" s="1"/>
  <c r="BI157" i="1"/>
  <c r="BI149" i="1" s="1"/>
  <c r="BA157" i="1"/>
  <c r="BA149" i="1" s="1"/>
  <c r="AS157" i="1"/>
  <c r="AK157" i="1"/>
  <c r="AC157" i="1"/>
  <c r="AC149" i="1" s="1"/>
  <c r="U157" i="1"/>
  <c r="M157" i="1"/>
  <c r="E157" i="1"/>
  <c r="E149" i="1" s="1"/>
  <c r="BH157" i="1"/>
  <c r="BH149" i="1" s="1"/>
  <c r="AZ157" i="1"/>
  <c r="AZ149" i="1" s="1"/>
  <c r="AR157" i="1"/>
  <c r="AR149" i="1" s="1"/>
  <c r="AJ157" i="1"/>
  <c r="AJ149" i="1" s="1"/>
  <c r="AB157" i="1"/>
  <c r="AB149" i="1" s="1"/>
  <c r="T157" i="1"/>
  <c r="T149" i="1" s="1"/>
  <c r="L157" i="1"/>
  <c r="L149" i="1" s="1"/>
  <c r="D157" i="1"/>
  <c r="BG157" i="1"/>
  <c r="BG149" i="1" s="1"/>
  <c r="AY157" i="1"/>
  <c r="AY149" i="1" s="1"/>
  <c r="AQ157" i="1"/>
  <c r="AQ149" i="1" s="1"/>
  <c r="AI157" i="1"/>
  <c r="AA157" i="1"/>
  <c r="AA149" i="1" s="1"/>
  <c r="S157" i="1"/>
  <c r="K157" i="1"/>
  <c r="BF157" i="1"/>
  <c r="BF149" i="1" s="1"/>
  <c r="AX157" i="1"/>
  <c r="AX149" i="1" s="1"/>
  <c r="AP157" i="1"/>
  <c r="AP149" i="1" s="1"/>
  <c r="AH157" i="1"/>
  <c r="AH149" i="1" s="1"/>
  <c r="Z157" i="1"/>
  <c r="R157" i="1"/>
  <c r="R149" i="1" s="1"/>
  <c r="J157" i="1"/>
  <c r="J149" i="1" s="1"/>
  <c r="BB157" i="1"/>
  <c r="BB149" i="1" s="1"/>
  <c r="AL157" i="1"/>
  <c r="V157" i="1"/>
  <c r="V149" i="1" s="1"/>
  <c r="F157" i="1"/>
  <c r="F149" i="1" s="1"/>
  <c r="AW157" i="1"/>
  <c r="AG157" i="1"/>
  <c r="Q157" i="1"/>
  <c r="AV157" i="1"/>
  <c r="AV149" i="1" s="1"/>
  <c r="AF157" i="1"/>
  <c r="AF149" i="1" s="1"/>
  <c r="P157" i="1"/>
  <c r="AT157" i="1"/>
  <c r="AT149" i="1" s="1"/>
  <c r="W157" i="1"/>
  <c r="W149" i="1" s="1"/>
  <c r="AO157" i="1"/>
  <c r="AO149" i="1" s="1"/>
  <c r="O157" i="1"/>
  <c r="O149" i="1" s="1"/>
  <c r="E128" i="1"/>
  <c r="BK157" i="1"/>
  <c r="BK149" i="1" s="1"/>
  <c r="AN157" i="1"/>
  <c r="AN149" i="1" s="1"/>
  <c r="N157" i="1"/>
  <c r="BJ157" i="1"/>
  <c r="BJ149" i="1" s="1"/>
  <c r="AM157" i="1"/>
  <c r="AM149" i="1" s="1"/>
  <c r="I157" i="1"/>
  <c r="BE157" i="1"/>
  <c r="BE149" i="1" s="1"/>
  <c r="AE157" i="1"/>
  <c r="H157" i="1"/>
  <c r="H149" i="1" s="1"/>
  <c r="G157" i="1"/>
  <c r="G149" i="1" s="1"/>
  <c r="BD157" i="1"/>
  <c r="BC157" i="1"/>
  <c r="BC149" i="1" s="1"/>
  <c r="AD157" i="1"/>
  <c r="AD149" i="1" s="1"/>
  <c r="AU157" i="1"/>
  <c r="AU149" i="1" s="1"/>
  <c r="Y157" i="1"/>
  <c r="X157" i="1"/>
  <c r="AL176" i="1"/>
  <c r="AL174" i="1" s="1"/>
  <c r="L176" i="1"/>
  <c r="L174" i="1" s="1"/>
  <c r="B169" i="1"/>
  <c r="AD176" i="1"/>
  <c r="AD174" i="1" s="1"/>
  <c r="S176" i="1"/>
  <c r="S174" i="1" s="1"/>
  <c r="AT176" i="1"/>
  <c r="AT174" i="1" s="1"/>
  <c r="U176" i="1"/>
  <c r="U174" i="1" s="1"/>
  <c r="G176" i="1"/>
  <c r="G174" i="1" s="1"/>
  <c r="BJ176" i="1"/>
  <c r="BJ174" i="1" s="1"/>
  <c r="O176" i="1"/>
  <c r="O174" i="1" s="1"/>
  <c r="BC176" i="1"/>
  <c r="BC174" i="1" s="1"/>
  <c r="Y176" i="1"/>
  <c r="Y174" i="1" s="1"/>
  <c r="D93" i="1" s="1"/>
  <c r="AI176" i="1"/>
  <c r="AI174" i="1" s="1"/>
  <c r="AJ176" i="1"/>
  <c r="AJ174" i="1" s="1"/>
  <c r="E173" i="1"/>
  <c r="H137" i="1"/>
  <c r="H77" i="1"/>
  <c r="H89" i="1"/>
  <c r="I2" i="1"/>
  <c r="E91" i="1"/>
  <c r="E139" i="1"/>
  <c r="E79" i="1"/>
  <c r="E1" i="1"/>
  <c r="F3" i="1"/>
  <c r="AB173" i="1"/>
  <c r="P176" i="1"/>
  <c r="P174" i="1" s="1"/>
  <c r="F122" i="1"/>
  <c r="H122" i="1" s="1"/>
  <c r="I122" i="1" s="1"/>
  <c r="I128" i="1" s="1"/>
  <c r="Q130" i="1" s="1"/>
  <c r="X132" i="1"/>
  <c r="W132" i="1" s="1"/>
  <c r="M27" i="1"/>
  <c r="P28" i="1"/>
  <c r="AX176" i="1"/>
  <c r="AX174" i="1" s="1"/>
  <c r="T176" i="1"/>
  <c r="T174" i="1" s="1"/>
  <c r="AU176" i="1"/>
  <c r="AU174" i="1" s="1"/>
  <c r="AF176" i="1"/>
  <c r="AF174" i="1" s="1"/>
  <c r="N176" i="1"/>
  <c r="N174" i="1" s="1"/>
  <c r="AC176" i="1"/>
  <c r="AC174" i="1" s="1"/>
  <c r="F176" i="1"/>
  <c r="F174" i="1" s="1"/>
  <c r="AG176" i="1"/>
  <c r="AG174" i="1" s="1"/>
  <c r="AQ176" i="1"/>
  <c r="AQ174" i="1" s="1"/>
  <c r="AR176" i="1"/>
  <c r="AR174" i="1" s="1"/>
  <c r="K173" i="1"/>
  <c r="F173" i="1"/>
  <c r="N128" i="1"/>
  <c r="P128" i="1" s="1"/>
  <c r="E18" i="2"/>
  <c r="B57" i="1"/>
  <c r="C61" i="1"/>
  <c r="D56" i="1" s="1"/>
  <c r="W176" i="1"/>
  <c r="W174" i="1" s="1"/>
  <c r="BF176" i="1"/>
  <c r="BF174" i="1" s="1"/>
  <c r="AM176" i="1"/>
  <c r="AM174" i="1" s="1"/>
  <c r="AN176" i="1"/>
  <c r="AN174" i="1" s="1"/>
  <c r="R176" i="1"/>
  <c r="R174" i="1" s="1"/>
  <c r="AO176" i="1"/>
  <c r="AO174" i="1" s="1"/>
  <c r="AY176" i="1"/>
  <c r="AY174" i="1" s="1"/>
  <c r="L173" i="1"/>
  <c r="N173" i="1"/>
  <c r="B161" i="1"/>
  <c r="V176" i="1"/>
  <c r="V174" i="1" s="1"/>
  <c r="H176" i="1"/>
  <c r="H174" i="1" s="1"/>
  <c r="M176" i="1"/>
  <c r="M174" i="1" s="1"/>
  <c r="BB176" i="1"/>
  <c r="BB174" i="1" s="1"/>
  <c r="AE176" i="1"/>
  <c r="AE174" i="1" s="1"/>
  <c r="AW176" i="1"/>
  <c r="AW174" i="1" s="1"/>
  <c r="BG176" i="1"/>
  <c r="BG174" i="1" s="1"/>
  <c r="BH176" i="1"/>
  <c r="BH174" i="1" s="1"/>
  <c r="I173" i="1"/>
  <c r="AK173" i="1"/>
  <c r="D70" i="1"/>
  <c r="AJ173" i="1" l="1"/>
  <c r="AZ173" i="1"/>
  <c r="BJ173" i="1"/>
  <c r="P173" i="1"/>
  <c r="AL149" i="1"/>
  <c r="O173" i="1"/>
  <c r="Q173" i="1"/>
  <c r="M173" i="1"/>
  <c r="AY173" i="1"/>
  <c r="AC173" i="1"/>
  <c r="S149" i="1"/>
  <c r="U149" i="1"/>
  <c r="AH173" i="1"/>
  <c r="L165" i="1"/>
  <c r="L164" i="1" s="1"/>
  <c r="BF173" i="1"/>
  <c r="Y173" i="1"/>
  <c r="AR173" i="1"/>
  <c r="N149" i="1"/>
  <c r="L172" i="1"/>
  <c r="AN173" i="1"/>
  <c r="AV173" i="1"/>
  <c r="K149" i="1"/>
  <c r="M149" i="1"/>
  <c r="AW173" i="1"/>
  <c r="BE173" i="1"/>
  <c r="AF173" i="1"/>
  <c r="W173" i="1"/>
  <c r="AQ173" i="1"/>
  <c r="U173" i="1"/>
  <c r="BA173" i="1"/>
  <c r="BI173" i="1"/>
  <c r="R173" i="1"/>
  <c r="X149" i="1"/>
  <c r="AE149" i="1"/>
  <c r="Q149" i="1"/>
  <c r="BD173" i="1"/>
  <c r="AE173" i="1"/>
  <c r="AU173" i="1"/>
  <c r="BD149" i="1"/>
  <c r="D172" i="1"/>
  <c r="AS173" i="1"/>
  <c r="AG173" i="1"/>
  <c r="AL173" i="1"/>
  <c r="BH173" i="1"/>
  <c r="AO173" i="1"/>
  <c r="AX173" i="1"/>
  <c r="BG173" i="1"/>
  <c r="V173" i="1"/>
  <c r="B158" i="1"/>
  <c r="Z173" i="1"/>
  <c r="S173" i="1"/>
  <c r="Y149" i="1"/>
  <c r="AG149" i="1"/>
  <c r="Z149" i="1"/>
  <c r="AI149" i="1"/>
  <c r="AK149" i="1"/>
  <c r="AA173" i="1"/>
  <c r="P149" i="1"/>
  <c r="T173" i="1"/>
  <c r="I149" i="1"/>
  <c r="AW149" i="1"/>
  <c r="AS149" i="1"/>
  <c r="BC173" i="1"/>
  <c r="BK173" i="1"/>
  <c r="J173" i="1"/>
  <c r="D173" i="1"/>
  <c r="B173" i="1" s="1"/>
  <c r="AD165" i="1"/>
  <c r="H165" i="1"/>
  <c r="H164" i="1" s="1"/>
  <c r="AL165" i="1"/>
  <c r="D60" i="1"/>
  <c r="Q172" i="1"/>
  <c r="Q165" i="1" s="1"/>
  <c r="B176" i="1"/>
  <c r="U172" i="1"/>
  <c r="AI172" i="1"/>
  <c r="AI165" i="1" s="1"/>
  <c r="J172" i="1"/>
  <c r="J165" i="1" s="1"/>
  <c r="J164" i="1" s="1"/>
  <c r="H73" i="1"/>
  <c r="I68" i="1" s="1"/>
  <c r="B170" i="1"/>
  <c r="F90" i="1"/>
  <c r="F138" i="1"/>
  <c r="F78" i="1"/>
  <c r="F4" i="1"/>
  <c r="AE172" i="1"/>
  <c r="E172" i="1"/>
  <c r="E165" i="1" s="1"/>
  <c r="E164" i="1" s="1"/>
  <c r="AT172" i="1"/>
  <c r="AT165" i="1" s="1"/>
  <c r="W172" i="1"/>
  <c r="W165" i="1" s="1"/>
  <c r="AO172" i="1"/>
  <c r="AO165" i="1" s="1"/>
  <c r="AY172" i="1"/>
  <c r="AY165" i="1" s="1"/>
  <c r="AZ172" i="1"/>
  <c r="AZ165" i="1" s="1"/>
  <c r="F128" i="1"/>
  <c r="AU172" i="1"/>
  <c r="AB172" i="1"/>
  <c r="AB165" i="1" s="1"/>
  <c r="X172" i="1"/>
  <c r="X165" i="1" s="1"/>
  <c r="AX172" i="1"/>
  <c r="AX165" i="1" s="1"/>
  <c r="AR172" i="1"/>
  <c r="AR165" i="1" s="1"/>
  <c r="D165" i="1"/>
  <c r="BA172" i="1"/>
  <c r="N172" i="1"/>
  <c r="N165" i="1" s="1"/>
  <c r="P172" i="1"/>
  <c r="P165" i="1" s="1"/>
  <c r="BF172" i="1"/>
  <c r="AK172" i="1"/>
  <c r="AK165" i="1" s="1"/>
  <c r="AW172" i="1"/>
  <c r="BG172" i="1"/>
  <c r="BG165" i="1" s="1"/>
  <c r="BH172" i="1"/>
  <c r="BH165" i="1" s="1"/>
  <c r="I137" i="1"/>
  <c r="I89" i="1"/>
  <c r="I77" i="1"/>
  <c r="J2" i="1"/>
  <c r="Y172" i="1"/>
  <c r="G128" i="1"/>
  <c r="G130" i="1"/>
  <c r="AF172" i="1"/>
  <c r="AF165" i="1" s="1"/>
  <c r="AM172" i="1"/>
  <c r="AM165" i="1" s="1"/>
  <c r="O172" i="1"/>
  <c r="AD172" i="1"/>
  <c r="H172" i="1"/>
  <c r="AV172" i="1"/>
  <c r="AV165" i="1" s="1"/>
  <c r="BE172" i="1"/>
  <c r="BE165" i="1" s="1"/>
  <c r="AS172" i="1"/>
  <c r="AS165" i="1" s="1"/>
  <c r="AA172" i="1"/>
  <c r="AA165" i="1" s="1"/>
  <c r="AG172" i="1"/>
  <c r="AG165" i="1" s="1"/>
  <c r="AN172" i="1"/>
  <c r="AN165" i="1" s="1"/>
  <c r="AP172" i="1"/>
  <c r="AP165" i="1" s="1"/>
  <c r="V172" i="1"/>
  <c r="BJ172" i="1"/>
  <c r="BJ165" i="1" s="1"/>
  <c r="K172" i="1"/>
  <c r="K165" i="1" s="1"/>
  <c r="K164" i="1" s="1"/>
  <c r="G172" i="1"/>
  <c r="G165" i="1" s="1"/>
  <c r="G164" i="1" s="1"/>
  <c r="BI172" i="1"/>
  <c r="BI165" i="1" s="1"/>
  <c r="AJ172" i="1"/>
  <c r="AJ165" i="1" s="1"/>
  <c r="AQ172" i="1"/>
  <c r="AQ165" i="1" s="1"/>
  <c r="S28" i="1"/>
  <c r="P27" i="1"/>
  <c r="D94" i="1"/>
  <c r="D96" i="1" s="1"/>
  <c r="D97" i="1" s="1"/>
  <c r="E92" i="1" s="1"/>
  <c r="E93" i="1"/>
  <c r="E70" i="1"/>
  <c r="E38" i="1" s="1"/>
  <c r="AC172" i="1"/>
  <c r="AC165" i="1" s="1"/>
  <c r="AL172" i="1"/>
  <c r="B157" i="1"/>
  <c r="BK172" i="1"/>
  <c r="BK165" i="1" s="1"/>
  <c r="BD172" i="1"/>
  <c r="BD165" i="1" s="1"/>
  <c r="BB172" i="1"/>
  <c r="BB165" i="1" s="1"/>
  <c r="Z172" i="1"/>
  <c r="Z165" i="1" s="1"/>
  <c r="M172" i="1"/>
  <c r="F172" i="1"/>
  <c r="F165" i="1" s="1"/>
  <c r="F164" i="1" s="1"/>
  <c r="D149" i="1"/>
  <c r="R172" i="1"/>
  <c r="BC172" i="1"/>
  <c r="AH172" i="1"/>
  <c r="AH165" i="1" s="1"/>
  <c r="I172" i="1"/>
  <c r="I165" i="1" s="1"/>
  <c r="I164" i="1" s="1"/>
  <c r="S172" i="1"/>
  <c r="S165" i="1" s="1"/>
  <c r="T172" i="1"/>
  <c r="T165" i="1" s="1"/>
  <c r="B174" i="1"/>
  <c r="BC165" i="1" l="1"/>
  <c r="E81" i="1"/>
  <c r="E12" i="1" s="1"/>
  <c r="Y165" i="1"/>
  <c r="R165" i="1"/>
  <c r="V165" i="1"/>
  <c r="V164" i="1" s="1"/>
  <c r="BF165" i="1"/>
  <c r="BF164" i="1" s="1"/>
  <c r="AW165" i="1"/>
  <c r="AW164" i="1" s="1"/>
  <c r="AU165" i="1"/>
  <c r="AU164" i="1" s="1"/>
  <c r="AE165" i="1"/>
  <c r="D81" i="1"/>
  <c r="O165" i="1"/>
  <c r="U165" i="1"/>
  <c r="M165" i="1"/>
  <c r="M164" i="1" s="1"/>
  <c r="BA165" i="1"/>
  <c r="BA164" i="1" s="1"/>
  <c r="U164" i="1"/>
  <c r="Q164" i="1"/>
  <c r="BC164" i="1"/>
  <c r="AK164" i="1"/>
  <c r="X164" i="1"/>
  <c r="AP164" i="1"/>
  <c r="AE164" i="1"/>
  <c r="AG164" i="1"/>
  <c r="AZ164" i="1"/>
  <c r="AY164" i="1"/>
  <c r="BG164" i="1"/>
  <c r="AH164" i="1"/>
  <c r="AB164" i="1"/>
  <c r="AF164" i="1"/>
  <c r="R164" i="1"/>
  <c r="AL164" i="1"/>
  <c r="T164" i="1"/>
  <c r="E200" i="1"/>
  <c r="AS164" i="1"/>
  <c r="AO164" i="1"/>
  <c r="D61" i="1"/>
  <c r="E56" i="1" s="1"/>
  <c r="AA164" i="1"/>
  <c r="AN164" i="1"/>
  <c r="P164" i="1"/>
  <c r="AI164" i="1"/>
  <c r="AX164" i="1"/>
  <c r="AC164" i="1"/>
  <c r="S164" i="1"/>
  <c r="W164" i="1"/>
  <c r="D82" i="1"/>
  <c r="D85" i="1"/>
  <c r="E80" i="1" s="1"/>
  <c r="BK164" i="1"/>
  <c r="S27" i="1"/>
  <c r="V28" i="1"/>
  <c r="D164" i="1"/>
  <c r="AD164" i="1"/>
  <c r="Z164" i="1"/>
  <c r="AQ164" i="1"/>
  <c r="BJ164" i="1"/>
  <c r="O164" i="1"/>
  <c r="BH164" i="1"/>
  <c r="AT164" i="1"/>
  <c r="I73" i="1"/>
  <c r="J68" i="1" s="1"/>
  <c r="AV164" i="1"/>
  <c r="F139" i="1"/>
  <c r="F79" i="1"/>
  <c r="F91" i="1"/>
  <c r="F1" i="1"/>
  <c r="G3" i="1"/>
  <c r="BI164" i="1"/>
  <c r="BB164" i="1"/>
  <c r="B172" i="1"/>
  <c r="AM164" i="1"/>
  <c r="Y164" i="1"/>
  <c r="J89" i="1"/>
  <c r="J137" i="1"/>
  <c r="J77" i="1"/>
  <c r="K2" i="1"/>
  <c r="N164" i="1"/>
  <c r="E191" i="1"/>
  <c r="F191" i="1" s="1"/>
  <c r="E94" i="1"/>
  <c r="E96" i="1" s="1"/>
  <c r="E41" i="1" s="1"/>
  <c r="AJ164" i="1"/>
  <c r="BD164" i="1"/>
  <c r="B149" i="1"/>
  <c r="D141" i="1" s="1"/>
  <c r="AR164" i="1"/>
  <c r="BE164" i="1"/>
  <c r="H128" i="1"/>
  <c r="H130" i="1" s="1"/>
  <c r="F130" i="1"/>
  <c r="B165" i="1" l="1"/>
  <c r="F184" i="1"/>
  <c r="F31" i="1" s="1"/>
  <c r="G191" i="1"/>
  <c r="G184" i="1" s="1"/>
  <c r="G31" i="1" s="1"/>
  <c r="G90" i="1"/>
  <c r="G138" i="1"/>
  <c r="G78" i="1"/>
  <c r="G4" i="1"/>
  <c r="F93" i="1"/>
  <c r="F70" i="1"/>
  <c r="E58" i="1"/>
  <c r="E60" i="1"/>
  <c r="V181" i="1"/>
  <c r="V13" i="1" s="1"/>
  <c r="E184" i="1"/>
  <c r="F81" i="1"/>
  <c r="T181" i="1"/>
  <c r="T13" i="1" s="1"/>
  <c r="BE181" i="1"/>
  <c r="BE13" i="1" s="1"/>
  <c r="J73" i="1"/>
  <c r="K68" i="1" s="1"/>
  <c r="BK178" i="1"/>
  <c r="BC178" i="1"/>
  <c r="BC181" i="1" s="1"/>
  <c r="BC13" i="1" s="1"/>
  <c r="AU178" i="1"/>
  <c r="AU181" i="1" s="1"/>
  <c r="AU13" i="1" s="1"/>
  <c r="AM178" i="1"/>
  <c r="AE178" i="1"/>
  <c r="AE181" i="1" s="1"/>
  <c r="AE13" i="1" s="1"/>
  <c r="W178" i="1"/>
  <c r="O178" i="1"/>
  <c r="O181" i="1" s="1"/>
  <c r="O13" i="1" s="1"/>
  <c r="G178" i="1"/>
  <c r="G181" i="1" s="1"/>
  <c r="G13" i="1" s="1"/>
  <c r="BJ178" i="1"/>
  <c r="BJ181" i="1" s="1"/>
  <c r="BJ13" i="1" s="1"/>
  <c r="BB178" i="1"/>
  <c r="BB181" i="1" s="1"/>
  <c r="BB13" i="1" s="1"/>
  <c r="AT178" i="1"/>
  <c r="AL178" i="1"/>
  <c r="AL181" i="1" s="1"/>
  <c r="AL13" i="1" s="1"/>
  <c r="AD178" i="1"/>
  <c r="AD181" i="1" s="1"/>
  <c r="AD13" i="1" s="1"/>
  <c r="V178" i="1"/>
  <c r="N178" i="1"/>
  <c r="F178" i="1"/>
  <c r="F181" i="1" s="1"/>
  <c r="F13" i="1" s="1"/>
  <c r="BH178" i="1"/>
  <c r="BH181" i="1" s="1"/>
  <c r="BH13" i="1" s="1"/>
  <c r="AZ178" i="1"/>
  <c r="AZ181" i="1" s="1"/>
  <c r="AZ13" i="1" s="1"/>
  <c r="AR178" i="1"/>
  <c r="AR181" i="1" s="1"/>
  <c r="AR13" i="1" s="1"/>
  <c r="AJ178" i="1"/>
  <c r="AJ181" i="1" s="1"/>
  <c r="AJ13" i="1" s="1"/>
  <c r="AB178" i="1"/>
  <c r="AB181" i="1" s="1"/>
  <c r="AB13" i="1" s="1"/>
  <c r="T178" i="1"/>
  <c r="L178" i="1"/>
  <c r="L181" i="1" s="1"/>
  <c r="L13" i="1" s="1"/>
  <c r="D178" i="1"/>
  <c r="BG178" i="1"/>
  <c r="AY178" i="1"/>
  <c r="AQ178" i="1"/>
  <c r="AI178" i="1"/>
  <c r="AI181" i="1" s="1"/>
  <c r="AI13" i="1" s="1"/>
  <c r="AA178" i="1"/>
  <c r="AA181" i="1" s="1"/>
  <c r="AA13" i="1" s="1"/>
  <c r="S178" i="1"/>
  <c r="S181" i="1" s="1"/>
  <c r="S13" i="1" s="1"/>
  <c r="K178" i="1"/>
  <c r="K181" i="1" s="1"/>
  <c r="K13" i="1" s="1"/>
  <c r="BE178" i="1"/>
  <c r="AO178" i="1"/>
  <c r="AO181" i="1" s="1"/>
  <c r="AO13" i="1" s="1"/>
  <c r="Y178" i="1"/>
  <c r="Y181" i="1" s="1"/>
  <c r="Y13" i="1" s="1"/>
  <c r="I178" i="1"/>
  <c r="I181" i="1" s="1"/>
  <c r="I13" i="1" s="1"/>
  <c r="BD178" i="1"/>
  <c r="BD181" i="1" s="1"/>
  <c r="BD13" i="1" s="1"/>
  <c r="AN178" i="1"/>
  <c r="AN181" i="1" s="1"/>
  <c r="AN13" i="1" s="1"/>
  <c r="X178" i="1"/>
  <c r="H178" i="1"/>
  <c r="H181" i="1" s="1"/>
  <c r="H13" i="1" s="1"/>
  <c r="BA178" i="1"/>
  <c r="BA181" i="1" s="1"/>
  <c r="BA13" i="1" s="1"/>
  <c r="AK178" i="1"/>
  <c r="AK181" i="1" s="1"/>
  <c r="AK13" i="1" s="1"/>
  <c r="U178" i="1"/>
  <c r="U181" i="1" s="1"/>
  <c r="U13" i="1" s="1"/>
  <c r="E178" i="1"/>
  <c r="E181" i="1" s="1"/>
  <c r="E13" i="1" s="1"/>
  <c r="AW178" i="1"/>
  <c r="AW181" i="1" s="1"/>
  <c r="AW13" i="1" s="1"/>
  <c r="AG178" i="1"/>
  <c r="AG181" i="1" s="1"/>
  <c r="AG13" i="1" s="1"/>
  <c r="Q178" i="1"/>
  <c r="Q181" i="1" s="1"/>
  <c r="Q13" i="1" s="1"/>
  <c r="AH178" i="1"/>
  <c r="AH181" i="1" s="1"/>
  <c r="AH13" i="1" s="1"/>
  <c r="AF178" i="1"/>
  <c r="AF181" i="1" s="1"/>
  <c r="AF13" i="1" s="1"/>
  <c r="BI178" i="1"/>
  <c r="AC178" i="1"/>
  <c r="BF178" i="1"/>
  <c r="BF181" i="1" s="1"/>
  <c r="BF13" i="1" s="1"/>
  <c r="Z178" i="1"/>
  <c r="Z181" i="1" s="1"/>
  <c r="Z13" i="1" s="1"/>
  <c r="J178" i="1"/>
  <c r="J181" i="1" s="1"/>
  <c r="J13" i="1" s="1"/>
  <c r="AX178" i="1"/>
  <c r="AV178" i="1"/>
  <c r="AV181" i="1" s="1"/>
  <c r="AV13" i="1" s="1"/>
  <c r="AS178" i="1"/>
  <c r="P178" i="1"/>
  <c r="P181" i="1" s="1"/>
  <c r="P13" i="1" s="1"/>
  <c r="M178" i="1"/>
  <c r="M181" i="1" s="1"/>
  <c r="M13" i="1" s="1"/>
  <c r="AP178" i="1"/>
  <c r="AP181" i="1" s="1"/>
  <c r="AP13" i="1" s="1"/>
  <c r="R178" i="1"/>
  <c r="R181" i="1" s="1"/>
  <c r="R13" i="1" s="1"/>
  <c r="BI141" i="1"/>
  <c r="M141" i="1"/>
  <c r="Y141" i="1"/>
  <c r="U141" i="1"/>
  <c r="T141" i="1"/>
  <c r="J141" i="1"/>
  <c r="E141" i="1"/>
  <c r="W141" i="1"/>
  <c r="BJ141" i="1"/>
  <c r="AH141" i="1"/>
  <c r="BD141" i="1"/>
  <c r="AL141" i="1"/>
  <c r="AJ141" i="1"/>
  <c r="Q141" i="1"/>
  <c r="BK141" i="1"/>
  <c r="AF141" i="1"/>
  <c r="AS141" i="1"/>
  <c r="BE141" i="1"/>
  <c r="AN141" i="1"/>
  <c r="AT141" i="1"/>
  <c r="AX141" i="1"/>
  <c r="N141" i="1"/>
  <c r="P141" i="1"/>
  <c r="O141" i="1"/>
  <c r="L141" i="1"/>
  <c r="AV141" i="1"/>
  <c r="BG141" i="1"/>
  <c r="G141" i="1"/>
  <c r="AW141" i="1"/>
  <c r="S141" i="1"/>
  <c r="AP141" i="1"/>
  <c r="AB141" i="1"/>
  <c r="AR141" i="1"/>
  <c r="AA141" i="1"/>
  <c r="AZ141" i="1"/>
  <c r="F141" i="1"/>
  <c r="AE141" i="1"/>
  <c r="R141" i="1"/>
  <c r="H141" i="1"/>
  <c r="AM141" i="1"/>
  <c r="I141" i="1"/>
  <c r="AY141" i="1"/>
  <c r="AO141" i="1"/>
  <c r="AD141" i="1"/>
  <c r="BB141" i="1"/>
  <c r="AU141" i="1"/>
  <c r="AC141" i="1"/>
  <c r="AK141" i="1"/>
  <c r="AQ141" i="1"/>
  <c r="K141" i="1"/>
  <c r="AI141" i="1"/>
  <c r="Z141" i="1"/>
  <c r="BF141" i="1"/>
  <c r="X141" i="1"/>
  <c r="BH141" i="1"/>
  <c r="V141" i="1"/>
  <c r="AG141" i="1"/>
  <c r="BC141" i="1"/>
  <c r="BA141" i="1"/>
  <c r="D181" i="1"/>
  <c r="B164" i="1"/>
  <c r="W181" i="1"/>
  <c r="W13" i="1" s="1"/>
  <c r="E97" i="1"/>
  <c r="F92" i="1" s="1"/>
  <c r="N181" i="1"/>
  <c r="N13" i="1" s="1"/>
  <c r="AM181" i="1"/>
  <c r="AM13" i="1" s="1"/>
  <c r="AX181" i="1"/>
  <c r="AX13" i="1" s="1"/>
  <c r="E85" i="1"/>
  <c r="F80" i="1" s="1"/>
  <c r="E82" i="1"/>
  <c r="E193" i="1"/>
  <c r="F200" i="1"/>
  <c r="AC181" i="1"/>
  <c r="AC13" i="1" s="1"/>
  <c r="AY181" i="1"/>
  <c r="AY13" i="1" s="1"/>
  <c r="K89" i="1"/>
  <c r="K137" i="1"/>
  <c r="K77" i="1"/>
  <c r="L2" i="1"/>
  <c r="BI181" i="1"/>
  <c r="BI13" i="1" s="1"/>
  <c r="AT181" i="1"/>
  <c r="AT13" i="1" s="1"/>
  <c r="AQ181" i="1"/>
  <c r="AQ13" i="1" s="1"/>
  <c r="Y28" i="1"/>
  <c r="V27" i="1"/>
  <c r="BK181" i="1"/>
  <c r="BK13" i="1" s="1"/>
  <c r="AS181" i="1"/>
  <c r="AS13" i="1" s="1"/>
  <c r="BG181" i="1"/>
  <c r="BG13" i="1" s="1"/>
  <c r="X181" i="1"/>
  <c r="X13" i="1" s="1"/>
  <c r="B141" i="1" l="1"/>
  <c r="F193" i="1"/>
  <c r="F14" i="1" s="1"/>
  <c r="E33" i="1"/>
  <c r="F38" i="1"/>
  <c r="L89" i="1"/>
  <c r="L137" i="1"/>
  <c r="L77" i="1"/>
  <c r="M2" i="1"/>
  <c r="G200" i="1"/>
  <c r="E35" i="1"/>
  <c r="E61" i="1"/>
  <c r="F56" i="1" s="1"/>
  <c r="F94" i="1"/>
  <c r="B178" i="1"/>
  <c r="F85" i="1"/>
  <c r="G80" i="1" s="1"/>
  <c r="F82" i="1"/>
  <c r="H200" i="1"/>
  <c r="H193" i="1" s="1"/>
  <c r="H14" i="1" s="1"/>
  <c r="F12" i="1"/>
  <c r="BN13" i="1"/>
  <c r="B181" i="1"/>
  <c r="G139" i="1"/>
  <c r="G79" i="1"/>
  <c r="G1" i="1"/>
  <c r="G91" i="1"/>
  <c r="H3" i="1"/>
  <c r="B13" i="1"/>
  <c r="E14" i="1"/>
  <c r="E19" i="1" s="1"/>
  <c r="E31" i="1"/>
  <c r="AB28" i="1"/>
  <c r="Y27" i="1"/>
  <c r="K73" i="1"/>
  <c r="L68" i="1" s="1"/>
  <c r="H191" i="1"/>
  <c r="F96" i="1" l="1"/>
  <c r="H184" i="1"/>
  <c r="G193" i="1"/>
  <c r="AB27" i="1"/>
  <c r="AE28" i="1"/>
  <c r="I191" i="1"/>
  <c r="H90" i="1"/>
  <c r="H138" i="1"/>
  <c r="H78" i="1"/>
  <c r="H4" i="1"/>
  <c r="I200" i="1"/>
  <c r="J200" i="1" s="1"/>
  <c r="L73" i="1"/>
  <c r="M68" i="1" s="1"/>
  <c r="G93" i="1"/>
  <c r="G70" i="1"/>
  <c r="G81" i="1"/>
  <c r="G85" i="1" s="1"/>
  <c r="H80" i="1" s="1"/>
  <c r="F58" i="1"/>
  <c r="F60" i="1"/>
  <c r="F19" i="1"/>
  <c r="M137" i="1"/>
  <c r="M89" i="1"/>
  <c r="M77" i="1"/>
  <c r="N2" i="1"/>
  <c r="G82" i="1" l="1"/>
  <c r="J193" i="1"/>
  <c r="J14" i="1" s="1"/>
  <c r="K200" i="1"/>
  <c r="K193" i="1" s="1"/>
  <c r="K14" i="1" s="1"/>
  <c r="M73" i="1"/>
  <c r="N68" i="1" s="1"/>
  <c r="F33" i="1"/>
  <c r="F41" i="1"/>
  <c r="F97" i="1"/>
  <c r="G92" i="1" s="1"/>
  <c r="N137" i="1"/>
  <c r="N89" i="1"/>
  <c r="N77" i="1"/>
  <c r="O2" i="1"/>
  <c r="H139" i="1"/>
  <c r="H79" i="1"/>
  <c r="H91" i="1"/>
  <c r="H1" i="1"/>
  <c r="I3" i="1"/>
  <c r="F35" i="1"/>
  <c r="H31" i="1"/>
  <c r="F61" i="1"/>
  <c r="G56" i="1" s="1"/>
  <c r="G12" i="1"/>
  <c r="G38" i="1"/>
  <c r="I193" i="1"/>
  <c r="I14" i="1" s="1"/>
  <c r="AE27" i="1"/>
  <c r="AH28" i="1"/>
  <c r="I184" i="1"/>
  <c r="I31" i="1" s="1"/>
  <c r="J191" i="1"/>
  <c r="G14" i="1"/>
  <c r="L200" i="1" l="1"/>
  <c r="L193" i="1" s="1"/>
  <c r="L14" i="1" s="1"/>
  <c r="M200" i="1"/>
  <c r="M193" i="1" s="1"/>
  <c r="M14" i="1" s="1"/>
  <c r="H81" i="1"/>
  <c r="N200" i="1"/>
  <c r="N193" i="1" s="1"/>
  <c r="N14" i="1" s="1"/>
  <c r="K191" i="1"/>
  <c r="O137" i="1"/>
  <c r="O89" i="1"/>
  <c r="P2" i="1"/>
  <c r="O77" i="1"/>
  <c r="H93" i="1"/>
  <c r="H70" i="1"/>
  <c r="H38" i="1" s="1"/>
  <c r="AK28" i="1"/>
  <c r="AH27" i="1"/>
  <c r="G94" i="1"/>
  <c r="G58" i="1"/>
  <c r="G60" i="1"/>
  <c r="G19" i="1"/>
  <c r="J184" i="1"/>
  <c r="J31" i="1" s="1"/>
  <c r="I138" i="1"/>
  <c r="I90" i="1"/>
  <c r="I78" i="1"/>
  <c r="I4" i="1"/>
  <c r="N73" i="1"/>
  <c r="O68" i="1" s="1"/>
  <c r="L191" i="1" l="1"/>
  <c r="L184" i="1" s="1"/>
  <c r="L31" i="1" s="1"/>
  <c r="O200" i="1"/>
  <c r="O193" i="1" s="1"/>
  <c r="O14" i="1" s="1"/>
  <c r="G35" i="1"/>
  <c r="G61" i="1"/>
  <c r="H56" i="1" s="1"/>
  <c r="G33" i="1"/>
  <c r="P200" i="1"/>
  <c r="K184" i="1"/>
  <c r="K31" i="1" s="1"/>
  <c r="H12" i="1"/>
  <c r="H82" i="1"/>
  <c r="H85" i="1"/>
  <c r="I80" i="1" s="1"/>
  <c r="I139" i="1"/>
  <c r="I79" i="1"/>
  <c r="J3" i="1"/>
  <c r="I91" i="1"/>
  <c r="I1" i="1"/>
  <c r="G96" i="1"/>
  <c r="P137" i="1"/>
  <c r="P89" i="1"/>
  <c r="P77" i="1"/>
  <c r="Q2" i="1"/>
  <c r="AN28" i="1"/>
  <c r="AK27" i="1"/>
  <c r="O73" i="1"/>
  <c r="P68" i="1" s="1"/>
  <c r="M191" i="1" l="1"/>
  <c r="M184" i="1" s="1"/>
  <c r="M31" i="1" s="1"/>
  <c r="AQ28" i="1"/>
  <c r="AN27" i="1"/>
  <c r="H58" i="1"/>
  <c r="H60" i="1"/>
  <c r="H35" i="1" s="1"/>
  <c r="J138" i="1"/>
  <c r="J78" i="1"/>
  <c r="J90" i="1"/>
  <c r="J4" i="1"/>
  <c r="I81" i="1"/>
  <c r="I82" i="1" s="1"/>
  <c r="P73" i="1"/>
  <c r="Q68" i="1" s="1"/>
  <c r="G41" i="1"/>
  <c r="G97" i="1"/>
  <c r="H92" i="1" s="1"/>
  <c r="I93" i="1"/>
  <c r="I70" i="1"/>
  <c r="I38" i="1" s="1"/>
  <c r="Q137" i="1"/>
  <c r="R2" i="1"/>
  <c r="Q89" i="1"/>
  <c r="Q77" i="1"/>
  <c r="P193" i="1"/>
  <c r="Q200" i="1"/>
  <c r="H19" i="1"/>
  <c r="N191" i="1" l="1"/>
  <c r="I85" i="1"/>
  <c r="J80" i="1" s="1"/>
  <c r="H94" i="1"/>
  <c r="H96" i="1" s="1"/>
  <c r="H41" i="1" s="1"/>
  <c r="AQ27" i="1"/>
  <c r="AT28" i="1"/>
  <c r="Q73" i="1"/>
  <c r="R68" i="1" s="1"/>
  <c r="P14" i="1"/>
  <c r="R89" i="1"/>
  <c r="R137" i="1"/>
  <c r="R77" i="1"/>
  <c r="S2" i="1"/>
  <c r="I12" i="1"/>
  <c r="Q193" i="1"/>
  <c r="Q14" i="1" s="1"/>
  <c r="R200" i="1"/>
  <c r="H33" i="1"/>
  <c r="J91" i="1"/>
  <c r="J139" i="1"/>
  <c r="J79" i="1"/>
  <c r="K3" i="1"/>
  <c r="J1" i="1"/>
  <c r="H61" i="1"/>
  <c r="I56" i="1" s="1"/>
  <c r="O191" i="1" l="1"/>
  <c r="N184" i="1"/>
  <c r="N31" i="1" s="1"/>
  <c r="P191" i="1"/>
  <c r="P184" i="1" s="1"/>
  <c r="P31" i="1" s="1"/>
  <c r="J81" i="1"/>
  <c r="J93" i="1"/>
  <c r="J70" i="1"/>
  <c r="J38" i="1" s="1"/>
  <c r="AT27" i="1"/>
  <c r="AW28" i="1"/>
  <c r="S89" i="1"/>
  <c r="S137" i="1"/>
  <c r="S77" i="1"/>
  <c r="T2" i="1"/>
  <c r="I19" i="1"/>
  <c r="R73" i="1"/>
  <c r="S68" i="1" s="1"/>
  <c r="I58" i="1"/>
  <c r="I60" i="1"/>
  <c r="I35" i="1" s="1"/>
  <c r="H97" i="1"/>
  <c r="I92" i="1" s="1"/>
  <c r="K138" i="1"/>
  <c r="K78" i="1"/>
  <c r="K90" i="1"/>
  <c r="K4" i="1"/>
  <c r="R193" i="1"/>
  <c r="R14" i="1" s="1"/>
  <c r="S200" i="1"/>
  <c r="O184" i="1" l="1"/>
  <c r="O31" i="1" s="1"/>
  <c r="Q191" i="1"/>
  <c r="Q184" i="1" s="1"/>
  <c r="Q31" i="1" s="1"/>
  <c r="S193" i="1"/>
  <c r="S14" i="1" s="1"/>
  <c r="T200" i="1"/>
  <c r="I61" i="1"/>
  <c r="J56" i="1" s="1"/>
  <c r="I94" i="1"/>
  <c r="I96" i="1" s="1"/>
  <c r="I41" i="1" s="1"/>
  <c r="K91" i="1"/>
  <c r="K139" i="1"/>
  <c r="K79" i="1"/>
  <c r="K1" i="1"/>
  <c r="L3" i="1"/>
  <c r="S73" i="1"/>
  <c r="T68" i="1" s="1"/>
  <c r="T89" i="1"/>
  <c r="T137" i="1"/>
  <c r="T77" i="1"/>
  <c r="U2" i="1"/>
  <c r="AZ28" i="1"/>
  <c r="AW27" i="1"/>
  <c r="I33" i="1"/>
  <c r="J12" i="1"/>
  <c r="J19" i="1" s="1"/>
  <c r="J82" i="1"/>
  <c r="J85" i="1"/>
  <c r="K80" i="1" s="1"/>
  <c r="R191" i="1" l="1"/>
  <c r="U137" i="1"/>
  <c r="U89" i="1"/>
  <c r="U77" i="1"/>
  <c r="V2" i="1"/>
  <c r="L138" i="1"/>
  <c r="L78" i="1"/>
  <c r="L90" i="1"/>
  <c r="L4" i="1"/>
  <c r="I97" i="1"/>
  <c r="J92" i="1" s="1"/>
  <c r="J58" i="1"/>
  <c r="J33" i="1" s="1"/>
  <c r="J60" i="1"/>
  <c r="J35" i="1" s="1"/>
  <c r="K81" i="1"/>
  <c r="T193" i="1"/>
  <c r="T14" i="1" s="1"/>
  <c r="U200" i="1"/>
  <c r="AZ27" i="1"/>
  <c r="BC28" i="1"/>
  <c r="T73" i="1"/>
  <c r="U68" i="1" s="1"/>
  <c r="K93" i="1"/>
  <c r="K70" i="1"/>
  <c r="K38" i="1" s="1"/>
  <c r="R184" i="1" l="1"/>
  <c r="R31" i="1" s="1"/>
  <c r="S191" i="1"/>
  <c r="U193" i="1"/>
  <c r="U14" i="1" s="1"/>
  <c r="V200" i="1"/>
  <c r="K12" i="1"/>
  <c r="K19" i="1" s="1"/>
  <c r="L91" i="1"/>
  <c r="L139" i="1"/>
  <c r="L79" i="1"/>
  <c r="L1" i="1"/>
  <c r="M3" i="1"/>
  <c r="K82" i="1"/>
  <c r="U73" i="1"/>
  <c r="V68" i="1" s="1"/>
  <c r="K85" i="1"/>
  <c r="L80" i="1" s="1"/>
  <c r="J94" i="1"/>
  <c r="J96" i="1" s="1"/>
  <c r="J41" i="1" s="1"/>
  <c r="BC27" i="1"/>
  <c r="BF28" i="1"/>
  <c r="J61" i="1"/>
  <c r="K56" i="1" s="1"/>
  <c r="V137" i="1"/>
  <c r="V77" i="1"/>
  <c r="V89" i="1"/>
  <c r="W2" i="1"/>
  <c r="S184" i="1" l="1"/>
  <c r="S31" i="1" s="1"/>
  <c r="T191" i="1"/>
  <c r="L81" i="1"/>
  <c r="J97" i="1"/>
  <c r="K92" i="1" s="1"/>
  <c r="L85" i="1"/>
  <c r="M80" i="1" s="1"/>
  <c r="L82" i="1"/>
  <c r="L93" i="1"/>
  <c r="L70" i="1"/>
  <c r="L38" i="1" s="1"/>
  <c r="M138" i="1"/>
  <c r="M78" i="1"/>
  <c r="M90" i="1"/>
  <c r="M4" i="1"/>
  <c r="V73" i="1"/>
  <c r="W68" i="1" s="1"/>
  <c r="W137" i="1"/>
  <c r="W77" i="1"/>
  <c r="X2" i="1"/>
  <c r="W89" i="1"/>
  <c r="BI28" i="1"/>
  <c r="BF27" i="1"/>
  <c r="V193" i="1"/>
  <c r="V14" i="1" s="1"/>
  <c r="W200" i="1"/>
  <c r="K58" i="1"/>
  <c r="K33" i="1" s="1"/>
  <c r="K60" i="1"/>
  <c r="K35" i="1" s="1"/>
  <c r="T184" i="1" l="1"/>
  <c r="T31" i="1" s="1"/>
  <c r="U191" i="1"/>
  <c r="L12" i="1"/>
  <c r="L19" i="1" s="1"/>
  <c r="M139" i="1"/>
  <c r="M91" i="1"/>
  <c r="M79" i="1"/>
  <c r="M1" i="1"/>
  <c r="N3" i="1"/>
  <c r="K61" i="1"/>
  <c r="L56" i="1" s="1"/>
  <c r="BI27" i="1"/>
  <c r="B28" i="1"/>
  <c r="D11" i="2" s="1"/>
  <c r="BN28" i="1"/>
  <c r="K94" i="1"/>
  <c r="K96" i="1" s="1"/>
  <c r="K41" i="1" s="1"/>
  <c r="X137" i="1"/>
  <c r="X77" i="1"/>
  <c r="X89" i="1"/>
  <c r="Y2" i="1"/>
  <c r="W73" i="1"/>
  <c r="X68" i="1" s="1"/>
  <c r="W193" i="1"/>
  <c r="W14" i="1" s="1"/>
  <c r="X200" i="1"/>
  <c r="U184" i="1" l="1"/>
  <c r="U31" i="1" s="1"/>
  <c r="V191" i="1"/>
  <c r="L58" i="1"/>
  <c r="L33" i="1" s="1"/>
  <c r="L60" i="1"/>
  <c r="L35" i="1" s="1"/>
  <c r="Y137" i="1"/>
  <c r="Y89" i="1"/>
  <c r="Y77" i="1"/>
  <c r="Z2" i="1"/>
  <c r="K97" i="1"/>
  <c r="L92" i="1" s="1"/>
  <c r="N90" i="1"/>
  <c r="N138" i="1"/>
  <c r="N4" i="1"/>
  <c r="N78" i="1"/>
  <c r="X73" i="1"/>
  <c r="Y68" i="1" s="1"/>
  <c r="M81" i="1"/>
  <c r="X193" i="1"/>
  <c r="X14" i="1" s="1"/>
  <c r="Y200" i="1"/>
  <c r="D10" i="2"/>
  <c r="C11" i="2"/>
  <c r="M93" i="1"/>
  <c r="M70" i="1"/>
  <c r="M38" i="1" s="1"/>
  <c r="B27" i="1"/>
  <c r="BN27" i="1"/>
  <c r="V184" i="1" l="1"/>
  <c r="V31" i="1" s="1"/>
  <c r="W191" i="1"/>
  <c r="Z89" i="1"/>
  <c r="Z137" i="1"/>
  <c r="AA2" i="1"/>
  <c r="Z77" i="1"/>
  <c r="Y73" i="1"/>
  <c r="Z68" i="1" s="1"/>
  <c r="Y193" i="1"/>
  <c r="Y14" i="1" s="1"/>
  <c r="Z200" i="1"/>
  <c r="L94" i="1"/>
  <c r="L96" i="1" s="1"/>
  <c r="L41" i="1" s="1"/>
  <c r="N139" i="1"/>
  <c r="N91" i="1"/>
  <c r="N79" i="1"/>
  <c r="N1" i="1"/>
  <c r="O3" i="1"/>
  <c r="C10" i="2"/>
  <c r="L61" i="1"/>
  <c r="M56" i="1" s="1"/>
  <c r="M12" i="1"/>
  <c r="M19" i="1" s="1"/>
  <c r="M82" i="1"/>
  <c r="W184" i="1" l="1"/>
  <c r="W31" i="1" s="1"/>
  <c r="X191" i="1"/>
  <c r="N93" i="1"/>
  <c r="N70" i="1"/>
  <c r="N38" i="1" s="1"/>
  <c r="M58" i="1"/>
  <c r="M33" i="1" s="1"/>
  <c r="M60" i="1"/>
  <c r="M35" i="1" s="1"/>
  <c r="Z73" i="1"/>
  <c r="AA68" i="1" s="1"/>
  <c r="Z193" i="1"/>
  <c r="Z14" i="1" s="1"/>
  <c r="AA200" i="1"/>
  <c r="M84" i="1"/>
  <c r="AA89" i="1"/>
  <c r="AA137" i="1"/>
  <c r="AB2" i="1"/>
  <c r="AA77" i="1"/>
  <c r="N81" i="1"/>
  <c r="L97" i="1"/>
  <c r="M92" i="1" s="1"/>
  <c r="O90" i="1"/>
  <c r="O138" i="1"/>
  <c r="O78" i="1"/>
  <c r="O4" i="1"/>
  <c r="X184" i="1" l="1"/>
  <c r="X31" i="1" s="1"/>
  <c r="Y191" i="1"/>
  <c r="N12" i="1"/>
  <c r="N19" i="1" s="1"/>
  <c r="M61" i="1"/>
  <c r="N56" i="1" s="1"/>
  <c r="O139" i="1"/>
  <c r="O91" i="1"/>
  <c r="O79" i="1"/>
  <c r="O1" i="1"/>
  <c r="P3" i="1"/>
  <c r="M94" i="1"/>
  <c r="M96" i="1" s="1"/>
  <c r="M97" i="1" s="1"/>
  <c r="N92" i="1" s="1"/>
  <c r="M85" i="1"/>
  <c r="N80" i="1" s="1"/>
  <c r="AB89" i="1"/>
  <c r="AB137" i="1"/>
  <c r="AC2" i="1"/>
  <c r="AB77" i="1"/>
  <c r="AA193" i="1"/>
  <c r="AA14" i="1" s="1"/>
  <c r="AB200" i="1"/>
  <c r="AA73" i="1"/>
  <c r="AB68" i="1" s="1"/>
  <c r="Y184" i="1" l="1"/>
  <c r="Y31" i="1" s="1"/>
  <c r="Z191" i="1"/>
  <c r="N94" i="1"/>
  <c r="N96" i="1" s="1"/>
  <c r="N97" i="1" s="1"/>
  <c r="O92" i="1" s="1"/>
  <c r="N82" i="1"/>
  <c r="O81" i="1"/>
  <c r="AB73" i="1"/>
  <c r="AC68" i="1" s="1"/>
  <c r="M41" i="1"/>
  <c r="O93" i="1"/>
  <c r="O70" i="1"/>
  <c r="O38" i="1" s="1"/>
  <c r="AB193" i="1"/>
  <c r="AB14" i="1" s="1"/>
  <c r="AC200" i="1"/>
  <c r="AC137" i="1"/>
  <c r="AC89" i="1"/>
  <c r="AC77" i="1"/>
  <c r="AD2" i="1"/>
  <c r="P90" i="1"/>
  <c r="P138" i="1"/>
  <c r="P78" i="1"/>
  <c r="P4" i="1"/>
  <c r="N58" i="1"/>
  <c r="N33" i="1" s="1"/>
  <c r="N60" i="1"/>
  <c r="N35" i="1" s="1"/>
  <c r="Z184" i="1" l="1"/>
  <c r="Z31" i="1" s="1"/>
  <c r="AA191" i="1"/>
  <c r="O12" i="1"/>
  <c r="O19" i="1" s="1"/>
  <c r="O94" i="1"/>
  <c r="O96" i="1" s="1"/>
  <c r="O97" i="1" s="1"/>
  <c r="P92" i="1" s="1"/>
  <c r="AC73" i="1"/>
  <c r="AD68" i="1" s="1"/>
  <c r="AC193" i="1"/>
  <c r="B200" i="1"/>
  <c r="AD137" i="1"/>
  <c r="AD89" i="1"/>
  <c r="AD77" i="1"/>
  <c r="AE2" i="1"/>
  <c r="N84" i="1"/>
  <c r="N61" i="1"/>
  <c r="O56" i="1" s="1"/>
  <c r="P139" i="1"/>
  <c r="P91" i="1"/>
  <c r="P79" i="1"/>
  <c r="P1" i="1"/>
  <c r="Q3" i="1"/>
  <c r="AB191" i="1" l="1"/>
  <c r="AA184" i="1"/>
  <c r="AA31" i="1" s="1"/>
  <c r="Q138" i="1"/>
  <c r="Q90" i="1"/>
  <c r="Q78" i="1"/>
  <c r="Q4" i="1"/>
  <c r="P81" i="1"/>
  <c r="AD73" i="1"/>
  <c r="AE68" i="1" s="1"/>
  <c r="O58" i="1"/>
  <c r="O33" i="1" s="1"/>
  <c r="O60" i="1"/>
  <c r="O35" i="1" s="1"/>
  <c r="AC14" i="1"/>
  <c r="B193" i="1"/>
  <c r="P93" i="1"/>
  <c r="P70" i="1"/>
  <c r="AE137" i="1"/>
  <c r="AE77" i="1"/>
  <c r="AE89" i="1"/>
  <c r="AF2" i="1"/>
  <c r="N41" i="1"/>
  <c r="N85" i="1"/>
  <c r="O80" i="1" s="1"/>
  <c r="AB184" i="1" l="1"/>
  <c r="AB31" i="1" s="1"/>
  <c r="AC191" i="1"/>
  <c r="O61" i="1"/>
  <c r="P56" i="1" s="1"/>
  <c r="P58" i="1" s="1"/>
  <c r="Q139" i="1"/>
  <c r="Q91" i="1"/>
  <c r="Q79" i="1"/>
  <c r="R3" i="1"/>
  <c r="Q1" i="1"/>
  <c r="P12" i="1"/>
  <c r="O82" i="1"/>
  <c r="P38" i="1"/>
  <c r="AF137" i="1"/>
  <c r="AF77" i="1"/>
  <c r="AF89" i="1"/>
  <c r="AG2" i="1"/>
  <c r="AE73" i="1"/>
  <c r="AF68" i="1" s="1"/>
  <c r="B14" i="1"/>
  <c r="BN14" i="1"/>
  <c r="P60" i="1"/>
  <c r="P94" i="1"/>
  <c r="AC184" i="1" l="1"/>
  <c r="B191" i="1"/>
  <c r="Q81" i="1"/>
  <c r="P96" i="1"/>
  <c r="O84" i="1"/>
  <c r="Q93" i="1"/>
  <c r="Q70" i="1"/>
  <c r="AF73" i="1"/>
  <c r="AG68" i="1" s="1"/>
  <c r="P35" i="1"/>
  <c r="AG137" i="1"/>
  <c r="AG89" i="1"/>
  <c r="AG77" i="1"/>
  <c r="AH2" i="1"/>
  <c r="P33" i="1"/>
  <c r="R138" i="1"/>
  <c r="R90" i="1"/>
  <c r="R78" i="1"/>
  <c r="R4" i="1"/>
  <c r="P19" i="1"/>
  <c r="P61" i="1"/>
  <c r="Q56" i="1" s="1"/>
  <c r="Q60" i="1" s="1"/>
  <c r="B184" i="1" l="1"/>
  <c r="AC31" i="1"/>
  <c r="Q35" i="1"/>
  <c r="AH89" i="1"/>
  <c r="AH137" i="1"/>
  <c r="AH77" i="1"/>
  <c r="AI2" i="1"/>
  <c r="P97" i="1"/>
  <c r="Q92" i="1" s="1"/>
  <c r="AG73" i="1"/>
  <c r="AH68" i="1" s="1"/>
  <c r="O41" i="1"/>
  <c r="O85" i="1"/>
  <c r="P80" i="1" s="1"/>
  <c r="Q38" i="1"/>
  <c r="Q12" i="1"/>
  <c r="Q61" i="1"/>
  <c r="R56" i="1" s="1"/>
  <c r="Q58" i="1"/>
  <c r="R91" i="1"/>
  <c r="R139" i="1"/>
  <c r="R79" i="1"/>
  <c r="R1" i="1"/>
  <c r="S3" i="1"/>
  <c r="B31" i="1" l="1"/>
  <c r="D9" i="2" s="1"/>
  <c r="C9" i="2" s="1"/>
  <c r="BN31" i="1"/>
  <c r="AH73" i="1"/>
  <c r="AI68" i="1" s="1"/>
  <c r="AI89" i="1"/>
  <c r="AI137" i="1"/>
  <c r="AI77" i="1"/>
  <c r="AJ2" i="1"/>
  <c r="Q19" i="1"/>
  <c r="Q94" i="1"/>
  <c r="Q33" i="1"/>
  <c r="R58" i="1"/>
  <c r="R33" i="1" s="1"/>
  <c r="P82" i="1"/>
  <c r="R93" i="1"/>
  <c r="R70" i="1"/>
  <c r="S138" i="1"/>
  <c r="S90" i="1"/>
  <c r="S78" i="1"/>
  <c r="S4" i="1"/>
  <c r="R81" i="1"/>
  <c r="R60" i="1"/>
  <c r="R61" i="1" s="1"/>
  <c r="S56" i="1" s="1"/>
  <c r="S91" i="1" l="1"/>
  <c r="S139" i="1"/>
  <c r="S79" i="1"/>
  <c r="S1" i="1"/>
  <c r="T3" i="1"/>
  <c r="R38" i="1"/>
  <c r="AJ89" i="1"/>
  <c r="AJ137" i="1"/>
  <c r="AK2" i="1"/>
  <c r="AJ77" i="1"/>
  <c r="R35" i="1"/>
  <c r="Q96" i="1"/>
  <c r="AI73" i="1"/>
  <c r="AJ68" i="1" s="1"/>
  <c r="S58" i="1"/>
  <c r="S33" i="1" s="1"/>
  <c r="R12" i="1"/>
  <c r="P84" i="1"/>
  <c r="AK137" i="1" l="1"/>
  <c r="AK89" i="1"/>
  <c r="AK77" i="1"/>
  <c r="AL2" i="1"/>
  <c r="T138" i="1"/>
  <c r="T90" i="1"/>
  <c r="T78" i="1"/>
  <c r="T4" i="1"/>
  <c r="P41" i="1"/>
  <c r="P85" i="1"/>
  <c r="Q80" i="1" s="1"/>
  <c r="AJ73" i="1"/>
  <c r="AK68" i="1" s="1"/>
  <c r="S81" i="1"/>
  <c r="S60" i="1"/>
  <c r="R19" i="1"/>
  <c r="Q97" i="1"/>
  <c r="R92" i="1" s="1"/>
  <c r="S93" i="1"/>
  <c r="S70" i="1"/>
  <c r="AL137" i="1" l="1"/>
  <c r="AL89" i="1"/>
  <c r="AL77" i="1"/>
  <c r="AM2" i="1"/>
  <c r="Q82" i="1"/>
  <c r="R94" i="1"/>
  <c r="S35" i="1"/>
  <c r="S61" i="1"/>
  <c r="T56" i="1" s="1"/>
  <c r="AK73" i="1"/>
  <c r="AL68" i="1" s="1"/>
  <c r="S12" i="1"/>
  <c r="S38" i="1"/>
  <c r="T91" i="1"/>
  <c r="T139" i="1"/>
  <c r="T79" i="1"/>
  <c r="T1" i="1"/>
  <c r="U3" i="1"/>
  <c r="U138" i="1" l="1"/>
  <c r="U78" i="1"/>
  <c r="U4" i="1"/>
  <c r="U90" i="1"/>
  <c r="Q84" i="1"/>
  <c r="AM137" i="1"/>
  <c r="AM89" i="1"/>
  <c r="AM77" i="1"/>
  <c r="AN2" i="1"/>
  <c r="T60" i="1"/>
  <c r="T81" i="1"/>
  <c r="AL73" i="1"/>
  <c r="AM68" i="1" s="1"/>
  <c r="T93" i="1"/>
  <c r="T70" i="1"/>
  <c r="S19" i="1"/>
  <c r="T58" i="1"/>
  <c r="R96" i="1"/>
  <c r="T33" i="1" l="1"/>
  <c r="T12" i="1"/>
  <c r="Q41" i="1"/>
  <c r="Q85" i="1"/>
  <c r="R80" i="1" s="1"/>
  <c r="U139" i="1"/>
  <c r="U79" i="1"/>
  <c r="U91" i="1"/>
  <c r="U1" i="1"/>
  <c r="V3" i="1"/>
  <c r="T35" i="1"/>
  <c r="T38" i="1"/>
  <c r="R97" i="1"/>
  <c r="S92" i="1" s="1"/>
  <c r="AM73" i="1"/>
  <c r="AN68" i="1" s="1"/>
  <c r="AN137" i="1"/>
  <c r="AN89" i="1"/>
  <c r="AN77" i="1"/>
  <c r="AO2" i="1"/>
  <c r="T61" i="1"/>
  <c r="U56" i="1" s="1"/>
  <c r="U93" i="1" l="1"/>
  <c r="U70" i="1"/>
  <c r="U38" i="1" s="1"/>
  <c r="T19" i="1"/>
  <c r="V90" i="1"/>
  <c r="V138" i="1"/>
  <c r="V78" i="1"/>
  <c r="V4" i="1"/>
  <c r="S94" i="1"/>
  <c r="U81" i="1"/>
  <c r="U12" i="1" s="1"/>
  <c r="U19" i="1" s="1"/>
  <c r="U60" i="1"/>
  <c r="U35" i="1" s="1"/>
  <c r="R82" i="1"/>
  <c r="AN73" i="1"/>
  <c r="AO68" i="1" s="1"/>
  <c r="U58" i="1"/>
  <c r="U33" i="1" s="1"/>
  <c r="AO89" i="1"/>
  <c r="AO77" i="1"/>
  <c r="AO137" i="1"/>
  <c r="AP2" i="1"/>
  <c r="R84" i="1" l="1"/>
  <c r="S96" i="1"/>
  <c r="V139" i="1"/>
  <c r="V79" i="1"/>
  <c r="V91" i="1"/>
  <c r="V1" i="1"/>
  <c r="W3" i="1"/>
  <c r="U61" i="1"/>
  <c r="V56" i="1" s="1"/>
  <c r="AO73" i="1"/>
  <c r="AP68" i="1" s="1"/>
  <c r="AP89" i="1"/>
  <c r="AP137" i="1"/>
  <c r="AP77" i="1"/>
  <c r="AQ2" i="1"/>
  <c r="S97" i="1" l="1"/>
  <c r="T92" i="1" s="1"/>
  <c r="AP73" i="1"/>
  <c r="AQ68" i="1" s="1"/>
  <c r="R41" i="1"/>
  <c r="R85" i="1"/>
  <c r="S80" i="1" s="1"/>
  <c r="V81" i="1"/>
  <c r="V12" i="1" s="1"/>
  <c r="V19" i="1" s="1"/>
  <c r="V60" i="1"/>
  <c r="V35" i="1" s="1"/>
  <c r="V61" i="1"/>
  <c r="W56" i="1" s="1"/>
  <c r="V58" i="1"/>
  <c r="V33" i="1" s="1"/>
  <c r="W90" i="1"/>
  <c r="W138" i="1"/>
  <c r="W78" i="1"/>
  <c r="W4" i="1"/>
  <c r="AQ89" i="1"/>
  <c r="AQ137" i="1"/>
  <c r="AQ77" i="1"/>
  <c r="AR2" i="1"/>
  <c r="V93" i="1"/>
  <c r="V70" i="1"/>
  <c r="V38" i="1" s="1"/>
  <c r="AQ73" i="1" l="1"/>
  <c r="AR68" i="1" s="1"/>
  <c r="W139" i="1"/>
  <c r="W91" i="1"/>
  <c r="W79" i="1"/>
  <c r="W1" i="1"/>
  <c r="X3" i="1"/>
  <c r="S82" i="1"/>
  <c r="AR89" i="1"/>
  <c r="AR137" i="1"/>
  <c r="AR77" i="1"/>
  <c r="AS2" i="1"/>
  <c r="T94" i="1"/>
  <c r="T96" i="1" l="1"/>
  <c r="W93" i="1"/>
  <c r="W70" i="1"/>
  <c r="W38" i="1" s="1"/>
  <c r="AR73" i="1"/>
  <c r="AS68" i="1" s="1"/>
  <c r="AS137" i="1"/>
  <c r="AS89" i="1"/>
  <c r="AS77" i="1"/>
  <c r="AT2" i="1"/>
  <c r="S84" i="1"/>
  <c r="X90" i="1"/>
  <c r="X138" i="1"/>
  <c r="X78" i="1"/>
  <c r="X4" i="1"/>
  <c r="W81" i="1"/>
  <c r="W12" i="1" s="1"/>
  <c r="W19" i="1" s="1"/>
  <c r="W60" i="1"/>
  <c r="W58" i="1"/>
  <c r="W33" i="1" s="1"/>
  <c r="AS73" i="1" l="1"/>
  <c r="AT68" i="1" s="1"/>
  <c r="W35" i="1"/>
  <c r="W61" i="1"/>
  <c r="X56" i="1" s="1"/>
  <c r="S41" i="1"/>
  <c r="S85" i="1"/>
  <c r="T80" i="1" s="1"/>
  <c r="AT137" i="1"/>
  <c r="AT77" i="1"/>
  <c r="AT89" i="1"/>
  <c r="AU2" i="1"/>
  <c r="X139" i="1"/>
  <c r="X79" i="1"/>
  <c r="X91" i="1"/>
  <c r="X1" i="1"/>
  <c r="Y3" i="1"/>
  <c r="T97" i="1"/>
  <c r="U92" i="1" s="1"/>
  <c r="T82" i="1" l="1"/>
  <c r="X93" i="1"/>
  <c r="X70" i="1"/>
  <c r="X38" i="1" s="1"/>
  <c r="X81" i="1"/>
  <c r="X12" i="1" s="1"/>
  <c r="X19" i="1" s="1"/>
  <c r="X60" i="1"/>
  <c r="X35" i="1" s="1"/>
  <c r="AU137" i="1"/>
  <c r="AU89" i="1"/>
  <c r="AU77" i="1"/>
  <c r="AV2" i="1"/>
  <c r="X58" i="1"/>
  <c r="X33" i="1" s="1"/>
  <c r="U94" i="1"/>
  <c r="U96" i="1" s="1"/>
  <c r="U97" i="1" s="1"/>
  <c r="V92" i="1" s="1"/>
  <c r="Y138" i="1"/>
  <c r="Y90" i="1"/>
  <c r="Y4" i="1"/>
  <c r="Y78" i="1"/>
  <c r="AT73" i="1"/>
  <c r="AU68" i="1" s="1"/>
  <c r="V94" i="1" l="1"/>
  <c r="V96" i="1" s="1"/>
  <c r="V97" i="1" s="1"/>
  <c r="W92" i="1" s="1"/>
  <c r="X61" i="1"/>
  <c r="Y56" i="1" s="1"/>
  <c r="AU73" i="1"/>
  <c r="AV68" i="1" s="1"/>
  <c r="AV137" i="1"/>
  <c r="AV77" i="1"/>
  <c r="AV89" i="1"/>
  <c r="AW2" i="1"/>
  <c r="Y139" i="1"/>
  <c r="Y79" i="1"/>
  <c r="Y91" i="1"/>
  <c r="Z3" i="1"/>
  <c r="Y1" i="1"/>
  <c r="T84" i="1"/>
  <c r="W94" i="1" l="1"/>
  <c r="W96" i="1" s="1"/>
  <c r="W97" i="1" s="1"/>
  <c r="X92" i="1" s="1"/>
  <c r="AV73" i="1"/>
  <c r="AW68" i="1" s="1"/>
  <c r="Z138" i="1"/>
  <c r="Z78" i="1"/>
  <c r="Z90" i="1"/>
  <c r="Z4" i="1"/>
  <c r="Y58" i="1"/>
  <c r="Y33" i="1" s="1"/>
  <c r="Y60" i="1"/>
  <c r="Y35" i="1" s="1"/>
  <c r="Y81" i="1"/>
  <c r="Y93" i="1"/>
  <c r="Y70" i="1"/>
  <c r="Y38" i="1" s="1"/>
  <c r="AW137" i="1"/>
  <c r="AW77" i="1"/>
  <c r="AW89" i="1"/>
  <c r="AX2" i="1"/>
  <c r="T41" i="1"/>
  <c r="T85" i="1"/>
  <c r="U80" i="1" s="1"/>
  <c r="X94" i="1" l="1"/>
  <c r="X96" i="1" s="1"/>
  <c r="X97" i="1" s="1"/>
  <c r="Y92" i="1" s="1"/>
  <c r="U82" i="1"/>
  <c r="Y12" i="1"/>
  <c r="Y19" i="1" s="1"/>
  <c r="AW73" i="1"/>
  <c r="AX68" i="1" s="1"/>
  <c r="Z91" i="1"/>
  <c r="Z139" i="1"/>
  <c r="Z79" i="1"/>
  <c r="AA3" i="1"/>
  <c r="Z1" i="1"/>
  <c r="AX89" i="1"/>
  <c r="AX137" i="1"/>
  <c r="AY2" i="1"/>
  <c r="AX77" i="1"/>
  <c r="Y61" i="1"/>
  <c r="Z56" i="1" s="1"/>
  <c r="AX73" i="1" l="1"/>
  <c r="AY68" i="1" s="1"/>
  <c r="AA138" i="1"/>
  <c r="AA4" i="1"/>
  <c r="AA90" i="1"/>
  <c r="AA78" i="1"/>
  <c r="Z58" i="1"/>
  <c r="Z33" i="1" s="1"/>
  <c r="Z60" i="1"/>
  <c r="Z35" i="1" s="1"/>
  <c r="Z81" i="1"/>
  <c r="Y94" i="1"/>
  <c r="Y96" i="1" s="1"/>
  <c r="Y97" i="1" s="1"/>
  <c r="Z92" i="1" s="1"/>
  <c r="Z93" i="1"/>
  <c r="Z70" i="1"/>
  <c r="Z38" i="1" s="1"/>
  <c r="AY89" i="1"/>
  <c r="AY137" i="1"/>
  <c r="AZ2" i="1"/>
  <c r="AY77" i="1"/>
  <c r="U84" i="1"/>
  <c r="Z61" i="1" l="1"/>
  <c r="AA56" i="1" s="1"/>
  <c r="Z94" i="1"/>
  <c r="Z96" i="1" s="1"/>
  <c r="Z97" i="1" s="1"/>
  <c r="AA92" i="1" s="1"/>
  <c r="AA91" i="1"/>
  <c r="AA139" i="1"/>
  <c r="AA79" i="1"/>
  <c r="AA58" i="1" s="1"/>
  <c r="AA33" i="1" s="1"/>
  <c r="AB3" i="1"/>
  <c r="AA1" i="1"/>
  <c r="AZ89" i="1"/>
  <c r="AZ137" i="1"/>
  <c r="BA2" i="1"/>
  <c r="AZ77" i="1"/>
  <c r="U41" i="1"/>
  <c r="U85" i="1"/>
  <c r="V80" i="1" s="1"/>
  <c r="Z12" i="1"/>
  <c r="Z19" i="1" s="1"/>
  <c r="AY73" i="1"/>
  <c r="AZ68" i="1" s="1"/>
  <c r="V82" i="1" l="1"/>
  <c r="AA81" i="1"/>
  <c r="AA60" i="1"/>
  <c r="AA93" i="1"/>
  <c r="AA70" i="1"/>
  <c r="AA38" i="1" s="1"/>
  <c r="AB138" i="1"/>
  <c r="AB78" i="1"/>
  <c r="AB90" i="1"/>
  <c r="AB4" i="1"/>
  <c r="AZ73" i="1"/>
  <c r="BA68" i="1" s="1"/>
  <c r="BA137" i="1"/>
  <c r="BA89" i="1"/>
  <c r="BA77" i="1"/>
  <c r="BB2" i="1"/>
  <c r="AA12" i="1" l="1"/>
  <c r="AA19" i="1" s="1"/>
  <c r="AB91" i="1"/>
  <c r="AB139" i="1"/>
  <c r="AB79" i="1"/>
  <c r="AB1" i="1"/>
  <c r="AC3" i="1"/>
  <c r="BB137" i="1"/>
  <c r="BB89" i="1"/>
  <c r="BB77" i="1"/>
  <c r="BC2" i="1"/>
  <c r="AA94" i="1"/>
  <c r="AA96" i="1" s="1"/>
  <c r="AA97" i="1" s="1"/>
  <c r="AB92" i="1" s="1"/>
  <c r="BA73" i="1"/>
  <c r="BB68" i="1" s="1"/>
  <c r="AA35" i="1"/>
  <c r="AA61" i="1"/>
  <c r="AB56" i="1" s="1"/>
  <c r="V84" i="1"/>
  <c r="AB58" i="1" l="1"/>
  <c r="AB33" i="1" s="1"/>
  <c r="AC78" i="1"/>
  <c r="AC138" i="1"/>
  <c r="AC90" i="1"/>
  <c r="AC4" i="1"/>
  <c r="BC137" i="1"/>
  <c r="BC89" i="1"/>
  <c r="BC77" i="1"/>
  <c r="BD2" i="1"/>
  <c r="AB93" i="1"/>
  <c r="AB94" i="1" s="1"/>
  <c r="AB96" i="1" s="1"/>
  <c r="AB70" i="1"/>
  <c r="AB38" i="1" s="1"/>
  <c r="BB73" i="1"/>
  <c r="BC68" i="1" s="1"/>
  <c r="AB60" i="1"/>
  <c r="AB35" i="1" s="1"/>
  <c r="AB81" i="1"/>
  <c r="AB12" i="1" s="1"/>
  <c r="AB19" i="1" s="1"/>
  <c r="V41" i="1"/>
  <c r="V85" i="1"/>
  <c r="W80" i="1" s="1"/>
  <c r="W82" i="1" l="1"/>
  <c r="AC91" i="1"/>
  <c r="AC139" i="1"/>
  <c r="AC79" i="1"/>
  <c r="AC1" i="1"/>
  <c r="AD3" i="1"/>
  <c r="AB61" i="1"/>
  <c r="AC56" i="1" s="1"/>
  <c r="AB97" i="1"/>
  <c r="AC92" i="1" s="1"/>
  <c r="BD137" i="1"/>
  <c r="BD77" i="1"/>
  <c r="BD89" i="1"/>
  <c r="BE2" i="1"/>
  <c r="BC73" i="1"/>
  <c r="BD68" i="1" s="1"/>
  <c r="AC58" i="1" l="1"/>
  <c r="AC33" i="1" s="1"/>
  <c r="BD73" i="1"/>
  <c r="BE68" i="1" s="1"/>
  <c r="BE137" i="1"/>
  <c r="BE77" i="1"/>
  <c r="BE89" i="1"/>
  <c r="BF2" i="1"/>
  <c r="AC93" i="1"/>
  <c r="AC94" i="1" s="1"/>
  <c r="AC96" i="1" s="1"/>
  <c r="AC97" i="1" s="1"/>
  <c r="AD92" i="1" s="1"/>
  <c r="AC70" i="1"/>
  <c r="AC38" i="1" s="1"/>
  <c r="AD90" i="1"/>
  <c r="AD138" i="1"/>
  <c r="AD4" i="1"/>
  <c r="AD78" i="1"/>
  <c r="AC81" i="1"/>
  <c r="AC60" i="1"/>
  <c r="AC35" i="1" s="1"/>
  <c r="W84" i="1"/>
  <c r="AC12" i="1" l="1"/>
  <c r="AC19" i="1" s="1"/>
  <c r="AD139" i="1"/>
  <c r="AD91" i="1"/>
  <c r="AD79" i="1"/>
  <c r="AD1" i="1"/>
  <c r="AE3" i="1"/>
  <c r="W41" i="1"/>
  <c r="W85" i="1"/>
  <c r="X80" i="1" s="1"/>
  <c r="BE73" i="1"/>
  <c r="BF68" i="1" s="1"/>
  <c r="BF89" i="1"/>
  <c r="BF137" i="1"/>
  <c r="BF77" i="1"/>
  <c r="BG2" i="1"/>
  <c r="AC61" i="1"/>
  <c r="AD56" i="1" s="1"/>
  <c r="AD58" i="1" l="1"/>
  <c r="AD33" i="1" s="1"/>
  <c r="AE90" i="1"/>
  <c r="AE138" i="1"/>
  <c r="AE78" i="1"/>
  <c r="AE4" i="1"/>
  <c r="AD93" i="1"/>
  <c r="AD70" i="1"/>
  <c r="AD38" i="1" s="1"/>
  <c r="BG89" i="1"/>
  <c r="BG137" i="1"/>
  <c r="BG77" i="1"/>
  <c r="BH2" i="1"/>
  <c r="AD81" i="1"/>
  <c r="AD60" i="1"/>
  <c r="AD35" i="1" s="1"/>
  <c r="BF73" i="1"/>
  <c r="BG68" i="1" s="1"/>
  <c r="X82" i="1"/>
  <c r="AD94" i="1" l="1"/>
  <c r="AD96" i="1" s="1"/>
  <c r="AD97" i="1" s="1"/>
  <c r="AE92" i="1" s="1"/>
  <c r="X84" i="1"/>
  <c r="AD12" i="1"/>
  <c r="AD19" i="1" s="1"/>
  <c r="BH89" i="1"/>
  <c r="BH137" i="1"/>
  <c r="BH77" i="1"/>
  <c r="BI2" i="1"/>
  <c r="AE139" i="1"/>
  <c r="AE91" i="1"/>
  <c r="AE1" i="1"/>
  <c r="AE79" i="1"/>
  <c r="AF3" i="1"/>
  <c r="BG73" i="1"/>
  <c r="BH68" i="1" s="1"/>
  <c r="AD61" i="1"/>
  <c r="AE56" i="1" s="1"/>
  <c r="AF90" i="1" l="1"/>
  <c r="AF138" i="1"/>
  <c r="AF78" i="1"/>
  <c r="AF4" i="1"/>
  <c r="X41" i="1"/>
  <c r="X85" i="1"/>
  <c r="Y80" i="1" s="1"/>
  <c r="AE81" i="1"/>
  <c r="AE60" i="1"/>
  <c r="AE35" i="1" s="1"/>
  <c r="AE58" i="1"/>
  <c r="AE33" i="1" s="1"/>
  <c r="AE93" i="1"/>
  <c r="AE94" i="1" s="1"/>
  <c r="AE96" i="1" s="1"/>
  <c r="AE70" i="1"/>
  <c r="AE38" i="1" s="1"/>
  <c r="BH73" i="1"/>
  <c r="BI68" i="1" s="1"/>
  <c r="BI137" i="1"/>
  <c r="BI89" i="1"/>
  <c r="BI77" i="1"/>
  <c r="BJ2" i="1"/>
  <c r="AE61" i="1" l="1"/>
  <c r="AF56" i="1" s="1"/>
  <c r="BJ137" i="1"/>
  <c r="BJ77" i="1"/>
  <c r="BJ89" i="1"/>
  <c r="BK2" i="1"/>
  <c r="Y82" i="1"/>
  <c r="AE97" i="1"/>
  <c r="AF92" i="1" s="1"/>
  <c r="AF139" i="1"/>
  <c r="AF91" i="1"/>
  <c r="AF79" i="1"/>
  <c r="AF1" i="1"/>
  <c r="AG3" i="1"/>
  <c r="BI73" i="1"/>
  <c r="BJ68" i="1" s="1"/>
  <c r="AE12" i="1"/>
  <c r="AE19" i="1" s="1"/>
  <c r="Y84" i="1" l="1"/>
  <c r="BK137" i="1"/>
  <c r="BK89" i="1"/>
  <c r="BK77" i="1"/>
  <c r="AF81" i="1"/>
  <c r="AF60" i="1"/>
  <c r="AG138" i="1"/>
  <c r="AG90" i="1"/>
  <c r="AG78" i="1"/>
  <c r="AG4" i="1"/>
  <c r="AF93" i="1"/>
  <c r="AF70" i="1"/>
  <c r="AF38" i="1" s="1"/>
  <c r="BJ73" i="1"/>
  <c r="BK68" i="1" s="1"/>
  <c r="AF58" i="1"/>
  <c r="AF33" i="1" s="1"/>
  <c r="AF12" i="1" l="1"/>
  <c r="AF19" i="1" s="1"/>
  <c r="AF35" i="1"/>
  <c r="AF61" i="1"/>
  <c r="AG56" i="1" s="1"/>
  <c r="BK73" i="1"/>
  <c r="AF94" i="1"/>
  <c r="AF96" i="1" s="1"/>
  <c r="AF97" i="1" s="1"/>
  <c r="AG92" i="1" s="1"/>
  <c r="Y41" i="1"/>
  <c r="Y85" i="1"/>
  <c r="Z80" i="1" s="1"/>
  <c r="AG79" i="1"/>
  <c r="AG139" i="1"/>
  <c r="AG91" i="1"/>
  <c r="AH3" i="1"/>
  <c r="AG1" i="1"/>
  <c r="AG58" i="1" l="1"/>
  <c r="AG33" i="1" s="1"/>
  <c r="AH138" i="1"/>
  <c r="AH90" i="1"/>
  <c r="AH78" i="1"/>
  <c r="AH4" i="1"/>
  <c r="AG81" i="1"/>
  <c r="AG60" i="1"/>
  <c r="AG35" i="1" s="1"/>
  <c r="AG93" i="1"/>
  <c r="AG70" i="1"/>
  <c r="AG38" i="1" s="1"/>
  <c r="Z82" i="1"/>
  <c r="AH91" i="1" l="1"/>
  <c r="AH139" i="1"/>
  <c r="AH79" i="1"/>
  <c r="AH1" i="1"/>
  <c r="AI3" i="1"/>
  <c r="Z84" i="1"/>
  <c r="AG12" i="1"/>
  <c r="AG19" i="1" s="1"/>
  <c r="AG94" i="1"/>
  <c r="AG96" i="1" s="1"/>
  <c r="AG97" i="1" s="1"/>
  <c r="AH92" i="1" s="1"/>
  <c r="AG61" i="1"/>
  <c r="AH56" i="1" s="1"/>
  <c r="Z41" i="1" l="1"/>
  <c r="Z85" i="1"/>
  <c r="AA80" i="1" s="1"/>
  <c r="AI138" i="1"/>
  <c r="AI90" i="1"/>
  <c r="AI4" i="1"/>
  <c r="AI78" i="1"/>
  <c r="AH58" i="1"/>
  <c r="AH33" i="1" s="1"/>
  <c r="AH81" i="1"/>
  <c r="AH60" i="1"/>
  <c r="AH35" i="1" s="1"/>
  <c r="AH93" i="1"/>
  <c r="AH70" i="1"/>
  <c r="AH38" i="1" s="1"/>
  <c r="AA82" i="1" l="1"/>
  <c r="AI91" i="1"/>
  <c r="AI139" i="1"/>
  <c r="AI79" i="1"/>
  <c r="AI1" i="1"/>
  <c r="AJ3" i="1"/>
  <c r="AH12" i="1"/>
  <c r="AH19" i="1" s="1"/>
  <c r="AH94" i="1"/>
  <c r="AH96" i="1" s="1"/>
  <c r="AH97" i="1" s="1"/>
  <c r="AI92" i="1" s="1"/>
  <c r="AH61" i="1"/>
  <c r="AI56" i="1" s="1"/>
  <c r="AI93" i="1" l="1"/>
  <c r="AI94" i="1" s="1"/>
  <c r="AI96" i="1" s="1"/>
  <c r="AI97" i="1" s="1"/>
  <c r="AJ92" i="1" s="1"/>
  <c r="AI70" i="1"/>
  <c r="AI38" i="1" s="1"/>
  <c r="AA84" i="1"/>
  <c r="AI58" i="1"/>
  <c r="AI33" i="1" s="1"/>
  <c r="AI81" i="1"/>
  <c r="AI12" i="1" s="1"/>
  <c r="AI19" i="1" s="1"/>
  <c r="AI60" i="1"/>
  <c r="AI35" i="1" s="1"/>
  <c r="AJ138" i="1"/>
  <c r="AJ90" i="1"/>
  <c r="AJ78" i="1"/>
  <c r="AJ4" i="1"/>
  <c r="AI61" i="1" l="1"/>
  <c r="AJ56" i="1" s="1"/>
  <c r="AA41" i="1"/>
  <c r="AA85" i="1"/>
  <c r="AB80" i="1" s="1"/>
  <c r="AJ91" i="1"/>
  <c r="AJ139" i="1"/>
  <c r="AJ79" i="1"/>
  <c r="AJ58" i="1" s="1"/>
  <c r="AJ33" i="1" s="1"/>
  <c r="AJ1" i="1"/>
  <c r="AK3" i="1"/>
  <c r="AB82" i="1" l="1"/>
  <c r="AJ60" i="1"/>
  <c r="AJ81" i="1"/>
  <c r="AJ93" i="1"/>
  <c r="AJ70" i="1"/>
  <c r="AJ38" i="1" s="1"/>
  <c r="AK138" i="1"/>
  <c r="AK78" i="1"/>
  <c r="AK4" i="1"/>
  <c r="AK90" i="1"/>
  <c r="AJ12" i="1" l="1"/>
  <c r="AJ19" i="1" s="1"/>
  <c r="AB84" i="1"/>
  <c r="AK139" i="1"/>
  <c r="AK79" i="1"/>
  <c r="AK1" i="1"/>
  <c r="AL3" i="1"/>
  <c r="AK91" i="1"/>
  <c r="AJ94" i="1"/>
  <c r="AJ96" i="1" s="1"/>
  <c r="AJ97" i="1" s="1"/>
  <c r="AK92" i="1" s="1"/>
  <c r="AJ35" i="1"/>
  <c r="AJ61" i="1"/>
  <c r="AK56" i="1" s="1"/>
  <c r="AK58" i="1" l="1"/>
  <c r="AK33" i="1" s="1"/>
  <c r="AK93" i="1"/>
  <c r="AK94" i="1" s="1"/>
  <c r="AK96" i="1" s="1"/>
  <c r="AK70" i="1"/>
  <c r="AK38" i="1" s="1"/>
  <c r="AB41" i="1"/>
  <c r="AB85" i="1"/>
  <c r="AC80" i="1" s="1"/>
  <c r="AL90" i="1"/>
  <c r="AL138" i="1"/>
  <c r="AL78" i="1"/>
  <c r="AL4" i="1"/>
  <c r="AK81" i="1"/>
  <c r="AK12" i="1" s="1"/>
  <c r="AK19" i="1" s="1"/>
  <c r="AK60" i="1"/>
  <c r="AK35" i="1" s="1"/>
  <c r="AK61" i="1" l="1"/>
  <c r="AL56" i="1" s="1"/>
  <c r="AK97" i="1"/>
  <c r="AL92" i="1" s="1"/>
  <c r="AL139" i="1"/>
  <c r="AL79" i="1"/>
  <c r="AL91" i="1"/>
  <c r="AL1" i="1"/>
  <c r="AM3" i="1"/>
  <c r="AC82" i="1"/>
  <c r="AL93" i="1" l="1"/>
  <c r="AL94" i="1" s="1"/>
  <c r="AL96" i="1" s="1"/>
  <c r="AL70" i="1"/>
  <c r="AL38" i="1" s="1"/>
  <c r="AL81" i="1"/>
  <c r="AL12" i="1" s="1"/>
  <c r="AL19" i="1" s="1"/>
  <c r="AL60" i="1"/>
  <c r="AL58" i="1"/>
  <c r="AL33" i="1" s="1"/>
  <c r="AC84" i="1"/>
  <c r="AM90" i="1"/>
  <c r="AM138" i="1"/>
  <c r="AM78" i="1"/>
  <c r="AM4" i="1"/>
  <c r="AL35" i="1" l="1"/>
  <c r="AL61" i="1"/>
  <c r="AM56" i="1" s="1"/>
  <c r="AM139" i="1"/>
  <c r="AM91" i="1"/>
  <c r="AM79" i="1"/>
  <c r="AM1" i="1"/>
  <c r="AN3" i="1"/>
  <c r="AC41" i="1"/>
  <c r="AC85" i="1"/>
  <c r="AD80" i="1" s="1"/>
  <c r="AL97" i="1"/>
  <c r="AM92" i="1" s="1"/>
  <c r="AN90" i="1" l="1"/>
  <c r="AN138" i="1"/>
  <c r="AN78" i="1"/>
  <c r="AN4" i="1"/>
  <c r="AM93" i="1"/>
  <c r="AM94" i="1" s="1"/>
  <c r="AM96" i="1" s="1"/>
  <c r="AM70" i="1"/>
  <c r="AM38" i="1" s="1"/>
  <c r="AM81" i="1"/>
  <c r="AM60" i="1"/>
  <c r="AM35" i="1" s="1"/>
  <c r="AM58" i="1"/>
  <c r="AM33" i="1" s="1"/>
  <c r="AD82" i="1"/>
  <c r="AM61" i="1" l="1"/>
  <c r="AN56" i="1" s="1"/>
  <c r="AN139" i="1"/>
  <c r="AN91" i="1"/>
  <c r="AN79" i="1"/>
  <c r="AN1" i="1"/>
  <c r="AO3" i="1"/>
  <c r="AN58" i="1"/>
  <c r="AN33" i="1" s="1"/>
  <c r="AM97" i="1"/>
  <c r="AN92" i="1" s="1"/>
  <c r="AD84" i="1"/>
  <c r="AM12" i="1"/>
  <c r="AM19" i="1" s="1"/>
  <c r="AO90" i="1" l="1"/>
  <c r="AO138" i="1"/>
  <c r="AO78" i="1"/>
  <c r="AO4" i="1"/>
  <c r="AD41" i="1"/>
  <c r="AD85" i="1"/>
  <c r="AE80" i="1" s="1"/>
  <c r="AN93" i="1"/>
  <c r="AN70" i="1"/>
  <c r="AN38" i="1" s="1"/>
  <c r="AN81" i="1"/>
  <c r="AN60" i="1"/>
  <c r="AO139" i="1" l="1"/>
  <c r="AO79" i="1"/>
  <c r="AO91" i="1"/>
  <c r="AP3" i="1"/>
  <c r="AO1" i="1"/>
  <c r="AN12" i="1"/>
  <c r="AN19" i="1" s="1"/>
  <c r="AN94" i="1"/>
  <c r="AN96" i="1" s="1"/>
  <c r="AN97" i="1" s="1"/>
  <c r="AO92" i="1" s="1"/>
  <c r="AE82" i="1"/>
  <c r="AN35" i="1"/>
  <c r="AN61" i="1"/>
  <c r="AO56" i="1" s="1"/>
  <c r="AO93" i="1" l="1"/>
  <c r="AO70" i="1"/>
  <c r="AO38" i="1" s="1"/>
  <c r="AP138" i="1"/>
  <c r="AP78" i="1"/>
  <c r="AP90" i="1"/>
  <c r="AP4" i="1"/>
  <c r="AO58" i="1"/>
  <c r="AO33" i="1" s="1"/>
  <c r="AE84" i="1"/>
  <c r="AO81" i="1"/>
  <c r="AO12" i="1" s="1"/>
  <c r="AO19" i="1" s="1"/>
  <c r="AO60" i="1"/>
  <c r="AO35" i="1" s="1"/>
  <c r="AE41" i="1" l="1"/>
  <c r="AE85" i="1"/>
  <c r="AF80" i="1" s="1"/>
  <c r="AO61" i="1"/>
  <c r="AP56" i="1" s="1"/>
  <c r="AO94" i="1"/>
  <c r="AO96" i="1" s="1"/>
  <c r="AO97" i="1" s="1"/>
  <c r="AP92" i="1" s="1"/>
  <c r="AP91" i="1"/>
  <c r="AP139" i="1"/>
  <c r="AP79" i="1"/>
  <c r="AP1" i="1"/>
  <c r="AQ3" i="1"/>
  <c r="AP58" i="1" l="1"/>
  <c r="AP33" i="1" s="1"/>
  <c r="AQ138" i="1"/>
  <c r="AQ90" i="1"/>
  <c r="AQ78" i="1"/>
  <c r="AQ4" i="1"/>
  <c r="AP93" i="1"/>
  <c r="AP70" i="1"/>
  <c r="AP38" i="1" s="1"/>
  <c r="AF82" i="1"/>
  <c r="AP60" i="1"/>
  <c r="AP35" i="1" s="1"/>
  <c r="AP81" i="1"/>
  <c r="AP12" i="1" s="1"/>
  <c r="AP19" i="1" s="1"/>
  <c r="AQ91" i="1" l="1"/>
  <c r="AQ139" i="1"/>
  <c r="AQ79" i="1"/>
  <c r="AQ1" i="1"/>
  <c r="AR3" i="1"/>
  <c r="AP61" i="1"/>
  <c r="AQ56" i="1" s="1"/>
  <c r="AP94" i="1"/>
  <c r="AP96" i="1" s="1"/>
  <c r="AP97" i="1" s="1"/>
  <c r="AQ92" i="1" s="1"/>
  <c r="AF84" i="1"/>
  <c r="AF41" i="1" l="1"/>
  <c r="AF85" i="1"/>
  <c r="AG80" i="1" s="1"/>
  <c r="AQ81" i="1"/>
  <c r="AQ60" i="1"/>
  <c r="AQ35" i="1" s="1"/>
  <c r="AQ93" i="1"/>
  <c r="AQ70" i="1"/>
  <c r="AQ38" i="1" s="1"/>
  <c r="AQ58" i="1"/>
  <c r="AQ33" i="1" s="1"/>
  <c r="AR138" i="1"/>
  <c r="AR78" i="1"/>
  <c r="AR90" i="1"/>
  <c r="AR4" i="1"/>
  <c r="AR91" i="1" l="1"/>
  <c r="AR139" i="1"/>
  <c r="AR1" i="1"/>
  <c r="AR79" i="1"/>
  <c r="AS3" i="1"/>
  <c r="AG82" i="1"/>
  <c r="AQ12" i="1"/>
  <c r="AQ19" i="1" s="1"/>
  <c r="AQ61" i="1"/>
  <c r="AR56" i="1" s="1"/>
  <c r="AQ94" i="1"/>
  <c r="AQ96" i="1" s="1"/>
  <c r="AQ97" i="1" s="1"/>
  <c r="AR92" i="1" s="1"/>
  <c r="AG84" i="1" l="1"/>
  <c r="AR60" i="1"/>
  <c r="AR35" i="1" s="1"/>
  <c r="AR81" i="1"/>
  <c r="AS138" i="1"/>
  <c r="AS78" i="1"/>
  <c r="AS90" i="1"/>
  <c r="AS4" i="1"/>
  <c r="AR58" i="1"/>
  <c r="AR33" i="1" s="1"/>
  <c r="AR93" i="1"/>
  <c r="AR94" i="1" s="1"/>
  <c r="AR96" i="1" s="1"/>
  <c r="AR70" i="1"/>
  <c r="AR38" i="1" s="1"/>
  <c r="AR61" i="1" l="1"/>
  <c r="AS56" i="1" s="1"/>
  <c r="AS91" i="1"/>
  <c r="AS139" i="1"/>
  <c r="AS79" i="1"/>
  <c r="AS1" i="1"/>
  <c r="AT3" i="1"/>
  <c r="AG41" i="1"/>
  <c r="AG85" i="1"/>
  <c r="AH80" i="1" s="1"/>
  <c r="AR97" i="1"/>
  <c r="AS92" i="1" s="1"/>
  <c r="AR12" i="1"/>
  <c r="AR19" i="1" s="1"/>
  <c r="AT90" i="1" l="1"/>
  <c r="AT138" i="1"/>
  <c r="AT78" i="1"/>
  <c r="AT4" i="1"/>
  <c r="AS93" i="1"/>
  <c r="AS70" i="1"/>
  <c r="AS38" i="1" s="1"/>
  <c r="AS81" i="1"/>
  <c r="AS60" i="1"/>
  <c r="AH82" i="1"/>
  <c r="AS58" i="1"/>
  <c r="AS33" i="1" s="1"/>
  <c r="AS35" i="1" l="1"/>
  <c r="AS61" i="1"/>
  <c r="AT56" i="1" s="1"/>
  <c r="AH84" i="1"/>
  <c r="AS12" i="1"/>
  <c r="AS19" i="1" s="1"/>
  <c r="AS94" i="1"/>
  <c r="AS96" i="1" s="1"/>
  <c r="AS97" i="1" s="1"/>
  <c r="AT92" i="1" s="1"/>
  <c r="AT139" i="1"/>
  <c r="AT91" i="1"/>
  <c r="AT79" i="1"/>
  <c r="AT1" i="1"/>
  <c r="AU3" i="1"/>
  <c r="AH41" i="1" l="1"/>
  <c r="AH85" i="1"/>
  <c r="AI80" i="1" s="1"/>
  <c r="AT58" i="1"/>
  <c r="AT33" i="1" s="1"/>
  <c r="AU90" i="1"/>
  <c r="AU138" i="1"/>
  <c r="AU78" i="1"/>
  <c r="AU4" i="1"/>
  <c r="AT81" i="1"/>
  <c r="AT60" i="1"/>
  <c r="AT35" i="1" s="1"/>
  <c r="AT93" i="1"/>
  <c r="AT70" i="1"/>
  <c r="AT38" i="1" s="1"/>
  <c r="AT61" i="1" l="1"/>
  <c r="AU56" i="1" s="1"/>
  <c r="AI82" i="1"/>
  <c r="AU139" i="1"/>
  <c r="AU91" i="1"/>
  <c r="AU79" i="1"/>
  <c r="AU1" i="1"/>
  <c r="AV3" i="1"/>
  <c r="AT94" i="1"/>
  <c r="AT96" i="1" s="1"/>
  <c r="AT97" i="1" s="1"/>
  <c r="AU92" i="1" s="1"/>
  <c r="AT12" i="1"/>
  <c r="AT19" i="1" s="1"/>
  <c r="AI84" i="1" l="1"/>
  <c r="AU81" i="1"/>
  <c r="AU60" i="1"/>
  <c r="AU58" i="1"/>
  <c r="AU33" i="1" s="1"/>
  <c r="AU93" i="1"/>
  <c r="AU70" i="1"/>
  <c r="AU38" i="1" s="1"/>
  <c r="AV90" i="1"/>
  <c r="AV138" i="1"/>
  <c r="AV78" i="1"/>
  <c r="AV4" i="1"/>
  <c r="AU12" i="1" l="1"/>
  <c r="AU19" i="1" s="1"/>
  <c r="AV139" i="1"/>
  <c r="AV79" i="1"/>
  <c r="AV1" i="1"/>
  <c r="AW3" i="1"/>
  <c r="AV91" i="1"/>
  <c r="AU94" i="1"/>
  <c r="AU96" i="1" s="1"/>
  <c r="AU97" i="1" s="1"/>
  <c r="AV92" i="1" s="1"/>
  <c r="AU35" i="1"/>
  <c r="AU61" i="1"/>
  <c r="AV56" i="1" s="1"/>
  <c r="AI41" i="1"/>
  <c r="AI85" i="1"/>
  <c r="AJ80" i="1" s="1"/>
  <c r="AV93" i="1" l="1"/>
  <c r="AV70" i="1"/>
  <c r="AV38" i="1" s="1"/>
  <c r="AW138" i="1"/>
  <c r="AW90" i="1"/>
  <c r="AW78" i="1"/>
  <c r="AW4" i="1"/>
  <c r="AJ82" i="1"/>
  <c r="AV58" i="1"/>
  <c r="AV33" i="1" s="1"/>
  <c r="AV81" i="1"/>
  <c r="AV12" i="1" s="1"/>
  <c r="AV19" i="1" s="1"/>
  <c r="AV60" i="1"/>
  <c r="AV35" i="1" s="1"/>
  <c r="AV61" i="1" l="1"/>
  <c r="AW56" i="1" s="1"/>
  <c r="AJ84" i="1"/>
  <c r="AV94" i="1"/>
  <c r="AV96" i="1" s="1"/>
  <c r="AV97" i="1" s="1"/>
  <c r="AW92" i="1" s="1"/>
  <c r="AW139" i="1"/>
  <c r="AW79" i="1"/>
  <c r="AX3" i="1"/>
  <c r="AW91" i="1"/>
  <c r="AW1" i="1"/>
  <c r="AW58" i="1" l="1"/>
  <c r="AW33" i="1" s="1"/>
  <c r="AW81" i="1"/>
  <c r="AW60" i="1"/>
  <c r="AW35" i="1" s="1"/>
  <c r="AJ41" i="1"/>
  <c r="AJ85" i="1"/>
  <c r="AK80" i="1" s="1"/>
  <c r="AW93" i="1"/>
  <c r="AW70" i="1"/>
  <c r="AW38" i="1" s="1"/>
  <c r="AX138" i="1"/>
  <c r="AX90" i="1"/>
  <c r="AX78" i="1"/>
  <c r="AX4" i="1"/>
  <c r="AW12" i="1" l="1"/>
  <c r="AW19" i="1" s="1"/>
  <c r="AW61" i="1"/>
  <c r="AX56" i="1" s="1"/>
  <c r="AW94" i="1"/>
  <c r="AW96" i="1" s="1"/>
  <c r="AW97" i="1" s="1"/>
  <c r="AX92" i="1" s="1"/>
  <c r="AX91" i="1"/>
  <c r="AX139" i="1"/>
  <c r="AX79" i="1"/>
  <c r="AY3" i="1"/>
  <c r="AX1" i="1"/>
  <c r="AK82" i="1"/>
  <c r="AK84" i="1" l="1"/>
  <c r="AX81" i="1"/>
  <c r="AX60" i="1"/>
  <c r="AX35" i="1" s="1"/>
  <c r="AX93" i="1"/>
  <c r="AX70" i="1"/>
  <c r="AX38" i="1" s="1"/>
  <c r="AX58" i="1"/>
  <c r="AX33" i="1" s="1"/>
  <c r="AY138" i="1"/>
  <c r="AY90" i="1"/>
  <c r="AY4" i="1"/>
  <c r="AY78" i="1"/>
  <c r="AX61" i="1" l="1"/>
  <c r="AY56" i="1" s="1"/>
  <c r="AY91" i="1"/>
  <c r="AY139" i="1"/>
  <c r="AY79" i="1"/>
  <c r="AZ3" i="1"/>
  <c r="AY1" i="1"/>
  <c r="AX94" i="1"/>
  <c r="AX96" i="1" s="1"/>
  <c r="AX97" i="1" s="1"/>
  <c r="AY92" i="1" s="1"/>
  <c r="AX12" i="1"/>
  <c r="AX19" i="1" s="1"/>
  <c r="AK41" i="1"/>
  <c r="AK85" i="1"/>
  <c r="AL80" i="1" s="1"/>
  <c r="AL82" i="1" l="1"/>
  <c r="AY93" i="1"/>
  <c r="AY70" i="1"/>
  <c r="AY38" i="1" s="1"/>
  <c r="AZ138" i="1"/>
  <c r="AZ78" i="1"/>
  <c r="AZ90" i="1"/>
  <c r="AZ4" i="1"/>
  <c r="AY58" i="1"/>
  <c r="AY33" i="1" s="1"/>
  <c r="AY81" i="1"/>
  <c r="AY60" i="1"/>
  <c r="AY35" i="1" s="1"/>
  <c r="AY12" i="1" l="1"/>
  <c r="AY19" i="1" s="1"/>
  <c r="AY61" i="1"/>
  <c r="AZ56" i="1" s="1"/>
  <c r="AZ91" i="1"/>
  <c r="AZ139" i="1"/>
  <c r="AZ79" i="1"/>
  <c r="AZ1" i="1"/>
  <c r="BA3" i="1"/>
  <c r="AL84" i="1"/>
  <c r="AY94" i="1"/>
  <c r="AY96" i="1" s="1"/>
  <c r="AY97" i="1" s="1"/>
  <c r="AZ92" i="1" s="1"/>
  <c r="BA78" i="1" l="1"/>
  <c r="BA138" i="1"/>
  <c r="BA90" i="1"/>
  <c r="BA4" i="1"/>
  <c r="AZ60" i="1"/>
  <c r="AZ35" i="1" s="1"/>
  <c r="AZ81" i="1"/>
  <c r="AZ93" i="1"/>
  <c r="AZ94" i="1" s="1"/>
  <c r="AZ96" i="1" s="1"/>
  <c r="AZ70" i="1"/>
  <c r="AZ38" i="1" s="1"/>
  <c r="AZ58" i="1"/>
  <c r="AZ33" i="1" s="1"/>
  <c r="AL41" i="1"/>
  <c r="AL85" i="1"/>
  <c r="AM80" i="1" s="1"/>
  <c r="AZ61" i="1" l="1"/>
  <c r="BA56" i="1" s="1"/>
  <c r="AM82" i="1"/>
  <c r="AZ97" i="1"/>
  <c r="BA92" i="1" s="1"/>
  <c r="BA139" i="1"/>
  <c r="BA91" i="1"/>
  <c r="BA79" i="1"/>
  <c r="BA1" i="1"/>
  <c r="BB3" i="1"/>
  <c r="AZ12" i="1"/>
  <c r="AZ19" i="1" s="1"/>
  <c r="BA81" i="1" l="1"/>
  <c r="BA60" i="1"/>
  <c r="BA35" i="1" s="1"/>
  <c r="BA93" i="1"/>
  <c r="BA94" i="1" s="1"/>
  <c r="BA96" i="1" s="1"/>
  <c r="BA70" i="1"/>
  <c r="BA38" i="1" s="1"/>
  <c r="AM84" i="1"/>
  <c r="BB90" i="1"/>
  <c r="BB138" i="1"/>
  <c r="BB4" i="1"/>
  <c r="BB78" i="1"/>
  <c r="BA58" i="1"/>
  <c r="BA33" i="1" s="1"/>
  <c r="BA61" i="1"/>
  <c r="BB56" i="1" s="1"/>
  <c r="AM41" i="1" l="1"/>
  <c r="AM85" i="1"/>
  <c r="AN80" i="1" s="1"/>
  <c r="BB139" i="1"/>
  <c r="BB91" i="1"/>
  <c r="BB79" i="1"/>
  <c r="BB58" i="1" s="1"/>
  <c r="BB33" i="1" s="1"/>
  <c r="BB1" i="1"/>
  <c r="BC3" i="1"/>
  <c r="BA12" i="1"/>
  <c r="BA19" i="1" s="1"/>
  <c r="BA97" i="1"/>
  <c r="BB92" i="1" s="1"/>
  <c r="BB81" i="1" l="1"/>
  <c r="BB60" i="1"/>
  <c r="AN82" i="1"/>
  <c r="BB93" i="1"/>
  <c r="BB94" i="1" s="1"/>
  <c r="BB96" i="1" s="1"/>
  <c r="BB70" i="1"/>
  <c r="BB38" i="1" s="1"/>
  <c r="BC90" i="1"/>
  <c r="BC138" i="1"/>
  <c r="BC78" i="1"/>
  <c r="BC4" i="1"/>
  <c r="BB35" i="1" l="1"/>
  <c r="BB61" i="1"/>
  <c r="BC56" i="1" s="1"/>
  <c r="BC139" i="1"/>
  <c r="BC79" i="1"/>
  <c r="BC1" i="1"/>
  <c r="BD3" i="1"/>
  <c r="BC91" i="1"/>
  <c r="BB97" i="1"/>
  <c r="BC92" i="1" s="1"/>
  <c r="BB12" i="1"/>
  <c r="BB19" i="1" s="1"/>
  <c r="AN84" i="1"/>
  <c r="BD90" i="1" l="1"/>
  <c r="BD138" i="1"/>
  <c r="BD78" i="1"/>
  <c r="BD4" i="1"/>
  <c r="BC81" i="1"/>
  <c r="BC60" i="1"/>
  <c r="BC35" i="1" s="1"/>
  <c r="BC93" i="1"/>
  <c r="BC70" i="1"/>
  <c r="BC38" i="1" s="1"/>
  <c r="AN41" i="1"/>
  <c r="AN85" i="1"/>
  <c r="AO80" i="1" s="1"/>
  <c r="BC58" i="1"/>
  <c r="BC33" i="1" s="1"/>
  <c r="BC12" i="1" l="1"/>
  <c r="BC19" i="1" s="1"/>
  <c r="BC94" i="1"/>
  <c r="BC96" i="1" s="1"/>
  <c r="BC97" i="1" s="1"/>
  <c r="BD92" i="1" s="1"/>
  <c r="BC61" i="1"/>
  <c r="BD56" i="1" s="1"/>
  <c r="BD139" i="1"/>
  <c r="BD79" i="1"/>
  <c r="BD58" i="1" s="1"/>
  <c r="BD33" i="1" s="1"/>
  <c r="BD91" i="1"/>
  <c r="BD1" i="1"/>
  <c r="BE3" i="1"/>
  <c r="AO82" i="1"/>
  <c r="BD93" i="1" l="1"/>
  <c r="BD70" i="1"/>
  <c r="BD38" i="1" s="1"/>
  <c r="AO84" i="1"/>
  <c r="BE138" i="1"/>
  <c r="BE78" i="1"/>
  <c r="BE90" i="1"/>
  <c r="BE4" i="1"/>
  <c r="BD81" i="1"/>
  <c r="BD60" i="1"/>
  <c r="BD12" i="1" l="1"/>
  <c r="BD19" i="1" s="1"/>
  <c r="BD35" i="1"/>
  <c r="BD61" i="1"/>
  <c r="BE56" i="1" s="1"/>
  <c r="BD94" i="1"/>
  <c r="BD96" i="1" s="1"/>
  <c r="BD97" i="1" s="1"/>
  <c r="BE92" i="1" s="1"/>
  <c r="AO41" i="1"/>
  <c r="AO85" i="1"/>
  <c r="AP80" i="1" s="1"/>
  <c r="BE79" i="1"/>
  <c r="BE91" i="1"/>
  <c r="BE139" i="1"/>
  <c r="BF3" i="1"/>
  <c r="BE1" i="1"/>
  <c r="BE81" i="1" l="1"/>
  <c r="BE60" i="1"/>
  <c r="BE35" i="1" s="1"/>
  <c r="BE93" i="1"/>
  <c r="BE70" i="1"/>
  <c r="BE38" i="1" s="1"/>
  <c r="AP82" i="1"/>
  <c r="BF138" i="1"/>
  <c r="BF90" i="1"/>
  <c r="BF78" i="1"/>
  <c r="BF4" i="1"/>
  <c r="BE61" i="1"/>
  <c r="BF56" i="1" s="1"/>
  <c r="BE58" i="1"/>
  <c r="BE33" i="1" s="1"/>
  <c r="BE12" i="1" l="1"/>
  <c r="BE19" i="1" s="1"/>
  <c r="BF91" i="1"/>
  <c r="BF139" i="1"/>
  <c r="BF79" i="1"/>
  <c r="BG3" i="1"/>
  <c r="BF1" i="1"/>
  <c r="BE94" i="1"/>
  <c r="BE96" i="1" s="1"/>
  <c r="BE97" i="1" s="1"/>
  <c r="BF92" i="1" s="1"/>
  <c r="AP84" i="1"/>
  <c r="BF93" i="1" l="1"/>
  <c r="BF70" i="1"/>
  <c r="BF38" i="1" s="1"/>
  <c r="AP41" i="1"/>
  <c r="AP85" i="1"/>
  <c r="AQ80" i="1" s="1"/>
  <c r="BF60" i="1"/>
  <c r="BF81" i="1"/>
  <c r="BF58" i="1"/>
  <c r="BF33" i="1" s="1"/>
  <c r="BG138" i="1"/>
  <c r="BG90" i="1"/>
  <c r="BG78" i="1"/>
  <c r="BG4" i="1"/>
  <c r="BG91" i="1" l="1"/>
  <c r="BG139" i="1"/>
  <c r="BG79" i="1"/>
  <c r="BG1" i="1"/>
  <c r="BH3" i="1"/>
  <c r="AQ82" i="1"/>
  <c r="BF12" i="1"/>
  <c r="BF19" i="1" s="1"/>
  <c r="BF94" i="1"/>
  <c r="BF96" i="1" s="1"/>
  <c r="BF97" i="1" s="1"/>
  <c r="BG92" i="1" s="1"/>
  <c r="BF35" i="1"/>
  <c r="BF61" i="1"/>
  <c r="BG56" i="1" s="1"/>
  <c r="BH138" i="1" l="1"/>
  <c r="BH90" i="1"/>
  <c r="BH78" i="1"/>
  <c r="BH4" i="1"/>
  <c r="BG81" i="1"/>
  <c r="BG60" i="1"/>
  <c r="BG35" i="1" s="1"/>
  <c r="BG58" i="1"/>
  <c r="BG33" i="1" s="1"/>
  <c r="BG93" i="1"/>
  <c r="BG70" i="1"/>
  <c r="BG38" i="1" s="1"/>
  <c r="AQ84" i="1"/>
  <c r="BG61" i="1" l="1"/>
  <c r="BH56" i="1" s="1"/>
  <c r="BH91" i="1"/>
  <c r="BH139" i="1"/>
  <c r="BH79" i="1"/>
  <c r="BH1" i="1"/>
  <c r="BI3" i="1"/>
  <c r="BG94" i="1"/>
  <c r="BG96" i="1" s="1"/>
  <c r="BG97" i="1" s="1"/>
  <c r="BH92" i="1" s="1"/>
  <c r="AQ41" i="1"/>
  <c r="AQ85" i="1"/>
  <c r="AR80" i="1" s="1"/>
  <c r="BG12" i="1"/>
  <c r="BG19" i="1" s="1"/>
  <c r="AR82" i="1" l="1"/>
  <c r="BI138" i="1"/>
  <c r="BI90" i="1"/>
  <c r="BI78" i="1"/>
  <c r="BI4" i="1"/>
  <c r="BH93" i="1"/>
  <c r="BH94" i="1" s="1"/>
  <c r="BH96" i="1" s="1"/>
  <c r="BH70" i="1"/>
  <c r="BH38" i="1" s="1"/>
  <c r="BH81" i="1"/>
  <c r="BH12" i="1" s="1"/>
  <c r="BH19" i="1" s="1"/>
  <c r="BH60" i="1"/>
  <c r="BH58" i="1"/>
  <c r="BH33" i="1" s="1"/>
  <c r="BI139" i="1" l="1"/>
  <c r="BI91" i="1"/>
  <c r="BI79" i="1"/>
  <c r="BI1" i="1"/>
  <c r="BJ3" i="1"/>
  <c r="AR84" i="1"/>
  <c r="BH97" i="1"/>
  <c r="BI92" i="1" s="1"/>
  <c r="BH35" i="1"/>
  <c r="BH61" i="1"/>
  <c r="BI56" i="1" s="1"/>
  <c r="AR41" i="1" l="1"/>
  <c r="AR85" i="1"/>
  <c r="AS80" i="1" s="1"/>
  <c r="BI58" i="1"/>
  <c r="BI33" i="1" s="1"/>
  <c r="BI81" i="1"/>
  <c r="BI60" i="1"/>
  <c r="BI35" i="1" s="1"/>
  <c r="BJ90" i="1"/>
  <c r="BJ138" i="1"/>
  <c r="BJ4" i="1"/>
  <c r="BJ78" i="1"/>
  <c r="BI93" i="1"/>
  <c r="BI94" i="1" s="1"/>
  <c r="BI96" i="1" s="1"/>
  <c r="BI70" i="1"/>
  <c r="BI38" i="1" s="1"/>
  <c r="BJ139" i="1" l="1"/>
  <c r="BJ91" i="1"/>
  <c r="BJ79" i="1"/>
  <c r="BJ1" i="1"/>
  <c r="BK3" i="1"/>
  <c r="AS82" i="1"/>
  <c r="BI97" i="1"/>
  <c r="BJ92" i="1" s="1"/>
  <c r="BI12" i="1"/>
  <c r="BI19" i="1" s="1"/>
  <c r="BI61" i="1"/>
  <c r="BJ56" i="1" s="1"/>
  <c r="AS84" i="1" l="1"/>
  <c r="BJ58" i="1"/>
  <c r="BJ33" i="1" s="1"/>
  <c r="BJ81" i="1"/>
  <c r="BJ60" i="1"/>
  <c r="BJ35" i="1" s="1"/>
  <c r="BJ93" i="1"/>
  <c r="BJ94" i="1" s="1"/>
  <c r="BJ96" i="1" s="1"/>
  <c r="BJ97" i="1" s="1"/>
  <c r="BK92" i="1" s="1"/>
  <c r="BJ70" i="1"/>
  <c r="BJ38" i="1" s="1"/>
  <c r="BK90" i="1"/>
  <c r="BK138" i="1"/>
  <c r="BK78" i="1"/>
  <c r="BK4" i="1"/>
  <c r="BJ12" i="1" l="1"/>
  <c r="BJ19" i="1" s="1"/>
  <c r="BJ61" i="1"/>
  <c r="BK56" i="1" s="1"/>
  <c r="AS41" i="1"/>
  <c r="AS85" i="1"/>
  <c r="AT80" i="1" s="1"/>
  <c r="BK139" i="1"/>
  <c r="BK79" i="1"/>
  <c r="BK91" i="1"/>
  <c r="BK1" i="1"/>
  <c r="BK81" i="1" l="1"/>
  <c r="BK60" i="1"/>
  <c r="AT82" i="1"/>
  <c r="BK58" i="1"/>
  <c r="BK61" i="1"/>
  <c r="BK93" i="1"/>
  <c r="BK70" i="1"/>
  <c r="BK33" i="1" l="1"/>
  <c r="B58" i="1"/>
  <c r="BN58" i="1"/>
  <c r="BK35" i="1"/>
  <c r="B60" i="1"/>
  <c r="BN60" i="1"/>
  <c r="BK12" i="1"/>
  <c r="B81" i="1"/>
  <c r="BN81" i="1"/>
  <c r="AT84" i="1"/>
  <c r="BK38" i="1"/>
  <c r="B70" i="1"/>
  <c r="BN70" i="1"/>
  <c r="B93" i="1"/>
  <c r="BN93" i="1"/>
  <c r="BK94" i="1"/>
  <c r="D95" i="1" l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K19" i="1"/>
  <c r="B19" i="1" s="1"/>
  <c r="B12" i="1"/>
  <c r="BN12" i="1"/>
  <c r="BN19" i="1" s="1"/>
  <c r="B35" i="1"/>
  <c r="BN35" i="1"/>
  <c r="AT41" i="1"/>
  <c r="AT85" i="1"/>
  <c r="AU80" i="1" s="1"/>
  <c r="D83" i="1"/>
  <c r="E83" i="1"/>
  <c r="E40" i="1" s="1"/>
  <c r="F83" i="1"/>
  <c r="F40" i="1" s="1"/>
  <c r="F44" i="1" s="1"/>
  <c r="G83" i="1"/>
  <c r="G40" i="1" s="1"/>
  <c r="G44" i="1" s="1"/>
  <c r="H83" i="1"/>
  <c r="H40" i="1" s="1"/>
  <c r="H44" i="1" s="1"/>
  <c r="I83" i="1"/>
  <c r="J83" i="1"/>
  <c r="K83" i="1"/>
  <c r="L83" i="1"/>
  <c r="L40" i="1" s="1"/>
  <c r="L44" i="1" s="1"/>
  <c r="M83" i="1"/>
  <c r="M40" i="1" s="1"/>
  <c r="M44" i="1" s="1"/>
  <c r="N83" i="1"/>
  <c r="N40" i="1" s="1"/>
  <c r="N44" i="1" s="1"/>
  <c r="O83" i="1"/>
  <c r="O40" i="1" s="1"/>
  <c r="O44" i="1" s="1"/>
  <c r="P83" i="1"/>
  <c r="Q83" i="1"/>
  <c r="R83" i="1"/>
  <c r="S83" i="1"/>
  <c r="T83" i="1"/>
  <c r="T40" i="1" s="1"/>
  <c r="T44" i="1" s="1"/>
  <c r="U83" i="1"/>
  <c r="U40" i="1" s="1"/>
  <c r="U44" i="1" s="1"/>
  <c r="V83" i="1"/>
  <c r="V40" i="1" s="1"/>
  <c r="V44" i="1" s="1"/>
  <c r="W83" i="1"/>
  <c r="W40" i="1" s="1"/>
  <c r="W44" i="1" s="1"/>
  <c r="X83" i="1"/>
  <c r="X40" i="1" s="1"/>
  <c r="X44" i="1" s="1"/>
  <c r="Y83" i="1"/>
  <c r="Z83" i="1"/>
  <c r="AA83" i="1"/>
  <c r="AB83" i="1"/>
  <c r="AB40" i="1" s="1"/>
  <c r="AB44" i="1" s="1"/>
  <c r="AC83" i="1"/>
  <c r="AC40" i="1" s="1"/>
  <c r="AC44" i="1" s="1"/>
  <c r="AD83" i="1"/>
  <c r="AD40" i="1" s="1"/>
  <c r="AD44" i="1" s="1"/>
  <c r="AE83" i="1"/>
  <c r="AE40" i="1" s="1"/>
  <c r="AE44" i="1" s="1"/>
  <c r="AF83" i="1"/>
  <c r="AF40" i="1" s="1"/>
  <c r="AF44" i="1" s="1"/>
  <c r="AG83" i="1"/>
  <c r="AH83" i="1"/>
  <c r="AI83" i="1"/>
  <c r="AJ83" i="1"/>
  <c r="AJ40" i="1" s="1"/>
  <c r="AJ44" i="1" s="1"/>
  <c r="AK83" i="1"/>
  <c r="AK40" i="1" s="1"/>
  <c r="AK44" i="1" s="1"/>
  <c r="AL83" i="1"/>
  <c r="AL40" i="1" s="1"/>
  <c r="AL44" i="1" s="1"/>
  <c r="AM83" i="1"/>
  <c r="AM40" i="1" s="1"/>
  <c r="AM44" i="1" s="1"/>
  <c r="AN83" i="1"/>
  <c r="AN40" i="1" s="1"/>
  <c r="AN44" i="1" s="1"/>
  <c r="AO83" i="1"/>
  <c r="AP83" i="1"/>
  <c r="AQ83" i="1"/>
  <c r="AR83" i="1"/>
  <c r="AR40" i="1" s="1"/>
  <c r="AR44" i="1" s="1"/>
  <c r="AS83" i="1"/>
  <c r="AS40" i="1" s="1"/>
  <c r="AS44" i="1" s="1"/>
  <c r="AT83" i="1"/>
  <c r="AT40" i="1" s="1"/>
  <c r="AT44" i="1" s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38" i="1"/>
  <c r="D16" i="2" s="1"/>
  <c r="C16" i="2" s="1"/>
  <c r="BN38" i="1"/>
  <c r="BK96" i="1"/>
  <c r="B94" i="1"/>
  <c r="BN94" i="1"/>
  <c r="B33" i="1"/>
  <c r="D15" i="2" s="1"/>
  <c r="BN33" i="1"/>
  <c r="E44" i="1" l="1"/>
  <c r="BN95" i="1"/>
  <c r="B83" i="1"/>
  <c r="BN83" i="1"/>
  <c r="P40" i="1"/>
  <c r="AQ40" i="1"/>
  <c r="AQ44" i="1" s="1"/>
  <c r="AI40" i="1"/>
  <c r="AI44" i="1" s="1"/>
  <c r="AA40" i="1"/>
  <c r="AA44" i="1" s="1"/>
  <c r="S40" i="1"/>
  <c r="S44" i="1" s="1"/>
  <c r="K40" i="1"/>
  <c r="K44" i="1" s="1"/>
  <c r="AU82" i="1"/>
  <c r="C15" i="2"/>
  <c r="B96" i="1"/>
  <c r="BN96" i="1"/>
  <c r="BK97" i="1"/>
  <c r="AH40" i="1"/>
  <c r="AH44" i="1" s="1"/>
  <c r="Z40" i="1"/>
  <c r="Z44" i="1" s="1"/>
  <c r="R40" i="1"/>
  <c r="R44" i="1" s="1"/>
  <c r="J40" i="1"/>
  <c r="J44" i="1" s="1"/>
  <c r="AP40" i="1"/>
  <c r="AP44" i="1" s="1"/>
  <c r="AO40" i="1"/>
  <c r="AO44" i="1" s="1"/>
  <c r="AG40" i="1"/>
  <c r="AG44" i="1" s="1"/>
  <c r="Y40" i="1"/>
  <c r="Y44" i="1" s="1"/>
  <c r="Q40" i="1"/>
  <c r="Q44" i="1" s="1"/>
  <c r="I40" i="1"/>
  <c r="I44" i="1" s="1"/>
  <c r="B95" i="1"/>
  <c r="P44" i="1" l="1"/>
  <c r="E46" i="1"/>
  <c r="F6" i="1" s="1"/>
  <c r="F46" i="1" s="1"/>
  <c r="G6" i="1" s="1"/>
  <c r="G46" i="1" s="1"/>
  <c r="H6" i="1" s="1"/>
  <c r="H46" i="1" s="1"/>
  <c r="I6" i="1" s="1"/>
  <c r="I46" i="1" s="1"/>
  <c r="J6" i="1" s="1"/>
  <c r="J46" i="1" s="1"/>
  <c r="K6" i="1" s="1"/>
  <c r="K46" i="1" s="1"/>
  <c r="L6" i="1" s="1"/>
  <c r="L46" i="1" s="1"/>
  <c r="M6" i="1" s="1"/>
  <c r="M46" i="1" s="1"/>
  <c r="N6" i="1" s="1"/>
  <c r="N46" i="1" s="1"/>
  <c r="O6" i="1" s="1"/>
  <c r="O46" i="1" s="1"/>
  <c r="AU40" i="1"/>
  <c r="AU84" i="1"/>
  <c r="AU41" i="1" l="1"/>
  <c r="AU44" i="1" s="1"/>
  <c r="AU85" i="1"/>
  <c r="AV80" i="1" s="1"/>
  <c r="BN6" i="1"/>
  <c r="P6" i="1"/>
  <c r="P46" i="1" s="1"/>
  <c r="Q6" i="1" s="1"/>
  <c r="Q46" i="1" s="1"/>
  <c r="R6" i="1" s="1"/>
  <c r="R46" i="1" s="1"/>
  <c r="S6" i="1" s="1"/>
  <c r="S46" i="1" s="1"/>
  <c r="T6" i="1" s="1"/>
  <c r="T46" i="1" s="1"/>
  <c r="U6" i="1" s="1"/>
  <c r="U46" i="1" s="1"/>
  <c r="V6" i="1" s="1"/>
  <c r="V46" i="1" s="1"/>
  <c r="W6" i="1" s="1"/>
  <c r="W46" i="1" s="1"/>
  <c r="X6" i="1" s="1"/>
  <c r="X46" i="1" s="1"/>
  <c r="Y6" i="1" s="1"/>
  <c r="Y46" i="1" s="1"/>
  <c r="Z6" i="1" s="1"/>
  <c r="Z46" i="1" s="1"/>
  <c r="AA6" i="1" s="1"/>
  <c r="AA46" i="1" s="1"/>
  <c r="AB6" i="1" s="1"/>
  <c r="AB46" i="1" s="1"/>
  <c r="AC6" i="1" s="1"/>
  <c r="AC46" i="1" s="1"/>
  <c r="AD6" i="1" s="1"/>
  <c r="AD46" i="1" s="1"/>
  <c r="AE6" i="1" s="1"/>
  <c r="AE46" i="1" s="1"/>
  <c r="AF6" i="1" s="1"/>
  <c r="AF46" i="1" s="1"/>
  <c r="AG6" i="1" s="1"/>
  <c r="AG46" i="1" s="1"/>
  <c r="AH6" i="1" s="1"/>
  <c r="AH46" i="1" s="1"/>
  <c r="AI6" i="1" s="1"/>
  <c r="AI46" i="1" s="1"/>
  <c r="AJ6" i="1" s="1"/>
  <c r="AJ46" i="1" s="1"/>
  <c r="AK6" i="1" s="1"/>
  <c r="AK46" i="1" s="1"/>
  <c r="AL6" i="1" s="1"/>
  <c r="AL46" i="1" s="1"/>
  <c r="AM6" i="1" s="1"/>
  <c r="AM46" i="1" s="1"/>
  <c r="AN6" i="1" s="1"/>
  <c r="AN46" i="1" s="1"/>
  <c r="AO6" i="1" s="1"/>
  <c r="AO46" i="1" s="1"/>
  <c r="AP6" i="1" s="1"/>
  <c r="AP46" i="1" s="1"/>
  <c r="AQ6" i="1" s="1"/>
  <c r="AQ46" i="1" s="1"/>
  <c r="AR6" i="1" s="1"/>
  <c r="AR46" i="1" s="1"/>
  <c r="AS6" i="1" s="1"/>
  <c r="AS46" i="1" s="1"/>
  <c r="AT6" i="1" s="1"/>
  <c r="AT46" i="1" s="1"/>
  <c r="AU6" i="1" s="1"/>
  <c r="AV82" i="1" l="1"/>
  <c r="AU46" i="1"/>
  <c r="AV6" i="1" s="1"/>
  <c r="AV40" i="1" l="1"/>
  <c r="AV84" i="1"/>
  <c r="AV41" i="1" l="1"/>
  <c r="AV85" i="1"/>
  <c r="AW80" i="1" s="1"/>
  <c r="AV44" i="1"/>
  <c r="AV46" i="1" s="1"/>
  <c r="AW6" i="1" s="1"/>
  <c r="AW82" i="1" l="1"/>
  <c r="AW40" i="1" l="1"/>
  <c r="AW84" i="1"/>
  <c r="AW41" i="1" l="1"/>
  <c r="AW85" i="1"/>
  <c r="AX80" i="1" s="1"/>
  <c r="AW44" i="1"/>
  <c r="AW46" i="1" s="1"/>
  <c r="AX6" i="1" s="1"/>
  <c r="AX82" i="1" l="1"/>
  <c r="AX40" i="1" l="1"/>
  <c r="AX84" i="1"/>
  <c r="AX41" i="1" l="1"/>
  <c r="AX85" i="1"/>
  <c r="AY80" i="1" s="1"/>
  <c r="AX44" i="1"/>
  <c r="AX46" i="1" s="1"/>
  <c r="AY6" i="1" s="1"/>
  <c r="AY82" i="1" l="1"/>
  <c r="AY40" i="1" l="1"/>
  <c r="AY84" i="1"/>
  <c r="AY41" i="1" l="1"/>
  <c r="AY85" i="1"/>
  <c r="AZ80" i="1" s="1"/>
  <c r="AY44" i="1"/>
  <c r="AY46" i="1" s="1"/>
  <c r="AZ6" i="1" s="1"/>
  <c r="AZ82" i="1" l="1"/>
  <c r="AZ40" i="1" l="1"/>
  <c r="AZ84" i="1"/>
  <c r="AZ41" i="1" l="1"/>
  <c r="AZ44" i="1" s="1"/>
  <c r="AZ46" i="1" s="1"/>
  <c r="BA6" i="1" s="1"/>
  <c r="AZ85" i="1"/>
  <c r="BA80" i="1" s="1"/>
  <c r="BA82" i="1" l="1"/>
  <c r="BA40" i="1" l="1"/>
  <c r="BA84" i="1"/>
  <c r="BA41" i="1" l="1"/>
  <c r="BA44" i="1" s="1"/>
  <c r="BA46" i="1" s="1"/>
  <c r="BB6" i="1" s="1"/>
  <c r="BA85" i="1"/>
  <c r="BB80" i="1" s="1"/>
  <c r="BB82" i="1" l="1"/>
  <c r="BB40" i="1" l="1"/>
  <c r="BB84" i="1"/>
  <c r="BB41" i="1" l="1"/>
  <c r="BB44" i="1" s="1"/>
  <c r="BB46" i="1" s="1"/>
  <c r="BC6" i="1" s="1"/>
  <c r="BB85" i="1"/>
  <c r="BC80" i="1" s="1"/>
  <c r="BC82" i="1" l="1"/>
  <c r="BC40" i="1" l="1"/>
  <c r="BC84" i="1"/>
  <c r="BC41" i="1" l="1"/>
  <c r="BC44" i="1" s="1"/>
  <c r="BC46" i="1" s="1"/>
  <c r="BD6" i="1" s="1"/>
  <c r="BC85" i="1"/>
  <c r="BD80" i="1" s="1"/>
  <c r="BD82" i="1" l="1"/>
  <c r="BD40" i="1" l="1"/>
  <c r="BD84" i="1"/>
  <c r="BD41" i="1" l="1"/>
  <c r="BD44" i="1" s="1"/>
  <c r="BD46" i="1" s="1"/>
  <c r="BE6" i="1" s="1"/>
  <c r="BD85" i="1"/>
  <c r="BE80" i="1" s="1"/>
  <c r="BE82" i="1" l="1"/>
  <c r="BE40" i="1" l="1"/>
  <c r="BE84" i="1"/>
  <c r="BE41" i="1" l="1"/>
  <c r="BE44" i="1" s="1"/>
  <c r="BE46" i="1" s="1"/>
  <c r="BF6" i="1" s="1"/>
  <c r="BE85" i="1"/>
  <c r="BF80" i="1" s="1"/>
  <c r="BF82" i="1" l="1"/>
  <c r="BF40" i="1" l="1"/>
  <c r="BF84" i="1"/>
  <c r="BF41" i="1" l="1"/>
  <c r="BF44" i="1" s="1"/>
  <c r="BF46" i="1" s="1"/>
  <c r="BG6" i="1" s="1"/>
  <c r="BF85" i="1"/>
  <c r="BG80" i="1" s="1"/>
  <c r="BG82" i="1" l="1"/>
  <c r="BG40" i="1" l="1"/>
  <c r="BG84" i="1"/>
  <c r="BG41" i="1" l="1"/>
  <c r="BG44" i="1" s="1"/>
  <c r="BG46" i="1" s="1"/>
  <c r="BH6" i="1" s="1"/>
  <c r="BG85" i="1"/>
  <c r="BH80" i="1" s="1"/>
  <c r="BH82" i="1" l="1"/>
  <c r="BH40" i="1" l="1"/>
  <c r="BH84" i="1"/>
  <c r="BH41" i="1" l="1"/>
  <c r="BH44" i="1" s="1"/>
  <c r="BH46" i="1" s="1"/>
  <c r="BI6" i="1" s="1"/>
  <c r="BH85" i="1"/>
  <c r="BI80" i="1" s="1"/>
  <c r="BI82" i="1" l="1"/>
  <c r="BI40" i="1" l="1"/>
  <c r="BI84" i="1"/>
  <c r="BI41" i="1" l="1"/>
  <c r="BI44" i="1" s="1"/>
  <c r="BI46" i="1" s="1"/>
  <c r="BJ6" i="1" s="1"/>
  <c r="BI85" i="1"/>
  <c r="BJ80" i="1" s="1"/>
  <c r="BJ82" i="1" l="1"/>
  <c r="BJ40" i="1" l="1"/>
  <c r="BJ84" i="1"/>
  <c r="BJ41" i="1" l="1"/>
  <c r="BJ44" i="1" s="1"/>
  <c r="BJ46" i="1" s="1"/>
  <c r="BK6" i="1" s="1"/>
  <c r="BJ85" i="1"/>
  <c r="BK80" i="1" s="1"/>
  <c r="BK82" i="1" l="1"/>
  <c r="BK40" i="1" l="1"/>
  <c r="BK84" i="1"/>
  <c r="B82" i="1"/>
  <c r="BN82" i="1"/>
  <c r="BK41" i="1" l="1"/>
  <c r="B84" i="1"/>
  <c r="BN84" i="1"/>
  <c r="BK85" i="1"/>
  <c r="BK44" i="1"/>
  <c r="B40" i="1"/>
  <c r="D17" i="2" s="1"/>
  <c r="BN40" i="1"/>
  <c r="C17" i="2" l="1"/>
  <c r="D14" i="2"/>
  <c r="B44" i="1"/>
  <c r="BK46" i="1"/>
  <c r="B41" i="1"/>
  <c r="BN41" i="1"/>
  <c r="BN44" i="1" s="1"/>
  <c r="BN46" i="1" s="1"/>
  <c r="C14" i="2" l="1"/>
  <c r="C18" i="2" s="1"/>
  <c r="D18" i="2"/>
</calcChain>
</file>

<file path=xl/sharedStrings.xml><?xml version="1.0" encoding="utf-8"?>
<sst xmlns="http://schemas.openxmlformats.org/spreadsheetml/2006/main" count="267" uniqueCount="166">
  <si>
    <t>Year</t>
  </si>
  <si>
    <t>to be incurred</t>
  </si>
  <si>
    <t>Month no.</t>
  </si>
  <si>
    <t>month start</t>
  </si>
  <si>
    <t>from Apr 2024</t>
  </si>
  <si>
    <t>month end</t>
  </si>
  <si>
    <t>till Mar 2028</t>
  </si>
  <si>
    <t>All figures in INR Cr</t>
  </si>
  <si>
    <t>Incurred till 30th Apr 2023</t>
  </si>
  <si>
    <t>Opening Balance</t>
  </si>
  <si>
    <t>Inflows</t>
  </si>
  <si>
    <t>Promoter's Contribution incurred</t>
  </si>
  <si>
    <t>Construction Finance (Phase 2)</t>
  </si>
  <si>
    <t>JM Finance Loan</t>
  </si>
  <si>
    <t>Rental Income</t>
  </si>
  <si>
    <t>Security Deposit</t>
  </si>
  <si>
    <t>Other Inflows (Scrap Sale, Interest on FD)</t>
  </si>
  <si>
    <t>ASK NCD Inflow - outflow</t>
  </si>
  <si>
    <t>HDFC Inflow - outflow</t>
  </si>
  <si>
    <t>Total Inflows</t>
  </si>
  <si>
    <t>Outflows</t>
  </si>
  <si>
    <t>Total</t>
  </si>
  <si>
    <t>Land Cost + Stamp Duty Cost</t>
  </si>
  <si>
    <t>Approval Cost</t>
  </si>
  <si>
    <t>BG Margin</t>
  </si>
  <si>
    <t>Construction Cost (Phase 1)</t>
  </si>
  <si>
    <t>Construction Cost (Phase 2)</t>
  </si>
  <si>
    <t>Lease Rent to DMRC till mar 2028</t>
  </si>
  <si>
    <t>for existing land parcel</t>
  </si>
  <si>
    <t>for new land parcel</t>
  </si>
  <si>
    <t>Marketing &amp; Admin Expense</t>
  </si>
  <si>
    <t>Consultancy / Legal / Professional fees</t>
  </si>
  <si>
    <t>Interest Cost to JM Finance</t>
  </si>
  <si>
    <t>Processing Fees to JM Finance</t>
  </si>
  <si>
    <t>JM Finance Exit</t>
  </si>
  <si>
    <t>Repayment to Wework for fitouts</t>
  </si>
  <si>
    <t>Other Loan processing fees</t>
  </si>
  <si>
    <t>Interest Cost on Construction Finance (Phase 2)</t>
  </si>
  <si>
    <t>Principal repayment of Construction Finance (Phase 2)</t>
  </si>
  <si>
    <t>Interest on LRD Loan + Processing Fees</t>
  </si>
  <si>
    <t>Principal repayment of LRD</t>
  </si>
  <si>
    <t>HDFC interest paid earlier</t>
  </si>
  <si>
    <t>ASK NCD interest paid earlier</t>
  </si>
  <si>
    <t>Total Outflows</t>
  </si>
  <si>
    <t>Closing Balance</t>
  </si>
  <si>
    <t>JM Finance</t>
  </si>
  <si>
    <t>Loan Start Date</t>
  </si>
  <si>
    <t>Interest Rate p.a till may 2023</t>
  </si>
  <si>
    <t>Interest Rate p.a from June 2023</t>
  </si>
  <si>
    <t>DSRA</t>
  </si>
  <si>
    <t>Incurred till date</t>
  </si>
  <si>
    <t>Fund Inflow</t>
  </si>
  <si>
    <t>Interest Cost payment</t>
  </si>
  <si>
    <t>Loan processing fees paid</t>
  </si>
  <si>
    <t>Principal Repayment</t>
  </si>
  <si>
    <t>Construction Finance Phase 2</t>
  </si>
  <si>
    <t>Interest Rate p.a</t>
  </si>
  <si>
    <t>LRD Phase 1</t>
  </si>
  <si>
    <t>LRD Date</t>
  </si>
  <si>
    <t>LRD Multiple</t>
  </si>
  <si>
    <t>Loan processing fees</t>
  </si>
  <si>
    <t>LRD Phase 2</t>
  </si>
  <si>
    <t>DMRC Calculation Assumptions</t>
  </si>
  <si>
    <t>For Existing land</t>
  </si>
  <si>
    <t>For New Land</t>
  </si>
  <si>
    <t>Rental Start Date</t>
  </si>
  <si>
    <t>Moratorium till</t>
  </si>
  <si>
    <t>Land Area</t>
  </si>
  <si>
    <t>Sqm</t>
  </si>
  <si>
    <t>Monthly Rental</t>
  </si>
  <si>
    <t>INR/Sqm</t>
  </si>
  <si>
    <t>Escalation</t>
  </si>
  <si>
    <t>% every 3 Years</t>
  </si>
  <si>
    <t>First Escalation date</t>
  </si>
  <si>
    <t>Second Escalation date</t>
  </si>
  <si>
    <t>Third Escalation date</t>
  </si>
  <si>
    <t>GST on rent</t>
  </si>
  <si>
    <t>%</t>
  </si>
  <si>
    <t>Rental Calculation Assumptions</t>
  </si>
  <si>
    <t>Total Area for lease in Phase 1</t>
  </si>
  <si>
    <t>% leased till date</t>
  </si>
  <si>
    <t>Retail Area</t>
  </si>
  <si>
    <t>Office Area</t>
  </si>
  <si>
    <t>Floor/Phase</t>
  </si>
  <si>
    <t>Gross Leasable Area (Sqft)</t>
  </si>
  <si>
    <t>Total Retail Area</t>
  </si>
  <si>
    <t>Leased Area</t>
  </si>
  <si>
    <t>Vacant Area</t>
  </si>
  <si>
    <t>Lease Rental on lease area</t>
  </si>
  <si>
    <t>Lease Rental on vacant Area</t>
  </si>
  <si>
    <t>Average Rental 
(INR PSF)</t>
  </si>
  <si>
    <t>Total Monthly Rental 
(INR Lakhs)</t>
  </si>
  <si>
    <t>Total Office Area</t>
  </si>
  <si>
    <t>Average Rental</t>
  </si>
  <si>
    <t>Type</t>
  </si>
  <si>
    <t>Floor</t>
  </si>
  <si>
    <t>Leased Area (Sqft)</t>
  </si>
  <si>
    <t xml:space="preserve">Average Rental/ month </t>
  </si>
  <si>
    <t>Monthly rental
(INR Lacs)</t>
  </si>
  <si>
    <t>Ground (Phase 1)</t>
  </si>
  <si>
    <t>1st (Phase 1)</t>
  </si>
  <si>
    <t>High end Jazz bar</t>
  </si>
  <si>
    <t>Retail</t>
  </si>
  <si>
    <t>GF</t>
  </si>
  <si>
    <t>2nd (Phase 1)</t>
  </si>
  <si>
    <t>1st</t>
  </si>
  <si>
    <t>3rd (Phase 1)</t>
  </si>
  <si>
    <t>MNC Coffee Chain</t>
  </si>
  <si>
    <t>4th (Phase 2)</t>
  </si>
  <si>
    <t>Café</t>
  </si>
  <si>
    <t>5th (Phase 2)</t>
  </si>
  <si>
    <t>MNC Coworking Space</t>
  </si>
  <si>
    <t>Office</t>
  </si>
  <si>
    <t>2nd</t>
  </si>
  <si>
    <t>Gaming Company</t>
  </si>
  <si>
    <t>Overall Rental</t>
  </si>
  <si>
    <t>Dental Firm</t>
  </si>
  <si>
    <t>3rd</t>
  </si>
  <si>
    <t>Start Mth</t>
  </si>
  <si>
    <t>End Mth</t>
  </si>
  <si>
    <t>ASSUMPTIONS</t>
  </si>
  <si>
    <t>Lease Pattern</t>
  </si>
  <si>
    <t>Phase 1</t>
  </si>
  <si>
    <t>Retail Area (Vacant)</t>
  </si>
  <si>
    <t>Office Area (Vacant)</t>
  </si>
  <si>
    <t>Phase 2</t>
  </si>
  <si>
    <t>Leasable Area (Sqft)</t>
  </si>
  <si>
    <t>MNC Coworking Space (LOI signed)</t>
  </si>
  <si>
    <t>High End Jazz Bar (LOI signed)</t>
  </si>
  <si>
    <t>MNC Coffee Chain (Final stage of discussion)</t>
  </si>
  <si>
    <t>Retail Area (vacant)</t>
  </si>
  <si>
    <t>Cumulative Monthly Rental (INR Cr)</t>
  </si>
  <si>
    <t>Rental from parking</t>
  </si>
  <si>
    <t>Total Rental Income</t>
  </si>
  <si>
    <t>Leasing Brokerage</t>
  </si>
  <si>
    <t>Budgeted</t>
  </si>
  <si>
    <t>To be incurred</t>
  </si>
  <si>
    <t>Incurred</t>
  </si>
  <si>
    <t>Land Cost + Approvals</t>
  </si>
  <si>
    <t>Construction Cost</t>
  </si>
  <si>
    <t xml:space="preserve">        COC of Existing Area</t>
  </si>
  <si>
    <t xml:space="preserve">        COC of Additional Area</t>
  </si>
  <si>
    <t>Overhead Costs</t>
  </si>
  <si>
    <t>Lease rent to DMRC till Mar 2028</t>
  </si>
  <si>
    <t xml:space="preserve">        Existing Land Parcel</t>
  </si>
  <si>
    <t xml:space="preserve">        Additional Area</t>
  </si>
  <si>
    <t>Interest Expense</t>
  </si>
  <si>
    <t xml:space="preserve">        JM Finance</t>
  </si>
  <si>
    <t>Construction Finance Interest</t>
  </si>
  <si>
    <t xml:space="preserve">        LRD Interest</t>
  </si>
  <si>
    <t>Total Project Cost</t>
  </si>
  <si>
    <t>Sources</t>
  </si>
  <si>
    <t>till date</t>
  </si>
  <si>
    <t>Promoter's contribution</t>
  </si>
  <si>
    <t>JM Finanace Loan</t>
  </si>
  <si>
    <t>Other sources</t>
  </si>
  <si>
    <t>Total Sources</t>
  </si>
  <si>
    <t>Uses</t>
  </si>
  <si>
    <t>Land + Stamp Duty Cost</t>
  </si>
  <si>
    <t>Lease rent to DMRC</t>
  </si>
  <si>
    <t>Interest to JM Finance</t>
  </si>
  <si>
    <t>Interest to HDFC</t>
  </si>
  <si>
    <t>Interest to ASK</t>
  </si>
  <si>
    <t>Processing Fees</t>
  </si>
  <si>
    <t>LRD Loan (Assumption)</t>
  </si>
  <si>
    <t>Brokerage Cost (2 month rental)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</si>
</sst>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&quot;M&quot;#"/>
    <numFmt numFmtId="165" formatCode="[$-409]dd/mmm/yy;@"/>
    <numFmt numFmtId="166" formatCode="_ * #,##0.0_ ;_ * \-#,##0.0_ ;_ * &quot;-&quot;??_ ;_ @_ "/>
    <numFmt numFmtId="167" formatCode="#,##0.0"/>
    <numFmt numFmtId="168" formatCode="[$-409]mmm/yy;@"/>
    <numFmt numFmtId="169" formatCode="_ * #,##0_ ;_ * \-#,##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8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002060"/>
        <bgColor rgb="FFFFFFCC"/>
      </patternFill>
    </fill>
    <fill>
      <patternFill patternType="solid">
        <fgColor rgb="FF00B050"/>
        <b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FFCC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2" borderId="1" xfId="3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/>
    <xf numFmtId="4" fontId="9" fillId="3" borderId="0" xfId="4" applyNumberFormat="1" applyFont="1" applyFill="1" applyAlignment="1">
      <alignment horizontal="center" vertical="center"/>
    </xf>
    <xf numFmtId="3" fontId="10" fillId="3" borderId="0" xfId="4" applyNumberFormat="1" applyFont="1" applyFill="1" applyAlignment="1">
      <alignment horizontal="center" vertical="center" wrapText="1"/>
    </xf>
    <xf numFmtId="0" fontId="9" fillId="3" borderId="2" xfId="4" applyFont="1" applyFill="1" applyBorder="1"/>
    <xf numFmtId="4" fontId="9" fillId="3" borderId="3" xfId="4" applyNumberFormat="1" applyFont="1" applyFill="1" applyBorder="1"/>
    <xf numFmtId="4" fontId="10" fillId="3" borderId="3" xfId="4" applyNumberFormat="1" applyFont="1" applyFill="1" applyBorder="1"/>
    <xf numFmtId="43" fontId="9" fillId="3" borderId="4" xfId="1" applyFont="1" applyFill="1" applyBorder="1"/>
    <xf numFmtId="0" fontId="2" fillId="0" borderId="0" xfId="0" applyFont="1"/>
    <xf numFmtId="4" fontId="10" fillId="3" borderId="0" xfId="4" applyNumberFormat="1" applyFont="1" applyFill="1" applyAlignment="1">
      <alignment horizontal="center" vertical="center"/>
    </xf>
    <xf numFmtId="43" fontId="9" fillId="3" borderId="0" xfId="1" applyFont="1" applyFill="1" applyBorder="1"/>
    <xf numFmtId="0" fontId="6" fillId="4" borderId="2" xfId="4" applyFont="1" applyFill="1" applyBorder="1"/>
    <xf numFmtId="166" fontId="0" fillId="0" borderId="0" xfId="1" applyNumberFormat="1" applyFont="1"/>
    <xf numFmtId="166" fontId="11" fillId="0" borderId="0" xfId="1" applyNumberFormat="1" applyFont="1"/>
    <xf numFmtId="0" fontId="9" fillId="0" borderId="2" xfId="4" applyFont="1" applyBorder="1"/>
    <xf numFmtId="166" fontId="9" fillId="0" borderId="3" xfId="1" applyNumberFormat="1" applyFont="1" applyBorder="1"/>
    <xf numFmtId="166" fontId="10" fillId="0" borderId="3" xfId="1" applyNumberFormat="1" applyFont="1" applyBorder="1"/>
    <xf numFmtId="166" fontId="9" fillId="0" borderId="4" xfId="1" applyNumberFormat="1" applyFont="1" applyFill="1" applyBorder="1"/>
    <xf numFmtId="0" fontId="12" fillId="0" borderId="0" xfId="0" applyFont="1"/>
    <xf numFmtId="0" fontId="13" fillId="0" borderId="0" xfId="0" applyFont="1"/>
    <xf numFmtId="166" fontId="14" fillId="0" borderId="4" xfId="1" applyNumberFormat="1" applyFont="1" applyFill="1" applyBorder="1"/>
    <xf numFmtId="166" fontId="9" fillId="0" borderId="3" xfId="1" applyNumberFormat="1" applyFont="1" applyFill="1" applyBorder="1"/>
    <xf numFmtId="166" fontId="10" fillId="0" borderId="3" xfId="1" applyNumberFormat="1" applyFont="1" applyFill="1" applyBorder="1"/>
    <xf numFmtId="166" fontId="9" fillId="3" borderId="3" xfId="1" applyNumberFormat="1" applyFont="1" applyFill="1" applyBorder="1"/>
    <xf numFmtId="166" fontId="10" fillId="3" borderId="3" xfId="1" applyNumberFormat="1" applyFont="1" applyFill="1" applyBorder="1"/>
    <xf numFmtId="166" fontId="9" fillId="3" borderId="4" xfId="1" applyNumberFormat="1" applyFont="1" applyFill="1" applyBorder="1"/>
    <xf numFmtId="0" fontId="9" fillId="3" borderId="5" xfId="4" applyFont="1" applyFill="1" applyBorder="1"/>
    <xf numFmtId="0" fontId="6" fillId="5" borderId="2" xfId="4" applyFont="1" applyFill="1" applyBorder="1"/>
    <xf numFmtId="166" fontId="6" fillId="5" borderId="3" xfId="1" applyNumberFormat="1" applyFont="1" applyFill="1" applyBorder="1"/>
    <xf numFmtId="166" fontId="15" fillId="5" borderId="3" xfId="1" applyNumberFormat="1" applyFont="1" applyFill="1" applyBorder="1"/>
    <xf numFmtId="166" fontId="6" fillId="5" borderId="4" xfId="1" applyNumberFormat="1" applyFont="1" applyFill="1" applyBorder="1"/>
    <xf numFmtId="4" fontId="9" fillId="3" borderId="3" xfId="4" applyNumberFormat="1" applyFont="1" applyFill="1" applyBorder="1" applyAlignment="1">
      <alignment horizontal="center"/>
    </xf>
    <xf numFmtId="4" fontId="10" fillId="0" borderId="3" xfId="4" applyNumberFormat="1" applyFont="1" applyBorder="1" applyAlignment="1">
      <alignment horizontal="center"/>
    </xf>
    <xf numFmtId="0" fontId="16" fillId="3" borderId="2" xfId="4" applyFont="1" applyFill="1" applyBorder="1"/>
    <xf numFmtId="43" fontId="9" fillId="3" borderId="3" xfId="1" applyFont="1" applyFill="1" applyBorder="1"/>
    <xf numFmtId="43" fontId="10" fillId="0" borderId="3" xfId="1" applyFont="1" applyFill="1" applyBorder="1"/>
    <xf numFmtId="43" fontId="16" fillId="3" borderId="4" xfId="1" applyFont="1" applyFill="1" applyBorder="1"/>
    <xf numFmtId="43" fontId="16" fillId="0" borderId="4" xfId="1" applyFont="1" applyFill="1" applyBorder="1"/>
    <xf numFmtId="0" fontId="17" fillId="3" borderId="2" xfId="4" applyFont="1" applyFill="1" applyBorder="1" applyAlignment="1">
      <alignment horizontal="left" indent="1"/>
    </xf>
    <xf numFmtId="43" fontId="18" fillId="3" borderId="3" xfId="1" applyFont="1" applyFill="1" applyBorder="1"/>
    <xf numFmtId="43" fontId="18" fillId="0" borderId="3" xfId="1" applyFont="1" applyFill="1" applyBorder="1"/>
    <xf numFmtId="43" fontId="17" fillId="3" borderId="4" xfId="1" applyFont="1" applyFill="1" applyBorder="1"/>
    <xf numFmtId="0" fontId="11" fillId="0" borderId="0" xfId="0" applyFont="1"/>
    <xf numFmtId="0" fontId="19" fillId="0" borderId="0" xfId="0" applyFont="1"/>
    <xf numFmtId="43" fontId="15" fillId="5" borderId="3" xfId="1" applyFont="1" applyFill="1" applyBorder="1"/>
    <xf numFmtId="0" fontId="9" fillId="3" borderId="0" xfId="4" applyFont="1" applyFill="1"/>
    <xf numFmtId="166" fontId="9" fillId="3" borderId="0" xfId="1" applyNumberFormat="1" applyFont="1" applyFill="1"/>
    <xf numFmtId="166" fontId="10" fillId="3" borderId="0" xfId="1" applyNumberFormat="1" applyFont="1" applyFill="1"/>
    <xf numFmtId="166" fontId="9" fillId="3" borderId="0" xfId="1" applyNumberFormat="1" applyFont="1" applyFill="1" applyBorder="1"/>
    <xf numFmtId="0" fontId="9" fillId="3" borderId="0" xfId="4" applyFont="1" applyFill="1" applyAlignment="1">
      <alignment horizontal="left" indent="1"/>
    </xf>
    <xf numFmtId="43" fontId="10" fillId="3" borderId="0" xfId="1" applyFont="1" applyFill="1" applyBorder="1"/>
    <xf numFmtId="0" fontId="16" fillId="3" borderId="0" xfId="4" applyFont="1" applyFill="1"/>
    <xf numFmtId="0" fontId="20" fillId="3" borderId="0" xfId="4" applyFont="1" applyFill="1"/>
    <xf numFmtId="165" fontId="16" fillId="6" borderId="1" xfId="3" applyNumberFormat="1" applyFont="1" applyFill="1" applyBorder="1" applyAlignment="1">
      <alignment horizontal="center" vertical="center" wrapText="1"/>
    </xf>
    <xf numFmtId="10" fontId="16" fillId="7" borderId="0" xfId="4" applyNumberFormat="1" applyFont="1" applyFill="1" applyAlignment="1">
      <alignment horizontal="center"/>
    </xf>
    <xf numFmtId="4" fontId="16" fillId="8" borderId="0" xfId="4" applyNumberFormat="1" applyFont="1" applyFill="1" applyAlignment="1">
      <alignment horizontal="center"/>
    </xf>
    <xf numFmtId="43" fontId="16" fillId="3" borderId="0" xfId="4" applyNumberFormat="1" applyFont="1" applyFill="1"/>
    <xf numFmtId="0" fontId="16" fillId="3" borderId="6" xfId="4" applyFont="1" applyFill="1" applyBorder="1"/>
    <xf numFmtId="0" fontId="16" fillId="3" borderId="7" xfId="4" applyFont="1" applyFill="1" applyBorder="1"/>
    <xf numFmtId="166" fontId="20" fillId="3" borderId="8" xfId="1" applyNumberFormat="1" applyFont="1" applyFill="1" applyBorder="1"/>
    <xf numFmtId="166" fontId="16" fillId="3" borderId="9" xfId="1" applyNumberFormat="1" applyFont="1" applyFill="1" applyBorder="1"/>
    <xf numFmtId="166" fontId="20" fillId="7" borderId="10" xfId="1" applyNumberFormat="1" applyFont="1" applyFill="1" applyBorder="1"/>
    <xf numFmtId="166" fontId="16" fillId="8" borderId="4" xfId="1" applyNumberFormat="1" applyFont="1" applyFill="1" applyBorder="1"/>
    <xf numFmtId="166" fontId="16" fillId="0" borderId="4" xfId="1" applyNumberFormat="1" applyFont="1" applyFill="1" applyBorder="1"/>
    <xf numFmtId="0" fontId="16" fillId="3" borderId="11" xfId="4" applyFont="1" applyFill="1" applyBorder="1"/>
    <xf numFmtId="0" fontId="9" fillId="3" borderId="12" xfId="4" applyFont="1" applyFill="1" applyBorder="1"/>
    <xf numFmtId="166" fontId="20" fillId="3" borderId="13" xfId="1" applyNumberFormat="1" applyFont="1" applyFill="1" applyBorder="1"/>
    <xf numFmtId="166" fontId="16" fillId="3" borderId="14" xfId="1" applyNumberFormat="1" applyFont="1" applyFill="1" applyBorder="1"/>
    <xf numFmtId="166" fontId="16" fillId="7" borderId="4" xfId="1" applyNumberFormat="1" applyFont="1" applyFill="1" applyBorder="1"/>
    <xf numFmtId="4" fontId="16" fillId="6" borderId="1" xfId="3" applyNumberFormat="1" applyFont="1" applyFill="1" applyBorder="1" applyAlignment="1">
      <alignment horizontal="center" vertical="center" wrapText="1"/>
    </xf>
    <xf numFmtId="0" fontId="20" fillId="3" borderId="8" xfId="4" applyFont="1" applyFill="1" applyBorder="1"/>
    <xf numFmtId="4" fontId="16" fillId="3" borderId="9" xfId="4" applyNumberFormat="1" applyFont="1" applyFill="1" applyBorder="1"/>
    <xf numFmtId="3" fontId="20" fillId="7" borderId="10" xfId="4" applyNumberFormat="1" applyFont="1" applyFill="1" applyBorder="1"/>
    <xf numFmtId="3" fontId="16" fillId="3" borderId="4" xfId="4" applyNumberFormat="1" applyFont="1" applyFill="1" applyBorder="1"/>
    <xf numFmtId="3" fontId="16" fillId="0" borderId="4" xfId="4" applyNumberFormat="1" applyFont="1" applyBorder="1"/>
    <xf numFmtId="43" fontId="16" fillId="8" borderId="4" xfId="1" applyFont="1" applyFill="1" applyBorder="1"/>
    <xf numFmtId="4" fontId="20" fillId="7" borderId="10" xfId="4" applyNumberFormat="1" applyFont="1" applyFill="1" applyBorder="1"/>
    <xf numFmtId="167" fontId="20" fillId="7" borderId="10" xfId="4" applyNumberFormat="1" applyFont="1" applyFill="1" applyBorder="1"/>
    <xf numFmtId="4" fontId="16" fillId="7" borderId="4" xfId="4" applyNumberFormat="1" applyFont="1" applyFill="1" applyBorder="1"/>
    <xf numFmtId="3" fontId="20" fillId="3" borderId="13" xfId="4" applyNumberFormat="1" applyFont="1" applyFill="1" applyBorder="1"/>
    <xf numFmtId="3" fontId="16" fillId="3" borderId="14" xfId="4" applyNumberFormat="1" applyFont="1" applyFill="1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/>
    <xf numFmtId="0" fontId="20" fillId="0" borderId="0" xfId="0" applyFont="1"/>
    <xf numFmtId="0" fontId="16" fillId="0" borderId="4" xfId="0" applyFont="1" applyBorder="1"/>
    <xf numFmtId="15" fontId="20" fillId="3" borderId="4" xfId="4" applyNumberFormat="1" applyFont="1" applyFill="1" applyBorder="1"/>
    <xf numFmtId="15" fontId="16" fillId="3" borderId="4" xfId="4" applyNumberFormat="1" applyFont="1" applyFill="1" applyBorder="1"/>
    <xf numFmtId="15" fontId="20" fillId="0" borderId="4" xfId="0" applyNumberFormat="1" applyFont="1" applyBorder="1"/>
    <xf numFmtId="0" fontId="20" fillId="0" borderId="4" xfId="0" applyFont="1" applyBorder="1"/>
    <xf numFmtId="3" fontId="20" fillId="0" borderId="4" xfId="0" applyNumberFormat="1" applyFont="1" applyBorder="1"/>
    <xf numFmtId="3" fontId="16" fillId="0" borderId="4" xfId="0" applyNumberFormat="1" applyFont="1" applyBorder="1"/>
    <xf numFmtId="9" fontId="20" fillId="0" borderId="4" xfId="0" applyNumberFormat="1" applyFont="1" applyBorder="1"/>
    <xf numFmtId="9" fontId="16" fillId="0" borderId="4" xfId="0" applyNumberFormat="1" applyFont="1" applyBorder="1"/>
    <xf numFmtId="15" fontId="16" fillId="0" borderId="4" xfId="0" applyNumberFormat="1" applyFont="1" applyBorder="1"/>
    <xf numFmtId="3" fontId="0" fillId="0" borderId="0" xfId="0" applyNumberFormat="1"/>
    <xf numFmtId="9" fontId="0" fillId="0" borderId="0" xfId="0" applyNumberFormat="1"/>
    <xf numFmtId="0" fontId="21" fillId="0" borderId="15" xfId="0" applyFont="1" applyBorder="1"/>
    <xf numFmtId="0" fontId="12" fillId="0" borderId="16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15" xfId="0" applyFont="1" applyBorder="1"/>
    <xf numFmtId="0" fontId="16" fillId="3" borderId="0" xfId="4" applyFont="1" applyFill="1" applyAlignment="1">
      <alignment horizontal="center" vertical="center" wrapText="1"/>
    </xf>
    <xf numFmtId="0" fontId="9" fillId="3" borderId="18" xfId="4" applyFont="1" applyFill="1" applyBorder="1" applyAlignment="1">
      <alignment horizontal="left" vertical="center" wrapText="1"/>
    </xf>
    <xf numFmtId="0" fontId="9" fillId="3" borderId="19" xfId="4" applyFont="1" applyFill="1" applyBorder="1" applyAlignment="1">
      <alignment horizontal="center" vertical="center" wrapText="1"/>
    </xf>
    <xf numFmtId="0" fontId="10" fillId="3" borderId="20" xfId="4" applyFont="1" applyFill="1" applyBorder="1" applyAlignment="1">
      <alignment horizontal="center" vertical="center" wrapText="1"/>
    </xf>
    <xf numFmtId="0" fontId="9" fillId="3" borderId="20" xfId="4" applyFont="1" applyFill="1" applyBorder="1" applyAlignment="1">
      <alignment horizontal="center" vertical="center" wrapText="1"/>
    </xf>
    <xf numFmtId="0" fontId="9" fillId="3" borderId="14" xfId="4" applyFont="1" applyFill="1" applyBorder="1" applyAlignment="1">
      <alignment horizontal="center" vertical="center" wrapText="1"/>
    </xf>
    <xf numFmtId="0" fontId="9" fillId="3" borderId="21" xfId="4" applyFont="1" applyFill="1" applyBorder="1" applyAlignment="1">
      <alignment horizontal="center" vertical="center"/>
    </xf>
    <xf numFmtId="0" fontId="9" fillId="3" borderId="22" xfId="4" applyFont="1" applyFill="1" applyBorder="1" applyAlignment="1">
      <alignment horizontal="center" vertical="center" wrapText="1"/>
    </xf>
    <xf numFmtId="0" fontId="9" fillId="3" borderId="22" xfId="4" applyFont="1" applyFill="1" applyBorder="1" applyAlignment="1">
      <alignment horizontal="center" vertical="center"/>
    </xf>
    <xf numFmtId="0" fontId="9" fillId="3" borderId="23" xfId="4" applyFont="1" applyFill="1" applyBorder="1" applyAlignment="1">
      <alignment horizontal="center" vertical="center" wrapText="1"/>
    </xf>
    <xf numFmtId="0" fontId="9" fillId="3" borderId="24" xfId="4" applyFont="1" applyFill="1" applyBorder="1"/>
    <xf numFmtId="3" fontId="16" fillId="3" borderId="25" xfId="4" applyNumberFormat="1" applyFont="1" applyFill="1" applyBorder="1" applyAlignment="1">
      <alignment horizontal="center" vertical="center"/>
    </xf>
    <xf numFmtId="3" fontId="20" fillId="3" borderId="25" xfId="4" applyNumberFormat="1" applyFont="1" applyFill="1" applyBorder="1" applyAlignment="1">
      <alignment horizontal="center" vertical="center"/>
    </xf>
    <xf numFmtId="4" fontId="0" fillId="0" borderId="0" xfId="0" applyNumberFormat="1"/>
    <xf numFmtId="3" fontId="16" fillId="3" borderId="4" xfId="4" applyNumberFormat="1" applyFont="1" applyFill="1" applyBorder="1" applyAlignment="1">
      <alignment horizontal="center" vertical="center"/>
    </xf>
    <xf numFmtId="0" fontId="16" fillId="3" borderId="26" xfId="4" applyFont="1" applyFill="1" applyBorder="1"/>
    <xf numFmtId="0" fontId="0" fillId="0" borderId="9" xfId="0" applyBorder="1" applyAlignment="1">
      <alignment horizontal="center"/>
    </xf>
    <xf numFmtId="0" fontId="16" fillId="3" borderId="9" xfId="4" applyFont="1" applyFill="1" applyBorder="1" applyAlignment="1">
      <alignment horizontal="center"/>
    </xf>
    <xf numFmtId="0" fontId="16" fillId="3" borderId="27" xfId="4" applyFont="1" applyFill="1" applyBorder="1" applyAlignment="1">
      <alignment horizontal="center"/>
    </xf>
    <xf numFmtId="0" fontId="9" fillId="3" borderId="28" xfId="4" applyFont="1" applyFill="1" applyBorder="1"/>
    <xf numFmtId="3" fontId="20" fillId="3" borderId="4" xfId="4" applyNumberFormat="1" applyFont="1" applyFill="1" applyBorder="1" applyAlignment="1">
      <alignment horizontal="center" vertical="center"/>
    </xf>
    <xf numFmtId="0" fontId="16" fillId="3" borderId="29" xfId="4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16" fillId="3" borderId="4" xfId="4" applyFont="1" applyFill="1" applyBorder="1" applyAlignment="1">
      <alignment horizontal="center"/>
    </xf>
    <xf numFmtId="3" fontId="16" fillId="3" borderId="4" xfId="4" applyNumberFormat="1" applyFont="1" applyFill="1" applyBorder="1" applyAlignment="1">
      <alignment horizontal="center"/>
    </xf>
    <xf numFmtId="167" fontId="16" fillId="3" borderId="30" xfId="4" applyNumberFormat="1" applyFont="1" applyFill="1" applyBorder="1" applyAlignment="1">
      <alignment horizontal="center"/>
    </xf>
    <xf numFmtId="0" fontId="16" fillId="3" borderId="24" xfId="4" applyFont="1" applyFill="1" applyBorder="1" applyAlignment="1">
      <alignment horizontal="left" vertical="center"/>
    </xf>
    <xf numFmtId="0" fontId="16" fillId="3" borderId="28" xfId="4" applyFont="1" applyFill="1" applyBorder="1"/>
    <xf numFmtId="3" fontId="9" fillId="3" borderId="4" xfId="4" applyNumberFormat="1" applyFont="1" applyFill="1" applyBorder="1" applyAlignment="1">
      <alignment horizontal="center" vertical="center"/>
    </xf>
    <xf numFmtId="3" fontId="10" fillId="3" borderId="4" xfId="4" applyNumberFormat="1" applyFont="1" applyFill="1" applyBorder="1" applyAlignment="1">
      <alignment horizontal="center" vertical="center"/>
    </xf>
    <xf numFmtId="0" fontId="22" fillId="0" borderId="0" xfId="0" applyFont="1"/>
    <xf numFmtId="3" fontId="22" fillId="0" borderId="0" xfId="0" applyNumberFormat="1" applyFont="1"/>
    <xf numFmtId="0" fontId="23" fillId="0" borderId="0" xfId="0" applyFont="1"/>
    <xf numFmtId="3" fontId="16" fillId="3" borderId="0" xfId="4" applyNumberFormat="1" applyFont="1" applyFill="1"/>
    <xf numFmtId="0" fontId="24" fillId="0" borderId="0" xfId="0" applyFont="1"/>
    <xf numFmtId="3" fontId="24" fillId="0" borderId="0" xfId="0" applyNumberFormat="1" applyFont="1"/>
    <xf numFmtId="0" fontId="25" fillId="0" borderId="0" xfId="0" applyFont="1"/>
    <xf numFmtId="4" fontId="24" fillId="0" borderId="0" xfId="0" applyNumberFormat="1" applyFont="1"/>
    <xf numFmtId="4" fontId="9" fillId="3" borderId="4" xfId="4" applyNumberFormat="1" applyFont="1" applyFill="1" applyBorder="1" applyAlignment="1">
      <alignment horizontal="center" vertical="center"/>
    </xf>
    <xf numFmtId="3" fontId="9" fillId="3" borderId="0" xfId="4" applyNumberFormat="1" applyFont="1" applyFill="1"/>
    <xf numFmtId="0" fontId="26" fillId="0" borderId="4" xfId="0" applyFont="1" applyBorder="1" applyAlignment="1">
      <alignment horizontal="center"/>
    </xf>
    <xf numFmtId="0" fontId="9" fillId="3" borderId="4" xfId="4" applyFont="1" applyFill="1" applyBorder="1" applyAlignment="1">
      <alignment horizontal="center"/>
    </xf>
    <xf numFmtId="3" fontId="9" fillId="3" borderId="4" xfId="4" applyNumberFormat="1" applyFont="1" applyFill="1" applyBorder="1" applyAlignment="1">
      <alignment horizontal="center"/>
    </xf>
    <xf numFmtId="167" fontId="9" fillId="3" borderId="30" xfId="4" applyNumberFormat="1" applyFont="1" applyFill="1" applyBorder="1" applyAlignment="1">
      <alignment horizontal="center"/>
    </xf>
    <xf numFmtId="0" fontId="9" fillId="3" borderId="18" xfId="4" applyFont="1" applyFill="1" applyBorder="1"/>
    <xf numFmtId="0" fontId="2" fillId="0" borderId="19" xfId="0" applyFont="1" applyBorder="1" applyAlignment="1">
      <alignment horizontal="center"/>
    </xf>
    <xf numFmtId="0" fontId="9" fillId="3" borderId="19" xfId="4" applyFont="1" applyFill="1" applyBorder="1" applyAlignment="1">
      <alignment horizontal="center"/>
    </xf>
    <xf numFmtId="3" fontId="9" fillId="3" borderId="19" xfId="4" applyNumberFormat="1" applyFont="1" applyFill="1" applyBorder="1" applyAlignment="1">
      <alignment horizontal="center"/>
    </xf>
    <xf numFmtId="167" fontId="9" fillId="3" borderId="31" xfId="4" applyNumberFormat="1" applyFont="1" applyFill="1" applyBorder="1" applyAlignment="1">
      <alignment horizontal="center"/>
    </xf>
    <xf numFmtId="164" fontId="15" fillId="2" borderId="1" xfId="3" applyNumberFormat="1" applyFont="1" applyFill="1" applyBorder="1" applyAlignment="1">
      <alignment horizontal="center" vertical="center" wrapText="1"/>
    </xf>
    <xf numFmtId="164" fontId="27" fillId="2" borderId="1" xfId="3" applyNumberFormat="1" applyFont="1" applyFill="1" applyBorder="1" applyAlignment="1">
      <alignment horizontal="center" vertical="center" wrapText="1"/>
    </xf>
    <xf numFmtId="0" fontId="16" fillId="0" borderId="32" xfId="3" applyFont="1" applyBorder="1" applyAlignment="1">
      <alignment vertical="center"/>
    </xf>
    <xf numFmtId="0" fontId="9" fillId="0" borderId="1" xfId="3" applyFont="1" applyBorder="1" applyAlignment="1">
      <alignment horizontal="center" vertical="center"/>
    </xf>
    <xf numFmtId="165" fontId="15" fillId="2" borderId="1" xfId="3" applyNumberFormat="1" applyFont="1" applyFill="1" applyBorder="1" applyAlignment="1">
      <alignment horizontal="center" vertical="center" wrapText="1"/>
    </xf>
    <xf numFmtId="165" fontId="27" fillId="2" borderId="1" xfId="3" applyNumberFormat="1" applyFont="1" applyFill="1" applyBorder="1" applyAlignment="1">
      <alignment horizontal="center" vertical="center" wrapText="1"/>
    </xf>
    <xf numFmtId="0" fontId="9" fillId="0" borderId="32" xfId="3" applyFont="1" applyBorder="1" applyAlignment="1">
      <alignment horizontal="center" vertical="center"/>
    </xf>
    <xf numFmtId="0" fontId="9" fillId="9" borderId="33" xfId="3" applyFont="1" applyFill="1" applyBorder="1" applyAlignment="1">
      <alignment horizontal="left" vertical="center"/>
    </xf>
    <xf numFmtId="0" fontId="9" fillId="9" borderId="33" xfId="3" applyFont="1" applyFill="1" applyBorder="1" applyAlignment="1">
      <alignment horizontal="center" vertical="center"/>
    </xf>
    <xf numFmtId="168" fontId="20" fillId="0" borderId="33" xfId="3" applyNumberFormat="1" applyFont="1" applyBorder="1" applyAlignment="1">
      <alignment horizontal="center" vertical="center" wrapText="1"/>
    </xf>
    <xf numFmtId="168" fontId="16" fillId="0" borderId="33" xfId="3" applyNumberFormat="1" applyFont="1" applyBorder="1" applyAlignment="1">
      <alignment horizontal="center" vertical="center" wrapText="1"/>
    </xf>
    <xf numFmtId="1" fontId="9" fillId="0" borderId="4" xfId="5" applyNumberFormat="1" applyFont="1" applyFill="1" applyBorder="1" applyAlignment="1" applyProtection="1">
      <alignment horizontal="left" vertical="center"/>
    </xf>
    <xf numFmtId="9" fontId="9" fillId="0" borderId="4" xfId="2" applyFont="1" applyBorder="1" applyAlignment="1">
      <alignment horizontal="center" vertical="center"/>
    </xf>
    <xf numFmtId="9" fontId="10" fillId="0" borderId="4" xfId="2" applyFont="1" applyBorder="1" applyAlignment="1" applyProtection="1">
      <alignment horizontal="center" vertical="center"/>
    </xf>
    <xf numFmtId="9" fontId="9" fillId="0" borderId="4" xfId="2" applyFont="1" applyBorder="1" applyAlignment="1" applyProtection="1">
      <alignment horizontal="center" vertical="center"/>
    </xf>
    <xf numFmtId="0" fontId="16" fillId="3" borderId="4" xfId="4" applyFont="1" applyFill="1" applyBorder="1" applyAlignment="1">
      <alignment horizontal="left" indent="1"/>
    </xf>
    <xf numFmtId="9" fontId="20" fillId="6" borderId="4" xfId="2" applyFont="1" applyFill="1" applyBorder="1" applyAlignment="1" applyProtection="1">
      <alignment horizontal="center" vertical="center"/>
    </xf>
    <xf numFmtId="9" fontId="16" fillId="6" borderId="4" xfId="2" applyFont="1" applyFill="1" applyBorder="1" applyAlignment="1" applyProtection="1">
      <alignment horizontal="center" vertical="center"/>
    </xf>
    <xf numFmtId="169" fontId="9" fillId="0" borderId="4" xfId="1" applyNumberFormat="1" applyFont="1" applyBorder="1" applyAlignment="1">
      <alignment horizontal="center" vertical="center"/>
    </xf>
    <xf numFmtId="169" fontId="10" fillId="0" borderId="4" xfId="1" applyNumberFormat="1" applyFont="1" applyFill="1" applyBorder="1" applyAlignment="1" applyProtection="1">
      <alignment horizontal="center" vertical="center"/>
    </xf>
    <xf numFmtId="169" fontId="9" fillId="0" borderId="4" xfId="1" applyNumberFormat="1" applyFont="1" applyFill="1" applyBorder="1" applyAlignment="1" applyProtection="1">
      <alignment horizontal="center" vertical="center"/>
    </xf>
    <xf numFmtId="1" fontId="16" fillId="0" borderId="4" xfId="5" applyNumberFormat="1" applyFont="1" applyFill="1" applyBorder="1" applyAlignment="1" applyProtection="1">
      <alignment horizontal="left" vertical="center" indent="1"/>
    </xf>
    <xf numFmtId="169" fontId="16" fillId="0" borderId="4" xfId="1" applyNumberFormat="1" applyFont="1" applyBorder="1" applyAlignment="1">
      <alignment horizontal="center" vertical="center"/>
    </xf>
    <xf numFmtId="169" fontId="20" fillId="0" borderId="4" xfId="1" applyNumberFormat="1" applyFont="1" applyFill="1" applyBorder="1" applyAlignment="1" applyProtection="1">
      <alignment horizontal="center" vertical="center"/>
    </xf>
    <xf numFmtId="169" fontId="16" fillId="0" borderId="4" xfId="1" applyNumberFormat="1" applyFont="1" applyFill="1" applyBorder="1" applyAlignment="1" applyProtection="1">
      <alignment horizontal="center" vertical="center"/>
    </xf>
    <xf numFmtId="169" fontId="16" fillId="6" borderId="4" xfId="1" applyNumberFormat="1" applyFont="1" applyFill="1" applyBorder="1" applyAlignment="1" applyProtection="1">
      <alignment horizontal="center" vertical="center"/>
    </xf>
    <xf numFmtId="0" fontId="16" fillId="3" borderId="0" xfId="4" applyFont="1" applyFill="1" applyAlignment="1">
      <alignment horizontal="left" indent="1"/>
    </xf>
    <xf numFmtId="169" fontId="9" fillId="0" borderId="0" xfId="1" applyNumberFormat="1" applyFont="1" applyBorder="1" applyAlignment="1">
      <alignment horizontal="center" vertical="center"/>
    </xf>
    <xf numFmtId="169" fontId="20" fillId="0" borderId="0" xfId="1" applyNumberFormat="1" applyFont="1" applyFill="1" applyBorder="1" applyAlignment="1" applyProtection="1">
      <alignment horizontal="center" vertical="center"/>
    </xf>
    <xf numFmtId="169" fontId="16" fillId="0" borderId="0" xfId="1" applyNumberFormat="1" applyFont="1" applyFill="1" applyBorder="1" applyAlignment="1" applyProtection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10" fillId="0" borderId="4" xfId="1" applyNumberFormat="1" applyFont="1" applyFill="1" applyBorder="1" applyAlignment="1" applyProtection="1">
      <alignment horizontal="center" vertical="center"/>
    </xf>
    <xf numFmtId="166" fontId="9" fillId="0" borderId="4" xfId="1" applyNumberFormat="1" applyFont="1" applyFill="1" applyBorder="1" applyAlignment="1" applyProtection="1">
      <alignment horizontal="center" vertical="center"/>
    </xf>
    <xf numFmtId="1" fontId="9" fillId="10" borderId="4" xfId="5" applyNumberFormat="1" applyFont="1" applyFill="1" applyBorder="1" applyAlignment="1" applyProtection="1">
      <alignment horizontal="left" vertical="center"/>
    </xf>
    <xf numFmtId="166" fontId="9" fillId="10" borderId="4" xfId="1" applyNumberFormat="1" applyFont="1" applyFill="1" applyBorder="1" applyAlignment="1">
      <alignment horizontal="center" vertical="center"/>
    </xf>
    <xf numFmtId="166" fontId="10" fillId="10" borderId="4" xfId="1" applyNumberFormat="1" applyFont="1" applyFill="1" applyBorder="1" applyAlignment="1" applyProtection="1">
      <alignment horizontal="center" vertical="center"/>
    </xf>
    <xf numFmtId="166" fontId="9" fillId="10" borderId="4" xfId="1" applyNumberFormat="1" applyFont="1" applyFill="1" applyBorder="1" applyAlignment="1" applyProtection="1">
      <alignment horizontal="center" vertical="center"/>
    </xf>
    <xf numFmtId="166" fontId="16" fillId="0" borderId="4" xfId="1" applyNumberFormat="1" applyFont="1" applyFill="1" applyBorder="1" applyAlignment="1" applyProtection="1">
      <alignment horizontal="center" vertical="center"/>
    </xf>
    <xf numFmtId="166" fontId="16" fillId="11" borderId="4" xfId="1" applyNumberFormat="1" applyFont="1" applyFill="1" applyBorder="1" applyAlignment="1" applyProtection="1">
      <alignment horizontal="center" vertical="center"/>
    </xf>
    <xf numFmtId="43" fontId="16" fillId="0" borderId="4" xfId="1" applyFont="1" applyFill="1" applyBorder="1" applyAlignment="1" applyProtection="1">
      <alignment horizontal="center" vertical="center"/>
    </xf>
    <xf numFmtId="166" fontId="20" fillId="0" borderId="4" xfId="1" applyNumberFormat="1" applyFont="1" applyFill="1" applyBorder="1" applyAlignment="1" applyProtection="1">
      <alignment horizontal="center" vertical="center"/>
    </xf>
    <xf numFmtId="0" fontId="9" fillId="3" borderId="4" xfId="4" applyFont="1" applyFill="1" applyBorder="1"/>
    <xf numFmtId="43" fontId="9" fillId="0" borderId="4" xfId="1" applyFont="1" applyBorder="1" applyAlignment="1">
      <alignment horizontal="center" vertical="center"/>
    </xf>
    <xf numFmtId="0" fontId="20" fillId="3" borderId="4" xfId="4" applyFont="1" applyFill="1" applyBorder="1"/>
    <xf numFmtId="43" fontId="16" fillId="3" borderId="4" xfId="4" applyNumberFormat="1" applyFont="1" applyFill="1" applyBorder="1"/>
    <xf numFmtId="43" fontId="9" fillId="0" borderId="0" xfId="1" applyFont="1" applyBorder="1" applyAlignment="1">
      <alignment horizontal="center" vertical="center"/>
    </xf>
    <xf numFmtId="4" fontId="9" fillId="12" borderId="15" xfId="4" applyNumberFormat="1" applyFont="1" applyFill="1" applyBorder="1"/>
    <xf numFmtId="4" fontId="9" fillId="12" borderId="34" xfId="4" applyNumberFormat="1" applyFont="1" applyFill="1" applyBorder="1"/>
    <xf numFmtId="4" fontId="10" fillId="12" borderId="16" xfId="4" applyNumberFormat="1" applyFont="1" applyFill="1" applyBorder="1"/>
    <xf numFmtId="4" fontId="9" fillId="12" borderId="16" xfId="4" applyNumberFormat="1" applyFont="1" applyFill="1" applyBorder="1"/>
    <xf numFmtId="4" fontId="9" fillId="12" borderId="19" xfId="4" applyNumberFormat="1" applyFont="1" applyFill="1" applyBorder="1"/>
    <xf numFmtId="1" fontId="16" fillId="0" borderId="4" xfId="5" applyNumberFormat="1" applyFont="1" applyFill="1" applyBorder="1" applyAlignment="1" applyProtection="1">
      <alignment horizontal="left" vertical="center"/>
    </xf>
    <xf numFmtId="43" fontId="20" fillId="0" borderId="4" xfId="1" applyFont="1" applyFill="1" applyBorder="1" applyAlignment="1" applyProtection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43" fontId="0" fillId="0" borderId="0" xfId="0" applyNumberFormat="1"/>
    <xf numFmtId="167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7" fontId="0" fillId="0" borderId="0" xfId="0" applyNumberFormat="1"/>
    <xf numFmtId="0" fontId="0" fillId="0" borderId="26" xfId="0" applyBorder="1"/>
    <xf numFmtId="0" fontId="28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8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left" vertical="center" wrapText="1" readingOrder="1"/>
    </xf>
    <xf numFmtId="167" fontId="0" fillId="0" borderId="30" xfId="0" applyNumberFormat="1" applyBorder="1" applyAlignment="1">
      <alignment horizontal="center" vertical="center"/>
    </xf>
    <xf numFmtId="167" fontId="2" fillId="0" borderId="30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left" vertical="center" wrapText="1" readingOrder="1"/>
    </xf>
    <xf numFmtId="0" fontId="30" fillId="0" borderId="28" xfId="0" applyFont="1" applyBorder="1" applyAlignment="1">
      <alignment horizontal="left" vertical="center" wrapText="1" indent="3" readingOrder="1"/>
    </xf>
    <xf numFmtId="0" fontId="29" fillId="0" borderId="36" xfId="0" applyFont="1" applyBorder="1" applyAlignment="1">
      <alignment horizontal="left" vertical="center" wrapText="1" readingOrder="1"/>
    </xf>
    <xf numFmtId="4" fontId="0" fillId="0" borderId="14" xfId="0" applyNumberForma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0" fontId="29" fillId="0" borderId="0" xfId="0" applyFont="1" applyBorder="1" applyAlignment="1">
      <alignment horizontal="left" vertical="center" wrapText="1" readingOrder="1"/>
    </xf>
    <xf numFmtId="4" fontId="0" fillId="0" borderId="0" xfId="0" applyNumberFormat="1" applyBorder="1" applyAlignment="1">
      <alignment horizontal="center"/>
    </xf>
    <xf numFmtId="0" fontId="2" fillId="0" borderId="38" xfId="0" applyFont="1" applyBorder="1"/>
    <xf numFmtId="0" fontId="0" fillId="0" borderId="39" xfId="0" applyBorder="1"/>
    <xf numFmtId="0" fontId="0" fillId="0" borderId="5" xfId="0" applyBorder="1"/>
    <xf numFmtId="167" fontId="0" fillId="0" borderId="40" xfId="0" applyNumberFormat="1" applyBorder="1" applyAlignment="1">
      <alignment horizontal="center" vertical="center"/>
    </xf>
    <xf numFmtId="0" fontId="2" fillId="0" borderId="41" xfId="0" applyFont="1" applyBorder="1"/>
    <xf numFmtId="167" fontId="2" fillId="0" borderId="35" xfId="0" applyNumberFormat="1" applyFont="1" applyBorder="1" applyAlignment="1">
      <alignment horizontal="center" vertical="center"/>
    </xf>
    <xf numFmtId="4" fontId="0" fillId="0" borderId="40" xfId="0" applyNumberFormat="1" applyBorder="1" applyAlignment="1">
      <alignment horizontal="center" vertical="center"/>
    </xf>
  </cellXfs>
  <cellStyles count="6">
    <cellStyle name="=C:\WINNT35\SYSTEM32\COMMAND.COM" xfId="3" xr:uid="{8C5737A1-9C21-4861-82F4-9D8350C01B23}"/>
    <cellStyle name="Comma" xfId="1" builtinId="3"/>
    <cellStyle name="Normal" xfId="0" builtinId="0"/>
    <cellStyle name="Normal 2 3" xfId="4" xr:uid="{AF1AA568-B623-43AB-BF18-AAD723E6538A}"/>
    <cellStyle name="Percent" xfId="2" builtinId="5"/>
    <cellStyle name="Percent 2" xfId="5" xr:uid="{E9F84DBE-CDC3-4E04-B310-17B1FE8ED6B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ankaj%20Patesh%20Data\1.%20Operations\EIPL%20Cashflows%20till%20Dec%202023.xlsx" TargetMode="External"/><Relationship Id="rId1" Type="http://schemas.openxmlformats.org/officeDocument/2006/relationships/externalLinkPath" Target="file:///D:\Pankaj%20Patesh%20Data\1.%20Operations\EIPL%20Cashflows%20till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M Finance"/>
      <sheetName val="HDFC"/>
      <sheetName val="EIPL Cashflows"/>
      <sheetName val="Eldeco Sohna"/>
      <sheetName val="Bestview Cashflows v2"/>
      <sheetName val="Bestview Cashflows 10032023"/>
      <sheetName val="Bestview Cashflows 30042023"/>
      <sheetName val="Bestview Cashflows 30042023_SBI"/>
      <sheetName val="Sheet2"/>
      <sheetName val="Sheet1"/>
      <sheetName val="Sheet3"/>
      <sheetName val="For ICICI"/>
    </sheetNames>
    <sheetDataSet>
      <sheetData sheetId="0"/>
      <sheetData sheetId="1"/>
      <sheetData sheetId="2"/>
      <sheetData sheetId="3"/>
      <sheetData sheetId="4"/>
      <sheetData sheetId="5"/>
      <sheetData sheetId="6">
        <row r="35">
          <cell r="C35">
            <v>2.6459999999999999</v>
          </cell>
        </row>
        <row r="37">
          <cell r="C37">
            <v>1.2389999999999999</v>
          </cell>
        </row>
        <row r="42">
          <cell r="C42">
            <v>26.630204700000007</v>
          </cell>
        </row>
        <row r="43">
          <cell r="C43">
            <v>74.348454099999998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8B48-81DB-4638-B15E-0F7ED4AA0172}">
  <dimension ref="B2:G46"/>
  <sheetViews>
    <sheetView topLeftCell="A19" zoomScale="90" zoomScaleNormal="90" workbookViewId="0">
      <selection activeCell="E27" sqref="E27"/>
    </sheetView>
  </sheetViews>
  <sheetFormatPr defaultRowHeight="14.5" x14ac:dyDescent="0.35"/>
  <cols>
    <col min="1" max="1" width="4.453125" customWidth="1"/>
    <col min="2" max="2" width="33.453125" customWidth="1"/>
    <col min="3" max="3" width="34.6328125" customWidth="1"/>
    <col min="4" max="4" width="31.08984375" customWidth="1"/>
    <col min="5" max="5" width="28.453125" customWidth="1"/>
    <col min="6" max="6" width="19.6328125" customWidth="1"/>
  </cols>
  <sheetData>
    <row r="2" spans="2:5" x14ac:dyDescent="0.35">
      <c r="B2" s="138"/>
      <c r="C2" s="138"/>
      <c r="D2" s="138"/>
    </row>
    <row r="3" spans="2:5" ht="15" thickBot="1" x14ac:dyDescent="0.4">
      <c r="B3" s="138"/>
      <c r="C3" s="138"/>
      <c r="D3" s="138"/>
    </row>
    <row r="4" spans="2:5" x14ac:dyDescent="0.35">
      <c r="B4" s="217"/>
      <c r="C4" s="218" t="s">
        <v>135</v>
      </c>
      <c r="D4" s="219" t="s">
        <v>136</v>
      </c>
      <c r="E4" s="220" t="s">
        <v>137</v>
      </c>
    </row>
    <row r="5" spans="2:5" ht="15.5" x14ac:dyDescent="0.35">
      <c r="B5" s="221" t="s">
        <v>138</v>
      </c>
      <c r="C5" s="210">
        <f>D5+E5</f>
        <v>91.067802358999998</v>
      </c>
      <c r="D5" s="210">
        <f>SUM('Bestview Cashflows 30042023_SBI'!B22:B24)</f>
        <v>0</v>
      </c>
      <c r="E5" s="222">
        <f>SUM('Bestview Cashflows 30042023_SBI'!C22:C24)</f>
        <v>91.067802358999998</v>
      </c>
    </row>
    <row r="6" spans="2:5" ht="15.5" x14ac:dyDescent="0.35">
      <c r="B6" s="221" t="s">
        <v>139</v>
      </c>
      <c r="C6" s="211">
        <f t="shared" ref="C6:C17" si="0">D6+E6</f>
        <v>176.66214634599999</v>
      </c>
      <c r="D6" s="211">
        <f>D7+D8</f>
        <v>63.5</v>
      </c>
      <c r="E6" s="223">
        <f>E7+E8</f>
        <v>113.16214634599997</v>
      </c>
    </row>
    <row r="7" spans="2:5" ht="15.5" x14ac:dyDescent="0.35">
      <c r="B7" s="224" t="s">
        <v>140</v>
      </c>
      <c r="C7" s="210">
        <f t="shared" si="0"/>
        <v>146.66214634599999</v>
      </c>
      <c r="D7" s="210">
        <f>'Bestview Cashflows 30042023_SBI'!B25</f>
        <v>33.5</v>
      </c>
      <c r="E7" s="222">
        <f>'Bestview Cashflows 30042023_SBI'!C25</f>
        <v>113.16214634599997</v>
      </c>
    </row>
    <row r="8" spans="2:5" ht="15.5" x14ac:dyDescent="0.35">
      <c r="B8" s="224" t="s">
        <v>141</v>
      </c>
      <c r="C8" s="210">
        <f t="shared" si="0"/>
        <v>30</v>
      </c>
      <c r="D8" s="210">
        <f>'Bestview Cashflows 30042023_SBI'!B26</f>
        <v>30</v>
      </c>
      <c r="E8" s="222">
        <f>'Bestview Cashflows 30042023_SBI'!C26</f>
        <v>0</v>
      </c>
    </row>
    <row r="9" spans="2:5" ht="15.5" x14ac:dyDescent="0.35">
      <c r="B9" s="221" t="s">
        <v>142</v>
      </c>
      <c r="C9" s="211">
        <f t="shared" si="0"/>
        <v>16.354406763587498</v>
      </c>
      <c r="D9" s="211">
        <f>SUM('Bestview Cashflows 30042023_SBI'!B30:B32)</f>
        <v>8.8571559665874986</v>
      </c>
      <c r="E9" s="223">
        <f>SUM('Bestview Cashflows 30042023_SBI'!C30:C32)</f>
        <v>7.4972507969999995</v>
      </c>
    </row>
    <row r="10" spans="2:5" ht="15.5" x14ac:dyDescent="0.35">
      <c r="B10" s="221" t="s">
        <v>143</v>
      </c>
      <c r="C10" s="211">
        <f t="shared" si="0"/>
        <v>35.830199147712001</v>
      </c>
      <c r="D10" s="211">
        <f>D11+D12</f>
        <v>31.581680147712003</v>
      </c>
      <c r="E10" s="223">
        <f>E11+E12</f>
        <v>4.2485189999999982</v>
      </c>
    </row>
    <row r="11" spans="2:5" ht="15.5" x14ac:dyDescent="0.35">
      <c r="B11" s="224" t="s">
        <v>144</v>
      </c>
      <c r="C11" s="210">
        <f t="shared" si="0"/>
        <v>31.186649176512002</v>
      </c>
      <c r="D11" s="210">
        <f>'Bestview Cashflows 30042023_SBI'!B28</f>
        <v>26.938130176512004</v>
      </c>
      <c r="E11" s="222">
        <f>'Bestview Cashflows 30042023_SBI'!C28</f>
        <v>4.2485189999999982</v>
      </c>
    </row>
    <row r="12" spans="2:5" ht="15.5" x14ac:dyDescent="0.35">
      <c r="B12" s="224" t="s">
        <v>145</v>
      </c>
      <c r="C12" s="210">
        <f t="shared" si="0"/>
        <v>4.6435499711999997</v>
      </c>
      <c r="D12" s="210">
        <f>'Bestview Cashflows 30042023_SBI'!B29</f>
        <v>4.6435499711999997</v>
      </c>
      <c r="E12" s="222">
        <f>'Bestview Cashflows 30042023_SBI'!C29</f>
        <v>0</v>
      </c>
    </row>
    <row r="13" spans="2:5" ht="15.5" x14ac:dyDescent="0.35">
      <c r="B13" s="221" t="s">
        <v>35</v>
      </c>
      <c r="C13" s="211">
        <f t="shared" si="0"/>
        <v>15</v>
      </c>
      <c r="D13" s="211">
        <f>'Bestview Cashflows 30042023_SBI'!B36</f>
        <v>15</v>
      </c>
      <c r="E13" s="223">
        <f>'Bestview Cashflows 30042023_SBI'!C36</f>
        <v>0</v>
      </c>
    </row>
    <row r="14" spans="2:5" ht="15.5" x14ac:dyDescent="0.35">
      <c r="B14" s="221" t="s">
        <v>146</v>
      </c>
      <c r="C14" s="211">
        <f t="shared" si="0"/>
        <v>146.3352623806166</v>
      </c>
      <c r="D14" s="211">
        <f>SUM(D15:D17)</f>
        <v>132.99466028061659</v>
      </c>
      <c r="E14" s="223">
        <f>SUM(E15:E17)</f>
        <v>13.340602099999998</v>
      </c>
    </row>
    <row r="15" spans="2:5" ht="15.5" x14ac:dyDescent="0.35">
      <c r="B15" s="224" t="s">
        <v>147</v>
      </c>
      <c r="C15" s="210">
        <f t="shared" si="0"/>
        <v>21.811919050561642</v>
      </c>
      <c r="D15" s="210">
        <f>'Bestview Cashflows 30042023_SBI'!B33+'Bestview Cashflows 30042023_SBI'!B34</f>
        <v>8.4713169505616452</v>
      </c>
      <c r="E15" s="222">
        <f>'Bestview Cashflows 30042023_SBI'!C33+'Bestview Cashflows 30042023_SBI'!C34</f>
        <v>13.340602099999998</v>
      </c>
    </row>
    <row r="16" spans="2:5" ht="15.5" x14ac:dyDescent="0.35">
      <c r="B16" s="225" t="s">
        <v>148</v>
      </c>
      <c r="C16" s="210">
        <f t="shared" si="0"/>
        <v>4.5639452054794516</v>
      </c>
      <c r="D16" s="210">
        <f>'Bestview Cashflows 30042023_SBI'!B38</f>
        <v>4.5639452054794516</v>
      </c>
      <c r="E16" s="222">
        <f>'Bestview Cashflows 30042023_SBI'!C38</f>
        <v>0</v>
      </c>
    </row>
    <row r="17" spans="2:7" ht="15.5" x14ac:dyDescent="0.35">
      <c r="B17" s="224" t="s">
        <v>149</v>
      </c>
      <c r="C17" s="210">
        <f t="shared" si="0"/>
        <v>119.9593981245755</v>
      </c>
      <c r="D17" s="210">
        <f>'Bestview Cashflows 30042023_SBI'!B40</f>
        <v>119.9593981245755</v>
      </c>
      <c r="E17" s="222">
        <f>'Bestview Cashflows 30042023_SBI'!C40</f>
        <v>0</v>
      </c>
    </row>
    <row r="18" spans="2:7" ht="16" thickBot="1" x14ac:dyDescent="0.4">
      <c r="B18" s="226" t="s">
        <v>150</v>
      </c>
      <c r="C18" s="227">
        <f t="shared" ref="C18" si="1">C5+C6+C9+C10+C14</f>
        <v>466.24981699691608</v>
      </c>
      <c r="D18" s="227">
        <f>D5+D6+D9+D10+D14</f>
        <v>236.93349639491609</v>
      </c>
      <c r="E18" s="228">
        <f>E5+E6+E9+E10+E14</f>
        <v>229.31632060199996</v>
      </c>
      <c r="F18" s="212"/>
      <c r="G18" s="212"/>
    </row>
    <row r="19" spans="2:7" ht="15.5" x14ac:dyDescent="0.35">
      <c r="B19" s="229"/>
      <c r="C19" s="230"/>
      <c r="D19" s="230"/>
      <c r="E19" s="230"/>
      <c r="F19" s="212"/>
      <c r="G19" s="212"/>
    </row>
    <row r="20" spans="2:7" ht="15.5" x14ac:dyDescent="0.35">
      <c r="B20" s="229"/>
      <c r="C20" s="230"/>
      <c r="D20" s="230"/>
      <c r="E20" s="230"/>
      <c r="F20" s="212"/>
      <c r="G20" s="212"/>
    </row>
    <row r="21" spans="2:7" ht="15.5" x14ac:dyDescent="0.35">
      <c r="B21" s="229"/>
      <c r="C21" s="230"/>
      <c r="D21" s="230"/>
      <c r="E21" s="230"/>
      <c r="F21" s="212"/>
      <c r="G21" s="212"/>
    </row>
    <row r="22" spans="2:7" ht="15" thickBot="1" x14ac:dyDescent="0.4"/>
    <row r="23" spans="2:7" x14ac:dyDescent="0.35">
      <c r="B23" s="231" t="s">
        <v>151</v>
      </c>
      <c r="C23" s="232" t="s">
        <v>152</v>
      </c>
    </row>
    <row r="24" spans="2:7" x14ac:dyDescent="0.35">
      <c r="B24" s="233" t="s">
        <v>153</v>
      </c>
      <c r="C24" s="234">
        <f>'Bestview Cashflows 30042023_SBI'!C9</f>
        <v>97.588883100000004</v>
      </c>
    </row>
    <row r="25" spans="2:7" x14ac:dyDescent="0.35">
      <c r="B25" s="233" t="s">
        <v>154</v>
      </c>
      <c r="C25" s="234">
        <f>'Bestview Cashflows 30042023_SBI'!C11</f>
        <v>232.392841</v>
      </c>
      <c r="D25" s="213"/>
    </row>
    <row r="26" spans="2:7" x14ac:dyDescent="0.35">
      <c r="B26" s="233" t="s">
        <v>15</v>
      </c>
      <c r="C26" s="234">
        <f>'Bestview Cashflows 30042023_SBI'!C14</f>
        <v>3.5340184999999997</v>
      </c>
      <c r="D26" s="214"/>
    </row>
    <row r="27" spans="2:7" x14ac:dyDescent="0.35">
      <c r="B27" s="233" t="s">
        <v>155</v>
      </c>
      <c r="C27" s="234">
        <f>'Bestview Cashflows 30042023_SBI'!C15</f>
        <v>0.54078350000000008</v>
      </c>
      <c r="D27" s="213"/>
    </row>
    <row r="28" spans="2:7" x14ac:dyDescent="0.35">
      <c r="B28" s="233"/>
      <c r="C28" s="234"/>
    </row>
    <row r="29" spans="2:7" ht="15" thickBot="1" x14ac:dyDescent="0.4">
      <c r="B29" s="235" t="s">
        <v>156</v>
      </c>
      <c r="C29" s="236">
        <f>SUM(C24:C27)</f>
        <v>334.05652609999999</v>
      </c>
      <c r="D29" s="215"/>
    </row>
    <row r="31" spans="2:7" ht="15" thickBot="1" x14ac:dyDescent="0.4"/>
    <row r="32" spans="2:7" x14ac:dyDescent="0.35">
      <c r="B32" s="231" t="s">
        <v>157</v>
      </c>
      <c r="C32" s="232"/>
    </row>
    <row r="33" spans="2:5" x14ac:dyDescent="0.35">
      <c r="B33" s="233" t="s">
        <v>158</v>
      </c>
      <c r="C33" s="237">
        <f>E5</f>
        <v>91.067802358999998</v>
      </c>
      <c r="D33" s="214"/>
    </row>
    <row r="34" spans="2:5" x14ac:dyDescent="0.35">
      <c r="B34" s="233" t="s">
        <v>139</v>
      </c>
      <c r="C34" s="234">
        <f>E6</f>
        <v>113.16214634599997</v>
      </c>
      <c r="D34" s="213"/>
    </row>
    <row r="35" spans="2:5" x14ac:dyDescent="0.35">
      <c r="B35" s="233" t="s">
        <v>140</v>
      </c>
      <c r="C35" s="234">
        <f>E7</f>
        <v>113.16214634599997</v>
      </c>
      <c r="D35" s="213"/>
    </row>
    <row r="36" spans="2:5" x14ac:dyDescent="0.35">
      <c r="B36" s="233" t="s">
        <v>141</v>
      </c>
      <c r="C36" s="234">
        <f>E8</f>
        <v>0</v>
      </c>
      <c r="D36" s="213"/>
    </row>
    <row r="37" spans="2:5" x14ac:dyDescent="0.35">
      <c r="B37" s="233" t="s">
        <v>142</v>
      </c>
      <c r="C37" s="234">
        <f>E9</f>
        <v>7.4972507969999995</v>
      </c>
      <c r="D37" s="213"/>
    </row>
    <row r="38" spans="2:5" x14ac:dyDescent="0.35">
      <c r="B38" s="233" t="s">
        <v>159</v>
      </c>
      <c r="C38" s="234">
        <f>E10</f>
        <v>4.2485189999999982</v>
      </c>
      <c r="D38" s="213"/>
    </row>
    <row r="39" spans="2:5" x14ac:dyDescent="0.35">
      <c r="B39" s="233" t="s">
        <v>35</v>
      </c>
      <c r="C39" s="234">
        <f>E13</f>
        <v>0</v>
      </c>
      <c r="D39" s="213"/>
    </row>
    <row r="40" spans="2:5" x14ac:dyDescent="0.35">
      <c r="B40" s="233" t="s">
        <v>160</v>
      </c>
      <c r="C40" s="237">
        <f>E15</f>
        <v>13.340602099999998</v>
      </c>
      <c r="D40" s="214"/>
    </row>
    <row r="41" spans="2:5" x14ac:dyDescent="0.35">
      <c r="B41" s="233" t="s">
        <v>161</v>
      </c>
      <c r="C41" s="237">
        <f>'[1]Bestview Cashflows 30042023'!C42</f>
        <v>26.630204700000007</v>
      </c>
    </row>
    <row r="42" spans="2:5" x14ac:dyDescent="0.35">
      <c r="B42" s="233" t="s">
        <v>162</v>
      </c>
      <c r="C42" s="237">
        <f>'[1]Bestview Cashflows 30042023'!C43</f>
        <v>74.348454099999998</v>
      </c>
    </row>
    <row r="43" spans="2:5" x14ac:dyDescent="0.35">
      <c r="B43" s="233" t="s">
        <v>163</v>
      </c>
      <c r="C43" s="237">
        <f>'[1]Bestview Cashflows 30042023'!C37+'[1]Bestview Cashflows 30042023'!C35</f>
        <v>3.8849999999999998</v>
      </c>
    </row>
    <row r="44" spans="2:5" ht="15" thickBot="1" x14ac:dyDescent="0.4">
      <c r="B44" s="235" t="s">
        <v>21</v>
      </c>
      <c r="C44" s="236">
        <f>SUM(C37:C43)+C34+C33</f>
        <v>334.17997940199996</v>
      </c>
    </row>
    <row r="46" spans="2:5" x14ac:dyDescent="0.35">
      <c r="E46" s="2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298D5-0D1D-470A-A74A-7963DF2641C4}">
  <sheetPr>
    <pageSetUpPr fitToPage="1"/>
  </sheetPr>
  <dimension ref="A1:BY200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5" sqref="A5"/>
    </sheetView>
  </sheetViews>
  <sheetFormatPr defaultRowHeight="14.5" x14ac:dyDescent="0.35"/>
  <cols>
    <col min="1" max="1" width="41.26953125" customWidth="1"/>
    <col min="2" max="2" width="13.90625" customWidth="1"/>
    <col min="3" max="3" width="13.36328125" style="47" customWidth="1"/>
    <col min="4" max="4" width="12.90625" customWidth="1"/>
    <col min="7" max="7" width="11.1796875" bestFit="1" customWidth="1"/>
    <col min="15" max="15" width="13.54296875" customWidth="1"/>
    <col min="16" max="21" width="8.7265625" customWidth="1"/>
    <col min="22" max="22" width="19.6328125" customWidth="1"/>
    <col min="23" max="27" width="8.7265625" customWidth="1"/>
    <col min="28" max="28" width="15.453125" customWidth="1"/>
    <col min="29" max="65" width="8.7265625" customWidth="1"/>
    <col min="66" max="66" width="11.453125" customWidth="1"/>
    <col min="67" max="67" width="10.453125" customWidth="1"/>
  </cols>
  <sheetData>
    <row r="1" spans="1:77" x14ac:dyDescent="0.35">
      <c r="A1" s="1"/>
      <c r="B1" s="1" t="s">
        <v>0</v>
      </c>
      <c r="C1" s="2"/>
      <c r="D1" s="3">
        <f>YEAR(EOMONTH(D4,0))</f>
        <v>2023</v>
      </c>
      <c r="E1" s="3">
        <f t="shared" ref="E1:BK1" si="0">YEAR(EOMONTH(E4,0))</f>
        <v>2023</v>
      </c>
      <c r="F1" s="3">
        <f t="shared" si="0"/>
        <v>2023</v>
      </c>
      <c r="G1" s="3">
        <f t="shared" si="0"/>
        <v>2023</v>
      </c>
      <c r="H1" s="3">
        <f t="shared" si="0"/>
        <v>2023</v>
      </c>
      <c r="I1" s="3">
        <f t="shared" si="0"/>
        <v>2023</v>
      </c>
      <c r="J1" s="3">
        <f t="shared" si="0"/>
        <v>2023</v>
      </c>
      <c r="K1" s="3">
        <f t="shared" si="0"/>
        <v>2023</v>
      </c>
      <c r="L1" s="3">
        <f t="shared" si="0"/>
        <v>2023</v>
      </c>
      <c r="M1" s="3">
        <f t="shared" si="0"/>
        <v>2024</v>
      </c>
      <c r="N1" s="3">
        <f t="shared" si="0"/>
        <v>2024</v>
      </c>
      <c r="O1" s="3">
        <f t="shared" si="0"/>
        <v>2024</v>
      </c>
      <c r="P1" s="3">
        <f t="shared" si="0"/>
        <v>2024</v>
      </c>
      <c r="Q1" s="3">
        <f t="shared" si="0"/>
        <v>2024</v>
      </c>
      <c r="R1" s="3">
        <f t="shared" si="0"/>
        <v>2024</v>
      </c>
      <c r="S1" s="3">
        <f t="shared" si="0"/>
        <v>2024</v>
      </c>
      <c r="T1" s="3">
        <f t="shared" si="0"/>
        <v>2024</v>
      </c>
      <c r="U1" s="3">
        <f t="shared" si="0"/>
        <v>2024</v>
      </c>
      <c r="V1" s="3">
        <f t="shared" si="0"/>
        <v>2024</v>
      </c>
      <c r="W1" s="3">
        <f t="shared" si="0"/>
        <v>2024</v>
      </c>
      <c r="X1" s="3">
        <f t="shared" si="0"/>
        <v>2024</v>
      </c>
      <c r="Y1" s="3">
        <f t="shared" si="0"/>
        <v>2025</v>
      </c>
      <c r="Z1" s="3">
        <f t="shared" si="0"/>
        <v>2025</v>
      </c>
      <c r="AA1" s="3">
        <f t="shared" si="0"/>
        <v>2025</v>
      </c>
      <c r="AB1" s="3">
        <f t="shared" si="0"/>
        <v>2025</v>
      </c>
      <c r="AC1" s="3">
        <f t="shared" si="0"/>
        <v>2025</v>
      </c>
      <c r="AD1" s="3">
        <f t="shared" si="0"/>
        <v>2025</v>
      </c>
      <c r="AE1" s="3">
        <f t="shared" si="0"/>
        <v>2025</v>
      </c>
      <c r="AF1" s="3">
        <f t="shared" si="0"/>
        <v>2025</v>
      </c>
      <c r="AG1" s="3">
        <f t="shared" si="0"/>
        <v>2025</v>
      </c>
      <c r="AH1" s="3">
        <f t="shared" si="0"/>
        <v>2025</v>
      </c>
      <c r="AI1" s="3">
        <f t="shared" si="0"/>
        <v>2025</v>
      </c>
      <c r="AJ1" s="3">
        <f t="shared" si="0"/>
        <v>2025</v>
      </c>
      <c r="AK1" s="3">
        <f t="shared" si="0"/>
        <v>2026</v>
      </c>
      <c r="AL1" s="3">
        <f t="shared" si="0"/>
        <v>2026</v>
      </c>
      <c r="AM1" s="3">
        <f t="shared" si="0"/>
        <v>2026</v>
      </c>
      <c r="AN1" s="3">
        <f t="shared" si="0"/>
        <v>2026</v>
      </c>
      <c r="AO1" s="3">
        <f t="shared" si="0"/>
        <v>2026</v>
      </c>
      <c r="AP1" s="3">
        <f t="shared" si="0"/>
        <v>2026</v>
      </c>
      <c r="AQ1" s="3">
        <f t="shared" si="0"/>
        <v>2026</v>
      </c>
      <c r="AR1" s="3">
        <f t="shared" si="0"/>
        <v>2026</v>
      </c>
      <c r="AS1" s="3">
        <f t="shared" si="0"/>
        <v>2026</v>
      </c>
      <c r="AT1" s="3">
        <f t="shared" si="0"/>
        <v>2026</v>
      </c>
      <c r="AU1" s="3">
        <f t="shared" si="0"/>
        <v>2026</v>
      </c>
      <c r="AV1" s="3">
        <f t="shared" si="0"/>
        <v>2026</v>
      </c>
      <c r="AW1" s="3">
        <f t="shared" si="0"/>
        <v>2027</v>
      </c>
      <c r="AX1" s="3">
        <f t="shared" si="0"/>
        <v>2027</v>
      </c>
      <c r="AY1" s="3">
        <f t="shared" si="0"/>
        <v>2027</v>
      </c>
      <c r="AZ1" s="3">
        <f t="shared" si="0"/>
        <v>2027</v>
      </c>
      <c r="BA1" s="3">
        <f t="shared" si="0"/>
        <v>2027</v>
      </c>
      <c r="BB1" s="3">
        <f t="shared" si="0"/>
        <v>2027</v>
      </c>
      <c r="BC1" s="3">
        <f t="shared" si="0"/>
        <v>2027</v>
      </c>
      <c r="BD1" s="3">
        <f t="shared" si="0"/>
        <v>2027</v>
      </c>
      <c r="BE1" s="3">
        <f t="shared" si="0"/>
        <v>2027</v>
      </c>
      <c r="BF1" s="3">
        <f t="shared" si="0"/>
        <v>2027</v>
      </c>
      <c r="BG1" s="3">
        <f t="shared" si="0"/>
        <v>2027</v>
      </c>
      <c r="BH1" s="3">
        <f t="shared" si="0"/>
        <v>2027</v>
      </c>
      <c r="BI1" s="3">
        <f t="shared" si="0"/>
        <v>2028</v>
      </c>
      <c r="BJ1" s="3">
        <f t="shared" si="0"/>
        <v>2028</v>
      </c>
      <c r="BK1" s="3">
        <f t="shared" si="0"/>
        <v>2028</v>
      </c>
      <c r="BN1" s="3" t="s">
        <v>1</v>
      </c>
    </row>
    <row r="2" spans="1:77" x14ac:dyDescent="0.35">
      <c r="A2" s="1"/>
      <c r="B2" s="1" t="s">
        <v>2</v>
      </c>
      <c r="C2" s="2"/>
      <c r="D2" s="4">
        <v>1</v>
      </c>
      <c r="E2" s="4">
        <f>D2+1</f>
        <v>2</v>
      </c>
      <c r="F2" s="4">
        <f t="shared" ref="F2:BK2" si="1">E2+1</f>
        <v>3</v>
      </c>
      <c r="G2" s="4">
        <f t="shared" si="1"/>
        <v>4</v>
      </c>
      <c r="H2" s="4">
        <f t="shared" si="1"/>
        <v>5</v>
      </c>
      <c r="I2" s="4">
        <f t="shared" si="1"/>
        <v>6</v>
      </c>
      <c r="J2" s="4">
        <f t="shared" si="1"/>
        <v>7</v>
      </c>
      <c r="K2" s="4">
        <f t="shared" si="1"/>
        <v>8</v>
      </c>
      <c r="L2" s="4">
        <f t="shared" si="1"/>
        <v>9</v>
      </c>
      <c r="M2" s="4">
        <f t="shared" si="1"/>
        <v>10</v>
      </c>
      <c r="N2" s="4">
        <f t="shared" si="1"/>
        <v>11</v>
      </c>
      <c r="O2" s="4">
        <f t="shared" si="1"/>
        <v>12</v>
      </c>
      <c r="P2" s="4">
        <f t="shared" si="1"/>
        <v>13</v>
      </c>
      <c r="Q2" s="4">
        <f t="shared" si="1"/>
        <v>14</v>
      </c>
      <c r="R2" s="4">
        <f t="shared" si="1"/>
        <v>15</v>
      </c>
      <c r="S2" s="4">
        <f t="shared" si="1"/>
        <v>16</v>
      </c>
      <c r="T2" s="4">
        <f t="shared" si="1"/>
        <v>17</v>
      </c>
      <c r="U2" s="4">
        <f t="shared" si="1"/>
        <v>18</v>
      </c>
      <c r="V2" s="4">
        <f t="shared" si="1"/>
        <v>19</v>
      </c>
      <c r="W2" s="4">
        <f t="shared" si="1"/>
        <v>20</v>
      </c>
      <c r="X2" s="4">
        <f t="shared" si="1"/>
        <v>21</v>
      </c>
      <c r="Y2" s="4">
        <f t="shared" si="1"/>
        <v>22</v>
      </c>
      <c r="Z2" s="4">
        <f t="shared" si="1"/>
        <v>23</v>
      </c>
      <c r="AA2" s="4">
        <f t="shared" si="1"/>
        <v>24</v>
      </c>
      <c r="AB2" s="4">
        <f t="shared" si="1"/>
        <v>25</v>
      </c>
      <c r="AC2" s="4">
        <f t="shared" si="1"/>
        <v>26</v>
      </c>
      <c r="AD2" s="4">
        <f t="shared" si="1"/>
        <v>27</v>
      </c>
      <c r="AE2" s="4">
        <f t="shared" si="1"/>
        <v>28</v>
      </c>
      <c r="AF2" s="4">
        <f t="shared" si="1"/>
        <v>29</v>
      </c>
      <c r="AG2" s="4">
        <f t="shared" si="1"/>
        <v>30</v>
      </c>
      <c r="AH2" s="4">
        <f t="shared" si="1"/>
        <v>31</v>
      </c>
      <c r="AI2" s="4">
        <f t="shared" si="1"/>
        <v>32</v>
      </c>
      <c r="AJ2" s="4">
        <f t="shared" si="1"/>
        <v>33</v>
      </c>
      <c r="AK2" s="4">
        <f t="shared" si="1"/>
        <v>34</v>
      </c>
      <c r="AL2" s="4">
        <f t="shared" si="1"/>
        <v>35</v>
      </c>
      <c r="AM2" s="4">
        <f t="shared" si="1"/>
        <v>36</v>
      </c>
      <c r="AN2" s="4">
        <f t="shared" si="1"/>
        <v>37</v>
      </c>
      <c r="AO2" s="4">
        <f t="shared" si="1"/>
        <v>38</v>
      </c>
      <c r="AP2" s="4">
        <f t="shared" si="1"/>
        <v>39</v>
      </c>
      <c r="AQ2" s="4">
        <f t="shared" si="1"/>
        <v>40</v>
      </c>
      <c r="AR2" s="4">
        <f t="shared" si="1"/>
        <v>41</v>
      </c>
      <c r="AS2" s="4">
        <f t="shared" si="1"/>
        <v>42</v>
      </c>
      <c r="AT2" s="4">
        <f t="shared" si="1"/>
        <v>43</v>
      </c>
      <c r="AU2" s="4">
        <f t="shared" si="1"/>
        <v>44</v>
      </c>
      <c r="AV2" s="4">
        <f t="shared" si="1"/>
        <v>45</v>
      </c>
      <c r="AW2" s="4">
        <f t="shared" si="1"/>
        <v>46</v>
      </c>
      <c r="AX2" s="4">
        <f t="shared" si="1"/>
        <v>47</v>
      </c>
      <c r="AY2" s="4">
        <f t="shared" si="1"/>
        <v>48</v>
      </c>
      <c r="AZ2" s="4">
        <f t="shared" si="1"/>
        <v>49</v>
      </c>
      <c r="BA2" s="4">
        <f t="shared" si="1"/>
        <v>50</v>
      </c>
      <c r="BB2" s="4">
        <f t="shared" si="1"/>
        <v>51</v>
      </c>
      <c r="BC2" s="4">
        <f t="shared" si="1"/>
        <v>52</v>
      </c>
      <c r="BD2" s="4">
        <f t="shared" si="1"/>
        <v>53</v>
      </c>
      <c r="BE2" s="4">
        <f t="shared" si="1"/>
        <v>54</v>
      </c>
      <c r="BF2" s="4">
        <f t="shared" si="1"/>
        <v>55</v>
      </c>
      <c r="BG2" s="4">
        <f t="shared" si="1"/>
        <v>56</v>
      </c>
      <c r="BH2" s="4">
        <f t="shared" si="1"/>
        <v>57</v>
      </c>
      <c r="BI2" s="4">
        <f t="shared" si="1"/>
        <v>58</v>
      </c>
      <c r="BJ2" s="4">
        <f t="shared" si="1"/>
        <v>59</v>
      </c>
      <c r="BK2" s="4">
        <f t="shared" si="1"/>
        <v>60</v>
      </c>
      <c r="BN2" s="4"/>
    </row>
    <row r="3" spans="1:77" x14ac:dyDescent="0.35">
      <c r="A3" s="1"/>
      <c r="B3" s="1" t="s">
        <v>3</v>
      </c>
      <c r="C3" s="2"/>
      <c r="D3" s="5">
        <v>45017</v>
      </c>
      <c r="E3" s="5">
        <f>D4+1</f>
        <v>45047</v>
      </c>
      <c r="F3" s="5">
        <f t="shared" ref="F3:BK3" si="2">E4+1</f>
        <v>45078</v>
      </c>
      <c r="G3" s="5">
        <f t="shared" si="2"/>
        <v>45108</v>
      </c>
      <c r="H3" s="5">
        <f t="shared" si="2"/>
        <v>45139</v>
      </c>
      <c r="I3" s="5">
        <f t="shared" si="2"/>
        <v>45170</v>
      </c>
      <c r="J3" s="5">
        <f t="shared" si="2"/>
        <v>45200</v>
      </c>
      <c r="K3" s="5">
        <f t="shared" si="2"/>
        <v>45231</v>
      </c>
      <c r="L3" s="5">
        <f t="shared" si="2"/>
        <v>45261</v>
      </c>
      <c r="M3" s="5">
        <f t="shared" si="2"/>
        <v>45292</v>
      </c>
      <c r="N3" s="5">
        <f t="shared" si="2"/>
        <v>45323</v>
      </c>
      <c r="O3" s="5">
        <f t="shared" si="2"/>
        <v>45352</v>
      </c>
      <c r="P3" s="5">
        <f t="shared" si="2"/>
        <v>45383</v>
      </c>
      <c r="Q3" s="5">
        <f t="shared" si="2"/>
        <v>45413</v>
      </c>
      <c r="R3" s="5">
        <f t="shared" si="2"/>
        <v>45444</v>
      </c>
      <c r="S3" s="5">
        <f t="shared" si="2"/>
        <v>45474</v>
      </c>
      <c r="T3" s="5">
        <f t="shared" si="2"/>
        <v>45505</v>
      </c>
      <c r="U3" s="5">
        <f t="shared" si="2"/>
        <v>45536</v>
      </c>
      <c r="V3" s="5">
        <f t="shared" si="2"/>
        <v>45566</v>
      </c>
      <c r="W3" s="5">
        <f t="shared" si="2"/>
        <v>45597</v>
      </c>
      <c r="X3" s="5">
        <f t="shared" si="2"/>
        <v>45627</v>
      </c>
      <c r="Y3" s="5">
        <f t="shared" si="2"/>
        <v>45658</v>
      </c>
      <c r="Z3" s="5">
        <f t="shared" si="2"/>
        <v>45689</v>
      </c>
      <c r="AA3" s="5">
        <f t="shared" si="2"/>
        <v>45717</v>
      </c>
      <c r="AB3" s="5">
        <f t="shared" si="2"/>
        <v>45748</v>
      </c>
      <c r="AC3" s="5">
        <f t="shared" si="2"/>
        <v>45778</v>
      </c>
      <c r="AD3" s="5">
        <f t="shared" si="2"/>
        <v>45809</v>
      </c>
      <c r="AE3" s="5">
        <f t="shared" si="2"/>
        <v>45839</v>
      </c>
      <c r="AF3" s="5">
        <f t="shared" si="2"/>
        <v>45870</v>
      </c>
      <c r="AG3" s="5">
        <f t="shared" si="2"/>
        <v>45901</v>
      </c>
      <c r="AH3" s="5">
        <f t="shared" si="2"/>
        <v>45931</v>
      </c>
      <c r="AI3" s="5">
        <f t="shared" si="2"/>
        <v>45962</v>
      </c>
      <c r="AJ3" s="5">
        <f t="shared" si="2"/>
        <v>45992</v>
      </c>
      <c r="AK3" s="5">
        <f t="shared" si="2"/>
        <v>46023</v>
      </c>
      <c r="AL3" s="5">
        <f t="shared" si="2"/>
        <v>46054</v>
      </c>
      <c r="AM3" s="5">
        <f t="shared" si="2"/>
        <v>46082</v>
      </c>
      <c r="AN3" s="5">
        <f t="shared" si="2"/>
        <v>46113</v>
      </c>
      <c r="AO3" s="5">
        <f t="shared" si="2"/>
        <v>46143</v>
      </c>
      <c r="AP3" s="5">
        <f t="shared" si="2"/>
        <v>46174</v>
      </c>
      <c r="AQ3" s="5">
        <f t="shared" si="2"/>
        <v>46204</v>
      </c>
      <c r="AR3" s="5">
        <f t="shared" si="2"/>
        <v>46235</v>
      </c>
      <c r="AS3" s="5">
        <f t="shared" si="2"/>
        <v>46266</v>
      </c>
      <c r="AT3" s="5">
        <f t="shared" si="2"/>
        <v>46296</v>
      </c>
      <c r="AU3" s="5">
        <f t="shared" si="2"/>
        <v>46327</v>
      </c>
      <c r="AV3" s="5">
        <f t="shared" si="2"/>
        <v>46357</v>
      </c>
      <c r="AW3" s="5">
        <f t="shared" si="2"/>
        <v>46388</v>
      </c>
      <c r="AX3" s="5">
        <f t="shared" si="2"/>
        <v>46419</v>
      </c>
      <c r="AY3" s="5">
        <f t="shared" si="2"/>
        <v>46447</v>
      </c>
      <c r="AZ3" s="5">
        <f t="shared" si="2"/>
        <v>46478</v>
      </c>
      <c r="BA3" s="5">
        <f t="shared" si="2"/>
        <v>46508</v>
      </c>
      <c r="BB3" s="5">
        <f t="shared" si="2"/>
        <v>46539</v>
      </c>
      <c r="BC3" s="5">
        <f t="shared" si="2"/>
        <v>46569</v>
      </c>
      <c r="BD3" s="5">
        <f t="shared" si="2"/>
        <v>46600</v>
      </c>
      <c r="BE3" s="5">
        <f t="shared" si="2"/>
        <v>46631</v>
      </c>
      <c r="BF3" s="5">
        <f t="shared" si="2"/>
        <v>46661</v>
      </c>
      <c r="BG3" s="5">
        <f t="shared" si="2"/>
        <v>46692</v>
      </c>
      <c r="BH3" s="5">
        <f t="shared" si="2"/>
        <v>46722</v>
      </c>
      <c r="BI3" s="5">
        <f t="shared" si="2"/>
        <v>46753</v>
      </c>
      <c r="BJ3" s="5">
        <f t="shared" si="2"/>
        <v>46784</v>
      </c>
      <c r="BK3" s="5">
        <f t="shared" si="2"/>
        <v>46813</v>
      </c>
      <c r="BN3" s="5" t="s">
        <v>4</v>
      </c>
    </row>
    <row r="4" spans="1:77" x14ac:dyDescent="0.35">
      <c r="A4" s="1"/>
      <c r="B4" s="1" t="s">
        <v>5</v>
      </c>
      <c r="C4" s="2"/>
      <c r="D4" s="5">
        <f>EOMONTH(D3,0)</f>
        <v>45046</v>
      </c>
      <c r="E4" s="5">
        <f t="shared" ref="E4:BK4" si="3">EOMONTH(E3,0)</f>
        <v>45077</v>
      </c>
      <c r="F4" s="5">
        <f t="shared" si="3"/>
        <v>45107</v>
      </c>
      <c r="G4" s="5">
        <f t="shared" si="3"/>
        <v>45138</v>
      </c>
      <c r="H4" s="5">
        <f t="shared" si="3"/>
        <v>45169</v>
      </c>
      <c r="I4" s="5">
        <f t="shared" si="3"/>
        <v>45199</v>
      </c>
      <c r="J4" s="5">
        <f t="shared" si="3"/>
        <v>45230</v>
      </c>
      <c r="K4" s="5">
        <f t="shared" si="3"/>
        <v>45260</v>
      </c>
      <c r="L4" s="5">
        <f t="shared" si="3"/>
        <v>45291</v>
      </c>
      <c r="M4" s="5">
        <f t="shared" si="3"/>
        <v>45322</v>
      </c>
      <c r="N4" s="5">
        <f t="shared" si="3"/>
        <v>45351</v>
      </c>
      <c r="O4" s="5">
        <f t="shared" si="3"/>
        <v>45382</v>
      </c>
      <c r="P4" s="5">
        <f t="shared" si="3"/>
        <v>45412</v>
      </c>
      <c r="Q4" s="5">
        <f t="shared" si="3"/>
        <v>45443</v>
      </c>
      <c r="R4" s="5">
        <f t="shared" si="3"/>
        <v>45473</v>
      </c>
      <c r="S4" s="5">
        <f t="shared" si="3"/>
        <v>45504</v>
      </c>
      <c r="T4" s="5">
        <f t="shared" si="3"/>
        <v>45535</v>
      </c>
      <c r="U4" s="5">
        <f t="shared" si="3"/>
        <v>45565</v>
      </c>
      <c r="V4" s="5">
        <f t="shared" si="3"/>
        <v>45596</v>
      </c>
      <c r="W4" s="5">
        <f t="shared" si="3"/>
        <v>45626</v>
      </c>
      <c r="X4" s="5">
        <f t="shared" si="3"/>
        <v>45657</v>
      </c>
      <c r="Y4" s="5">
        <f t="shared" si="3"/>
        <v>45688</v>
      </c>
      <c r="Z4" s="5">
        <f t="shared" si="3"/>
        <v>45716</v>
      </c>
      <c r="AA4" s="5">
        <f t="shared" si="3"/>
        <v>45747</v>
      </c>
      <c r="AB4" s="5">
        <f t="shared" si="3"/>
        <v>45777</v>
      </c>
      <c r="AC4" s="5">
        <f t="shared" si="3"/>
        <v>45808</v>
      </c>
      <c r="AD4" s="5">
        <f t="shared" si="3"/>
        <v>45838</v>
      </c>
      <c r="AE4" s="5">
        <f t="shared" si="3"/>
        <v>45869</v>
      </c>
      <c r="AF4" s="5">
        <f t="shared" si="3"/>
        <v>45900</v>
      </c>
      <c r="AG4" s="5">
        <f t="shared" si="3"/>
        <v>45930</v>
      </c>
      <c r="AH4" s="5">
        <f t="shared" si="3"/>
        <v>45961</v>
      </c>
      <c r="AI4" s="5">
        <f t="shared" si="3"/>
        <v>45991</v>
      </c>
      <c r="AJ4" s="5">
        <f t="shared" si="3"/>
        <v>46022</v>
      </c>
      <c r="AK4" s="5">
        <f t="shared" si="3"/>
        <v>46053</v>
      </c>
      <c r="AL4" s="5">
        <f t="shared" si="3"/>
        <v>46081</v>
      </c>
      <c r="AM4" s="5">
        <f t="shared" si="3"/>
        <v>46112</v>
      </c>
      <c r="AN4" s="5">
        <f t="shared" si="3"/>
        <v>46142</v>
      </c>
      <c r="AO4" s="5">
        <f t="shared" si="3"/>
        <v>46173</v>
      </c>
      <c r="AP4" s="5">
        <f t="shared" si="3"/>
        <v>46203</v>
      </c>
      <c r="AQ4" s="5">
        <f t="shared" si="3"/>
        <v>46234</v>
      </c>
      <c r="AR4" s="5">
        <f t="shared" si="3"/>
        <v>46265</v>
      </c>
      <c r="AS4" s="5">
        <f t="shared" si="3"/>
        <v>46295</v>
      </c>
      <c r="AT4" s="5">
        <f t="shared" si="3"/>
        <v>46326</v>
      </c>
      <c r="AU4" s="5">
        <f t="shared" si="3"/>
        <v>46356</v>
      </c>
      <c r="AV4" s="5">
        <f t="shared" si="3"/>
        <v>46387</v>
      </c>
      <c r="AW4" s="5">
        <f t="shared" si="3"/>
        <v>46418</v>
      </c>
      <c r="AX4" s="5">
        <f t="shared" si="3"/>
        <v>46446</v>
      </c>
      <c r="AY4" s="5">
        <f t="shared" si="3"/>
        <v>46477</v>
      </c>
      <c r="AZ4" s="5">
        <f t="shared" si="3"/>
        <v>46507</v>
      </c>
      <c r="BA4" s="5">
        <f t="shared" si="3"/>
        <v>46538</v>
      </c>
      <c r="BB4" s="5">
        <f t="shared" si="3"/>
        <v>46568</v>
      </c>
      <c r="BC4" s="5">
        <f t="shared" si="3"/>
        <v>46599</v>
      </c>
      <c r="BD4" s="5">
        <f t="shared" si="3"/>
        <v>46630</v>
      </c>
      <c r="BE4" s="5">
        <f t="shared" si="3"/>
        <v>46660</v>
      </c>
      <c r="BF4" s="5">
        <f t="shared" si="3"/>
        <v>46691</v>
      </c>
      <c r="BG4" s="5">
        <f t="shared" si="3"/>
        <v>46721</v>
      </c>
      <c r="BH4" s="5">
        <f t="shared" si="3"/>
        <v>46752</v>
      </c>
      <c r="BI4" s="5">
        <f t="shared" si="3"/>
        <v>46783</v>
      </c>
      <c r="BJ4" s="5">
        <f t="shared" si="3"/>
        <v>46812</v>
      </c>
      <c r="BK4" s="5">
        <f t="shared" si="3"/>
        <v>46843</v>
      </c>
      <c r="BN4" s="5" t="s">
        <v>6</v>
      </c>
    </row>
    <row r="5" spans="1:77" ht="24" x14ac:dyDescent="0.35">
      <c r="A5" s="6" t="s">
        <v>7</v>
      </c>
      <c r="B5" s="7" t="s">
        <v>1</v>
      </c>
      <c r="C5" s="8" t="s">
        <v>8</v>
      </c>
    </row>
    <row r="6" spans="1:77" s="13" customFormat="1" x14ac:dyDescent="0.35">
      <c r="A6" s="9" t="s">
        <v>9</v>
      </c>
      <c r="B6" s="10"/>
      <c r="C6" s="11"/>
      <c r="D6" s="12">
        <f>C46</f>
        <v>2.5582466980000418</v>
      </c>
      <c r="E6" s="12">
        <f>D46</f>
        <v>2.5582466980000418</v>
      </c>
      <c r="F6" s="12">
        <f t="shared" ref="F6:BK6" si="4">E46</f>
        <v>3.3150961988219603</v>
      </c>
      <c r="G6" s="12">
        <f t="shared" si="4"/>
        <v>2.7791615166164814</v>
      </c>
      <c r="H6" s="12">
        <f t="shared" si="4"/>
        <v>-65.611047248850383</v>
      </c>
      <c r="I6" s="12">
        <f t="shared" si="4"/>
        <v>-54.193319427492469</v>
      </c>
      <c r="J6" s="12">
        <f t="shared" si="4"/>
        <v>-57.652280523751841</v>
      </c>
      <c r="K6" s="12">
        <f t="shared" si="4"/>
        <v>-62.039431375805364</v>
      </c>
      <c r="L6" s="12">
        <f t="shared" si="4"/>
        <v>-64.690662079763285</v>
      </c>
      <c r="M6" s="12">
        <f t="shared" si="4"/>
        <v>-67.555715310872358</v>
      </c>
      <c r="N6" s="12">
        <f t="shared" si="4"/>
        <v>-71.39251698343881</v>
      </c>
      <c r="O6" s="12">
        <f t="shared" si="4"/>
        <v>-76.209592628607993</v>
      </c>
      <c r="P6" s="12">
        <f t="shared" si="4"/>
        <v>-81.03653128747581</v>
      </c>
      <c r="Q6" s="12">
        <f t="shared" si="4"/>
        <v>-85.844401453192944</v>
      </c>
      <c r="R6" s="12">
        <f t="shared" si="4"/>
        <v>-90.651614084663493</v>
      </c>
      <c r="S6" s="12">
        <f t="shared" si="4"/>
        <v>-95.440415757229943</v>
      </c>
      <c r="T6" s="12">
        <f t="shared" si="4"/>
        <v>-100.50430414530324</v>
      </c>
      <c r="U6" s="12">
        <f t="shared" si="4"/>
        <v>-105.2819277356779</v>
      </c>
      <c r="V6" s="12">
        <f t="shared" si="4"/>
        <v>-108.04212666851832</v>
      </c>
      <c r="W6" s="12">
        <f t="shared" si="4"/>
        <v>-111.07642601549573</v>
      </c>
      <c r="X6" s="12">
        <f>W46</f>
        <v>-111.69492767391546</v>
      </c>
      <c r="Y6" s="12">
        <f t="shared" si="4"/>
        <v>5.5469259261848798</v>
      </c>
      <c r="Z6" s="12">
        <f t="shared" si="4"/>
        <v>3.3583202761237434</v>
      </c>
      <c r="AA6" s="12">
        <f t="shared" si="4"/>
        <v>2.7174054800127205</v>
      </c>
      <c r="AB6" s="12">
        <f t="shared" si="4"/>
        <v>3.466516004586583</v>
      </c>
      <c r="AC6" s="12">
        <f t="shared" si="4"/>
        <v>3.9758829715988169</v>
      </c>
      <c r="AD6" s="12">
        <f t="shared" si="4"/>
        <v>4.7249934961726803</v>
      </c>
      <c r="AE6" s="12">
        <f t="shared" si="4"/>
        <v>5.5107622471849131</v>
      </c>
      <c r="AF6" s="12">
        <f t="shared" si="4"/>
        <v>5.9834709877587766</v>
      </c>
      <c r="AG6" s="12">
        <f t="shared" si="4"/>
        <v>6.7325815123326391</v>
      </c>
      <c r="AH6" s="12">
        <f t="shared" si="4"/>
        <v>7.5183502633448738</v>
      </c>
      <c r="AI6" s="12">
        <f t="shared" si="4"/>
        <v>7.9910590039187372</v>
      </c>
      <c r="AJ6" s="12">
        <f t="shared" si="4"/>
        <v>8.7768277549309701</v>
      </c>
      <c r="AK6" s="12">
        <f t="shared" si="4"/>
        <v>9.5259382795048335</v>
      </c>
      <c r="AL6" s="12">
        <f t="shared" si="4"/>
        <v>9.9433666632786952</v>
      </c>
      <c r="AM6" s="12">
        <f t="shared" si="4"/>
        <v>10.802451867167672</v>
      </c>
      <c r="AN6" s="12">
        <f t="shared" si="4"/>
        <v>11.551562391741534</v>
      </c>
      <c r="AO6" s="12">
        <f t="shared" si="4"/>
        <v>12.005649001953767</v>
      </c>
      <c r="AP6" s="12">
        <f t="shared" si="4"/>
        <v>12.75475952652763</v>
      </c>
      <c r="AQ6" s="12">
        <f t="shared" si="4"/>
        <v>13.540528277539867</v>
      </c>
      <c r="AR6" s="12">
        <f t="shared" si="4"/>
        <v>13.969956661313729</v>
      </c>
      <c r="AS6" s="12">
        <f t="shared" si="4"/>
        <v>14.731067185887589</v>
      </c>
      <c r="AT6" s="12">
        <f t="shared" si="4"/>
        <v>15.528835936899824</v>
      </c>
      <c r="AU6" s="12">
        <f t="shared" si="4"/>
        <v>15.958264320673688</v>
      </c>
      <c r="AV6" s="12">
        <f t="shared" si="4"/>
        <v>16.756033071685923</v>
      </c>
      <c r="AW6" s="12">
        <f t="shared" si="4"/>
        <v>17.517143596259785</v>
      </c>
      <c r="AX6" s="12">
        <f t="shared" si="4"/>
        <v>17.946571980033649</v>
      </c>
      <c r="AY6" s="12">
        <f t="shared" si="4"/>
        <v>18.817657183922627</v>
      </c>
      <c r="AZ6" s="12">
        <f t="shared" si="4"/>
        <v>19.578767708496489</v>
      </c>
      <c r="BA6" s="12">
        <f t="shared" si="4"/>
        <v>20.044854318708722</v>
      </c>
      <c r="BB6" s="12">
        <f t="shared" si="4"/>
        <v>20.805964843282585</v>
      </c>
      <c r="BC6" s="12">
        <f t="shared" si="4"/>
        <v>21.60373359429482</v>
      </c>
      <c r="BD6" s="12">
        <f t="shared" si="4"/>
        <v>22.033161978068684</v>
      </c>
      <c r="BE6" s="12">
        <f t="shared" si="4"/>
        <v>22.794272502642546</v>
      </c>
      <c r="BF6" s="12">
        <f t="shared" si="4"/>
        <v>23.592041253654781</v>
      </c>
      <c r="BG6" s="12">
        <f t="shared" si="4"/>
        <v>24.021469637428645</v>
      </c>
      <c r="BH6" s="12">
        <f t="shared" si="4"/>
        <v>24.81923838844088</v>
      </c>
      <c r="BI6" s="12">
        <f t="shared" si="4"/>
        <v>25.845677510673493</v>
      </c>
      <c r="BJ6" s="12">
        <f t="shared" si="4"/>
        <v>26.540434492106108</v>
      </c>
      <c r="BK6" s="12">
        <f t="shared" si="4"/>
        <v>27.640190067215464</v>
      </c>
      <c r="BM6"/>
      <c r="BN6" s="12">
        <f>O46</f>
        <v>-81.03653128747581</v>
      </c>
      <c r="BO6"/>
      <c r="BP6"/>
    </row>
    <row r="7" spans="1:77" s="13" customFormat="1" x14ac:dyDescent="0.35">
      <c r="A7" s="9"/>
      <c r="B7" s="7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M7"/>
      <c r="BN7" s="15"/>
      <c r="BO7"/>
      <c r="BP7"/>
    </row>
    <row r="8" spans="1:77" x14ac:dyDescent="0.35">
      <c r="A8" s="16" t="s">
        <v>10</v>
      </c>
      <c r="B8" s="17"/>
      <c r="C8" s="1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N8" s="17"/>
    </row>
    <row r="9" spans="1:77" s="24" customFormat="1" x14ac:dyDescent="0.35">
      <c r="A9" s="19" t="s">
        <v>11</v>
      </c>
      <c r="B9" s="20"/>
      <c r="C9" s="21">
        <f>20.3 + 93.3251855-16.0363024</f>
        <v>97.588883100000004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3"/>
      <c r="BM9" s="23"/>
      <c r="BN9" s="22">
        <f t="shared" ref="BN9:BN17" si="5">SUM(P9:BK9)</f>
        <v>0</v>
      </c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</row>
    <row r="10" spans="1:77" s="24" customFormat="1" x14ac:dyDescent="0.35">
      <c r="A10" s="19" t="s">
        <v>12</v>
      </c>
      <c r="B10" s="26">
        <f>SUM(D10:BK10)</f>
        <v>30</v>
      </c>
      <c r="C10" s="27"/>
      <c r="D10" s="22">
        <f>D69</f>
        <v>0</v>
      </c>
      <c r="E10" s="22">
        <f t="shared" ref="E10:BK10" si="6">E69</f>
        <v>0</v>
      </c>
      <c r="F10" s="22">
        <f t="shared" si="6"/>
        <v>0</v>
      </c>
      <c r="G10" s="22">
        <f t="shared" si="6"/>
        <v>15</v>
      </c>
      <c r="H10" s="22">
        <f t="shared" si="6"/>
        <v>15</v>
      </c>
      <c r="I10" s="22">
        <f t="shared" si="6"/>
        <v>0</v>
      </c>
      <c r="J10" s="22">
        <f t="shared" si="6"/>
        <v>0</v>
      </c>
      <c r="K10" s="22">
        <f t="shared" si="6"/>
        <v>0</v>
      </c>
      <c r="L10" s="22">
        <f t="shared" si="6"/>
        <v>0</v>
      </c>
      <c r="M10" s="22">
        <f t="shared" si="6"/>
        <v>0</v>
      </c>
      <c r="N10" s="22">
        <f t="shared" si="6"/>
        <v>0</v>
      </c>
      <c r="O10" s="22">
        <f t="shared" si="6"/>
        <v>0</v>
      </c>
      <c r="P10" s="22">
        <f t="shared" si="6"/>
        <v>0</v>
      </c>
      <c r="Q10" s="22">
        <f t="shared" si="6"/>
        <v>0</v>
      </c>
      <c r="R10" s="22">
        <f t="shared" si="6"/>
        <v>0</v>
      </c>
      <c r="S10" s="22">
        <f t="shared" si="6"/>
        <v>0</v>
      </c>
      <c r="T10" s="22">
        <f t="shared" si="6"/>
        <v>0</v>
      </c>
      <c r="U10" s="22">
        <f t="shared" si="6"/>
        <v>0</v>
      </c>
      <c r="V10" s="22">
        <f t="shared" si="6"/>
        <v>0</v>
      </c>
      <c r="W10" s="22">
        <f t="shared" si="6"/>
        <v>0</v>
      </c>
      <c r="X10" s="22">
        <f t="shared" si="6"/>
        <v>0</v>
      </c>
      <c r="Y10" s="22">
        <f t="shared" si="6"/>
        <v>0</v>
      </c>
      <c r="Z10" s="22">
        <f t="shared" si="6"/>
        <v>0</v>
      </c>
      <c r="AA10" s="22">
        <f t="shared" si="6"/>
        <v>0</v>
      </c>
      <c r="AB10" s="22">
        <f t="shared" si="6"/>
        <v>0</v>
      </c>
      <c r="AC10" s="22">
        <f t="shared" si="6"/>
        <v>0</v>
      </c>
      <c r="AD10" s="22">
        <f t="shared" si="6"/>
        <v>0</v>
      </c>
      <c r="AE10" s="22">
        <f t="shared" si="6"/>
        <v>0</v>
      </c>
      <c r="AF10" s="22">
        <f t="shared" si="6"/>
        <v>0</v>
      </c>
      <c r="AG10" s="22">
        <f t="shared" si="6"/>
        <v>0</v>
      </c>
      <c r="AH10" s="22">
        <f t="shared" si="6"/>
        <v>0</v>
      </c>
      <c r="AI10" s="22">
        <f t="shared" si="6"/>
        <v>0</v>
      </c>
      <c r="AJ10" s="22">
        <f t="shared" si="6"/>
        <v>0</v>
      </c>
      <c r="AK10" s="22">
        <f t="shared" si="6"/>
        <v>0</v>
      </c>
      <c r="AL10" s="22">
        <f t="shared" si="6"/>
        <v>0</v>
      </c>
      <c r="AM10" s="22">
        <f t="shared" si="6"/>
        <v>0</v>
      </c>
      <c r="AN10" s="22">
        <f t="shared" si="6"/>
        <v>0</v>
      </c>
      <c r="AO10" s="22">
        <f t="shared" si="6"/>
        <v>0</v>
      </c>
      <c r="AP10" s="22">
        <f t="shared" si="6"/>
        <v>0</v>
      </c>
      <c r="AQ10" s="22">
        <f t="shared" si="6"/>
        <v>0</v>
      </c>
      <c r="AR10" s="22">
        <f t="shared" si="6"/>
        <v>0</v>
      </c>
      <c r="AS10" s="22">
        <f t="shared" si="6"/>
        <v>0</v>
      </c>
      <c r="AT10" s="22">
        <f t="shared" si="6"/>
        <v>0</v>
      </c>
      <c r="AU10" s="22">
        <f t="shared" si="6"/>
        <v>0</v>
      </c>
      <c r="AV10" s="22">
        <f t="shared" si="6"/>
        <v>0</v>
      </c>
      <c r="AW10" s="22">
        <f t="shared" si="6"/>
        <v>0</v>
      </c>
      <c r="AX10" s="22">
        <f t="shared" si="6"/>
        <v>0</v>
      </c>
      <c r="AY10" s="22">
        <f t="shared" si="6"/>
        <v>0</v>
      </c>
      <c r="AZ10" s="22">
        <f t="shared" si="6"/>
        <v>0</v>
      </c>
      <c r="BA10" s="22">
        <f t="shared" si="6"/>
        <v>0</v>
      </c>
      <c r="BB10" s="22">
        <f t="shared" si="6"/>
        <v>0</v>
      </c>
      <c r="BC10" s="22">
        <f t="shared" si="6"/>
        <v>0</v>
      </c>
      <c r="BD10" s="22">
        <f t="shared" si="6"/>
        <v>0</v>
      </c>
      <c r="BE10" s="22">
        <f t="shared" si="6"/>
        <v>0</v>
      </c>
      <c r="BF10" s="22">
        <f t="shared" si="6"/>
        <v>0</v>
      </c>
      <c r="BG10" s="22">
        <f t="shared" si="6"/>
        <v>0</v>
      </c>
      <c r="BH10" s="22">
        <f t="shared" si="6"/>
        <v>0</v>
      </c>
      <c r="BI10" s="22">
        <f t="shared" si="6"/>
        <v>0</v>
      </c>
      <c r="BJ10" s="22">
        <f t="shared" si="6"/>
        <v>0</v>
      </c>
      <c r="BK10" s="22">
        <f t="shared" si="6"/>
        <v>0</v>
      </c>
      <c r="BL10" s="23"/>
      <c r="BM10" s="23"/>
      <c r="BN10" s="22">
        <f t="shared" si="5"/>
        <v>0</v>
      </c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</row>
    <row r="11" spans="1:77" x14ac:dyDescent="0.35">
      <c r="A11" s="19" t="s">
        <v>13</v>
      </c>
      <c r="B11" s="20">
        <f>SUM(D11:BK11)</f>
        <v>12</v>
      </c>
      <c r="C11" s="21">
        <f>(108.1628358+3.0762953+3.2652831+3.4884268)+(111.76+2.64)</f>
        <v>232.392841</v>
      </c>
      <c r="D11" s="25"/>
      <c r="E11" s="25">
        <v>6</v>
      </c>
      <c r="F11" s="25">
        <v>6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13"/>
      <c r="BM11" s="13"/>
      <c r="BN11" s="25">
        <f t="shared" si="5"/>
        <v>0</v>
      </c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</row>
    <row r="12" spans="1:77" s="24" customFormat="1" x14ac:dyDescent="0.35">
      <c r="A12" s="19" t="s">
        <v>164</v>
      </c>
      <c r="B12" s="20">
        <f>SUM(D12:BK12)</f>
        <v>328.28311017305998</v>
      </c>
      <c r="C12" s="21"/>
      <c r="D12" s="22"/>
      <c r="E12" s="22">
        <f>E81+E93</f>
        <v>0</v>
      </c>
      <c r="F12" s="22">
        <f t="shared" ref="F12:BL12" si="7">F81+F93</f>
        <v>0</v>
      </c>
      <c r="G12" s="22">
        <f t="shared" si="7"/>
        <v>187.43834543615998</v>
      </c>
      <c r="H12" s="22">
        <f t="shared" si="7"/>
        <v>0</v>
      </c>
      <c r="I12" s="22">
        <f t="shared" si="7"/>
        <v>0</v>
      </c>
      <c r="J12" s="22">
        <f t="shared" si="7"/>
        <v>0</v>
      </c>
      <c r="K12" s="22">
        <f t="shared" si="7"/>
        <v>0</v>
      </c>
      <c r="L12" s="22">
        <f t="shared" si="7"/>
        <v>0</v>
      </c>
      <c r="M12" s="22">
        <f t="shared" si="7"/>
        <v>0</v>
      </c>
      <c r="N12" s="22">
        <f t="shared" si="7"/>
        <v>0</v>
      </c>
      <c r="O12" s="22">
        <f t="shared" si="7"/>
        <v>0</v>
      </c>
      <c r="P12" s="22">
        <f t="shared" si="7"/>
        <v>0</v>
      </c>
      <c r="Q12" s="22">
        <f t="shared" si="7"/>
        <v>0</v>
      </c>
      <c r="R12" s="22">
        <f t="shared" si="7"/>
        <v>0</v>
      </c>
      <c r="S12" s="22">
        <f t="shared" si="7"/>
        <v>0</v>
      </c>
      <c r="T12" s="22">
        <f t="shared" si="7"/>
        <v>0</v>
      </c>
      <c r="U12" s="22">
        <f t="shared" si="7"/>
        <v>0</v>
      </c>
      <c r="V12" s="22">
        <f t="shared" si="7"/>
        <v>0</v>
      </c>
      <c r="W12" s="22">
        <f t="shared" si="7"/>
        <v>0</v>
      </c>
      <c r="X12" s="22">
        <f t="shared" si="7"/>
        <v>140.8447647369</v>
      </c>
      <c r="Y12" s="22">
        <f t="shared" si="7"/>
        <v>0</v>
      </c>
      <c r="Z12" s="22">
        <f t="shared" si="7"/>
        <v>0</v>
      </c>
      <c r="AA12" s="22">
        <f t="shared" si="7"/>
        <v>0</v>
      </c>
      <c r="AB12" s="22">
        <f t="shared" si="7"/>
        <v>0</v>
      </c>
      <c r="AC12" s="22">
        <f t="shared" si="7"/>
        <v>0</v>
      </c>
      <c r="AD12" s="22">
        <f t="shared" si="7"/>
        <v>0</v>
      </c>
      <c r="AE12" s="22">
        <f t="shared" si="7"/>
        <v>0</v>
      </c>
      <c r="AF12" s="22">
        <f t="shared" si="7"/>
        <v>0</v>
      </c>
      <c r="AG12" s="22">
        <f t="shared" si="7"/>
        <v>0</v>
      </c>
      <c r="AH12" s="22">
        <f t="shared" si="7"/>
        <v>0</v>
      </c>
      <c r="AI12" s="22">
        <f t="shared" si="7"/>
        <v>0</v>
      </c>
      <c r="AJ12" s="22">
        <f t="shared" si="7"/>
        <v>0</v>
      </c>
      <c r="AK12" s="22">
        <f t="shared" si="7"/>
        <v>0</v>
      </c>
      <c r="AL12" s="22">
        <f t="shared" si="7"/>
        <v>0</v>
      </c>
      <c r="AM12" s="22">
        <f t="shared" si="7"/>
        <v>0</v>
      </c>
      <c r="AN12" s="22">
        <f t="shared" si="7"/>
        <v>0</v>
      </c>
      <c r="AO12" s="22">
        <f t="shared" si="7"/>
        <v>0</v>
      </c>
      <c r="AP12" s="22">
        <f t="shared" si="7"/>
        <v>0</v>
      </c>
      <c r="AQ12" s="22">
        <f t="shared" si="7"/>
        <v>0</v>
      </c>
      <c r="AR12" s="22">
        <f t="shared" si="7"/>
        <v>0</v>
      </c>
      <c r="AS12" s="22">
        <f t="shared" si="7"/>
        <v>0</v>
      </c>
      <c r="AT12" s="22">
        <f t="shared" si="7"/>
        <v>0</v>
      </c>
      <c r="AU12" s="22">
        <f t="shared" si="7"/>
        <v>0</v>
      </c>
      <c r="AV12" s="22">
        <f t="shared" si="7"/>
        <v>0</v>
      </c>
      <c r="AW12" s="22">
        <f t="shared" si="7"/>
        <v>0</v>
      </c>
      <c r="AX12" s="22">
        <f t="shared" si="7"/>
        <v>0</v>
      </c>
      <c r="AY12" s="22">
        <f t="shared" si="7"/>
        <v>0</v>
      </c>
      <c r="AZ12" s="22">
        <f t="shared" si="7"/>
        <v>0</v>
      </c>
      <c r="BA12" s="22">
        <f t="shared" si="7"/>
        <v>0</v>
      </c>
      <c r="BB12" s="22">
        <f t="shared" si="7"/>
        <v>0</v>
      </c>
      <c r="BC12" s="22">
        <f t="shared" si="7"/>
        <v>0</v>
      </c>
      <c r="BD12" s="22">
        <f t="shared" si="7"/>
        <v>0</v>
      </c>
      <c r="BE12" s="22">
        <f t="shared" si="7"/>
        <v>0</v>
      </c>
      <c r="BF12" s="22">
        <f t="shared" si="7"/>
        <v>0</v>
      </c>
      <c r="BG12" s="22">
        <f t="shared" si="7"/>
        <v>0</v>
      </c>
      <c r="BH12" s="22">
        <f t="shared" si="7"/>
        <v>0</v>
      </c>
      <c r="BI12" s="22">
        <f t="shared" si="7"/>
        <v>0</v>
      </c>
      <c r="BJ12" s="22">
        <f t="shared" si="7"/>
        <v>0</v>
      </c>
      <c r="BK12" s="22">
        <f t="shared" si="7"/>
        <v>0</v>
      </c>
      <c r="BL12" s="23"/>
      <c r="BM12" s="23"/>
      <c r="BN12" s="22">
        <f t="shared" si="5"/>
        <v>140.8447647369</v>
      </c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</row>
    <row r="13" spans="1:77" x14ac:dyDescent="0.35">
      <c r="A13" s="9" t="s">
        <v>14</v>
      </c>
      <c r="B13" s="28">
        <f>SUM(D13:BK13)</f>
        <v>228.21946184701801</v>
      </c>
      <c r="C13" s="29"/>
      <c r="D13" s="30"/>
      <c r="E13" s="30">
        <f t="shared" ref="E13:BK13" si="8">E181</f>
        <v>0</v>
      </c>
      <c r="F13" s="30">
        <f t="shared" si="8"/>
        <v>0</v>
      </c>
      <c r="G13" s="30">
        <f t="shared" si="8"/>
        <v>0</v>
      </c>
      <c r="H13" s="30">
        <f t="shared" si="8"/>
        <v>9.6853315859444372E-2</v>
      </c>
      <c r="I13" s="30">
        <f t="shared" si="8"/>
        <v>2.1181596117587609</v>
      </c>
      <c r="J13" s="30">
        <f t="shared" si="8"/>
        <v>2.410968119728</v>
      </c>
      <c r="K13" s="30">
        <f t="shared" si="8"/>
        <v>2.5708156290602266</v>
      </c>
      <c r="L13" s="30">
        <f t="shared" si="8"/>
        <v>2.7306631383924538</v>
      </c>
      <c r="M13" s="30">
        <f t="shared" si="8"/>
        <v>2.7306631383924538</v>
      </c>
      <c r="N13" s="30">
        <f t="shared" si="8"/>
        <v>2.7306631383924538</v>
      </c>
      <c r="O13" s="30">
        <f t="shared" si="8"/>
        <v>2.7306631383924538</v>
      </c>
      <c r="P13" s="30">
        <f t="shared" si="8"/>
        <v>2.7306631383924538</v>
      </c>
      <c r="Q13" s="30">
        <f t="shared" si="8"/>
        <v>2.7306631383924538</v>
      </c>
      <c r="R13" s="30">
        <f t="shared" si="8"/>
        <v>2.7306631383924538</v>
      </c>
      <c r="S13" s="30">
        <f t="shared" si="8"/>
        <v>2.7306631383924538</v>
      </c>
      <c r="T13" s="30">
        <f t="shared" si="8"/>
        <v>2.7306631383924538</v>
      </c>
      <c r="U13" s="30">
        <f t="shared" si="8"/>
        <v>2.7306631383924538</v>
      </c>
      <c r="V13" s="30">
        <f t="shared" si="8"/>
        <v>2.7306631383924538</v>
      </c>
      <c r="W13" s="30">
        <f t="shared" si="8"/>
        <v>2.7306631383924538</v>
      </c>
      <c r="X13" s="30">
        <f t="shared" si="8"/>
        <v>3.8045242859919819</v>
      </c>
      <c r="Y13" s="30">
        <f t="shared" si="8"/>
        <v>4.5204317177249997</v>
      </c>
      <c r="Z13" s="30">
        <f t="shared" si="8"/>
        <v>4.5204317177249997</v>
      </c>
      <c r="AA13" s="30">
        <f t="shared" si="8"/>
        <v>4.5204317177249997</v>
      </c>
      <c r="AB13" s="30">
        <f t="shared" si="8"/>
        <v>4.5204317177249997</v>
      </c>
      <c r="AC13" s="30">
        <f t="shared" si="8"/>
        <v>4.5204317177249997</v>
      </c>
      <c r="AD13" s="30">
        <f t="shared" si="8"/>
        <v>4.5204317177249997</v>
      </c>
      <c r="AE13" s="30">
        <f t="shared" si="8"/>
        <v>4.5204317177249997</v>
      </c>
      <c r="AF13" s="30">
        <f t="shared" si="8"/>
        <v>4.5204317177249997</v>
      </c>
      <c r="AG13" s="30">
        <f t="shared" si="8"/>
        <v>4.5204317177249997</v>
      </c>
      <c r="AH13" s="30">
        <f t="shared" si="8"/>
        <v>4.5204317177249997</v>
      </c>
      <c r="AI13" s="30">
        <f t="shared" si="8"/>
        <v>4.5204317177249997</v>
      </c>
      <c r="AJ13" s="30">
        <f t="shared" si="8"/>
        <v>4.5204317177249997</v>
      </c>
      <c r="AK13" s="30">
        <f t="shared" si="8"/>
        <v>4.5204317177249997</v>
      </c>
      <c r="AL13" s="30">
        <f t="shared" si="8"/>
        <v>4.5204317177249997</v>
      </c>
      <c r="AM13" s="30">
        <f t="shared" si="8"/>
        <v>4.5204317177249997</v>
      </c>
      <c r="AN13" s="30">
        <f t="shared" si="8"/>
        <v>4.5204317177249997</v>
      </c>
      <c r="AO13" s="30">
        <f t="shared" si="8"/>
        <v>4.5204317177249997</v>
      </c>
      <c r="AP13" s="30">
        <f t="shared" si="8"/>
        <v>4.5204317177249997</v>
      </c>
      <c r="AQ13" s="30">
        <f t="shared" si="8"/>
        <v>4.7724099677250003</v>
      </c>
      <c r="AR13" s="30">
        <f t="shared" si="8"/>
        <v>4.7724099677250003</v>
      </c>
      <c r="AS13" s="30">
        <f t="shared" si="8"/>
        <v>4.7724099677250003</v>
      </c>
      <c r="AT13" s="30">
        <f t="shared" si="8"/>
        <v>4.7724099677250003</v>
      </c>
      <c r="AU13" s="30">
        <f t="shared" si="8"/>
        <v>4.7724099677250003</v>
      </c>
      <c r="AV13" s="30">
        <f t="shared" si="8"/>
        <v>4.7724099677250003</v>
      </c>
      <c r="AW13" s="30">
        <f t="shared" si="8"/>
        <v>4.7724099677250003</v>
      </c>
      <c r="AX13" s="30">
        <f t="shared" si="8"/>
        <v>4.9010162957250003</v>
      </c>
      <c r="AY13" s="30">
        <f t="shared" si="8"/>
        <v>4.9010162957250003</v>
      </c>
      <c r="AZ13" s="30">
        <f t="shared" si="8"/>
        <v>4.9010162957250003</v>
      </c>
      <c r="BA13" s="30">
        <f t="shared" si="8"/>
        <v>4.9010162957250003</v>
      </c>
      <c r="BB13" s="30">
        <f t="shared" si="8"/>
        <v>4.9010162957250003</v>
      </c>
      <c r="BC13" s="30">
        <f t="shared" si="8"/>
        <v>4.9010162957250003</v>
      </c>
      <c r="BD13" s="30">
        <f t="shared" si="8"/>
        <v>4.9010162957250003</v>
      </c>
      <c r="BE13" s="30">
        <f t="shared" si="8"/>
        <v>4.9010162957250003</v>
      </c>
      <c r="BF13" s="30">
        <f t="shared" si="8"/>
        <v>4.9010162957250003</v>
      </c>
      <c r="BG13" s="30">
        <f t="shared" si="8"/>
        <v>4.9010162957250003</v>
      </c>
      <c r="BH13" s="30">
        <f t="shared" si="8"/>
        <v>5.1663448933837506</v>
      </c>
      <c r="BI13" s="30">
        <f t="shared" si="8"/>
        <v>5.1663448933837506</v>
      </c>
      <c r="BJ13" s="30">
        <f t="shared" si="8"/>
        <v>5.1663448933837506</v>
      </c>
      <c r="BK13" s="30">
        <f t="shared" si="8"/>
        <v>5.1663448933837506</v>
      </c>
      <c r="BL13" s="13"/>
      <c r="BM13" s="13"/>
      <c r="BN13" s="30">
        <f t="shared" si="5"/>
        <v>210.10001261704178</v>
      </c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</row>
    <row r="14" spans="1:77" x14ac:dyDescent="0.35">
      <c r="A14" s="9" t="s">
        <v>15</v>
      </c>
      <c r="B14" s="28">
        <f>SUM(D14:BK14)</f>
        <v>8.4701996354499975</v>
      </c>
      <c r="C14" s="29">
        <f>C193</f>
        <v>3.5340184999999997</v>
      </c>
      <c r="D14" s="30"/>
      <c r="E14" s="30">
        <f t="shared" ref="E14:BK14" si="9">E193</f>
        <v>0</v>
      </c>
      <c r="F14" s="30">
        <f t="shared" si="9"/>
        <v>0.29336600000000002</v>
      </c>
      <c r="G14" s="30">
        <f t="shared" si="9"/>
        <v>1.3448264999999999</v>
      </c>
      <c r="H14" s="30">
        <f t="shared" si="9"/>
        <v>1.6803245999999996</v>
      </c>
      <c r="I14" s="30">
        <f t="shared" si="9"/>
        <v>0.98392450000000098</v>
      </c>
      <c r="J14" s="30">
        <f t="shared" si="9"/>
        <v>0.31502169999999907</v>
      </c>
      <c r="K14" s="30">
        <f t="shared" si="9"/>
        <v>0.31502169999999996</v>
      </c>
      <c r="L14" s="30">
        <f t="shared" si="9"/>
        <v>0</v>
      </c>
      <c r="M14" s="30">
        <f t="shared" si="9"/>
        <v>0</v>
      </c>
      <c r="N14" s="30">
        <f t="shared" si="9"/>
        <v>0</v>
      </c>
      <c r="O14" s="30">
        <f t="shared" si="9"/>
        <v>0</v>
      </c>
      <c r="P14" s="30">
        <f t="shared" si="9"/>
        <v>0</v>
      </c>
      <c r="Q14" s="30">
        <f t="shared" si="9"/>
        <v>0</v>
      </c>
      <c r="R14" s="30">
        <f t="shared" si="9"/>
        <v>0</v>
      </c>
      <c r="S14" s="30">
        <f t="shared" si="9"/>
        <v>0</v>
      </c>
      <c r="T14" s="30">
        <f t="shared" si="9"/>
        <v>0</v>
      </c>
      <c r="U14" s="30">
        <f t="shared" si="9"/>
        <v>0</v>
      </c>
      <c r="V14" s="30">
        <f t="shared" si="9"/>
        <v>0</v>
      </c>
      <c r="W14" s="30">
        <f t="shared" si="9"/>
        <v>2.1226287812700004</v>
      </c>
      <c r="X14" s="30">
        <f t="shared" si="9"/>
        <v>1.4150858541799991</v>
      </c>
      <c r="Y14" s="30">
        <f t="shared" si="9"/>
        <v>0</v>
      </c>
      <c r="Z14" s="30">
        <f t="shared" si="9"/>
        <v>0</v>
      </c>
      <c r="AA14" s="30">
        <f t="shared" si="9"/>
        <v>0</v>
      </c>
      <c r="AB14" s="30">
        <f t="shared" si="9"/>
        <v>0</v>
      </c>
      <c r="AC14" s="30">
        <f t="shared" si="9"/>
        <v>0</v>
      </c>
      <c r="AD14" s="30">
        <f t="shared" si="9"/>
        <v>0</v>
      </c>
      <c r="AE14" s="30">
        <f t="shared" si="9"/>
        <v>0</v>
      </c>
      <c r="AF14" s="30">
        <f t="shared" si="9"/>
        <v>0</v>
      </c>
      <c r="AG14" s="30">
        <f t="shared" si="9"/>
        <v>0</v>
      </c>
      <c r="AH14" s="30">
        <f t="shared" si="9"/>
        <v>0</v>
      </c>
      <c r="AI14" s="30">
        <f t="shared" si="9"/>
        <v>0</v>
      </c>
      <c r="AJ14" s="30">
        <f t="shared" si="9"/>
        <v>0</v>
      </c>
      <c r="AK14" s="30">
        <f t="shared" si="9"/>
        <v>0</v>
      </c>
      <c r="AL14" s="30">
        <f t="shared" si="9"/>
        <v>0</v>
      </c>
      <c r="AM14" s="30">
        <f t="shared" si="9"/>
        <v>0</v>
      </c>
      <c r="AN14" s="30">
        <f t="shared" si="9"/>
        <v>0</v>
      </c>
      <c r="AO14" s="30">
        <f t="shared" si="9"/>
        <v>0</v>
      </c>
      <c r="AP14" s="30">
        <f t="shared" si="9"/>
        <v>0</v>
      </c>
      <c r="AQ14" s="30">
        <f t="shared" si="9"/>
        <v>0</v>
      </c>
      <c r="AR14" s="30">
        <f t="shared" si="9"/>
        <v>0</v>
      </c>
      <c r="AS14" s="30">
        <f t="shared" si="9"/>
        <v>0</v>
      </c>
      <c r="AT14" s="30">
        <f t="shared" si="9"/>
        <v>0</v>
      </c>
      <c r="AU14" s="30">
        <f t="shared" si="9"/>
        <v>0</v>
      </c>
      <c r="AV14" s="30">
        <f t="shared" si="9"/>
        <v>0</v>
      </c>
      <c r="AW14" s="30">
        <f t="shared" si="9"/>
        <v>0</v>
      </c>
      <c r="AX14" s="30">
        <f t="shared" si="9"/>
        <v>0</v>
      </c>
      <c r="AY14" s="30">
        <f t="shared" si="9"/>
        <v>0</v>
      </c>
      <c r="AZ14" s="30">
        <f t="shared" si="9"/>
        <v>0</v>
      </c>
      <c r="BA14" s="30">
        <f t="shared" si="9"/>
        <v>0</v>
      </c>
      <c r="BB14" s="30">
        <f t="shared" si="9"/>
        <v>0</v>
      </c>
      <c r="BC14" s="30">
        <f t="shared" si="9"/>
        <v>0</v>
      </c>
      <c r="BD14" s="30">
        <f t="shared" si="9"/>
        <v>0</v>
      </c>
      <c r="BE14" s="30">
        <f t="shared" si="9"/>
        <v>0</v>
      </c>
      <c r="BF14" s="30">
        <f t="shared" si="9"/>
        <v>0</v>
      </c>
      <c r="BG14" s="30">
        <f t="shared" si="9"/>
        <v>0</v>
      </c>
      <c r="BH14" s="30">
        <f t="shared" si="9"/>
        <v>0</v>
      </c>
      <c r="BI14" s="30">
        <f t="shared" si="9"/>
        <v>0</v>
      </c>
      <c r="BJ14" s="30">
        <f t="shared" si="9"/>
        <v>0</v>
      </c>
      <c r="BK14" s="30">
        <f t="shared" si="9"/>
        <v>0</v>
      </c>
      <c r="BL14" s="13"/>
      <c r="BM14" s="13"/>
      <c r="BN14" s="30">
        <f t="shared" si="5"/>
        <v>3.5377146354499995</v>
      </c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</row>
    <row r="15" spans="1:77" x14ac:dyDescent="0.35">
      <c r="A15" s="9" t="s">
        <v>16</v>
      </c>
      <c r="B15" s="28">
        <f>SUM(D15:BK15)</f>
        <v>0</v>
      </c>
      <c r="C15" s="29">
        <v>0.54078350000000008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13"/>
      <c r="BM15" s="13"/>
      <c r="BN15" s="30">
        <f t="shared" si="5"/>
        <v>0</v>
      </c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</row>
    <row r="16" spans="1:77" x14ac:dyDescent="0.35">
      <c r="A16" s="9" t="s">
        <v>17</v>
      </c>
      <c r="B16" s="28">
        <f>SUM(D16:BK16)</f>
        <v>0</v>
      </c>
      <c r="C16" s="29">
        <f>47.3-47.3</f>
        <v>0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13"/>
      <c r="BM16" s="13"/>
      <c r="BN16" s="30">
        <f t="shared" si="5"/>
        <v>0</v>
      </c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</row>
    <row r="17" spans="1:77" x14ac:dyDescent="0.35">
      <c r="A17" s="9" t="s">
        <v>18</v>
      </c>
      <c r="B17" s="28">
        <f>SUM(D17:BK17)</f>
        <v>0</v>
      </c>
      <c r="C17" s="29">
        <f>113.14-113.14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13"/>
      <c r="BM17" s="13"/>
      <c r="BN17" s="30">
        <f t="shared" si="5"/>
        <v>0</v>
      </c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</row>
    <row r="18" spans="1:77" x14ac:dyDescent="0.35">
      <c r="A18" s="31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N18" s="17"/>
    </row>
    <row r="19" spans="1:77" x14ac:dyDescent="0.35">
      <c r="A19" s="32" t="s">
        <v>19</v>
      </c>
      <c r="B19" s="33">
        <f>SUM(D19:BK19)</f>
        <v>606.97277165552759</v>
      </c>
      <c r="C19" s="34">
        <f>SUM(C9:C17)</f>
        <v>334.05652609999999</v>
      </c>
      <c r="D19" s="35">
        <f>SUM(D9:D17)</f>
        <v>0</v>
      </c>
      <c r="E19" s="35">
        <f>SUM(E9:E17)</f>
        <v>6</v>
      </c>
      <c r="F19" s="35">
        <f>SUM(F9:F17)</f>
        <v>6.2933659999999998</v>
      </c>
      <c r="G19" s="35">
        <f>SUM(G9:G17)</f>
        <v>203.78317193615999</v>
      </c>
      <c r="H19" s="35">
        <f>SUM(H9:H17)</f>
        <v>16.777177915859443</v>
      </c>
      <c r="I19" s="35">
        <f>SUM(I9:I17)</f>
        <v>3.1020841117587619</v>
      </c>
      <c r="J19" s="35">
        <f>SUM(J9:J17)</f>
        <v>2.725989819727999</v>
      </c>
      <c r="K19" s="35">
        <f>SUM(K9:K17)</f>
        <v>2.8858373290602266</v>
      </c>
      <c r="L19" s="35">
        <f>SUM(L9:L17)</f>
        <v>2.7306631383924538</v>
      </c>
      <c r="M19" s="35">
        <f>SUM(M9:M17)</f>
        <v>2.7306631383924538</v>
      </c>
      <c r="N19" s="35">
        <f>SUM(N9:N17)</f>
        <v>2.7306631383924538</v>
      </c>
      <c r="O19" s="35">
        <f>SUM(O9:O17)</f>
        <v>2.7306631383924538</v>
      </c>
      <c r="P19" s="35">
        <f>SUM(P9:P17)</f>
        <v>2.7306631383924538</v>
      </c>
      <c r="Q19" s="35">
        <f>SUM(Q9:Q17)</f>
        <v>2.7306631383924538</v>
      </c>
      <c r="R19" s="35">
        <f>SUM(R9:R17)</f>
        <v>2.7306631383924538</v>
      </c>
      <c r="S19" s="35">
        <f>SUM(S9:S17)</f>
        <v>2.7306631383924538</v>
      </c>
      <c r="T19" s="35">
        <f>SUM(T9:T17)</f>
        <v>2.7306631383924538</v>
      </c>
      <c r="U19" s="35">
        <f>SUM(U9:U17)</f>
        <v>2.7306631383924538</v>
      </c>
      <c r="V19" s="35">
        <f>SUM(V9:V17)</f>
        <v>2.7306631383924538</v>
      </c>
      <c r="W19" s="35">
        <f>SUM(W9:W17)</f>
        <v>4.8532919196624542</v>
      </c>
      <c r="X19" s="35">
        <f>SUM(X9:X17)</f>
        <v>146.064374877072</v>
      </c>
      <c r="Y19" s="35">
        <f>SUM(Y9:Y17)</f>
        <v>4.5204317177249997</v>
      </c>
      <c r="Z19" s="35">
        <f>SUM(Z9:Z17)</f>
        <v>4.5204317177249997</v>
      </c>
      <c r="AA19" s="35">
        <f>SUM(AA9:AA17)</f>
        <v>4.5204317177249997</v>
      </c>
      <c r="AB19" s="35">
        <f>SUM(AB9:AB17)</f>
        <v>4.5204317177249997</v>
      </c>
      <c r="AC19" s="35">
        <f>SUM(AC9:AC17)</f>
        <v>4.5204317177249997</v>
      </c>
      <c r="AD19" s="35">
        <f>SUM(AD9:AD17)</f>
        <v>4.5204317177249997</v>
      </c>
      <c r="AE19" s="35">
        <f>SUM(AE9:AE17)</f>
        <v>4.5204317177249997</v>
      </c>
      <c r="AF19" s="35">
        <f>SUM(AF9:AF17)</f>
        <v>4.5204317177249997</v>
      </c>
      <c r="AG19" s="35">
        <f>SUM(AG9:AG17)</f>
        <v>4.5204317177249997</v>
      </c>
      <c r="AH19" s="35">
        <f>SUM(AH9:AH17)</f>
        <v>4.5204317177249997</v>
      </c>
      <c r="AI19" s="35">
        <f>SUM(AI9:AI17)</f>
        <v>4.5204317177249997</v>
      </c>
      <c r="AJ19" s="35">
        <f>SUM(AJ9:AJ17)</f>
        <v>4.5204317177249997</v>
      </c>
      <c r="AK19" s="35">
        <f>SUM(AK9:AK17)</f>
        <v>4.5204317177249997</v>
      </c>
      <c r="AL19" s="35">
        <f>SUM(AL9:AL17)</f>
        <v>4.5204317177249997</v>
      </c>
      <c r="AM19" s="35">
        <f>SUM(AM9:AM17)</f>
        <v>4.5204317177249997</v>
      </c>
      <c r="AN19" s="35">
        <f>SUM(AN9:AN17)</f>
        <v>4.5204317177249997</v>
      </c>
      <c r="AO19" s="35">
        <f>SUM(AO9:AO17)</f>
        <v>4.5204317177249997</v>
      </c>
      <c r="AP19" s="35">
        <f>SUM(AP9:AP17)</f>
        <v>4.5204317177249997</v>
      </c>
      <c r="AQ19" s="35">
        <f>SUM(AQ9:AQ17)</f>
        <v>4.7724099677250003</v>
      </c>
      <c r="AR19" s="35">
        <f>SUM(AR9:AR17)</f>
        <v>4.7724099677250003</v>
      </c>
      <c r="AS19" s="35">
        <f>SUM(AS9:AS17)</f>
        <v>4.7724099677250003</v>
      </c>
      <c r="AT19" s="35">
        <f>SUM(AT9:AT17)</f>
        <v>4.7724099677250003</v>
      </c>
      <c r="AU19" s="35">
        <f>SUM(AU9:AU17)</f>
        <v>4.7724099677250003</v>
      </c>
      <c r="AV19" s="35">
        <f>SUM(AV9:AV17)</f>
        <v>4.7724099677250003</v>
      </c>
      <c r="AW19" s="35">
        <f>SUM(AW9:AW17)</f>
        <v>4.7724099677250003</v>
      </c>
      <c r="AX19" s="35">
        <f>SUM(AX9:AX17)</f>
        <v>4.9010162957250003</v>
      </c>
      <c r="AY19" s="35">
        <f>SUM(AY9:AY17)</f>
        <v>4.9010162957250003</v>
      </c>
      <c r="AZ19" s="35">
        <f>SUM(AZ9:AZ17)</f>
        <v>4.9010162957250003</v>
      </c>
      <c r="BA19" s="35">
        <f>SUM(BA9:BA17)</f>
        <v>4.9010162957250003</v>
      </c>
      <c r="BB19" s="35">
        <f>SUM(BB9:BB17)</f>
        <v>4.9010162957250003</v>
      </c>
      <c r="BC19" s="35">
        <f>SUM(BC9:BC17)</f>
        <v>4.9010162957250003</v>
      </c>
      <c r="BD19" s="35">
        <f>SUM(BD9:BD17)</f>
        <v>4.9010162957250003</v>
      </c>
      <c r="BE19" s="35">
        <f>SUM(BE9:BE17)</f>
        <v>4.9010162957250003</v>
      </c>
      <c r="BF19" s="35">
        <f>SUM(BF9:BF17)</f>
        <v>4.9010162957250003</v>
      </c>
      <c r="BG19" s="35">
        <f>SUM(BG9:BG17)</f>
        <v>4.9010162957250003</v>
      </c>
      <c r="BH19" s="35">
        <f>SUM(BH9:BH17)</f>
        <v>5.1663448933837506</v>
      </c>
      <c r="BI19" s="35">
        <f>SUM(BI9:BI17)</f>
        <v>5.1663448933837506</v>
      </c>
      <c r="BJ19" s="35">
        <f>SUM(BJ9:BJ17)</f>
        <v>5.1663448933837506</v>
      </c>
      <c r="BK19" s="35">
        <f>SUM(BK9:BK17)</f>
        <v>5.1663448933837506</v>
      </c>
      <c r="BL19" s="13"/>
      <c r="BM19" s="13"/>
      <c r="BN19" s="35">
        <f>SUM(BN9:BN17)</f>
        <v>354.4824919893918</v>
      </c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</row>
    <row r="21" spans="1:77" x14ac:dyDescent="0.35">
      <c r="A21" s="16" t="s">
        <v>20</v>
      </c>
      <c r="B21" s="36" t="s">
        <v>21</v>
      </c>
      <c r="C21" s="3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3"/>
      <c r="BN21" s="12"/>
      <c r="BQ21" s="13"/>
      <c r="BR21" s="13"/>
      <c r="BS21" s="13"/>
      <c r="BT21" s="13"/>
      <c r="BU21" s="13"/>
      <c r="BV21" s="13"/>
      <c r="BW21" s="13"/>
      <c r="BX21" s="13"/>
      <c r="BY21" s="13"/>
    </row>
    <row r="22" spans="1:77" s="13" customFormat="1" x14ac:dyDescent="0.35">
      <c r="A22" s="38" t="s">
        <v>22</v>
      </c>
      <c r="B22" s="39">
        <f>SUM(D22:BK22)</f>
        <v>0</v>
      </c>
      <c r="C22" s="40">
        <f>62.934146459+21.0392823</f>
        <v>83.973428759000001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/>
      <c r="BM22"/>
      <c r="BN22" s="41"/>
      <c r="BO22"/>
      <c r="BP22"/>
      <c r="BQ22"/>
      <c r="BR22"/>
      <c r="BS22"/>
      <c r="BT22"/>
      <c r="BU22"/>
      <c r="BV22"/>
      <c r="BW22"/>
      <c r="BX22"/>
      <c r="BY22"/>
    </row>
    <row r="23" spans="1:77" s="13" customFormat="1" x14ac:dyDescent="0.35">
      <c r="A23" s="38" t="s">
        <v>23</v>
      </c>
      <c r="B23" s="39">
        <f>SUM(D23:BK23)</f>
        <v>0</v>
      </c>
      <c r="C23" s="40">
        <v>3.9858599999999997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/>
      <c r="BM23"/>
      <c r="BN23" s="41"/>
      <c r="BO23"/>
      <c r="BP23"/>
      <c r="BQ23"/>
      <c r="BR23"/>
      <c r="BS23"/>
      <c r="BT23"/>
      <c r="BU23"/>
      <c r="BV23"/>
      <c r="BW23"/>
      <c r="BX23"/>
      <c r="BY23"/>
    </row>
    <row r="24" spans="1:77" s="13" customFormat="1" x14ac:dyDescent="0.35">
      <c r="A24" s="38" t="s">
        <v>24</v>
      </c>
      <c r="B24" s="39">
        <f>SUM(D24:BK24)</f>
        <v>0</v>
      </c>
      <c r="C24" s="40">
        <v>3.1085136000000002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/>
      <c r="BM24"/>
      <c r="BN24" s="41"/>
      <c r="BO24"/>
      <c r="BP24"/>
      <c r="BQ24"/>
      <c r="BR24"/>
      <c r="BS24"/>
      <c r="BT24"/>
      <c r="BU24"/>
      <c r="BV24"/>
      <c r="BW24"/>
      <c r="BX24"/>
      <c r="BY24"/>
    </row>
    <row r="25" spans="1:77" s="13" customFormat="1" x14ac:dyDescent="0.35">
      <c r="A25" s="38" t="s">
        <v>25</v>
      </c>
      <c r="B25" s="39">
        <f>SUM(D25:BK25)</f>
        <v>33.5</v>
      </c>
      <c r="C25" s="40">
        <v>113.16214634599997</v>
      </c>
      <c r="D25" s="41"/>
      <c r="E25" s="41">
        <v>2.5</v>
      </c>
      <c r="F25" s="41">
        <v>2.5</v>
      </c>
      <c r="G25" s="41">
        <v>2.5</v>
      </c>
      <c r="H25" s="41">
        <v>2</v>
      </c>
      <c r="I25" s="41">
        <v>2</v>
      </c>
      <c r="J25" s="41">
        <v>2</v>
      </c>
      <c r="K25" s="41">
        <v>2</v>
      </c>
      <c r="L25" s="41">
        <v>2</v>
      </c>
      <c r="M25" s="41">
        <v>2</v>
      </c>
      <c r="N25" s="41">
        <v>2</v>
      </c>
      <c r="O25" s="41">
        <v>2</v>
      </c>
      <c r="P25" s="41">
        <v>2</v>
      </c>
      <c r="Q25" s="41">
        <v>2</v>
      </c>
      <c r="R25" s="41">
        <v>2</v>
      </c>
      <c r="S25" s="41">
        <v>2</v>
      </c>
      <c r="T25" s="41">
        <v>2</v>
      </c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/>
      <c r="BM25"/>
      <c r="BN25" s="41">
        <f>SUM(P25:BK25)</f>
        <v>10</v>
      </c>
      <c r="BO25"/>
      <c r="BP25"/>
      <c r="BQ25"/>
      <c r="BR25"/>
      <c r="BS25"/>
      <c r="BT25"/>
      <c r="BU25"/>
      <c r="BV25"/>
      <c r="BW25"/>
      <c r="BX25"/>
      <c r="BY25"/>
    </row>
    <row r="26" spans="1:77" x14ac:dyDescent="0.35">
      <c r="A26" s="38" t="s">
        <v>26</v>
      </c>
      <c r="B26" s="39">
        <f>SUM(D26:BK26)</f>
        <v>30</v>
      </c>
      <c r="C26" s="40"/>
      <c r="D26" s="41"/>
      <c r="E26" s="41"/>
      <c r="F26" s="41"/>
      <c r="G26" s="41">
        <v>1.5</v>
      </c>
      <c r="H26" s="41">
        <v>1.5</v>
      </c>
      <c r="I26" s="41">
        <v>1.5</v>
      </c>
      <c r="J26" s="41">
        <v>1.5</v>
      </c>
      <c r="K26" s="41">
        <v>1.5</v>
      </c>
      <c r="L26" s="41">
        <v>1.5</v>
      </c>
      <c r="M26" s="41">
        <v>1.5</v>
      </c>
      <c r="N26" s="41">
        <v>1.5</v>
      </c>
      <c r="O26" s="41">
        <v>1.5</v>
      </c>
      <c r="P26" s="41">
        <v>1.5</v>
      </c>
      <c r="Q26" s="41">
        <v>1.5</v>
      </c>
      <c r="R26" s="41">
        <v>1.5</v>
      </c>
      <c r="S26" s="41">
        <v>1.5</v>
      </c>
      <c r="T26" s="41">
        <v>1.5</v>
      </c>
      <c r="U26" s="41">
        <v>1.5</v>
      </c>
      <c r="V26" s="41">
        <v>1.5</v>
      </c>
      <c r="W26" s="41">
        <v>1.5</v>
      </c>
      <c r="X26" s="41">
        <v>1.5</v>
      </c>
      <c r="Y26" s="41">
        <v>1.5</v>
      </c>
      <c r="Z26" s="41">
        <v>1.5</v>
      </c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N26" s="41">
        <f t="shared" ref="BN26:BN43" si="10">SUM(P26:BK26)</f>
        <v>16.5</v>
      </c>
    </row>
    <row r="27" spans="1:77" x14ac:dyDescent="0.35">
      <c r="A27" s="38" t="s">
        <v>27</v>
      </c>
      <c r="B27" s="39">
        <f>SUM(D27:BK27)</f>
        <v>31.581680147711985</v>
      </c>
      <c r="C27" s="40">
        <f t="shared" ref="C27:BK27" si="11">C28+C29</f>
        <v>4.2485189999999982</v>
      </c>
      <c r="D27" s="42">
        <f t="shared" si="11"/>
        <v>0</v>
      </c>
      <c r="E27" s="41">
        <f t="shared" si="11"/>
        <v>0</v>
      </c>
      <c r="F27" s="41">
        <f t="shared" si="11"/>
        <v>0</v>
      </c>
      <c r="G27" s="41">
        <f t="shared" si="11"/>
        <v>1.3204965772799999</v>
      </c>
      <c r="H27" s="41">
        <f t="shared" si="11"/>
        <v>0</v>
      </c>
      <c r="I27" s="41">
        <f t="shared" si="11"/>
        <v>0</v>
      </c>
      <c r="J27" s="41">
        <f t="shared" si="11"/>
        <v>1.3204965772799999</v>
      </c>
      <c r="K27" s="41">
        <f t="shared" si="11"/>
        <v>0</v>
      </c>
      <c r="L27" s="41">
        <f t="shared" si="11"/>
        <v>0</v>
      </c>
      <c r="M27" s="41">
        <f t="shared" si="11"/>
        <v>1.3204965772799999</v>
      </c>
      <c r="N27" s="41">
        <f t="shared" si="11"/>
        <v>0</v>
      </c>
      <c r="O27" s="41">
        <f t="shared" si="11"/>
        <v>0</v>
      </c>
      <c r="P27" s="41">
        <f t="shared" si="11"/>
        <v>1.3204965772799999</v>
      </c>
      <c r="Q27" s="41">
        <f t="shared" si="11"/>
        <v>0</v>
      </c>
      <c r="R27" s="41">
        <f t="shared" si="11"/>
        <v>0</v>
      </c>
      <c r="S27" s="41">
        <f t="shared" si="11"/>
        <v>1.5968983612799998</v>
      </c>
      <c r="T27" s="41">
        <f t="shared" si="11"/>
        <v>0</v>
      </c>
      <c r="U27" s="41">
        <f t="shared" si="11"/>
        <v>0</v>
      </c>
      <c r="V27" s="41">
        <f t="shared" si="11"/>
        <v>1.5968983612799998</v>
      </c>
      <c r="W27" s="41">
        <f t="shared" si="11"/>
        <v>0</v>
      </c>
      <c r="X27" s="41">
        <f t="shared" si="11"/>
        <v>0</v>
      </c>
      <c r="Y27" s="41">
        <f t="shared" si="11"/>
        <v>1.5968983612799998</v>
      </c>
      <c r="Z27" s="41">
        <f t="shared" si="11"/>
        <v>0</v>
      </c>
      <c r="AA27" s="41">
        <f t="shared" si="11"/>
        <v>0</v>
      </c>
      <c r="AB27" s="41">
        <f t="shared" si="11"/>
        <v>1.5968983612799998</v>
      </c>
      <c r="AC27" s="41">
        <f t="shared" si="11"/>
        <v>0</v>
      </c>
      <c r="AD27" s="41">
        <f t="shared" si="11"/>
        <v>0</v>
      </c>
      <c r="AE27" s="41">
        <f t="shared" si="11"/>
        <v>1.5968983612799998</v>
      </c>
      <c r="AF27" s="41">
        <f t="shared" si="11"/>
        <v>0</v>
      </c>
      <c r="AG27" s="41">
        <f t="shared" si="11"/>
        <v>0</v>
      </c>
      <c r="AH27" s="41">
        <f t="shared" si="11"/>
        <v>1.5968983612799998</v>
      </c>
      <c r="AI27" s="41">
        <f t="shared" si="11"/>
        <v>0</v>
      </c>
      <c r="AJ27" s="41">
        <f t="shared" si="11"/>
        <v>0</v>
      </c>
      <c r="AK27" s="41">
        <f t="shared" si="11"/>
        <v>1.6521787180799998</v>
      </c>
      <c r="AL27" s="41">
        <f t="shared" si="11"/>
        <v>0</v>
      </c>
      <c r="AM27" s="41">
        <f t="shared" si="11"/>
        <v>0</v>
      </c>
      <c r="AN27" s="41">
        <f t="shared" si="11"/>
        <v>1.6521787180799998</v>
      </c>
      <c r="AO27" s="41">
        <f t="shared" si="11"/>
        <v>0</v>
      </c>
      <c r="AP27" s="41">
        <f t="shared" si="11"/>
        <v>0</v>
      </c>
      <c r="AQ27" s="41">
        <f t="shared" si="11"/>
        <v>1.9162780335359997</v>
      </c>
      <c r="AR27" s="41">
        <f t="shared" si="11"/>
        <v>0</v>
      </c>
      <c r="AS27" s="41">
        <f t="shared" si="11"/>
        <v>0</v>
      </c>
      <c r="AT27" s="41">
        <f t="shared" si="11"/>
        <v>1.9162780335359997</v>
      </c>
      <c r="AU27" s="41">
        <f t="shared" si="11"/>
        <v>0</v>
      </c>
      <c r="AV27" s="41">
        <f t="shared" si="11"/>
        <v>0</v>
      </c>
      <c r="AW27" s="41">
        <f t="shared" si="11"/>
        <v>1.9162780335359997</v>
      </c>
      <c r="AX27" s="41">
        <f t="shared" si="11"/>
        <v>0</v>
      </c>
      <c r="AY27" s="41">
        <f t="shared" si="11"/>
        <v>0</v>
      </c>
      <c r="AZ27" s="41">
        <f t="shared" si="11"/>
        <v>1.9162780335359997</v>
      </c>
      <c r="BA27" s="41">
        <f t="shared" si="11"/>
        <v>0</v>
      </c>
      <c r="BB27" s="41">
        <f t="shared" si="11"/>
        <v>0</v>
      </c>
      <c r="BC27" s="41">
        <f t="shared" si="11"/>
        <v>1.9162780335359997</v>
      </c>
      <c r="BD27" s="41">
        <f t="shared" si="11"/>
        <v>0</v>
      </c>
      <c r="BE27" s="41">
        <f t="shared" si="11"/>
        <v>0</v>
      </c>
      <c r="BF27" s="41">
        <f t="shared" si="11"/>
        <v>1.9162780335359997</v>
      </c>
      <c r="BG27" s="41">
        <f t="shared" si="11"/>
        <v>0</v>
      </c>
      <c r="BH27" s="41">
        <f t="shared" si="11"/>
        <v>0</v>
      </c>
      <c r="BI27" s="41">
        <f t="shared" si="11"/>
        <v>1.9162780335359997</v>
      </c>
      <c r="BJ27" s="41">
        <f t="shared" si="11"/>
        <v>0</v>
      </c>
      <c r="BK27" s="41">
        <f t="shared" si="11"/>
        <v>0</v>
      </c>
      <c r="BN27" s="41">
        <f t="shared" si="10"/>
        <v>27.620190415871992</v>
      </c>
    </row>
    <row r="28" spans="1:77" s="13" customFormat="1" x14ac:dyDescent="0.35">
      <c r="A28" s="43" t="s">
        <v>28</v>
      </c>
      <c r="B28" s="44">
        <f>SUM(D28:BK28)</f>
        <v>26.938130176512004</v>
      </c>
      <c r="C28" s="45">
        <v>4.2485189999999982</v>
      </c>
      <c r="D28" s="46"/>
      <c r="E28" s="46"/>
      <c r="F28" s="46"/>
      <c r="G28" s="46">
        <f>C106*C107*(1+C108)*(1+C112)*3*(1+$C$108)/10^7</f>
        <v>1.3204965772799999</v>
      </c>
      <c r="H28" s="46"/>
      <c r="I28" s="46"/>
      <c r="J28" s="46">
        <f>G28</f>
        <v>1.3204965772799999</v>
      </c>
      <c r="K28" s="46"/>
      <c r="L28" s="46"/>
      <c r="M28" s="46">
        <f>J28</f>
        <v>1.3204965772799999</v>
      </c>
      <c r="N28" s="46"/>
      <c r="O28" s="46"/>
      <c r="P28" s="46">
        <f>M28</f>
        <v>1.3204965772799999</v>
      </c>
      <c r="Q28" s="46"/>
      <c r="R28" s="46"/>
      <c r="S28" s="46">
        <f>P28</f>
        <v>1.3204965772799999</v>
      </c>
      <c r="T28" s="46"/>
      <c r="U28" s="46"/>
      <c r="V28" s="46">
        <f>S28</f>
        <v>1.3204965772799999</v>
      </c>
      <c r="W28" s="46"/>
      <c r="X28" s="46"/>
      <c r="Y28" s="46">
        <f>V28</f>
        <v>1.3204965772799999</v>
      </c>
      <c r="Z28" s="46"/>
      <c r="AA28" s="46"/>
      <c r="AB28" s="46">
        <f>Y28</f>
        <v>1.3204965772799999</v>
      </c>
      <c r="AC28" s="46"/>
      <c r="AD28" s="46"/>
      <c r="AE28" s="46">
        <f>AB28</f>
        <v>1.3204965772799999</v>
      </c>
      <c r="AF28" s="46"/>
      <c r="AG28" s="46"/>
      <c r="AH28" s="46">
        <f>AE28</f>
        <v>1.3204965772799999</v>
      </c>
      <c r="AI28" s="46"/>
      <c r="AJ28" s="46"/>
      <c r="AK28" s="46">
        <f>AH28</f>
        <v>1.3204965772799999</v>
      </c>
      <c r="AL28" s="46"/>
      <c r="AM28" s="46"/>
      <c r="AN28" s="46">
        <f>AK28</f>
        <v>1.3204965772799999</v>
      </c>
      <c r="AO28" s="46"/>
      <c r="AP28" s="46"/>
      <c r="AQ28" s="46">
        <f>AN28*(1+$C$108)</f>
        <v>1.5845958927359998</v>
      </c>
      <c r="AR28" s="46"/>
      <c r="AS28" s="46"/>
      <c r="AT28" s="46">
        <f>AQ28</f>
        <v>1.5845958927359998</v>
      </c>
      <c r="AU28" s="46"/>
      <c r="AV28" s="46"/>
      <c r="AW28" s="46">
        <f>AT28</f>
        <v>1.5845958927359998</v>
      </c>
      <c r="AX28" s="46"/>
      <c r="AY28" s="46"/>
      <c r="AZ28" s="46">
        <f>AW28</f>
        <v>1.5845958927359998</v>
      </c>
      <c r="BA28" s="46"/>
      <c r="BB28" s="46"/>
      <c r="BC28" s="46">
        <f>AZ28</f>
        <v>1.5845958927359998</v>
      </c>
      <c r="BD28" s="46"/>
      <c r="BE28" s="46"/>
      <c r="BF28" s="46">
        <f>BC28</f>
        <v>1.5845958927359998</v>
      </c>
      <c r="BG28" s="46"/>
      <c r="BH28" s="46"/>
      <c r="BI28" s="46">
        <f>BF28</f>
        <v>1.5845958927359998</v>
      </c>
      <c r="BJ28" s="46"/>
      <c r="BK28" s="46"/>
      <c r="BL28" s="6"/>
      <c r="BM28" s="6"/>
      <c r="BN28" s="46">
        <f t="shared" si="10"/>
        <v>22.976640444672</v>
      </c>
      <c r="BO28"/>
      <c r="BP28"/>
      <c r="BQ28" s="47"/>
      <c r="BR28" s="47"/>
      <c r="BS28" s="47"/>
      <c r="BT28" s="47"/>
      <c r="BU28" s="47"/>
      <c r="BV28" s="47"/>
      <c r="BW28" s="47"/>
      <c r="BX28" s="47"/>
      <c r="BY28" s="47"/>
    </row>
    <row r="29" spans="1:77" s="47" customFormat="1" x14ac:dyDescent="0.35">
      <c r="A29" s="43" t="s">
        <v>29</v>
      </c>
      <c r="B29" s="44">
        <f>SUM(D29:BK29)</f>
        <v>4.6435499711999997</v>
      </c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>
        <f>$D$106*$D$107*(1+$D$112)*3/10^7</f>
        <v>0.27640178399999998</v>
      </c>
      <c r="T29" s="46"/>
      <c r="U29" s="46"/>
      <c r="V29" s="46">
        <f>S29</f>
        <v>0.27640178399999998</v>
      </c>
      <c r="W29" s="46"/>
      <c r="X29" s="46"/>
      <c r="Y29" s="46">
        <f>V29</f>
        <v>0.27640178399999998</v>
      </c>
      <c r="Z29" s="46"/>
      <c r="AA29" s="46"/>
      <c r="AB29" s="46">
        <f>Y29</f>
        <v>0.27640178399999998</v>
      </c>
      <c r="AC29" s="46"/>
      <c r="AD29" s="46"/>
      <c r="AE29" s="46">
        <f>AB29</f>
        <v>0.27640178399999998</v>
      </c>
      <c r="AF29" s="46"/>
      <c r="AG29" s="46"/>
      <c r="AH29" s="46">
        <f>AE29</f>
        <v>0.27640178399999998</v>
      </c>
      <c r="AI29" s="46"/>
      <c r="AJ29" s="46"/>
      <c r="AK29" s="46">
        <f>AH29*(1+$D$108)</f>
        <v>0.33168214079999997</v>
      </c>
      <c r="AL29" s="46"/>
      <c r="AM29" s="46"/>
      <c r="AN29" s="46">
        <f>AK29</f>
        <v>0.33168214079999997</v>
      </c>
      <c r="AO29" s="46"/>
      <c r="AP29" s="46"/>
      <c r="AQ29" s="46">
        <f>AN29</f>
        <v>0.33168214079999997</v>
      </c>
      <c r="AR29" s="46"/>
      <c r="AS29" s="46"/>
      <c r="AT29" s="46">
        <f>AQ29</f>
        <v>0.33168214079999997</v>
      </c>
      <c r="AU29" s="46"/>
      <c r="AV29" s="46"/>
      <c r="AW29" s="46">
        <f>AT29</f>
        <v>0.33168214079999997</v>
      </c>
      <c r="AX29" s="46"/>
      <c r="AY29" s="46"/>
      <c r="AZ29" s="46">
        <f>AW29</f>
        <v>0.33168214079999997</v>
      </c>
      <c r="BA29" s="46"/>
      <c r="BB29" s="46"/>
      <c r="BC29" s="46">
        <f>AZ29</f>
        <v>0.33168214079999997</v>
      </c>
      <c r="BD29" s="46"/>
      <c r="BE29" s="46"/>
      <c r="BF29" s="46">
        <f>BC29</f>
        <v>0.33168214079999997</v>
      </c>
      <c r="BG29" s="46"/>
      <c r="BH29" s="46"/>
      <c r="BI29" s="46">
        <f>BF29</f>
        <v>0.33168214079999997</v>
      </c>
      <c r="BJ29" s="46"/>
      <c r="BK29" s="46"/>
      <c r="BL29" s="6"/>
      <c r="BM29" s="6"/>
      <c r="BN29" s="46">
        <f t="shared" si="10"/>
        <v>4.6435499711999997</v>
      </c>
      <c r="BO29"/>
      <c r="BP29"/>
    </row>
    <row r="30" spans="1:77" s="47" customFormat="1" x14ac:dyDescent="0.35">
      <c r="A30" s="38" t="s">
        <v>30</v>
      </c>
      <c r="B30" s="39">
        <f>SUM(D30:BK30)</f>
        <v>2.0000000000000004</v>
      </c>
      <c r="C30" s="40">
        <f>0.236813154+0.569986+0.6129+1.01932</f>
        <v>2.4390191539999999</v>
      </c>
      <c r="D30" s="41"/>
      <c r="E30" s="41"/>
      <c r="F30" s="41">
        <v>0.1</v>
      </c>
      <c r="G30" s="41">
        <v>0.1</v>
      </c>
      <c r="H30" s="41">
        <v>0.1</v>
      </c>
      <c r="I30" s="41">
        <v>0.1</v>
      </c>
      <c r="J30" s="41">
        <v>0.1</v>
      </c>
      <c r="K30" s="41">
        <v>0.1</v>
      </c>
      <c r="L30" s="41">
        <v>0.1</v>
      </c>
      <c r="M30" s="41">
        <v>0.1</v>
      </c>
      <c r="N30" s="41">
        <v>0.1</v>
      </c>
      <c r="O30" s="41">
        <v>0.1</v>
      </c>
      <c r="P30" s="41">
        <v>0.1</v>
      </c>
      <c r="Q30" s="41">
        <v>0.1</v>
      </c>
      <c r="R30" s="41">
        <v>0.1</v>
      </c>
      <c r="S30" s="41">
        <v>0.1</v>
      </c>
      <c r="T30" s="41">
        <v>0.1</v>
      </c>
      <c r="U30" s="41">
        <v>0.1</v>
      </c>
      <c r="V30" s="41">
        <v>0.1</v>
      </c>
      <c r="W30" s="41">
        <v>0.1</v>
      </c>
      <c r="X30" s="41">
        <v>0.1</v>
      </c>
      <c r="Y30" s="41">
        <v>0.1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/>
      <c r="BM30"/>
      <c r="BN30" s="41">
        <f t="shared" si="10"/>
        <v>0.99999999999999989</v>
      </c>
      <c r="BO30"/>
      <c r="BP30"/>
      <c r="BQ30"/>
      <c r="BR30"/>
      <c r="BS30"/>
      <c r="BT30"/>
      <c r="BU30"/>
      <c r="BV30"/>
      <c r="BW30"/>
      <c r="BX30"/>
      <c r="BY30"/>
    </row>
    <row r="31" spans="1:77" s="47" customFormat="1" x14ac:dyDescent="0.35">
      <c r="A31" s="38" t="s">
        <v>165</v>
      </c>
      <c r="B31" s="39">
        <f>SUM(D31:BK31)</f>
        <v>6.8571559665874986</v>
      </c>
      <c r="C31" s="40"/>
      <c r="D31" s="41"/>
      <c r="E31" s="41">
        <f t="shared" ref="E31:BK31" si="12">E184</f>
        <v>0</v>
      </c>
      <c r="F31" s="41">
        <f t="shared" si="12"/>
        <v>1.4137612399999999</v>
      </c>
      <c r="G31" s="41">
        <f t="shared" si="12"/>
        <v>0.62413874999999996</v>
      </c>
      <c r="H31" s="41">
        <f t="shared" si="12"/>
        <v>0</v>
      </c>
      <c r="I31" s="41">
        <f t="shared" si="12"/>
        <v>1.2602434499999997</v>
      </c>
      <c r="J31" s="41">
        <f t="shared" si="12"/>
        <v>0.43319400000000075</v>
      </c>
      <c r="K31" s="41">
        <f t="shared" si="12"/>
        <v>0.2362662749999993</v>
      </c>
      <c r="L31" s="41">
        <f t="shared" si="12"/>
        <v>0.23626627499999997</v>
      </c>
      <c r="M31" s="41">
        <f t="shared" si="12"/>
        <v>0</v>
      </c>
      <c r="N31" s="41">
        <f t="shared" si="12"/>
        <v>0</v>
      </c>
      <c r="O31" s="41">
        <f t="shared" si="12"/>
        <v>0</v>
      </c>
      <c r="P31" s="41">
        <f t="shared" si="12"/>
        <v>0</v>
      </c>
      <c r="Q31" s="41">
        <f t="shared" si="12"/>
        <v>0</v>
      </c>
      <c r="R31" s="41">
        <f t="shared" si="12"/>
        <v>0</v>
      </c>
      <c r="S31" s="41">
        <f t="shared" si="12"/>
        <v>0</v>
      </c>
      <c r="T31" s="41">
        <f t="shared" si="12"/>
        <v>0</v>
      </c>
      <c r="U31" s="41">
        <f t="shared" si="12"/>
        <v>0</v>
      </c>
      <c r="V31" s="41">
        <f t="shared" si="12"/>
        <v>0</v>
      </c>
      <c r="W31" s="41">
        <f t="shared" si="12"/>
        <v>0</v>
      </c>
      <c r="X31" s="41">
        <f t="shared" si="12"/>
        <v>1.5919715859525003</v>
      </c>
      <c r="Y31" s="41">
        <f t="shared" si="12"/>
        <v>1.0613143906349989</v>
      </c>
      <c r="Z31" s="41">
        <f t="shared" si="12"/>
        <v>0</v>
      </c>
      <c r="AA31" s="41">
        <f t="shared" si="12"/>
        <v>0</v>
      </c>
      <c r="AB31" s="41">
        <f t="shared" si="12"/>
        <v>0</v>
      </c>
      <c r="AC31" s="41">
        <f t="shared" si="12"/>
        <v>0</v>
      </c>
      <c r="AD31" s="41">
        <f t="shared" si="12"/>
        <v>0</v>
      </c>
      <c r="AE31" s="41">
        <f t="shared" si="12"/>
        <v>0</v>
      </c>
      <c r="AF31" s="41">
        <f t="shared" si="12"/>
        <v>0</v>
      </c>
      <c r="AG31" s="41">
        <f t="shared" si="12"/>
        <v>0</v>
      </c>
      <c r="AH31" s="41">
        <f t="shared" si="12"/>
        <v>0</v>
      </c>
      <c r="AI31" s="41">
        <f t="shared" si="12"/>
        <v>0</v>
      </c>
      <c r="AJ31" s="41">
        <f t="shared" si="12"/>
        <v>0</v>
      </c>
      <c r="AK31" s="41">
        <f t="shared" si="12"/>
        <v>0</v>
      </c>
      <c r="AL31" s="41">
        <f t="shared" si="12"/>
        <v>0</v>
      </c>
      <c r="AM31" s="41">
        <f t="shared" si="12"/>
        <v>0</v>
      </c>
      <c r="AN31" s="41">
        <f t="shared" si="12"/>
        <v>0</v>
      </c>
      <c r="AO31" s="41">
        <f t="shared" si="12"/>
        <v>0</v>
      </c>
      <c r="AP31" s="41">
        <f t="shared" si="12"/>
        <v>0</v>
      </c>
      <c r="AQ31" s="41">
        <f t="shared" si="12"/>
        <v>0</v>
      </c>
      <c r="AR31" s="41">
        <f t="shared" si="12"/>
        <v>0</v>
      </c>
      <c r="AS31" s="41">
        <f t="shared" si="12"/>
        <v>0</v>
      </c>
      <c r="AT31" s="41">
        <f t="shared" si="12"/>
        <v>0</v>
      </c>
      <c r="AU31" s="41">
        <f t="shared" si="12"/>
        <v>0</v>
      </c>
      <c r="AV31" s="41">
        <f t="shared" si="12"/>
        <v>0</v>
      </c>
      <c r="AW31" s="41">
        <f t="shared" si="12"/>
        <v>0</v>
      </c>
      <c r="AX31" s="41">
        <f t="shared" si="12"/>
        <v>0</v>
      </c>
      <c r="AY31" s="41">
        <f t="shared" si="12"/>
        <v>0</v>
      </c>
      <c r="AZ31" s="41">
        <f t="shared" si="12"/>
        <v>0</v>
      </c>
      <c r="BA31" s="41">
        <f t="shared" si="12"/>
        <v>0</v>
      </c>
      <c r="BB31" s="41">
        <f t="shared" si="12"/>
        <v>0</v>
      </c>
      <c r="BC31" s="41">
        <f t="shared" si="12"/>
        <v>0</v>
      </c>
      <c r="BD31" s="41">
        <f t="shared" si="12"/>
        <v>0</v>
      </c>
      <c r="BE31" s="41">
        <f t="shared" si="12"/>
        <v>0</v>
      </c>
      <c r="BF31" s="41">
        <f t="shared" si="12"/>
        <v>0</v>
      </c>
      <c r="BG31" s="41">
        <f t="shared" si="12"/>
        <v>0</v>
      </c>
      <c r="BH31" s="41">
        <f t="shared" si="12"/>
        <v>0</v>
      </c>
      <c r="BI31" s="41">
        <f t="shared" si="12"/>
        <v>0</v>
      </c>
      <c r="BJ31" s="41">
        <f t="shared" si="12"/>
        <v>0</v>
      </c>
      <c r="BK31" s="41">
        <f t="shared" si="12"/>
        <v>0</v>
      </c>
      <c r="BL31"/>
      <c r="BM31"/>
      <c r="BN31" s="41">
        <f t="shared" si="10"/>
        <v>2.6532859765874992</v>
      </c>
      <c r="BO31"/>
      <c r="BP31"/>
      <c r="BQ31"/>
      <c r="BR31"/>
      <c r="BS31"/>
      <c r="BT31"/>
      <c r="BU31"/>
      <c r="BV31"/>
      <c r="BW31"/>
      <c r="BX31"/>
      <c r="BY31"/>
    </row>
    <row r="32" spans="1:77" s="47" customFormat="1" x14ac:dyDescent="0.35">
      <c r="A32" s="38" t="s">
        <v>31</v>
      </c>
      <c r="B32" s="39">
        <f>SUM(D32:BK32)</f>
        <v>0</v>
      </c>
      <c r="C32" s="40">
        <v>5.0582316429999992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/>
      <c r="BM32"/>
      <c r="BN32" s="41">
        <f t="shared" si="10"/>
        <v>0</v>
      </c>
      <c r="BO32"/>
      <c r="BP32"/>
      <c r="BQ32"/>
      <c r="BR32"/>
      <c r="BS32"/>
      <c r="BT32"/>
      <c r="BU32"/>
      <c r="BV32"/>
      <c r="BW32"/>
      <c r="BX32"/>
      <c r="BY32"/>
    </row>
    <row r="33" spans="1:77" s="48" customFormat="1" x14ac:dyDescent="0.35">
      <c r="A33" s="38" t="s">
        <v>32</v>
      </c>
      <c r="B33" s="39">
        <f>SUM(D33:BK33)</f>
        <v>8.4713169505616452</v>
      </c>
      <c r="C33" s="40">
        <v>10.694602099999999</v>
      </c>
      <c r="D33" s="41"/>
      <c r="E33" s="41">
        <f t="shared" ref="E33:BK33" si="13">E58+E59</f>
        <v>2.7431504991780824</v>
      </c>
      <c r="F33" s="41">
        <f t="shared" si="13"/>
        <v>2.8155394422054796</v>
      </c>
      <c r="G33" s="41">
        <f t="shared" si="13"/>
        <v>2.9126270091780824</v>
      </c>
      <c r="H33" s="41">
        <f t="shared" si="13"/>
        <v>0</v>
      </c>
      <c r="I33" s="41">
        <f>I58+I59</f>
        <v>0</v>
      </c>
      <c r="J33" s="41">
        <f t="shared" si="13"/>
        <v>0</v>
      </c>
      <c r="K33" s="41">
        <f t="shared" si="13"/>
        <v>0</v>
      </c>
      <c r="L33" s="41">
        <f t="shared" si="13"/>
        <v>0</v>
      </c>
      <c r="M33" s="41">
        <f t="shared" si="13"/>
        <v>0</v>
      </c>
      <c r="N33" s="41">
        <f t="shared" si="13"/>
        <v>0</v>
      </c>
      <c r="O33" s="41">
        <f t="shared" si="13"/>
        <v>0</v>
      </c>
      <c r="P33" s="41">
        <f t="shared" si="13"/>
        <v>0</v>
      </c>
      <c r="Q33" s="41">
        <f t="shared" si="13"/>
        <v>0</v>
      </c>
      <c r="R33" s="41">
        <f t="shared" si="13"/>
        <v>0</v>
      </c>
      <c r="S33" s="41">
        <f t="shared" si="13"/>
        <v>0</v>
      </c>
      <c r="T33" s="41">
        <f t="shared" si="13"/>
        <v>0</v>
      </c>
      <c r="U33" s="41">
        <f t="shared" si="13"/>
        <v>0</v>
      </c>
      <c r="V33" s="41">
        <f t="shared" si="13"/>
        <v>0</v>
      </c>
      <c r="W33" s="41">
        <f t="shared" si="13"/>
        <v>0</v>
      </c>
      <c r="X33" s="41">
        <f t="shared" si="13"/>
        <v>0</v>
      </c>
      <c r="Y33" s="41">
        <f t="shared" si="13"/>
        <v>0</v>
      </c>
      <c r="Z33" s="41">
        <f t="shared" si="13"/>
        <v>0</v>
      </c>
      <c r="AA33" s="41">
        <f t="shared" si="13"/>
        <v>0</v>
      </c>
      <c r="AB33" s="41">
        <f t="shared" si="13"/>
        <v>0</v>
      </c>
      <c r="AC33" s="41">
        <f t="shared" si="13"/>
        <v>0</v>
      </c>
      <c r="AD33" s="41">
        <f t="shared" si="13"/>
        <v>0</v>
      </c>
      <c r="AE33" s="41">
        <f t="shared" si="13"/>
        <v>0</v>
      </c>
      <c r="AF33" s="41">
        <f t="shared" si="13"/>
        <v>0</v>
      </c>
      <c r="AG33" s="41">
        <f t="shared" si="13"/>
        <v>0</v>
      </c>
      <c r="AH33" s="41">
        <f t="shared" si="13"/>
        <v>0</v>
      </c>
      <c r="AI33" s="41">
        <f t="shared" si="13"/>
        <v>0</v>
      </c>
      <c r="AJ33" s="41">
        <f t="shared" si="13"/>
        <v>0</v>
      </c>
      <c r="AK33" s="41">
        <f t="shared" si="13"/>
        <v>0</v>
      </c>
      <c r="AL33" s="41">
        <f t="shared" si="13"/>
        <v>0</v>
      </c>
      <c r="AM33" s="41">
        <f t="shared" si="13"/>
        <v>0</v>
      </c>
      <c r="AN33" s="41">
        <f t="shared" si="13"/>
        <v>0</v>
      </c>
      <c r="AO33" s="41">
        <f t="shared" si="13"/>
        <v>0</v>
      </c>
      <c r="AP33" s="41">
        <f t="shared" si="13"/>
        <v>0</v>
      </c>
      <c r="AQ33" s="41">
        <f t="shared" si="13"/>
        <v>0</v>
      </c>
      <c r="AR33" s="41">
        <f t="shared" si="13"/>
        <v>0</v>
      </c>
      <c r="AS33" s="41">
        <f t="shared" si="13"/>
        <v>0</v>
      </c>
      <c r="AT33" s="41">
        <f t="shared" si="13"/>
        <v>0</v>
      </c>
      <c r="AU33" s="41">
        <f t="shared" si="13"/>
        <v>0</v>
      </c>
      <c r="AV33" s="41">
        <f t="shared" si="13"/>
        <v>0</v>
      </c>
      <c r="AW33" s="41">
        <f t="shared" si="13"/>
        <v>0</v>
      </c>
      <c r="AX33" s="41">
        <f t="shared" si="13"/>
        <v>0</v>
      </c>
      <c r="AY33" s="41">
        <f t="shared" si="13"/>
        <v>0</v>
      </c>
      <c r="AZ33" s="41">
        <f t="shared" si="13"/>
        <v>0</v>
      </c>
      <c r="BA33" s="41">
        <f t="shared" si="13"/>
        <v>0</v>
      </c>
      <c r="BB33" s="41">
        <f t="shared" si="13"/>
        <v>0</v>
      </c>
      <c r="BC33" s="41">
        <f t="shared" si="13"/>
        <v>0</v>
      </c>
      <c r="BD33" s="41">
        <f t="shared" si="13"/>
        <v>0</v>
      </c>
      <c r="BE33" s="41">
        <f t="shared" si="13"/>
        <v>0</v>
      </c>
      <c r="BF33" s="41">
        <f t="shared" si="13"/>
        <v>0</v>
      </c>
      <c r="BG33" s="41">
        <f t="shared" si="13"/>
        <v>0</v>
      </c>
      <c r="BH33" s="41">
        <f t="shared" si="13"/>
        <v>0</v>
      </c>
      <c r="BI33" s="41">
        <f t="shared" si="13"/>
        <v>0</v>
      </c>
      <c r="BJ33" s="41">
        <f t="shared" si="13"/>
        <v>0</v>
      </c>
      <c r="BK33" s="41">
        <f t="shared" si="13"/>
        <v>0</v>
      </c>
      <c r="BL33"/>
      <c r="BM33"/>
      <c r="BN33" s="41">
        <f t="shared" si="10"/>
        <v>0</v>
      </c>
      <c r="BO33"/>
      <c r="BP33"/>
      <c r="BQ33"/>
      <c r="BR33"/>
      <c r="BS33"/>
      <c r="BT33"/>
      <c r="BU33"/>
      <c r="BV33"/>
      <c r="BW33"/>
      <c r="BX33"/>
      <c r="BY33"/>
    </row>
    <row r="34" spans="1:77" s="48" customFormat="1" x14ac:dyDescent="0.35">
      <c r="A34" s="38" t="s">
        <v>33</v>
      </c>
      <c r="B34" s="39"/>
      <c r="C34" s="40">
        <f>26460000/10^7</f>
        <v>2.6459999999999999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/>
      <c r="BM34"/>
      <c r="BN34" s="41">
        <f t="shared" si="10"/>
        <v>0</v>
      </c>
      <c r="BO34"/>
      <c r="BP34"/>
      <c r="BQ34"/>
      <c r="BR34"/>
      <c r="BS34"/>
      <c r="BT34"/>
      <c r="BU34"/>
      <c r="BV34"/>
      <c r="BW34"/>
      <c r="BX34"/>
      <c r="BY34"/>
    </row>
    <row r="35" spans="1:77" s="48" customFormat="1" x14ac:dyDescent="0.35">
      <c r="A35" s="38" t="s">
        <v>34</v>
      </c>
      <c r="B35" s="39">
        <f>SUM(D35:BK35)</f>
        <v>244.392841</v>
      </c>
      <c r="C35" s="40"/>
      <c r="D35" s="41"/>
      <c r="E35" s="41">
        <f t="shared" ref="E35:BK35" si="14">E60</f>
        <v>0</v>
      </c>
      <c r="F35" s="41">
        <f t="shared" si="14"/>
        <v>0</v>
      </c>
      <c r="G35" s="41">
        <f t="shared" si="14"/>
        <v>244.392841</v>
      </c>
      <c r="H35" s="41">
        <f t="shared" si="14"/>
        <v>0</v>
      </c>
      <c r="I35" s="41">
        <f t="shared" si="14"/>
        <v>0</v>
      </c>
      <c r="J35" s="41">
        <f t="shared" si="14"/>
        <v>0</v>
      </c>
      <c r="K35" s="41">
        <f t="shared" si="14"/>
        <v>0</v>
      </c>
      <c r="L35" s="41">
        <f t="shared" si="14"/>
        <v>0</v>
      </c>
      <c r="M35" s="41">
        <f t="shared" si="14"/>
        <v>0</v>
      </c>
      <c r="N35" s="41">
        <f t="shared" si="14"/>
        <v>0</v>
      </c>
      <c r="O35" s="41">
        <f t="shared" si="14"/>
        <v>0</v>
      </c>
      <c r="P35" s="41">
        <f t="shared" si="14"/>
        <v>0</v>
      </c>
      <c r="Q35" s="41">
        <f t="shared" si="14"/>
        <v>0</v>
      </c>
      <c r="R35" s="41">
        <f t="shared" si="14"/>
        <v>0</v>
      </c>
      <c r="S35" s="41">
        <f t="shared" si="14"/>
        <v>0</v>
      </c>
      <c r="T35" s="41">
        <f t="shared" si="14"/>
        <v>0</v>
      </c>
      <c r="U35" s="41">
        <f t="shared" si="14"/>
        <v>0</v>
      </c>
      <c r="V35" s="41">
        <f t="shared" si="14"/>
        <v>0</v>
      </c>
      <c r="W35" s="41">
        <f t="shared" si="14"/>
        <v>0</v>
      </c>
      <c r="X35" s="41">
        <f t="shared" si="14"/>
        <v>0</v>
      </c>
      <c r="Y35" s="41">
        <f t="shared" si="14"/>
        <v>0</v>
      </c>
      <c r="Z35" s="41">
        <f t="shared" si="14"/>
        <v>0</v>
      </c>
      <c r="AA35" s="41">
        <f t="shared" si="14"/>
        <v>0</v>
      </c>
      <c r="AB35" s="41">
        <f t="shared" si="14"/>
        <v>0</v>
      </c>
      <c r="AC35" s="41">
        <f t="shared" si="14"/>
        <v>0</v>
      </c>
      <c r="AD35" s="41">
        <f t="shared" si="14"/>
        <v>0</v>
      </c>
      <c r="AE35" s="41">
        <f t="shared" si="14"/>
        <v>0</v>
      </c>
      <c r="AF35" s="41">
        <f t="shared" si="14"/>
        <v>0</v>
      </c>
      <c r="AG35" s="41">
        <f t="shared" si="14"/>
        <v>0</v>
      </c>
      <c r="AH35" s="41">
        <f t="shared" si="14"/>
        <v>0</v>
      </c>
      <c r="AI35" s="41">
        <f t="shared" si="14"/>
        <v>0</v>
      </c>
      <c r="AJ35" s="41">
        <f t="shared" si="14"/>
        <v>0</v>
      </c>
      <c r="AK35" s="41">
        <f t="shared" si="14"/>
        <v>0</v>
      </c>
      <c r="AL35" s="41">
        <f t="shared" si="14"/>
        <v>0</v>
      </c>
      <c r="AM35" s="41">
        <f t="shared" si="14"/>
        <v>0</v>
      </c>
      <c r="AN35" s="41">
        <f t="shared" si="14"/>
        <v>0</v>
      </c>
      <c r="AO35" s="41">
        <f t="shared" si="14"/>
        <v>0</v>
      </c>
      <c r="AP35" s="41">
        <f t="shared" si="14"/>
        <v>0</v>
      </c>
      <c r="AQ35" s="41">
        <f t="shared" si="14"/>
        <v>0</v>
      </c>
      <c r="AR35" s="41">
        <f t="shared" si="14"/>
        <v>0</v>
      </c>
      <c r="AS35" s="41">
        <f t="shared" si="14"/>
        <v>0</v>
      </c>
      <c r="AT35" s="41">
        <f t="shared" si="14"/>
        <v>0</v>
      </c>
      <c r="AU35" s="41">
        <f t="shared" si="14"/>
        <v>0</v>
      </c>
      <c r="AV35" s="41">
        <f t="shared" si="14"/>
        <v>0</v>
      </c>
      <c r="AW35" s="41">
        <f t="shared" si="14"/>
        <v>0</v>
      </c>
      <c r="AX35" s="41">
        <f t="shared" si="14"/>
        <v>0</v>
      </c>
      <c r="AY35" s="41">
        <f t="shared" si="14"/>
        <v>0</v>
      </c>
      <c r="AZ35" s="41">
        <f t="shared" si="14"/>
        <v>0</v>
      </c>
      <c r="BA35" s="41">
        <f t="shared" si="14"/>
        <v>0</v>
      </c>
      <c r="BB35" s="41">
        <f t="shared" si="14"/>
        <v>0</v>
      </c>
      <c r="BC35" s="41">
        <f t="shared" si="14"/>
        <v>0</v>
      </c>
      <c r="BD35" s="41">
        <f t="shared" si="14"/>
        <v>0</v>
      </c>
      <c r="BE35" s="41">
        <f t="shared" si="14"/>
        <v>0</v>
      </c>
      <c r="BF35" s="41">
        <f t="shared" si="14"/>
        <v>0</v>
      </c>
      <c r="BG35" s="41">
        <f t="shared" si="14"/>
        <v>0</v>
      </c>
      <c r="BH35" s="41">
        <f t="shared" si="14"/>
        <v>0</v>
      </c>
      <c r="BI35" s="41">
        <f t="shared" si="14"/>
        <v>0</v>
      </c>
      <c r="BJ35" s="41">
        <f t="shared" si="14"/>
        <v>0</v>
      </c>
      <c r="BK35" s="41">
        <f t="shared" si="14"/>
        <v>0</v>
      </c>
      <c r="BL35"/>
      <c r="BM35"/>
      <c r="BN35" s="41">
        <f t="shared" si="10"/>
        <v>0</v>
      </c>
      <c r="BO35"/>
      <c r="BP35"/>
      <c r="BQ35"/>
      <c r="BR35"/>
      <c r="BS35"/>
      <c r="BT35"/>
      <c r="BU35"/>
      <c r="BV35"/>
      <c r="BW35"/>
      <c r="BX35"/>
      <c r="BY35"/>
    </row>
    <row r="36" spans="1:77" s="48" customFormat="1" x14ac:dyDescent="0.35">
      <c r="A36" s="38" t="s">
        <v>35</v>
      </c>
      <c r="B36" s="39">
        <f>SUM(D36:BK36)</f>
        <v>15</v>
      </c>
      <c r="C36" s="40"/>
      <c r="D36" s="41"/>
      <c r="E36" s="41"/>
      <c r="F36" s="41"/>
      <c r="G36" s="41">
        <f>15</f>
        <v>15</v>
      </c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/>
      <c r="BM36"/>
      <c r="BN36" s="41"/>
      <c r="BO36"/>
      <c r="BP36"/>
      <c r="BQ36"/>
      <c r="BR36"/>
      <c r="BS36"/>
      <c r="BT36"/>
      <c r="BU36"/>
      <c r="BV36"/>
      <c r="BW36"/>
      <c r="BX36"/>
      <c r="BY36"/>
    </row>
    <row r="37" spans="1:77" s="48" customFormat="1" x14ac:dyDescent="0.35">
      <c r="A37" s="38" t="s">
        <v>36</v>
      </c>
      <c r="B37" s="39"/>
      <c r="C37" s="40">
        <v>1.2389999999999999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/>
      <c r="BM37"/>
      <c r="BN37" s="41">
        <f t="shared" si="10"/>
        <v>0</v>
      </c>
      <c r="BO37"/>
      <c r="BP37"/>
      <c r="BQ37"/>
      <c r="BR37"/>
      <c r="BS37"/>
      <c r="BT37"/>
      <c r="BU37"/>
      <c r="BV37"/>
      <c r="BW37"/>
      <c r="BX37"/>
      <c r="BY37"/>
    </row>
    <row r="38" spans="1:77" s="48" customFormat="1" x14ac:dyDescent="0.35">
      <c r="A38" s="38" t="s">
        <v>37</v>
      </c>
      <c r="B38" s="39">
        <f>SUM(D38:BK38)</f>
        <v>4.5639452054794516</v>
      </c>
      <c r="C38" s="40"/>
      <c r="D38" s="41"/>
      <c r="E38" s="41">
        <f t="shared" ref="E38:BK38" si="15">E70</f>
        <v>0</v>
      </c>
      <c r="F38" s="41">
        <f t="shared" si="15"/>
        <v>0</v>
      </c>
      <c r="G38" s="41">
        <f t="shared" si="15"/>
        <v>0.14794520547945203</v>
      </c>
      <c r="H38" s="41">
        <f t="shared" si="15"/>
        <v>0.29589041095890406</v>
      </c>
      <c r="I38" s="41">
        <f t="shared" si="15"/>
        <v>0.28602739726027393</v>
      </c>
      <c r="J38" s="41">
        <f t="shared" si="15"/>
        <v>0.29589041095890406</v>
      </c>
      <c r="K38" s="41">
        <f t="shared" si="15"/>
        <v>0.28602739726027393</v>
      </c>
      <c r="L38" s="41">
        <f t="shared" si="15"/>
        <v>0.29589041095890406</v>
      </c>
      <c r="M38" s="41">
        <f t="shared" si="15"/>
        <v>0.29589041095890406</v>
      </c>
      <c r="N38" s="41">
        <f t="shared" si="15"/>
        <v>0.2761643835616438</v>
      </c>
      <c r="O38" s="41">
        <f t="shared" si="15"/>
        <v>0.28602739726027399</v>
      </c>
      <c r="P38" s="41">
        <f t="shared" si="15"/>
        <v>0.26695890410958906</v>
      </c>
      <c r="Q38" s="41">
        <f t="shared" si="15"/>
        <v>0.26630136986301367</v>
      </c>
      <c r="R38" s="41">
        <f t="shared" si="15"/>
        <v>0.24789041095890413</v>
      </c>
      <c r="S38" s="41">
        <f t="shared" si="15"/>
        <v>0.24657534246575341</v>
      </c>
      <c r="T38" s="41">
        <f t="shared" si="15"/>
        <v>0.23671232876712325</v>
      </c>
      <c r="U38" s="41">
        <f t="shared" si="15"/>
        <v>0.21928767123287668</v>
      </c>
      <c r="V38" s="41">
        <f t="shared" si="15"/>
        <v>0.21698630136986299</v>
      </c>
      <c r="W38" s="41">
        <f t="shared" si="15"/>
        <v>0.20021917808219178</v>
      </c>
      <c r="X38" s="41">
        <f t="shared" si="15"/>
        <v>0.19726027397260273</v>
      </c>
      <c r="Y38" s="41">
        <f t="shared" si="15"/>
        <v>0</v>
      </c>
      <c r="Z38" s="41">
        <f t="shared" si="15"/>
        <v>0</v>
      </c>
      <c r="AA38" s="41">
        <f t="shared" si="15"/>
        <v>0</v>
      </c>
      <c r="AB38" s="41">
        <f t="shared" si="15"/>
        <v>0</v>
      </c>
      <c r="AC38" s="41">
        <f t="shared" si="15"/>
        <v>0</v>
      </c>
      <c r="AD38" s="41">
        <f t="shared" si="15"/>
        <v>0</v>
      </c>
      <c r="AE38" s="41">
        <f t="shared" si="15"/>
        <v>0</v>
      </c>
      <c r="AF38" s="41">
        <f t="shared" si="15"/>
        <v>0</v>
      </c>
      <c r="AG38" s="41">
        <f t="shared" si="15"/>
        <v>0</v>
      </c>
      <c r="AH38" s="41">
        <f t="shared" si="15"/>
        <v>0</v>
      </c>
      <c r="AI38" s="41">
        <f>AI70</f>
        <v>0</v>
      </c>
      <c r="AJ38" s="41">
        <f t="shared" si="15"/>
        <v>0</v>
      </c>
      <c r="AK38" s="41">
        <f t="shared" si="15"/>
        <v>0</v>
      </c>
      <c r="AL38" s="41">
        <f t="shared" si="15"/>
        <v>0</v>
      </c>
      <c r="AM38" s="41">
        <f t="shared" si="15"/>
        <v>0</v>
      </c>
      <c r="AN38" s="41">
        <f t="shared" si="15"/>
        <v>0</v>
      </c>
      <c r="AO38" s="41">
        <f t="shared" si="15"/>
        <v>0</v>
      </c>
      <c r="AP38" s="41">
        <f t="shared" si="15"/>
        <v>0</v>
      </c>
      <c r="AQ38" s="41">
        <f t="shared" si="15"/>
        <v>0</v>
      </c>
      <c r="AR38" s="41">
        <f t="shared" si="15"/>
        <v>0</v>
      </c>
      <c r="AS38" s="41">
        <f t="shared" si="15"/>
        <v>0</v>
      </c>
      <c r="AT38" s="41">
        <f t="shared" si="15"/>
        <v>0</v>
      </c>
      <c r="AU38" s="41">
        <f t="shared" si="15"/>
        <v>0</v>
      </c>
      <c r="AV38" s="41">
        <f t="shared" si="15"/>
        <v>0</v>
      </c>
      <c r="AW38" s="41">
        <f t="shared" si="15"/>
        <v>0</v>
      </c>
      <c r="AX38" s="41">
        <f t="shared" si="15"/>
        <v>0</v>
      </c>
      <c r="AY38" s="41">
        <f t="shared" si="15"/>
        <v>0</v>
      </c>
      <c r="AZ38" s="41">
        <f t="shared" si="15"/>
        <v>0</v>
      </c>
      <c r="BA38" s="41">
        <f t="shared" si="15"/>
        <v>0</v>
      </c>
      <c r="BB38" s="41">
        <f t="shared" si="15"/>
        <v>0</v>
      </c>
      <c r="BC38" s="41">
        <f t="shared" si="15"/>
        <v>0</v>
      </c>
      <c r="BD38" s="41">
        <f t="shared" si="15"/>
        <v>0</v>
      </c>
      <c r="BE38" s="41">
        <f t="shared" si="15"/>
        <v>0</v>
      </c>
      <c r="BF38" s="41">
        <f t="shared" si="15"/>
        <v>0</v>
      </c>
      <c r="BG38" s="41">
        <f t="shared" si="15"/>
        <v>0</v>
      </c>
      <c r="BH38" s="41">
        <f t="shared" si="15"/>
        <v>0</v>
      </c>
      <c r="BI38" s="41">
        <f t="shared" si="15"/>
        <v>0</v>
      </c>
      <c r="BJ38" s="41">
        <f t="shared" si="15"/>
        <v>0</v>
      </c>
      <c r="BK38" s="41">
        <f t="shared" si="15"/>
        <v>0</v>
      </c>
      <c r="BL38"/>
      <c r="BM38"/>
      <c r="BN38" s="41">
        <f t="shared" si="10"/>
        <v>2.0981917808219177</v>
      </c>
      <c r="BO38"/>
      <c r="BP38"/>
      <c r="BQ38"/>
      <c r="BR38"/>
      <c r="BS38"/>
      <c r="BT38"/>
      <c r="BU38"/>
      <c r="BV38"/>
      <c r="BW38"/>
      <c r="BX38"/>
      <c r="BY38"/>
    </row>
    <row r="39" spans="1:77" s="48" customFormat="1" x14ac:dyDescent="0.35">
      <c r="A39" s="38" t="s">
        <v>38</v>
      </c>
      <c r="B39" s="39">
        <f>SUM(D39:BK39)</f>
        <v>30</v>
      </c>
      <c r="C39" s="40"/>
      <c r="D39" s="41"/>
      <c r="E39" s="41">
        <f t="shared" ref="E39:BK39" si="16">E72</f>
        <v>0</v>
      </c>
      <c r="F39" s="41">
        <f t="shared" si="16"/>
        <v>0</v>
      </c>
      <c r="G39" s="41">
        <f t="shared" si="16"/>
        <v>0</v>
      </c>
      <c r="H39" s="41">
        <f t="shared" si="16"/>
        <v>0</v>
      </c>
      <c r="I39" s="41">
        <f t="shared" si="16"/>
        <v>0</v>
      </c>
      <c r="J39" s="41">
        <f t="shared" si="16"/>
        <v>0</v>
      </c>
      <c r="K39" s="41">
        <f t="shared" si="16"/>
        <v>0</v>
      </c>
      <c r="L39" s="41">
        <f t="shared" si="16"/>
        <v>0</v>
      </c>
      <c r="M39" s="41">
        <f t="shared" si="16"/>
        <v>0</v>
      </c>
      <c r="N39" s="41">
        <f t="shared" si="16"/>
        <v>1</v>
      </c>
      <c r="O39" s="41">
        <f t="shared" si="16"/>
        <v>1</v>
      </c>
      <c r="P39" s="41">
        <f t="shared" si="16"/>
        <v>1</v>
      </c>
      <c r="Q39" s="41">
        <f t="shared" si="16"/>
        <v>1</v>
      </c>
      <c r="R39" s="41">
        <f t="shared" si="16"/>
        <v>1</v>
      </c>
      <c r="S39" s="41">
        <f t="shared" si="16"/>
        <v>1</v>
      </c>
      <c r="T39" s="41">
        <f t="shared" si="16"/>
        <v>1</v>
      </c>
      <c r="U39" s="41">
        <f t="shared" si="16"/>
        <v>1</v>
      </c>
      <c r="V39" s="41">
        <f t="shared" si="16"/>
        <v>1</v>
      </c>
      <c r="W39" s="41">
        <f t="shared" si="16"/>
        <v>1</v>
      </c>
      <c r="X39" s="41">
        <f t="shared" si="16"/>
        <v>20</v>
      </c>
      <c r="Y39" s="41">
        <f t="shared" si="16"/>
        <v>0</v>
      </c>
      <c r="Z39" s="41">
        <f t="shared" si="16"/>
        <v>0</v>
      </c>
      <c r="AA39" s="41">
        <f t="shared" si="16"/>
        <v>0</v>
      </c>
      <c r="AB39" s="41">
        <f t="shared" si="16"/>
        <v>0</v>
      </c>
      <c r="AC39" s="41">
        <f t="shared" si="16"/>
        <v>0</v>
      </c>
      <c r="AD39" s="41">
        <f t="shared" si="16"/>
        <v>0</v>
      </c>
      <c r="AE39" s="41">
        <f t="shared" si="16"/>
        <v>0</v>
      </c>
      <c r="AF39" s="41">
        <f t="shared" si="16"/>
        <v>0</v>
      </c>
      <c r="AG39" s="41">
        <f t="shared" si="16"/>
        <v>0</v>
      </c>
      <c r="AH39" s="41">
        <f t="shared" si="16"/>
        <v>0</v>
      </c>
      <c r="AI39" s="41">
        <f t="shared" si="16"/>
        <v>0</v>
      </c>
      <c r="AJ39" s="41">
        <f t="shared" si="16"/>
        <v>0</v>
      </c>
      <c r="AK39" s="41">
        <f t="shared" si="16"/>
        <v>0</v>
      </c>
      <c r="AL39" s="41">
        <f t="shared" si="16"/>
        <v>0</v>
      </c>
      <c r="AM39" s="41">
        <f t="shared" si="16"/>
        <v>0</v>
      </c>
      <c r="AN39" s="41">
        <f t="shared" si="16"/>
        <v>0</v>
      </c>
      <c r="AO39" s="41">
        <f t="shared" si="16"/>
        <v>0</v>
      </c>
      <c r="AP39" s="41">
        <f t="shared" si="16"/>
        <v>0</v>
      </c>
      <c r="AQ39" s="41">
        <f t="shared" si="16"/>
        <v>0</v>
      </c>
      <c r="AR39" s="41">
        <f t="shared" si="16"/>
        <v>0</v>
      </c>
      <c r="AS39" s="41">
        <f t="shared" si="16"/>
        <v>0</v>
      </c>
      <c r="AT39" s="41">
        <f t="shared" si="16"/>
        <v>0</v>
      </c>
      <c r="AU39" s="41">
        <f t="shared" si="16"/>
        <v>0</v>
      </c>
      <c r="AV39" s="41">
        <f t="shared" si="16"/>
        <v>0</v>
      </c>
      <c r="AW39" s="41">
        <f t="shared" si="16"/>
        <v>0</v>
      </c>
      <c r="AX39" s="41">
        <f t="shared" si="16"/>
        <v>0</v>
      </c>
      <c r="AY39" s="41">
        <f t="shared" si="16"/>
        <v>0</v>
      </c>
      <c r="AZ39" s="41">
        <f t="shared" si="16"/>
        <v>0</v>
      </c>
      <c r="BA39" s="41">
        <f t="shared" si="16"/>
        <v>0</v>
      </c>
      <c r="BB39" s="41">
        <f t="shared" si="16"/>
        <v>0</v>
      </c>
      <c r="BC39" s="41">
        <f t="shared" si="16"/>
        <v>0</v>
      </c>
      <c r="BD39" s="41">
        <f t="shared" si="16"/>
        <v>0</v>
      </c>
      <c r="BE39" s="41">
        <f t="shared" si="16"/>
        <v>0</v>
      </c>
      <c r="BF39" s="41">
        <f t="shared" si="16"/>
        <v>0</v>
      </c>
      <c r="BG39" s="41">
        <f t="shared" si="16"/>
        <v>0</v>
      </c>
      <c r="BH39" s="41">
        <f t="shared" si="16"/>
        <v>0</v>
      </c>
      <c r="BI39" s="41">
        <f t="shared" si="16"/>
        <v>0</v>
      </c>
      <c r="BJ39" s="41">
        <f t="shared" si="16"/>
        <v>0</v>
      </c>
      <c r="BK39" s="41">
        <f t="shared" si="16"/>
        <v>0</v>
      </c>
      <c r="BL39"/>
      <c r="BM39"/>
      <c r="BN39" s="41">
        <f t="shared" si="10"/>
        <v>28</v>
      </c>
      <c r="BO39"/>
      <c r="BP39"/>
      <c r="BQ39"/>
      <c r="BR39"/>
      <c r="BS39"/>
      <c r="BT39"/>
      <c r="BU39"/>
      <c r="BV39"/>
      <c r="BW39"/>
      <c r="BX39"/>
      <c r="BY39"/>
    </row>
    <row r="40" spans="1:77" s="48" customFormat="1" x14ac:dyDescent="0.35">
      <c r="A40" s="38" t="s">
        <v>39</v>
      </c>
      <c r="B40" s="39">
        <f>SUM(D40:BK40)</f>
        <v>119.9593981245755</v>
      </c>
      <c r="C40" s="40"/>
      <c r="D40" s="41"/>
      <c r="E40" s="41">
        <f t="shared" ref="E40:BK40" si="17">E82+E83+E94+E95</f>
        <v>0</v>
      </c>
      <c r="F40" s="41">
        <f t="shared" si="17"/>
        <v>0</v>
      </c>
      <c r="G40" s="41">
        <f t="shared" si="17"/>
        <v>3.6753321596893063</v>
      </c>
      <c r="H40" s="41">
        <f t="shared" si="17"/>
        <v>1.4635596835426188</v>
      </c>
      <c r="I40" s="41">
        <f t="shared" si="17"/>
        <v>1.4147743607578649</v>
      </c>
      <c r="J40" s="41">
        <f t="shared" si="17"/>
        <v>1.4635596835426188</v>
      </c>
      <c r="K40" s="41">
        <f t="shared" si="17"/>
        <v>1.4147743607578649</v>
      </c>
      <c r="L40" s="41">
        <f t="shared" si="17"/>
        <v>1.4635596835426188</v>
      </c>
      <c r="M40" s="41">
        <f t="shared" si="17"/>
        <v>1.4635596835426188</v>
      </c>
      <c r="N40" s="41">
        <f t="shared" si="17"/>
        <v>1.3668087687944486</v>
      </c>
      <c r="O40" s="41">
        <f t="shared" si="17"/>
        <v>1.4542500705409986</v>
      </c>
      <c r="P40" s="41">
        <f t="shared" si="17"/>
        <v>1.3965867708535789</v>
      </c>
      <c r="Q40" s="41">
        <f t="shared" si="17"/>
        <v>1.4451002792073619</v>
      </c>
      <c r="R40" s="41">
        <f t="shared" si="17"/>
        <v>1.3876729104407686</v>
      </c>
      <c r="S40" s="41">
        <f t="shared" si="17"/>
        <v>1.4254987162224229</v>
      </c>
      <c r="T40" s="41">
        <f t="shared" si="17"/>
        <v>1.4260798108703185</v>
      </c>
      <c r="U40" s="41">
        <f t="shared" si="17"/>
        <v>1.3691428922621691</v>
      </c>
      <c r="V40" s="41">
        <f t="shared" si="17"/>
        <v>1.4061850454564215</v>
      </c>
      <c r="W40" s="41">
        <f t="shared" si="17"/>
        <v>1.3597281569055144</v>
      </c>
      <c r="X40" s="41">
        <f t="shared" si="17"/>
        <v>4.1580871687823748</v>
      </c>
      <c r="Y40" s="41">
        <f t="shared" si="17"/>
        <v>2.4861618862361246</v>
      </c>
      <c r="Z40" s="41">
        <f t="shared" si="17"/>
        <v>2.23779402664946</v>
      </c>
      <c r="AA40" s="41">
        <f t="shared" si="17"/>
        <v>2.4753223975568326</v>
      </c>
      <c r="AB40" s="41">
        <f t="shared" si="17"/>
        <v>2.3830295230760914</v>
      </c>
      <c r="AC40" s="41">
        <f t="shared" si="17"/>
        <v>2.4649598314292707</v>
      </c>
      <c r="AD40" s="41">
        <f t="shared" si="17"/>
        <v>2.3729341597381293</v>
      </c>
      <c r="AE40" s="41">
        <f t="shared" si="17"/>
        <v>2.4441267986052018</v>
      </c>
      <c r="AF40" s="41">
        <f t="shared" si="17"/>
        <v>2.4440745005799744</v>
      </c>
      <c r="AG40" s="41">
        <f t="shared" si="17"/>
        <v>2.3525873652509612</v>
      </c>
      <c r="AH40" s="41">
        <f t="shared" si="17"/>
        <v>2.4229195182841012</v>
      </c>
      <c r="AI40" s="41">
        <f t="shared" si="17"/>
        <v>2.3419449081937569</v>
      </c>
      <c r="AJ40" s="41">
        <f t="shared" si="17"/>
        <v>2.4118269813117656</v>
      </c>
      <c r="AK40" s="41">
        <f t="shared" si="17"/>
        <v>2.4012117525343903</v>
      </c>
      <c r="AL40" s="41">
        <f t="shared" si="17"/>
        <v>2.1607419279810642</v>
      </c>
      <c r="AM40" s="41">
        <f t="shared" si="17"/>
        <v>2.389107314917414</v>
      </c>
      <c r="AN40" s="41">
        <f t="shared" si="17"/>
        <v>2.2990375298050054</v>
      </c>
      <c r="AO40" s="41">
        <f t="shared" si="17"/>
        <v>2.3774157346354814</v>
      </c>
      <c r="AP40" s="41">
        <f t="shared" si="17"/>
        <v>2.2876474214584706</v>
      </c>
      <c r="AQ40" s="41">
        <f t="shared" si="17"/>
        <v>2.3552332007704289</v>
      </c>
      <c r="AR40" s="41">
        <f t="shared" si="17"/>
        <v>2.3546751446156686</v>
      </c>
      <c r="AS40" s="41">
        <f t="shared" si="17"/>
        <v>2.2636818636970681</v>
      </c>
      <c r="AT40" s="41">
        <f t="shared" si="17"/>
        <v>2.3283803133638306</v>
      </c>
      <c r="AU40" s="41">
        <f t="shared" si="17"/>
        <v>2.2500254978460141</v>
      </c>
      <c r="AV40" s="41">
        <f t="shared" si="17"/>
        <v>2.3141464064477582</v>
      </c>
      <c r="AW40" s="41">
        <f t="shared" si="17"/>
        <v>2.30089466355843</v>
      </c>
      <c r="AX40" s="41">
        <f t="shared" si="17"/>
        <v>2.0699210881757719</v>
      </c>
      <c r="AY40" s="41">
        <f t="shared" si="17"/>
        <v>2.2846081324954897</v>
      </c>
      <c r="AZ40" s="41">
        <f t="shared" si="17"/>
        <v>2.1944508431625449</v>
      </c>
      <c r="BA40" s="41">
        <f t="shared" si="17"/>
        <v>2.2675901309193547</v>
      </c>
      <c r="BB40" s="41">
        <f t="shared" si="17"/>
        <v>2.1778716573622114</v>
      </c>
      <c r="BC40" s="41">
        <f t="shared" si="17"/>
        <v>2.2379369231012465</v>
      </c>
      <c r="BD40" s="41">
        <f t="shared" si="17"/>
        <v>2.23545880550496</v>
      </c>
      <c r="BE40" s="41">
        <f t="shared" si="17"/>
        <v>2.1465688506446887</v>
      </c>
      <c r="BF40" s="41">
        <f t="shared" si="17"/>
        <v>2.2053102900797938</v>
      </c>
      <c r="BG40" s="41">
        <f t="shared" si="17"/>
        <v>2.1291581693624382</v>
      </c>
      <c r="BH40" s="41">
        <f t="shared" si="17"/>
        <v>2.1871632940619739</v>
      </c>
      <c r="BI40" s="41">
        <f t="shared" si="17"/>
        <v>2.1719158528025106</v>
      </c>
      <c r="BJ40" s="41">
        <f t="shared" si="17"/>
        <v>2.0243274130043627</v>
      </c>
      <c r="BK40" s="41">
        <f t="shared" si="17"/>
        <v>2.1529757996435634</v>
      </c>
      <c r="BL40"/>
      <c r="BM40"/>
      <c r="BN40" s="41">
        <f t="shared" si="10"/>
        <v>104.77921966986455</v>
      </c>
      <c r="BO40"/>
      <c r="BP40"/>
      <c r="BQ40"/>
      <c r="BR40"/>
      <c r="BS40"/>
      <c r="BT40"/>
      <c r="BU40"/>
      <c r="BV40"/>
      <c r="BW40"/>
      <c r="BX40"/>
      <c r="BY40"/>
    </row>
    <row r="41" spans="1:77" s="48" customFormat="1" x14ac:dyDescent="0.35">
      <c r="A41" s="38" t="s">
        <v>40</v>
      </c>
      <c r="B41" s="39">
        <f>SUM(D41:BK41)</f>
        <v>54.538051769163765</v>
      </c>
      <c r="C41" s="40"/>
      <c r="D41" s="41"/>
      <c r="E41" s="41">
        <f t="shared" ref="E41:BK41" si="18">E84+E96</f>
        <v>0</v>
      </c>
      <c r="F41" s="41">
        <f t="shared" si="18"/>
        <v>0</v>
      </c>
      <c r="G41" s="41">
        <f t="shared" si="18"/>
        <v>0</v>
      </c>
      <c r="H41" s="41">
        <f t="shared" si="18"/>
        <v>0</v>
      </c>
      <c r="I41" s="41">
        <f t="shared" si="18"/>
        <v>0</v>
      </c>
      <c r="J41" s="41">
        <f t="shared" si="18"/>
        <v>0</v>
      </c>
      <c r="K41" s="41">
        <f t="shared" si="18"/>
        <v>0</v>
      </c>
      <c r="L41" s="41">
        <f t="shared" si="18"/>
        <v>0</v>
      </c>
      <c r="M41" s="41">
        <f t="shared" si="18"/>
        <v>-0.1124818608226188</v>
      </c>
      <c r="N41" s="41">
        <f t="shared" si="18"/>
        <v>1.3047656312055513</v>
      </c>
      <c r="O41" s="41">
        <f t="shared" si="18"/>
        <v>1.2173243294590013</v>
      </c>
      <c r="P41" s="41">
        <f t="shared" si="18"/>
        <v>-4.5508948133578864E-2</v>
      </c>
      <c r="Q41" s="41">
        <f t="shared" si="18"/>
        <v>1.226474120792638</v>
      </c>
      <c r="R41" s="41">
        <f t="shared" si="18"/>
        <v>1.2839014895592313</v>
      </c>
      <c r="S41" s="41">
        <f t="shared" si="18"/>
        <v>-7.4420893502422869E-2</v>
      </c>
      <c r="T41" s="41">
        <f t="shared" si="18"/>
        <v>1.2454945891296814</v>
      </c>
      <c r="U41" s="41">
        <f t="shared" si="18"/>
        <v>1.3024315077378308</v>
      </c>
      <c r="V41" s="41">
        <f t="shared" si="18"/>
        <v>-5.5107222736421546E-2</v>
      </c>
      <c r="W41" s="41">
        <f t="shared" si="18"/>
        <v>1.3118462430944855</v>
      </c>
      <c r="X41" s="41">
        <f t="shared" si="18"/>
        <v>1.2752022482641827</v>
      </c>
      <c r="Y41" s="41">
        <f t="shared" si="18"/>
        <v>-3.5337270364987239E-2</v>
      </c>
      <c r="Z41" s="41">
        <f t="shared" si="18"/>
        <v>1.423552487186563</v>
      </c>
      <c r="AA41" s="41">
        <f t="shared" si="18"/>
        <v>1.2959987955943044</v>
      </c>
      <c r="AB41" s="41">
        <f t="shared" si="18"/>
        <v>3.1136866356674231E-2</v>
      </c>
      <c r="AC41" s="41">
        <f t="shared" si="18"/>
        <v>1.3063613617218666</v>
      </c>
      <c r="AD41" s="41">
        <f t="shared" si="18"/>
        <v>1.3617288069746365</v>
      </c>
      <c r="AE41" s="41">
        <f t="shared" si="18"/>
        <v>6.6978172659353241E-3</v>
      </c>
      <c r="AF41" s="41">
        <f t="shared" si="18"/>
        <v>1.3272466925711626</v>
      </c>
      <c r="AG41" s="41">
        <f t="shared" si="18"/>
        <v>1.3820756014618045</v>
      </c>
      <c r="AH41" s="41">
        <f t="shared" si="18"/>
        <v>2.7905097587036076E-2</v>
      </c>
      <c r="AI41" s="41">
        <f t="shared" si="18"/>
        <v>1.3927180585190089</v>
      </c>
      <c r="AJ41" s="41">
        <f t="shared" si="18"/>
        <v>1.3594942118393711</v>
      </c>
      <c r="AK41" s="41">
        <f t="shared" si="18"/>
        <v>4.9612863336746971E-2</v>
      </c>
      <c r="AL41" s="41">
        <f t="shared" si="18"/>
        <v>1.500604585854959</v>
      </c>
      <c r="AM41" s="41">
        <f t="shared" si="18"/>
        <v>1.3822138782337232</v>
      </c>
      <c r="AN41" s="41">
        <f t="shared" si="18"/>
        <v>0.11512885962776065</v>
      </c>
      <c r="AO41" s="41">
        <f t="shared" si="18"/>
        <v>1.3939054585156554</v>
      </c>
      <c r="AP41" s="41">
        <f t="shared" si="18"/>
        <v>1.4470155452542952</v>
      </c>
      <c r="AQ41" s="41">
        <f t="shared" si="18"/>
        <v>7.1470349644709108E-2</v>
      </c>
      <c r="AR41" s="41">
        <f t="shared" si="18"/>
        <v>1.6566242985354689</v>
      </c>
      <c r="AS41" s="41">
        <f t="shared" si="18"/>
        <v>1.7109593530156981</v>
      </c>
      <c r="AT41" s="41">
        <f t="shared" si="18"/>
        <v>9.8323237051307188E-2</v>
      </c>
      <c r="AU41" s="41">
        <f t="shared" si="18"/>
        <v>1.7246157188667521</v>
      </c>
      <c r="AV41" s="41">
        <f t="shared" si="18"/>
        <v>1.6971530367033794</v>
      </c>
      <c r="AW41" s="41">
        <f t="shared" si="18"/>
        <v>0.12580888685670755</v>
      </c>
      <c r="AX41" s="41">
        <f t="shared" si="18"/>
        <v>1.9600100036602517</v>
      </c>
      <c r="AY41" s="41">
        <f t="shared" si="18"/>
        <v>1.8552976386556477</v>
      </c>
      <c r="AZ41" s="41">
        <f t="shared" si="18"/>
        <v>0.32420080881422142</v>
      </c>
      <c r="BA41" s="41">
        <f t="shared" si="18"/>
        <v>1.8723156402317827</v>
      </c>
      <c r="BB41" s="41">
        <f t="shared" si="18"/>
        <v>1.9253758873505549</v>
      </c>
      <c r="BC41" s="41">
        <f t="shared" si="18"/>
        <v>0.31737295531389154</v>
      </c>
      <c r="BD41" s="41">
        <f t="shared" si="18"/>
        <v>1.9044469656461778</v>
      </c>
      <c r="BE41" s="41">
        <f t="shared" si="18"/>
        <v>1.9566786940680776</v>
      </c>
      <c r="BF41" s="41">
        <f t="shared" si="18"/>
        <v>0.34999958833534395</v>
      </c>
      <c r="BG41" s="41">
        <f t="shared" si="18"/>
        <v>1.9740893753503279</v>
      </c>
      <c r="BH41" s="41">
        <f t="shared" si="18"/>
        <v>1.9527424770891635</v>
      </c>
      <c r="BI41" s="41">
        <f t="shared" si="18"/>
        <v>0.38339402561262714</v>
      </c>
      <c r="BJ41" s="41">
        <f t="shared" si="18"/>
        <v>2.0422619052700322</v>
      </c>
      <c r="BK41" s="41">
        <f t="shared" si="18"/>
        <v>1.9869299715075739</v>
      </c>
      <c r="BL41"/>
      <c r="BM41"/>
      <c r="BN41" s="41">
        <f t="shared" si="10"/>
        <v>52.128443669321832</v>
      </c>
      <c r="BO41"/>
      <c r="BP41"/>
      <c r="BQ41"/>
      <c r="BR41"/>
      <c r="BS41"/>
      <c r="BT41"/>
      <c r="BU41"/>
      <c r="BV41"/>
      <c r="BW41"/>
      <c r="BX41"/>
      <c r="BY41"/>
    </row>
    <row r="42" spans="1:77" s="48" customFormat="1" x14ac:dyDescent="0.35">
      <c r="A42" s="38" t="s">
        <v>41</v>
      </c>
      <c r="B42" s="39">
        <f>SUM(D42:BK42)</f>
        <v>0</v>
      </c>
      <c r="C42" s="40">
        <v>26.630204700000007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/>
      <c r="BM42"/>
      <c r="BN42" s="41">
        <f t="shared" si="10"/>
        <v>0</v>
      </c>
      <c r="BO42"/>
      <c r="BP42"/>
      <c r="BQ42"/>
      <c r="BR42"/>
      <c r="BS42"/>
      <c r="BT42"/>
      <c r="BU42"/>
      <c r="BV42"/>
      <c r="BW42"/>
      <c r="BX42"/>
      <c r="BY42"/>
    </row>
    <row r="43" spans="1:77" s="48" customFormat="1" x14ac:dyDescent="0.35">
      <c r="A43" s="38" t="s">
        <v>42</v>
      </c>
      <c r="B43" s="39">
        <f>SUM(D43:BK43)</f>
        <v>0</v>
      </c>
      <c r="C43" s="40">
        <v>74.348454099999998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/>
      <c r="BM43"/>
      <c r="BN43" s="41">
        <f t="shared" si="10"/>
        <v>0</v>
      </c>
      <c r="BO43"/>
      <c r="BP43"/>
      <c r="BQ43"/>
      <c r="BR43"/>
      <c r="BS43"/>
      <c r="BT43"/>
      <c r="BU43"/>
      <c r="BV43"/>
      <c r="BW43"/>
      <c r="BX43"/>
      <c r="BY43"/>
    </row>
    <row r="44" spans="1:77" x14ac:dyDescent="0.35">
      <c r="A44" s="32" t="s">
        <v>43</v>
      </c>
      <c r="B44" s="33">
        <f>SUM(D44:BK44)</f>
        <v>580.86438916407985</v>
      </c>
      <c r="C44" s="34">
        <f t="shared" ref="C44:BN44" si="19">SUM(C30:C43,C22:C27)</f>
        <v>331.53397940199994</v>
      </c>
      <c r="D44" s="35">
        <f t="shared" si="19"/>
        <v>0</v>
      </c>
      <c r="E44" s="35">
        <f t="shared" si="19"/>
        <v>5.243150499178082</v>
      </c>
      <c r="F44" s="35">
        <f t="shared" si="19"/>
        <v>6.8293006822054796</v>
      </c>
      <c r="G44" s="35">
        <f t="shared" si="19"/>
        <v>272.17338070162685</v>
      </c>
      <c r="H44" s="35">
        <f t="shared" si="19"/>
        <v>5.3594500945015229</v>
      </c>
      <c r="I44" s="35">
        <f t="shared" si="19"/>
        <v>6.5610452080181387</v>
      </c>
      <c r="J44" s="35">
        <f t="shared" si="19"/>
        <v>7.1131406717815242</v>
      </c>
      <c r="K44" s="35">
        <f t="shared" si="19"/>
        <v>5.5370680330181381</v>
      </c>
      <c r="L44" s="35">
        <f t="shared" si="19"/>
        <v>5.5957163695015231</v>
      </c>
      <c r="M44" s="35">
        <f t="shared" si="19"/>
        <v>6.5674648109589047</v>
      </c>
      <c r="N44" s="35">
        <f t="shared" si="19"/>
        <v>7.5477387835616438</v>
      </c>
      <c r="O44" s="35">
        <f t="shared" si="19"/>
        <v>7.5576017972602738</v>
      </c>
      <c r="P44" s="35">
        <f t="shared" si="19"/>
        <v>7.5385333041095892</v>
      </c>
      <c r="Q44" s="35">
        <f t="shared" si="19"/>
        <v>7.537875769863013</v>
      </c>
      <c r="R44" s="35">
        <f t="shared" si="19"/>
        <v>7.5194648109589046</v>
      </c>
      <c r="S44" s="35">
        <f t="shared" si="19"/>
        <v>7.794551526465753</v>
      </c>
      <c r="T44" s="35">
        <f t="shared" si="19"/>
        <v>7.5082867287671231</v>
      </c>
      <c r="U44" s="35">
        <f t="shared" si="19"/>
        <v>5.4908620712328764</v>
      </c>
      <c r="V44" s="35">
        <f t="shared" si="19"/>
        <v>5.7649624853698631</v>
      </c>
      <c r="W44" s="35">
        <f t="shared" si="19"/>
        <v>5.4717935780821918</v>
      </c>
      <c r="X44" s="35">
        <f t="shared" si="19"/>
        <v>28.82252127697166</v>
      </c>
      <c r="Y44" s="35">
        <f t="shared" si="19"/>
        <v>6.7090373677861361</v>
      </c>
      <c r="Z44" s="35">
        <f t="shared" si="19"/>
        <v>5.1613465138360226</v>
      </c>
      <c r="AA44" s="35">
        <f t="shared" si="19"/>
        <v>3.7713211931511372</v>
      </c>
      <c r="AB44" s="35">
        <f t="shared" si="19"/>
        <v>4.0110647507127659</v>
      </c>
      <c r="AC44" s="35">
        <f t="shared" si="19"/>
        <v>3.7713211931511372</v>
      </c>
      <c r="AD44" s="35">
        <f t="shared" si="19"/>
        <v>3.734662966712766</v>
      </c>
      <c r="AE44" s="35">
        <f t="shared" si="19"/>
        <v>4.0477229771511372</v>
      </c>
      <c r="AF44" s="35">
        <f t="shared" si="19"/>
        <v>3.7713211931511372</v>
      </c>
      <c r="AG44" s="35">
        <f t="shared" si="19"/>
        <v>3.734662966712766</v>
      </c>
      <c r="AH44" s="35">
        <f t="shared" si="19"/>
        <v>4.0477229771511372</v>
      </c>
      <c r="AI44" s="35">
        <f t="shared" si="19"/>
        <v>3.734662966712766</v>
      </c>
      <c r="AJ44" s="35">
        <f t="shared" si="19"/>
        <v>3.7713211931511368</v>
      </c>
      <c r="AK44" s="35">
        <f t="shared" si="19"/>
        <v>4.1030033339511371</v>
      </c>
      <c r="AL44" s="35">
        <f t="shared" si="19"/>
        <v>3.6613465138360235</v>
      </c>
      <c r="AM44" s="35">
        <f t="shared" si="19"/>
        <v>3.7713211931511372</v>
      </c>
      <c r="AN44" s="35">
        <f t="shared" si="19"/>
        <v>4.0663451075127659</v>
      </c>
      <c r="AO44" s="35">
        <f t="shared" si="19"/>
        <v>3.7713211931511368</v>
      </c>
      <c r="AP44" s="35">
        <f t="shared" si="19"/>
        <v>3.734662966712766</v>
      </c>
      <c r="AQ44" s="35">
        <f t="shared" si="19"/>
        <v>4.3429815839511381</v>
      </c>
      <c r="AR44" s="35">
        <f t="shared" si="19"/>
        <v>4.0112994431511373</v>
      </c>
      <c r="AS44" s="35">
        <f t="shared" si="19"/>
        <v>3.974641216712766</v>
      </c>
      <c r="AT44" s="35">
        <f t="shared" si="19"/>
        <v>4.3429815839511372</v>
      </c>
      <c r="AU44" s="35">
        <f t="shared" si="19"/>
        <v>3.974641216712766</v>
      </c>
      <c r="AV44" s="35">
        <f t="shared" si="19"/>
        <v>4.0112994431511373</v>
      </c>
      <c r="AW44" s="35">
        <f t="shared" si="19"/>
        <v>4.3429815839511372</v>
      </c>
      <c r="AX44" s="35">
        <f t="shared" si="19"/>
        <v>4.0299310918360236</v>
      </c>
      <c r="AY44" s="35">
        <f t="shared" si="19"/>
        <v>4.1399057711511373</v>
      </c>
      <c r="AZ44" s="35">
        <f t="shared" si="19"/>
        <v>4.434929685512766</v>
      </c>
      <c r="BA44" s="35">
        <f t="shared" si="19"/>
        <v>4.1399057711511373</v>
      </c>
      <c r="BB44" s="35">
        <f t="shared" si="19"/>
        <v>4.1032475447127661</v>
      </c>
      <c r="BC44" s="35">
        <f t="shared" si="19"/>
        <v>4.4715879119511381</v>
      </c>
      <c r="BD44" s="35">
        <f t="shared" si="19"/>
        <v>4.1399057711511382</v>
      </c>
      <c r="BE44" s="35">
        <f t="shared" si="19"/>
        <v>4.1032475447127661</v>
      </c>
      <c r="BF44" s="35">
        <f t="shared" si="19"/>
        <v>4.4715879119511373</v>
      </c>
      <c r="BG44" s="35">
        <f t="shared" si="19"/>
        <v>4.1032475447127661</v>
      </c>
      <c r="BH44" s="35">
        <f t="shared" si="19"/>
        <v>4.1399057711511373</v>
      </c>
      <c r="BI44" s="35">
        <f t="shared" si="19"/>
        <v>4.4715879119511373</v>
      </c>
      <c r="BJ44" s="35">
        <f t="shared" si="19"/>
        <v>4.0665893182743948</v>
      </c>
      <c r="BK44" s="35">
        <f t="shared" si="19"/>
        <v>4.1399057711511373</v>
      </c>
      <c r="BL44" s="13"/>
      <c r="BN44" s="35">
        <f t="shared" si="19"/>
        <v>244.77933151246779</v>
      </c>
      <c r="BQ44" s="13"/>
      <c r="BR44" s="13"/>
      <c r="BS44" s="13"/>
      <c r="BT44" s="13"/>
      <c r="BU44" s="13"/>
      <c r="BV44" s="13"/>
      <c r="BW44" s="13"/>
      <c r="BX44" s="13"/>
      <c r="BY44" s="13"/>
    </row>
    <row r="45" spans="1:77" s="13" customFormat="1" x14ac:dyDescent="0.35">
      <c r="A45"/>
      <c r="B45" s="17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/>
      <c r="BM45"/>
      <c r="BN45" s="17"/>
      <c r="BO45"/>
      <c r="BP45"/>
      <c r="BQ45"/>
      <c r="BR45"/>
      <c r="BS45"/>
      <c r="BT45"/>
      <c r="BU45"/>
      <c r="BV45"/>
      <c r="BW45"/>
      <c r="BX45"/>
      <c r="BY45"/>
    </row>
    <row r="46" spans="1:77" s="13" customFormat="1" x14ac:dyDescent="0.35">
      <c r="A46" s="32" t="s">
        <v>44</v>
      </c>
      <c r="B46" s="33"/>
      <c r="C46" s="49">
        <f>C6+C19-C44+0.0357</f>
        <v>2.5582466980000418</v>
      </c>
      <c r="D46" s="35">
        <f>D6+D19-D44</f>
        <v>2.5582466980000418</v>
      </c>
      <c r="E46" s="35">
        <f>E6+E19-E44</f>
        <v>3.3150961988219603</v>
      </c>
      <c r="F46" s="35">
        <f>F6+F19-F44</f>
        <v>2.7791615166164814</v>
      </c>
      <c r="G46" s="35">
        <f>G6+G19-G44</f>
        <v>-65.611047248850383</v>
      </c>
      <c r="H46" s="35">
        <f>H6+H19-H44</f>
        <v>-54.193319427492469</v>
      </c>
      <c r="I46" s="35">
        <f>I6+I19-I44</f>
        <v>-57.652280523751841</v>
      </c>
      <c r="J46" s="35">
        <f>J6+J19-J44</f>
        <v>-62.039431375805364</v>
      </c>
      <c r="K46" s="35">
        <f>K6+K19-K44</f>
        <v>-64.690662079763285</v>
      </c>
      <c r="L46" s="35">
        <f>L6+L19-L44</f>
        <v>-67.555715310872358</v>
      </c>
      <c r="M46" s="35">
        <f>M6+M19-M44</f>
        <v>-71.39251698343881</v>
      </c>
      <c r="N46" s="35">
        <f>N6+N19-N44</f>
        <v>-76.209592628607993</v>
      </c>
      <c r="O46" s="35">
        <f>O6+O19-O44</f>
        <v>-81.03653128747581</v>
      </c>
      <c r="P46" s="35">
        <f>P6+P19-P44</f>
        <v>-85.844401453192944</v>
      </c>
      <c r="Q46" s="35">
        <f>Q6+Q19-Q44</f>
        <v>-90.651614084663493</v>
      </c>
      <c r="R46" s="35">
        <f>R6+R19-R44</f>
        <v>-95.440415757229943</v>
      </c>
      <c r="S46" s="35">
        <f>S6+S19-S44</f>
        <v>-100.50430414530324</v>
      </c>
      <c r="T46" s="35">
        <f>T6+T19-T44</f>
        <v>-105.2819277356779</v>
      </c>
      <c r="U46" s="35">
        <f>U6+U19-U44</f>
        <v>-108.04212666851832</v>
      </c>
      <c r="V46" s="35">
        <f>V6+V19-V44</f>
        <v>-111.07642601549573</v>
      </c>
      <c r="W46" s="35">
        <f>W6+W19-W44</f>
        <v>-111.69492767391546</v>
      </c>
      <c r="X46" s="35">
        <f>X6+X19-X44</f>
        <v>5.5469259261848798</v>
      </c>
      <c r="Y46" s="35">
        <f>Y6+Y19-Y44</f>
        <v>3.3583202761237434</v>
      </c>
      <c r="Z46" s="35">
        <f>Z6+Z19-Z44</f>
        <v>2.7174054800127205</v>
      </c>
      <c r="AA46" s="35">
        <f>AA6+AA19-AA44</f>
        <v>3.466516004586583</v>
      </c>
      <c r="AB46" s="35">
        <f>AB6+AB19-AB44</f>
        <v>3.9758829715988169</v>
      </c>
      <c r="AC46" s="35">
        <f>AC6+AC19-AC44</f>
        <v>4.7249934961726803</v>
      </c>
      <c r="AD46" s="35">
        <f>AD6+AD19-AD44</f>
        <v>5.5107622471849131</v>
      </c>
      <c r="AE46" s="35">
        <f>AE6+AE19-AE44</f>
        <v>5.9834709877587766</v>
      </c>
      <c r="AF46" s="35">
        <f>AF6+AF19-AF44</f>
        <v>6.7325815123326391</v>
      </c>
      <c r="AG46" s="35">
        <f>AG6+AG19-AG44</f>
        <v>7.5183502633448738</v>
      </c>
      <c r="AH46" s="35">
        <f>AH6+AH19-AH44</f>
        <v>7.9910590039187372</v>
      </c>
      <c r="AI46" s="35">
        <f>AI6+AI19-AI44</f>
        <v>8.7768277549309701</v>
      </c>
      <c r="AJ46" s="35">
        <f>AJ6+AJ19-AJ44</f>
        <v>9.5259382795048335</v>
      </c>
      <c r="AK46" s="35">
        <f>AK6+AK19-AK44</f>
        <v>9.9433666632786952</v>
      </c>
      <c r="AL46" s="35">
        <f>AL6+AL19-AL44</f>
        <v>10.802451867167672</v>
      </c>
      <c r="AM46" s="35">
        <f>AM6+AM19-AM44</f>
        <v>11.551562391741534</v>
      </c>
      <c r="AN46" s="35">
        <f>AN6+AN19-AN44</f>
        <v>12.005649001953767</v>
      </c>
      <c r="AO46" s="35">
        <f>AO6+AO19-AO44</f>
        <v>12.75475952652763</v>
      </c>
      <c r="AP46" s="35">
        <f>AP6+AP19-AP44</f>
        <v>13.540528277539867</v>
      </c>
      <c r="AQ46" s="35">
        <f>AQ6+AQ19-AQ44</f>
        <v>13.969956661313729</v>
      </c>
      <c r="AR46" s="35">
        <f>AR6+AR19-AR44</f>
        <v>14.731067185887589</v>
      </c>
      <c r="AS46" s="35">
        <f>AS6+AS19-AS44</f>
        <v>15.528835936899824</v>
      </c>
      <c r="AT46" s="35">
        <f>AT6+AT19-AT44</f>
        <v>15.958264320673688</v>
      </c>
      <c r="AU46" s="35">
        <f>AU6+AU19-AU44</f>
        <v>16.756033071685923</v>
      </c>
      <c r="AV46" s="35">
        <f>AV6+AV19-AV44</f>
        <v>17.517143596259785</v>
      </c>
      <c r="AW46" s="35">
        <f>AW6+AW19-AW44</f>
        <v>17.946571980033649</v>
      </c>
      <c r="AX46" s="35">
        <f>AX6+AX19-AX44</f>
        <v>18.817657183922627</v>
      </c>
      <c r="AY46" s="35">
        <f>AY6+AY19-AY44</f>
        <v>19.578767708496489</v>
      </c>
      <c r="AZ46" s="35">
        <f>AZ6+AZ19-AZ44</f>
        <v>20.044854318708722</v>
      </c>
      <c r="BA46" s="35">
        <f>BA6+BA19-BA44</f>
        <v>20.805964843282585</v>
      </c>
      <c r="BB46" s="35">
        <f>BB6+BB19-BB44</f>
        <v>21.60373359429482</v>
      </c>
      <c r="BC46" s="35">
        <f>BC6+BC19-BC44</f>
        <v>22.033161978068684</v>
      </c>
      <c r="BD46" s="35">
        <f>BD6+BD19-BD44</f>
        <v>22.794272502642546</v>
      </c>
      <c r="BE46" s="35">
        <f>BE6+BE19-BE44</f>
        <v>23.592041253654781</v>
      </c>
      <c r="BF46" s="35">
        <f>BF6+BF19-BF44</f>
        <v>24.021469637428645</v>
      </c>
      <c r="BG46" s="35">
        <f>BG6+BG19-BG44</f>
        <v>24.81923838844088</v>
      </c>
      <c r="BH46" s="35">
        <f>BH6+BH19-BH44</f>
        <v>25.845677510673493</v>
      </c>
      <c r="BI46" s="35">
        <f>BI6+BI19-BI44</f>
        <v>26.540434492106108</v>
      </c>
      <c r="BJ46" s="35">
        <f>BJ6+BJ19-BJ44</f>
        <v>27.640190067215464</v>
      </c>
      <c r="BK46" s="35">
        <f>BK6+BK19-BK44</f>
        <v>28.666629189448077</v>
      </c>
      <c r="BN46" s="35">
        <f>BN6+BN19-BN44</f>
        <v>28.666629189448173</v>
      </c>
      <c r="BO46"/>
    </row>
    <row r="47" spans="1:77" s="13" customFormat="1" x14ac:dyDescent="0.35">
      <c r="A47" s="50"/>
      <c r="B47" s="51"/>
      <c r="C47" s="52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N47" s="53"/>
      <c r="BO47"/>
    </row>
    <row r="48" spans="1:77" x14ac:dyDescent="0.35">
      <c r="A48" s="54"/>
      <c r="B48" s="55"/>
      <c r="C48" s="5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3"/>
      <c r="BM48" s="13"/>
      <c r="BN48" s="15"/>
      <c r="BP48" s="55"/>
      <c r="BQ48" s="13"/>
    </row>
    <row r="49" spans="1:69" x14ac:dyDescent="0.35">
      <c r="A49" s="54"/>
      <c r="B49" s="15"/>
      <c r="C49" s="5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3"/>
      <c r="BM49" s="13"/>
      <c r="BN49" s="15"/>
      <c r="BP49" s="13"/>
      <c r="BQ49" s="13"/>
    </row>
    <row r="50" spans="1:69" x14ac:dyDescent="0.35">
      <c r="A50" s="50" t="s">
        <v>45</v>
      </c>
      <c r="B50" s="56"/>
      <c r="C50" s="57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N50" s="56"/>
    </row>
    <row r="51" spans="1:69" x14ac:dyDescent="0.35">
      <c r="A51" s="56" t="s">
        <v>46</v>
      </c>
      <c r="B51" s="58">
        <v>44902</v>
      </c>
      <c r="C51" s="57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N51" s="56"/>
    </row>
    <row r="52" spans="1:69" x14ac:dyDescent="0.35">
      <c r="A52" s="56" t="s">
        <v>47</v>
      </c>
      <c r="B52" s="59">
        <v>0.14000000000000001</v>
      </c>
      <c r="C52" s="57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N52" s="56"/>
    </row>
    <row r="53" spans="1:69" x14ac:dyDescent="0.35">
      <c r="A53" s="56" t="s">
        <v>48</v>
      </c>
      <c r="B53" s="59">
        <v>0.14499999999999999</v>
      </c>
      <c r="C53" s="57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N53" s="56"/>
    </row>
    <row r="54" spans="1:69" x14ac:dyDescent="0.35">
      <c r="A54" s="56" t="s">
        <v>49</v>
      </c>
      <c r="B54" s="60">
        <v>0</v>
      </c>
      <c r="C54" s="57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N54" s="61"/>
    </row>
    <row r="55" spans="1:69" ht="15" thickBot="1" x14ac:dyDescent="0.4">
      <c r="A55" s="56"/>
      <c r="B55" s="56" t="s">
        <v>21</v>
      </c>
      <c r="C55" s="57" t="s">
        <v>50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N55" s="56"/>
    </row>
    <row r="56" spans="1:69" x14ac:dyDescent="0.35">
      <c r="A56" s="62" t="s">
        <v>9</v>
      </c>
      <c r="B56" s="63"/>
      <c r="C56" s="64">
        <v>0</v>
      </c>
      <c r="D56" s="65">
        <f>C61</f>
        <v>232.392841</v>
      </c>
      <c r="E56" s="65">
        <f>D61</f>
        <v>232.392841</v>
      </c>
      <c r="F56" s="65">
        <f t="shared" ref="F56:BK56" si="20">E61</f>
        <v>238.392841</v>
      </c>
      <c r="G56" s="65">
        <f t="shared" si="20"/>
        <v>244.392841</v>
      </c>
      <c r="H56" s="65">
        <f t="shared" si="20"/>
        <v>0</v>
      </c>
      <c r="I56" s="65">
        <f t="shared" si="20"/>
        <v>0</v>
      </c>
      <c r="J56" s="65">
        <f t="shared" si="20"/>
        <v>0</v>
      </c>
      <c r="K56" s="65">
        <f t="shared" si="20"/>
        <v>0</v>
      </c>
      <c r="L56" s="65">
        <f t="shared" si="20"/>
        <v>0</v>
      </c>
      <c r="M56" s="65">
        <f t="shared" si="20"/>
        <v>0</v>
      </c>
      <c r="N56" s="65">
        <f t="shared" si="20"/>
        <v>0</v>
      </c>
      <c r="O56" s="65">
        <f t="shared" si="20"/>
        <v>0</v>
      </c>
      <c r="P56" s="65">
        <f t="shared" si="20"/>
        <v>0</v>
      </c>
      <c r="Q56" s="65">
        <f t="shared" si="20"/>
        <v>0</v>
      </c>
      <c r="R56" s="65">
        <f t="shared" si="20"/>
        <v>0</v>
      </c>
      <c r="S56" s="65">
        <f t="shared" si="20"/>
        <v>0</v>
      </c>
      <c r="T56" s="65">
        <f t="shared" si="20"/>
        <v>0</v>
      </c>
      <c r="U56" s="65">
        <f t="shared" si="20"/>
        <v>0</v>
      </c>
      <c r="V56" s="65">
        <f t="shared" si="20"/>
        <v>0</v>
      </c>
      <c r="W56" s="65">
        <f t="shared" si="20"/>
        <v>0</v>
      </c>
      <c r="X56" s="65">
        <f t="shared" si="20"/>
        <v>0</v>
      </c>
      <c r="Y56" s="65">
        <f t="shared" si="20"/>
        <v>0</v>
      </c>
      <c r="Z56" s="65">
        <f t="shared" si="20"/>
        <v>0</v>
      </c>
      <c r="AA56" s="65">
        <f t="shared" si="20"/>
        <v>0</v>
      </c>
      <c r="AB56" s="65">
        <f t="shared" si="20"/>
        <v>0</v>
      </c>
      <c r="AC56" s="65">
        <f t="shared" si="20"/>
        <v>0</v>
      </c>
      <c r="AD56" s="65">
        <f t="shared" si="20"/>
        <v>0</v>
      </c>
      <c r="AE56" s="65">
        <f t="shared" si="20"/>
        <v>0</v>
      </c>
      <c r="AF56" s="65">
        <f t="shared" si="20"/>
        <v>0</v>
      </c>
      <c r="AG56" s="65">
        <f t="shared" si="20"/>
        <v>0</v>
      </c>
      <c r="AH56" s="65">
        <f t="shared" si="20"/>
        <v>0</v>
      </c>
      <c r="AI56" s="65">
        <f t="shared" si="20"/>
        <v>0</v>
      </c>
      <c r="AJ56" s="65">
        <f t="shared" si="20"/>
        <v>0</v>
      </c>
      <c r="AK56" s="65">
        <f t="shared" si="20"/>
        <v>0</v>
      </c>
      <c r="AL56" s="65">
        <f t="shared" si="20"/>
        <v>0</v>
      </c>
      <c r="AM56" s="65">
        <f t="shared" si="20"/>
        <v>0</v>
      </c>
      <c r="AN56" s="65">
        <f t="shared" si="20"/>
        <v>0</v>
      </c>
      <c r="AO56" s="65">
        <f t="shared" si="20"/>
        <v>0</v>
      </c>
      <c r="AP56" s="65">
        <f t="shared" si="20"/>
        <v>0</v>
      </c>
      <c r="AQ56" s="65">
        <f t="shared" si="20"/>
        <v>0</v>
      </c>
      <c r="AR56" s="65">
        <f t="shared" si="20"/>
        <v>0</v>
      </c>
      <c r="AS56" s="65">
        <f t="shared" si="20"/>
        <v>0</v>
      </c>
      <c r="AT56" s="65">
        <f t="shared" si="20"/>
        <v>0</v>
      </c>
      <c r="AU56" s="65">
        <f t="shared" si="20"/>
        <v>0</v>
      </c>
      <c r="AV56" s="65">
        <f t="shared" si="20"/>
        <v>0</v>
      </c>
      <c r="AW56" s="65">
        <f t="shared" si="20"/>
        <v>0</v>
      </c>
      <c r="AX56" s="65">
        <f t="shared" si="20"/>
        <v>0</v>
      </c>
      <c r="AY56" s="65">
        <f t="shared" si="20"/>
        <v>0</v>
      </c>
      <c r="AZ56" s="65">
        <f t="shared" si="20"/>
        <v>0</v>
      </c>
      <c r="BA56" s="65">
        <f t="shared" si="20"/>
        <v>0</v>
      </c>
      <c r="BB56" s="65">
        <f t="shared" si="20"/>
        <v>0</v>
      </c>
      <c r="BC56" s="65">
        <f t="shared" si="20"/>
        <v>0</v>
      </c>
      <c r="BD56" s="65">
        <f t="shared" si="20"/>
        <v>0</v>
      </c>
      <c r="BE56" s="65">
        <f t="shared" si="20"/>
        <v>0</v>
      </c>
      <c r="BF56" s="65">
        <f t="shared" si="20"/>
        <v>0</v>
      </c>
      <c r="BG56" s="65">
        <f t="shared" si="20"/>
        <v>0</v>
      </c>
      <c r="BH56" s="65">
        <f t="shared" si="20"/>
        <v>0</v>
      </c>
      <c r="BI56" s="65">
        <f t="shared" si="20"/>
        <v>0</v>
      </c>
      <c r="BJ56" s="65">
        <f t="shared" si="20"/>
        <v>0</v>
      </c>
      <c r="BK56" s="65">
        <f t="shared" si="20"/>
        <v>0</v>
      </c>
      <c r="BN56" s="65"/>
    </row>
    <row r="57" spans="1:69" x14ac:dyDescent="0.35">
      <c r="A57" s="38" t="s">
        <v>51</v>
      </c>
      <c r="B57" s="10">
        <f>SUM(C57:BK57)</f>
        <v>244.392841</v>
      </c>
      <c r="C57" s="66">
        <f t="shared" ref="C57:BK57" si="21">C11</f>
        <v>232.392841</v>
      </c>
      <c r="D57" s="67">
        <f t="shared" si="21"/>
        <v>0</v>
      </c>
      <c r="E57" s="67">
        <f t="shared" si="21"/>
        <v>6</v>
      </c>
      <c r="F57" s="67">
        <f t="shared" si="21"/>
        <v>6</v>
      </c>
      <c r="G57" s="67">
        <f t="shared" si="21"/>
        <v>0</v>
      </c>
      <c r="H57" s="67">
        <f t="shared" si="21"/>
        <v>0</v>
      </c>
      <c r="I57" s="67">
        <f t="shared" si="21"/>
        <v>0</v>
      </c>
      <c r="J57" s="67">
        <f t="shared" si="21"/>
        <v>0</v>
      </c>
      <c r="K57" s="67">
        <f t="shared" si="21"/>
        <v>0</v>
      </c>
      <c r="L57" s="67">
        <f t="shared" si="21"/>
        <v>0</v>
      </c>
      <c r="M57" s="67">
        <f t="shared" si="21"/>
        <v>0</v>
      </c>
      <c r="N57" s="67">
        <f t="shared" si="21"/>
        <v>0</v>
      </c>
      <c r="O57" s="67">
        <f t="shared" si="21"/>
        <v>0</v>
      </c>
      <c r="P57" s="67">
        <f t="shared" si="21"/>
        <v>0</v>
      </c>
      <c r="Q57" s="67">
        <f t="shared" si="21"/>
        <v>0</v>
      </c>
      <c r="R57" s="67">
        <f t="shared" si="21"/>
        <v>0</v>
      </c>
      <c r="S57" s="67">
        <f t="shared" si="21"/>
        <v>0</v>
      </c>
      <c r="T57" s="67">
        <f t="shared" si="21"/>
        <v>0</v>
      </c>
      <c r="U57" s="67">
        <f t="shared" si="21"/>
        <v>0</v>
      </c>
      <c r="V57" s="67">
        <f t="shared" si="21"/>
        <v>0</v>
      </c>
      <c r="W57" s="67">
        <f t="shared" si="21"/>
        <v>0</v>
      </c>
      <c r="X57" s="67">
        <f t="shared" si="21"/>
        <v>0</v>
      </c>
      <c r="Y57" s="67">
        <f t="shared" si="21"/>
        <v>0</v>
      </c>
      <c r="Z57" s="67">
        <f t="shared" si="21"/>
        <v>0</v>
      </c>
      <c r="AA57" s="67">
        <f t="shared" si="21"/>
        <v>0</v>
      </c>
      <c r="AB57" s="67">
        <f t="shared" si="21"/>
        <v>0</v>
      </c>
      <c r="AC57" s="67">
        <f t="shared" si="21"/>
        <v>0</v>
      </c>
      <c r="AD57" s="67">
        <f t="shared" si="21"/>
        <v>0</v>
      </c>
      <c r="AE57" s="67">
        <f t="shared" si="21"/>
        <v>0</v>
      </c>
      <c r="AF57" s="67">
        <f t="shared" si="21"/>
        <v>0</v>
      </c>
      <c r="AG57" s="67">
        <f t="shared" si="21"/>
        <v>0</v>
      </c>
      <c r="AH57" s="67">
        <f t="shared" si="21"/>
        <v>0</v>
      </c>
      <c r="AI57" s="67">
        <f t="shared" si="21"/>
        <v>0</v>
      </c>
      <c r="AJ57" s="67">
        <f t="shared" si="21"/>
        <v>0</v>
      </c>
      <c r="AK57" s="67">
        <f t="shared" si="21"/>
        <v>0</v>
      </c>
      <c r="AL57" s="67">
        <f t="shared" si="21"/>
        <v>0</v>
      </c>
      <c r="AM57" s="67">
        <f t="shared" si="21"/>
        <v>0</v>
      </c>
      <c r="AN57" s="67">
        <f t="shared" si="21"/>
        <v>0</v>
      </c>
      <c r="AO57" s="67">
        <f t="shared" si="21"/>
        <v>0</v>
      </c>
      <c r="AP57" s="67">
        <f t="shared" si="21"/>
        <v>0</v>
      </c>
      <c r="AQ57" s="67">
        <f t="shared" si="21"/>
        <v>0</v>
      </c>
      <c r="AR57" s="67">
        <f t="shared" si="21"/>
        <v>0</v>
      </c>
      <c r="AS57" s="67">
        <f t="shared" si="21"/>
        <v>0</v>
      </c>
      <c r="AT57" s="67">
        <f t="shared" si="21"/>
        <v>0</v>
      </c>
      <c r="AU57" s="67">
        <f t="shared" si="21"/>
        <v>0</v>
      </c>
      <c r="AV57" s="67">
        <f t="shared" si="21"/>
        <v>0</v>
      </c>
      <c r="AW57" s="67">
        <f t="shared" si="21"/>
        <v>0</v>
      </c>
      <c r="AX57" s="67">
        <f t="shared" si="21"/>
        <v>0</v>
      </c>
      <c r="AY57" s="67">
        <f t="shared" si="21"/>
        <v>0</v>
      </c>
      <c r="AZ57" s="67">
        <f t="shared" si="21"/>
        <v>0</v>
      </c>
      <c r="BA57" s="67">
        <f t="shared" si="21"/>
        <v>0</v>
      </c>
      <c r="BB57" s="67">
        <f t="shared" si="21"/>
        <v>0</v>
      </c>
      <c r="BC57" s="67">
        <f t="shared" si="21"/>
        <v>0</v>
      </c>
      <c r="BD57" s="67">
        <f t="shared" si="21"/>
        <v>0</v>
      </c>
      <c r="BE57" s="67">
        <f t="shared" si="21"/>
        <v>0</v>
      </c>
      <c r="BF57" s="67">
        <f t="shared" si="21"/>
        <v>0</v>
      </c>
      <c r="BG57" s="67">
        <f t="shared" si="21"/>
        <v>0</v>
      </c>
      <c r="BH57" s="67">
        <f t="shared" si="21"/>
        <v>0</v>
      </c>
      <c r="BI57" s="67">
        <f t="shared" si="21"/>
        <v>0</v>
      </c>
      <c r="BJ57" s="67">
        <f t="shared" si="21"/>
        <v>0</v>
      </c>
      <c r="BK57" s="67">
        <f t="shared" si="21"/>
        <v>0</v>
      </c>
      <c r="BN57" s="67">
        <f t="shared" ref="BN57:BN60" si="22">SUM(P57:BK57)</f>
        <v>0</v>
      </c>
    </row>
    <row r="58" spans="1:69" x14ac:dyDescent="0.35">
      <c r="A58" s="38" t="s">
        <v>52</v>
      </c>
      <c r="B58" s="10">
        <f>SUM(C58:BK58)</f>
        <v>19.165919050561641</v>
      </c>
      <c r="C58" s="66">
        <f>C33</f>
        <v>10.694602099999999</v>
      </c>
      <c r="D58" s="67"/>
      <c r="E58" s="67">
        <f t="shared" ref="E58" si="23">(E56+E57)*$B$52*(E79-E78)/365</f>
        <v>2.7431504991780824</v>
      </c>
      <c r="F58" s="67">
        <f>(F56+F57)*$B$53*(F79-F78)/365</f>
        <v>2.8155394422054796</v>
      </c>
      <c r="G58" s="67">
        <f t="shared" ref="G58:BK58" si="24">(G56+G57)*$B$53*(G79-G78)/365</f>
        <v>2.9126270091780824</v>
      </c>
      <c r="H58" s="67">
        <f t="shared" si="24"/>
        <v>0</v>
      </c>
      <c r="I58" s="67">
        <f t="shared" si="24"/>
        <v>0</v>
      </c>
      <c r="J58" s="67">
        <f t="shared" si="24"/>
        <v>0</v>
      </c>
      <c r="K58" s="67">
        <f t="shared" si="24"/>
        <v>0</v>
      </c>
      <c r="L58" s="67">
        <f t="shared" si="24"/>
        <v>0</v>
      </c>
      <c r="M58" s="67">
        <f t="shared" si="24"/>
        <v>0</v>
      </c>
      <c r="N58" s="67">
        <f t="shared" si="24"/>
        <v>0</v>
      </c>
      <c r="O58" s="67">
        <f t="shared" si="24"/>
        <v>0</v>
      </c>
      <c r="P58" s="67">
        <f t="shared" si="24"/>
        <v>0</v>
      </c>
      <c r="Q58" s="67">
        <f t="shared" si="24"/>
        <v>0</v>
      </c>
      <c r="R58" s="67">
        <f t="shared" si="24"/>
        <v>0</v>
      </c>
      <c r="S58" s="67">
        <f t="shared" si="24"/>
        <v>0</v>
      </c>
      <c r="T58" s="67">
        <f t="shared" si="24"/>
        <v>0</v>
      </c>
      <c r="U58" s="67">
        <f t="shared" si="24"/>
        <v>0</v>
      </c>
      <c r="V58" s="67">
        <f t="shared" si="24"/>
        <v>0</v>
      </c>
      <c r="W58" s="67">
        <f t="shared" si="24"/>
        <v>0</v>
      </c>
      <c r="X58" s="67">
        <f t="shared" si="24"/>
        <v>0</v>
      </c>
      <c r="Y58" s="67">
        <f t="shared" si="24"/>
        <v>0</v>
      </c>
      <c r="Z58" s="67">
        <f t="shared" si="24"/>
        <v>0</v>
      </c>
      <c r="AA58" s="67">
        <f t="shared" si="24"/>
        <v>0</v>
      </c>
      <c r="AB58" s="67">
        <f t="shared" si="24"/>
        <v>0</v>
      </c>
      <c r="AC58" s="67">
        <f t="shared" si="24"/>
        <v>0</v>
      </c>
      <c r="AD58" s="67">
        <f t="shared" si="24"/>
        <v>0</v>
      </c>
      <c r="AE58" s="67">
        <f t="shared" si="24"/>
        <v>0</v>
      </c>
      <c r="AF58" s="67">
        <f t="shared" si="24"/>
        <v>0</v>
      </c>
      <c r="AG58" s="67">
        <f t="shared" si="24"/>
        <v>0</v>
      </c>
      <c r="AH58" s="67">
        <f t="shared" si="24"/>
        <v>0</v>
      </c>
      <c r="AI58" s="67">
        <f t="shared" si="24"/>
        <v>0</v>
      </c>
      <c r="AJ58" s="67">
        <f t="shared" si="24"/>
        <v>0</v>
      </c>
      <c r="AK58" s="67">
        <f t="shared" si="24"/>
        <v>0</v>
      </c>
      <c r="AL58" s="67">
        <f t="shared" si="24"/>
        <v>0</v>
      </c>
      <c r="AM58" s="67">
        <f t="shared" si="24"/>
        <v>0</v>
      </c>
      <c r="AN58" s="67">
        <f t="shared" si="24"/>
        <v>0</v>
      </c>
      <c r="AO58" s="67">
        <f t="shared" si="24"/>
        <v>0</v>
      </c>
      <c r="AP58" s="67">
        <f t="shared" si="24"/>
        <v>0</v>
      </c>
      <c r="AQ58" s="67">
        <f t="shared" si="24"/>
        <v>0</v>
      </c>
      <c r="AR58" s="67">
        <f t="shared" si="24"/>
        <v>0</v>
      </c>
      <c r="AS58" s="67">
        <f t="shared" si="24"/>
        <v>0</v>
      </c>
      <c r="AT58" s="67">
        <f t="shared" si="24"/>
        <v>0</v>
      </c>
      <c r="AU58" s="67">
        <f t="shared" si="24"/>
        <v>0</v>
      </c>
      <c r="AV58" s="67">
        <f t="shared" si="24"/>
        <v>0</v>
      </c>
      <c r="AW58" s="67">
        <f t="shared" si="24"/>
        <v>0</v>
      </c>
      <c r="AX58" s="67">
        <f t="shared" si="24"/>
        <v>0</v>
      </c>
      <c r="AY58" s="67">
        <f t="shared" si="24"/>
        <v>0</v>
      </c>
      <c r="AZ58" s="67">
        <f t="shared" si="24"/>
        <v>0</v>
      </c>
      <c r="BA58" s="67">
        <f t="shared" si="24"/>
        <v>0</v>
      </c>
      <c r="BB58" s="67">
        <f t="shared" si="24"/>
        <v>0</v>
      </c>
      <c r="BC58" s="67">
        <f t="shared" si="24"/>
        <v>0</v>
      </c>
      <c r="BD58" s="67">
        <f t="shared" si="24"/>
        <v>0</v>
      </c>
      <c r="BE58" s="67">
        <f t="shared" si="24"/>
        <v>0</v>
      </c>
      <c r="BF58" s="67">
        <f t="shared" si="24"/>
        <v>0</v>
      </c>
      <c r="BG58" s="67">
        <f t="shared" si="24"/>
        <v>0</v>
      </c>
      <c r="BH58" s="67">
        <f t="shared" si="24"/>
        <v>0</v>
      </c>
      <c r="BI58" s="67">
        <f t="shared" si="24"/>
        <v>0</v>
      </c>
      <c r="BJ58" s="67">
        <f t="shared" si="24"/>
        <v>0</v>
      </c>
      <c r="BK58" s="67">
        <f t="shared" si="24"/>
        <v>0</v>
      </c>
      <c r="BN58" s="67">
        <f t="shared" si="22"/>
        <v>0</v>
      </c>
    </row>
    <row r="59" spans="1:69" x14ac:dyDescent="0.35">
      <c r="A59" s="38" t="s">
        <v>53</v>
      </c>
      <c r="B59" s="10">
        <f>SUM(C59:BK59)</f>
        <v>2.6459999999999999</v>
      </c>
      <c r="C59" s="66">
        <f>C34</f>
        <v>2.6459999999999999</v>
      </c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N59" s="67">
        <f t="shared" si="22"/>
        <v>0</v>
      </c>
    </row>
    <row r="60" spans="1:69" x14ac:dyDescent="0.35">
      <c r="A60" s="38" t="s">
        <v>54</v>
      </c>
      <c r="B60" s="10">
        <f>SUM(C60:BK60)</f>
        <v>244.392841</v>
      </c>
      <c r="C60" s="66">
        <v>0</v>
      </c>
      <c r="D60" s="68">
        <f t="shared" ref="D60:L60" si="25">(D79=$B$76)*(D56)</f>
        <v>0</v>
      </c>
      <c r="E60" s="68">
        <f t="shared" si="25"/>
        <v>0</v>
      </c>
      <c r="F60" s="68">
        <f t="shared" si="25"/>
        <v>0</v>
      </c>
      <c r="G60" s="68">
        <f t="shared" si="25"/>
        <v>244.392841</v>
      </c>
      <c r="H60" s="68">
        <f t="shared" si="25"/>
        <v>0</v>
      </c>
      <c r="I60" s="68">
        <f t="shared" si="25"/>
        <v>0</v>
      </c>
      <c r="J60" s="68">
        <f t="shared" si="25"/>
        <v>0</v>
      </c>
      <c r="K60" s="68">
        <f t="shared" si="25"/>
        <v>0</v>
      </c>
      <c r="L60" s="68">
        <f t="shared" si="25"/>
        <v>0</v>
      </c>
      <c r="M60" s="68">
        <f>(M79=$B$76)*(M56)</f>
        <v>0</v>
      </c>
      <c r="N60" s="68">
        <f>(N79=$B$76)*(N56)</f>
        <v>0</v>
      </c>
      <c r="O60" s="68">
        <f>O56</f>
        <v>0</v>
      </c>
      <c r="P60" s="68">
        <f t="shared" ref="P60:BK60" si="26">(P79=$B$76)*(P56)</f>
        <v>0</v>
      </c>
      <c r="Q60" s="68">
        <f t="shared" si="26"/>
        <v>0</v>
      </c>
      <c r="R60" s="68">
        <f t="shared" si="26"/>
        <v>0</v>
      </c>
      <c r="S60" s="68">
        <f t="shared" si="26"/>
        <v>0</v>
      </c>
      <c r="T60" s="68">
        <f t="shared" si="26"/>
        <v>0</v>
      </c>
      <c r="U60" s="68">
        <f t="shared" si="26"/>
        <v>0</v>
      </c>
      <c r="V60" s="68">
        <f t="shared" si="26"/>
        <v>0</v>
      </c>
      <c r="W60" s="68">
        <f t="shared" si="26"/>
        <v>0</v>
      </c>
      <c r="X60" s="68">
        <f t="shared" si="26"/>
        <v>0</v>
      </c>
      <c r="Y60" s="68">
        <f t="shared" si="26"/>
        <v>0</v>
      </c>
      <c r="Z60" s="68">
        <f t="shared" si="26"/>
        <v>0</v>
      </c>
      <c r="AA60" s="68">
        <f t="shared" si="26"/>
        <v>0</v>
      </c>
      <c r="AB60" s="68">
        <f t="shared" si="26"/>
        <v>0</v>
      </c>
      <c r="AC60" s="68">
        <f t="shared" si="26"/>
        <v>0</v>
      </c>
      <c r="AD60" s="68">
        <f t="shared" si="26"/>
        <v>0</v>
      </c>
      <c r="AE60" s="68">
        <f t="shared" si="26"/>
        <v>0</v>
      </c>
      <c r="AF60" s="68">
        <f t="shared" si="26"/>
        <v>0</v>
      </c>
      <c r="AG60" s="68">
        <f t="shared" si="26"/>
        <v>0</v>
      </c>
      <c r="AH60" s="68">
        <f t="shared" si="26"/>
        <v>0</v>
      </c>
      <c r="AI60" s="68">
        <f t="shared" si="26"/>
        <v>0</v>
      </c>
      <c r="AJ60" s="68">
        <f t="shared" si="26"/>
        <v>0</v>
      </c>
      <c r="AK60" s="68">
        <f t="shared" si="26"/>
        <v>0</v>
      </c>
      <c r="AL60" s="68">
        <f t="shared" si="26"/>
        <v>0</v>
      </c>
      <c r="AM60" s="68">
        <f t="shared" si="26"/>
        <v>0</v>
      </c>
      <c r="AN60" s="68">
        <f t="shared" si="26"/>
        <v>0</v>
      </c>
      <c r="AO60" s="68">
        <f t="shared" si="26"/>
        <v>0</v>
      </c>
      <c r="AP60" s="68">
        <f t="shared" si="26"/>
        <v>0</v>
      </c>
      <c r="AQ60" s="68">
        <f t="shared" si="26"/>
        <v>0</v>
      </c>
      <c r="AR60" s="68">
        <f t="shared" si="26"/>
        <v>0</v>
      </c>
      <c r="AS60" s="68">
        <f t="shared" si="26"/>
        <v>0</v>
      </c>
      <c r="AT60" s="68">
        <f t="shared" si="26"/>
        <v>0</v>
      </c>
      <c r="AU60" s="68">
        <f t="shared" si="26"/>
        <v>0</v>
      </c>
      <c r="AV60" s="68">
        <f t="shared" si="26"/>
        <v>0</v>
      </c>
      <c r="AW60" s="68">
        <f t="shared" si="26"/>
        <v>0</v>
      </c>
      <c r="AX60" s="68">
        <f t="shared" si="26"/>
        <v>0</v>
      </c>
      <c r="AY60" s="68">
        <f t="shared" si="26"/>
        <v>0</v>
      </c>
      <c r="AZ60" s="68">
        <f t="shared" si="26"/>
        <v>0</v>
      </c>
      <c r="BA60" s="68">
        <f t="shared" si="26"/>
        <v>0</v>
      </c>
      <c r="BB60" s="68">
        <f t="shared" si="26"/>
        <v>0</v>
      </c>
      <c r="BC60" s="68">
        <f t="shared" si="26"/>
        <v>0</v>
      </c>
      <c r="BD60" s="68">
        <f t="shared" si="26"/>
        <v>0</v>
      </c>
      <c r="BE60" s="68">
        <f t="shared" si="26"/>
        <v>0</v>
      </c>
      <c r="BF60" s="68">
        <f t="shared" si="26"/>
        <v>0</v>
      </c>
      <c r="BG60" s="68">
        <f t="shared" si="26"/>
        <v>0</v>
      </c>
      <c r="BH60" s="68">
        <f t="shared" si="26"/>
        <v>0</v>
      </c>
      <c r="BI60" s="68">
        <f t="shared" si="26"/>
        <v>0</v>
      </c>
      <c r="BJ60" s="68">
        <f t="shared" si="26"/>
        <v>0</v>
      </c>
      <c r="BK60" s="68">
        <f t="shared" si="26"/>
        <v>0</v>
      </c>
      <c r="BN60" s="68">
        <f t="shared" si="22"/>
        <v>0</v>
      </c>
    </row>
    <row r="61" spans="1:69" ht="15" thickBot="1" x14ac:dyDescent="0.4">
      <c r="A61" s="69" t="s">
        <v>44</v>
      </c>
      <c r="B61" s="70"/>
      <c r="C61" s="71">
        <f>C56+C57-C60</f>
        <v>232.392841</v>
      </c>
      <c r="D61" s="72">
        <f t="shared" ref="D61:BK61" si="27">D56+D57-D60</f>
        <v>232.392841</v>
      </c>
      <c r="E61" s="72">
        <f t="shared" si="27"/>
        <v>238.392841</v>
      </c>
      <c r="F61" s="72">
        <f t="shared" si="27"/>
        <v>244.392841</v>
      </c>
      <c r="G61" s="72">
        <f t="shared" si="27"/>
        <v>0</v>
      </c>
      <c r="H61" s="72">
        <f t="shared" si="27"/>
        <v>0</v>
      </c>
      <c r="I61" s="72">
        <f t="shared" si="27"/>
        <v>0</v>
      </c>
      <c r="J61" s="72">
        <f t="shared" si="27"/>
        <v>0</v>
      </c>
      <c r="K61" s="72">
        <f t="shared" si="27"/>
        <v>0</v>
      </c>
      <c r="L61" s="72">
        <f t="shared" si="27"/>
        <v>0</v>
      </c>
      <c r="M61" s="72">
        <f t="shared" si="27"/>
        <v>0</v>
      </c>
      <c r="N61" s="72">
        <f t="shared" si="27"/>
        <v>0</v>
      </c>
      <c r="O61" s="72">
        <f t="shared" si="27"/>
        <v>0</v>
      </c>
      <c r="P61" s="72">
        <f t="shared" si="27"/>
        <v>0</v>
      </c>
      <c r="Q61" s="72">
        <f t="shared" si="27"/>
        <v>0</v>
      </c>
      <c r="R61" s="72">
        <f t="shared" si="27"/>
        <v>0</v>
      </c>
      <c r="S61" s="72">
        <f t="shared" si="27"/>
        <v>0</v>
      </c>
      <c r="T61" s="72">
        <f t="shared" si="27"/>
        <v>0</v>
      </c>
      <c r="U61" s="72">
        <f t="shared" si="27"/>
        <v>0</v>
      </c>
      <c r="V61" s="72">
        <f t="shared" si="27"/>
        <v>0</v>
      </c>
      <c r="W61" s="72">
        <f t="shared" si="27"/>
        <v>0</v>
      </c>
      <c r="X61" s="72">
        <f t="shared" si="27"/>
        <v>0</v>
      </c>
      <c r="Y61" s="72">
        <f t="shared" si="27"/>
        <v>0</v>
      </c>
      <c r="Z61" s="72">
        <f t="shared" si="27"/>
        <v>0</v>
      </c>
      <c r="AA61" s="72">
        <f t="shared" si="27"/>
        <v>0</v>
      </c>
      <c r="AB61" s="72">
        <f t="shared" si="27"/>
        <v>0</v>
      </c>
      <c r="AC61" s="72">
        <f t="shared" si="27"/>
        <v>0</v>
      </c>
      <c r="AD61" s="72">
        <f t="shared" si="27"/>
        <v>0</v>
      </c>
      <c r="AE61" s="72">
        <f t="shared" si="27"/>
        <v>0</v>
      </c>
      <c r="AF61" s="72">
        <f t="shared" si="27"/>
        <v>0</v>
      </c>
      <c r="AG61" s="72">
        <f t="shared" si="27"/>
        <v>0</v>
      </c>
      <c r="AH61" s="72">
        <f t="shared" si="27"/>
        <v>0</v>
      </c>
      <c r="AI61" s="72">
        <f t="shared" si="27"/>
        <v>0</v>
      </c>
      <c r="AJ61" s="72">
        <f t="shared" si="27"/>
        <v>0</v>
      </c>
      <c r="AK61" s="72">
        <f t="shared" si="27"/>
        <v>0</v>
      </c>
      <c r="AL61" s="72">
        <f t="shared" si="27"/>
        <v>0</v>
      </c>
      <c r="AM61" s="72">
        <f t="shared" si="27"/>
        <v>0</v>
      </c>
      <c r="AN61" s="72">
        <f t="shared" si="27"/>
        <v>0</v>
      </c>
      <c r="AO61" s="72">
        <f t="shared" si="27"/>
        <v>0</v>
      </c>
      <c r="AP61" s="72">
        <f t="shared" si="27"/>
        <v>0</v>
      </c>
      <c r="AQ61" s="72">
        <f t="shared" si="27"/>
        <v>0</v>
      </c>
      <c r="AR61" s="72">
        <f t="shared" si="27"/>
        <v>0</v>
      </c>
      <c r="AS61" s="72">
        <f t="shared" si="27"/>
        <v>0</v>
      </c>
      <c r="AT61" s="72">
        <f t="shared" si="27"/>
        <v>0</v>
      </c>
      <c r="AU61" s="72">
        <f t="shared" si="27"/>
        <v>0</v>
      </c>
      <c r="AV61" s="72">
        <f t="shared" si="27"/>
        <v>0</v>
      </c>
      <c r="AW61" s="72">
        <f t="shared" si="27"/>
        <v>0</v>
      </c>
      <c r="AX61" s="72">
        <f t="shared" si="27"/>
        <v>0</v>
      </c>
      <c r="AY61" s="72">
        <f t="shared" si="27"/>
        <v>0</v>
      </c>
      <c r="AZ61" s="72">
        <f t="shared" si="27"/>
        <v>0</v>
      </c>
      <c r="BA61" s="72">
        <f t="shared" si="27"/>
        <v>0</v>
      </c>
      <c r="BB61" s="72">
        <f t="shared" si="27"/>
        <v>0</v>
      </c>
      <c r="BC61" s="72">
        <f t="shared" si="27"/>
        <v>0</v>
      </c>
      <c r="BD61" s="72">
        <f t="shared" si="27"/>
        <v>0</v>
      </c>
      <c r="BE61" s="72">
        <f t="shared" si="27"/>
        <v>0</v>
      </c>
      <c r="BF61" s="72">
        <f t="shared" si="27"/>
        <v>0</v>
      </c>
      <c r="BG61" s="72">
        <f t="shared" si="27"/>
        <v>0</v>
      </c>
      <c r="BH61" s="72">
        <f t="shared" si="27"/>
        <v>0</v>
      </c>
      <c r="BI61" s="72">
        <f t="shared" si="27"/>
        <v>0</v>
      </c>
      <c r="BJ61" s="72">
        <f t="shared" si="27"/>
        <v>0</v>
      </c>
      <c r="BK61" s="72">
        <f t="shared" si="27"/>
        <v>0</v>
      </c>
      <c r="BN61" s="72"/>
    </row>
    <row r="62" spans="1:69" x14ac:dyDescent="0.35">
      <c r="A62" s="56"/>
      <c r="B62" s="56"/>
      <c r="C62" s="57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N62" s="56"/>
    </row>
    <row r="63" spans="1:69" x14ac:dyDescent="0.35">
      <c r="A63" s="50" t="s">
        <v>55</v>
      </c>
      <c r="B63" s="56"/>
      <c r="C63" s="57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N63" s="56"/>
    </row>
    <row r="64" spans="1:69" x14ac:dyDescent="0.35">
      <c r="A64" s="56" t="s">
        <v>46</v>
      </c>
      <c r="B64" s="58">
        <v>44902</v>
      </c>
      <c r="C64" s="57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N64" s="56"/>
    </row>
    <row r="65" spans="1:66" x14ac:dyDescent="0.35">
      <c r="A65" s="56" t="s">
        <v>56</v>
      </c>
      <c r="B65" s="59">
        <v>0.12</v>
      </c>
      <c r="C65" s="57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N65" s="56"/>
    </row>
    <row r="66" spans="1:66" x14ac:dyDescent="0.35">
      <c r="A66" s="56" t="s">
        <v>49</v>
      </c>
      <c r="B66" s="60">
        <v>0</v>
      </c>
      <c r="C66" s="57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N66" s="61"/>
    </row>
    <row r="67" spans="1:66" ht="15" thickBot="1" x14ac:dyDescent="0.4">
      <c r="A67" s="56"/>
      <c r="B67" s="56" t="s">
        <v>21</v>
      </c>
      <c r="C67" s="57" t="s">
        <v>50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N67" s="56"/>
    </row>
    <row r="68" spans="1:66" x14ac:dyDescent="0.35">
      <c r="A68" s="62" t="s">
        <v>9</v>
      </c>
      <c r="B68" s="63"/>
      <c r="C68" s="64">
        <v>0</v>
      </c>
      <c r="D68" s="65">
        <f>C73</f>
        <v>0</v>
      </c>
      <c r="E68" s="65">
        <f>D73</f>
        <v>0</v>
      </c>
      <c r="F68" s="65">
        <f t="shared" ref="F68:BK68" si="28">E73</f>
        <v>0</v>
      </c>
      <c r="G68" s="65">
        <f t="shared" si="28"/>
        <v>0</v>
      </c>
      <c r="H68" s="65">
        <f t="shared" si="28"/>
        <v>15</v>
      </c>
      <c r="I68" s="65">
        <f t="shared" si="28"/>
        <v>30</v>
      </c>
      <c r="J68" s="65">
        <f t="shared" si="28"/>
        <v>30</v>
      </c>
      <c r="K68" s="65">
        <f t="shared" si="28"/>
        <v>30</v>
      </c>
      <c r="L68" s="65">
        <f t="shared" si="28"/>
        <v>30</v>
      </c>
      <c r="M68" s="65">
        <f t="shared" si="28"/>
        <v>30</v>
      </c>
      <c r="N68" s="65">
        <f t="shared" si="28"/>
        <v>30</v>
      </c>
      <c r="O68" s="65">
        <f t="shared" si="28"/>
        <v>29</v>
      </c>
      <c r="P68" s="65">
        <f t="shared" si="28"/>
        <v>28</v>
      </c>
      <c r="Q68" s="65">
        <f t="shared" si="28"/>
        <v>27</v>
      </c>
      <c r="R68" s="65">
        <f t="shared" si="28"/>
        <v>26</v>
      </c>
      <c r="S68" s="65">
        <f t="shared" si="28"/>
        <v>25</v>
      </c>
      <c r="T68" s="65">
        <f t="shared" si="28"/>
        <v>24</v>
      </c>
      <c r="U68" s="65">
        <f t="shared" si="28"/>
        <v>23</v>
      </c>
      <c r="V68" s="65">
        <f t="shared" si="28"/>
        <v>22</v>
      </c>
      <c r="W68" s="65">
        <f t="shared" si="28"/>
        <v>21</v>
      </c>
      <c r="X68" s="65">
        <f t="shared" si="28"/>
        <v>20</v>
      </c>
      <c r="Y68" s="65">
        <f t="shared" si="28"/>
        <v>0</v>
      </c>
      <c r="Z68" s="65">
        <f t="shared" si="28"/>
        <v>0</v>
      </c>
      <c r="AA68" s="65">
        <f t="shared" si="28"/>
        <v>0</v>
      </c>
      <c r="AB68" s="65">
        <f t="shared" si="28"/>
        <v>0</v>
      </c>
      <c r="AC68" s="65">
        <f t="shared" si="28"/>
        <v>0</v>
      </c>
      <c r="AD68" s="65">
        <f t="shared" si="28"/>
        <v>0</v>
      </c>
      <c r="AE68" s="65">
        <f t="shared" si="28"/>
        <v>0</v>
      </c>
      <c r="AF68" s="65">
        <f t="shared" si="28"/>
        <v>0</v>
      </c>
      <c r="AG68" s="65">
        <f t="shared" si="28"/>
        <v>0</v>
      </c>
      <c r="AH68" s="65">
        <f t="shared" si="28"/>
        <v>0</v>
      </c>
      <c r="AI68" s="65">
        <f t="shared" si="28"/>
        <v>0</v>
      </c>
      <c r="AJ68" s="65">
        <f t="shared" si="28"/>
        <v>0</v>
      </c>
      <c r="AK68" s="65">
        <f t="shared" si="28"/>
        <v>0</v>
      </c>
      <c r="AL68" s="65">
        <f t="shared" si="28"/>
        <v>0</v>
      </c>
      <c r="AM68" s="65">
        <f t="shared" si="28"/>
        <v>0</v>
      </c>
      <c r="AN68" s="65">
        <f t="shared" si="28"/>
        <v>0</v>
      </c>
      <c r="AO68" s="65">
        <f t="shared" si="28"/>
        <v>0</v>
      </c>
      <c r="AP68" s="65">
        <f t="shared" si="28"/>
        <v>0</v>
      </c>
      <c r="AQ68" s="65">
        <f t="shared" si="28"/>
        <v>0</v>
      </c>
      <c r="AR68" s="65">
        <f t="shared" si="28"/>
        <v>0</v>
      </c>
      <c r="AS68" s="65">
        <f t="shared" si="28"/>
        <v>0</v>
      </c>
      <c r="AT68" s="65">
        <f t="shared" si="28"/>
        <v>0</v>
      </c>
      <c r="AU68" s="65">
        <f t="shared" si="28"/>
        <v>0</v>
      </c>
      <c r="AV68" s="65">
        <f t="shared" si="28"/>
        <v>0</v>
      </c>
      <c r="AW68" s="65">
        <f t="shared" si="28"/>
        <v>0</v>
      </c>
      <c r="AX68" s="65">
        <f t="shared" si="28"/>
        <v>0</v>
      </c>
      <c r="AY68" s="65">
        <f t="shared" si="28"/>
        <v>0</v>
      </c>
      <c r="AZ68" s="65">
        <f t="shared" si="28"/>
        <v>0</v>
      </c>
      <c r="BA68" s="65">
        <f t="shared" si="28"/>
        <v>0</v>
      </c>
      <c r="BB68" s="65">
        <f t="shared" si="28"/>
        <v>0</v>
      </c>
      <c r="BC68" s="65">
        <f t="shared" si="28"/>
        <v>0</v>
      </c>
      <c r="BD68" s="65">
        <f t="shared" si="28"/>
        <v>0</v>
      </c>
      <c r="BE68" s="65">
        <f t="shared" si="28"/>
        <v>0</v>
      </c>
      <c r="BF68" s="65">
        <f t="shared" si="28"/>
        <v>0</v>
      </c>
      <c r="BG68" s="65">
        <f t="shared" si="28"/>
        <v>0</v>
      </c>
      <c r="BH68" s="65">
        <f t="shared" si="28"/>
        <v>0</v>
      </c>
      <c r="BI68" s="65">
        <f t="shared" si="28"/>
        <v>0</v>
      </c>
      <c r="BJ68" s="65">
        <f t="shared" si="28"/>
        <v>0</v>
      </c>
      <c r="BK68" s="65">
        <f t="shared" si="28"/>
        <v>0</v>
      </c>
      <c r="BN68" s="65"/>
    </row>
    <row r="69" spans="1:66" x14ac:dyDescent="0.35">
      <c r="A69" s="38" t="s">
        <v>51</v>
      </c>
      <c r="B69" s="10">
        <f>SUM(C69:BK69)</f>
        <v>30</v>
      </c>
      <c r="C69" s="66"/>
      <c r="D69" s="67"/>
      <c r="E69" s="67"/>
      <c r="F69" s="67"/>
      <c r="G69" s="67">
        <v>15</v>
      </c>
      <c r="H69" s="67">
        <v>15</v>
      </c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N69" s="67">
        <f t="shared" ref="BN69:BN72" si="29">SUM(P69:BK69)</f>
        <v>0</v>
      </c>
    </row>
    <row r="70" spans="1:66" x14ac:dyDescent="0.35">
      <c r="A70" s="38" t="s">
        <v>52</v>
      </c>
      <c r="B70" s="10">
        <f>SUM(C70:BK70)</f>
        <v>4.5639452054794516</v>
      </c>
      <c r="C70" s="66">
        <v>0</v>
      </c>
      <c r="D70" s="67">
        <f>(D68+D69)*$B$65*(D91-D90)/365</f>
        <v>0</v>
      </c>
      <c r="E70" s="67">
        <f t="shared" ref="E70:BK70" si="30">(E68+E69)*$B$65*(E91-E90)/365</f>
        <v>0</v>
      </c>
      <c r="F70" s="67">
        <f t="shared" si="30"/>
        <v>0</v>
      </c>
      <c r="G70" s="67">
        <f t="shared" si="30"/>
        <v>0.14794520547945203</v>
      </c>
      <c r="H70" s="67">
        <f t="shared" si="30"/>
        <v>0.29589041095890406</v>
      </c>
      <c r="I70" s="67">
        <f t="shared" si="30"/>
        <v>0.28602739726027393</v>
      </c>
      <c r="J70" s="67">
        <f t="shared" si="30"/>
        <v>0.29589041095890406</v>
      </c>
      <c r="K70" s="67">
        <f t="shared" si="30"/>
        <v>0.28602739726027393</v>
      </c>
      <c r="L70" s="67">
        <f t="shared" si="30"/>
        <v>0.29589041095890406</v>
      </c>
      <c r="M70" s="67">
        <f t="shared" si="30"/>
        <v>0.29589041095890406</v>
      </c>
      <c r="N70" s="67">
        <f t="shared" si="30"/>
        <v>0.2761643835616438</v>
      </c>
      <c r="O70" s="67">
        <f t="shared" si="30"/>
        <v>0.28602739726027399</v>
      </c>
      <c r="P70" s="67">
        <f t="shared" si="30"/>
        <v>0.26695890410958906</v>
      </c>
      <c r="Q70" s="67">
        <f t="shared" si="30"/>
        <v>0.26630136986301367</v>
      </c>
      <c r="R70" s="67">
        <f t="shared" si="30"/>
        <v>0.24789041095890413</v>
      </c>
      <c r="S70" s="67">
        <f t="shared" si="30"/>
        <v>0.24657534246575341</v>
      </c>
      <c r="T70" s="67">
        <f t="shared" si="30"/>
        <v>0.23671232876712325</v>
      </c>
      <c r="U70" s="67">
        <f t="shared" si="30"/>
        <v>0.21928767123287668</v>
      </c>
      <c r="V70" s="67">
        <f t="shared" si="30"/>
        <v>0.21698630136986299</v>
      </c>
      <c r="W70" s="67">
        <f t="shared" si="30"/>
        <v>0.20021917808219178</v>
      </c>
      <c r="X70" s="67">
        <f t="shared" si="30"/>
        <v>0.19726027397260273</v>
      </c>
      <c r="Y70" s="67">
        <f t="shared" si="30"/>
        <v>0</v>
      </c>
      <c r="Z70" s="67">
        <f t="shared" si="30"/>
        <v>0</v>
      </c>
      <c r="AA70" s="67">
        <f t="shared" si="30"/>
        <v>0</v>
      </c>
      <c r="AB70" s="67">
        <f t="shared" si="30"/>
        <v>0</v>
      </c>
      <c r="AC70" s="67">
        <f t="shared" si="30"/>
        <v>0</v>
      </c>
      <c r="AD70" s="67">
        <f t="shared" si="30"/>
        <v>0</v>
      </c>
      <c r="AE70" s="67">
        <f t="shared" si="30"/>
        <v>0</v>
      </c>
      <c r="AF70" s="67">
        <f t="shared" si="30"/>
        <v>0</v>
      </c>
      <c r="AG70" s="67">
        <f t="shared" si="30"/>
        <v>0</v>
      </c>
      <c r="AH70" s="67">
        <f t="shared" si="30"/>
        <v>0</v>
      </c>
      <c r="AI70" s="67">
        <f t="shared" si="30"/>
        <v>0</v>
      </c>
      <c r="AJ70" s="67">
        <f t="shared" si="30"/>
        <v>0</v>
      </c>
      <c r="AK70" s="67">
        <f t="shared" si="30"/>
        <v>0</v>
      </c>
      <c r="AL70" s="67">
        <f t="shared" si="30"/>
        <v>0</v>
      </c>
      <c r="AM70" s="67">
        <f t="shared" si="30"/>
        <v>0</v>
      </c>
      <c r="AN70" s="67">
        <f t="shared" si="30"/>
        <v>0</v>
      </c>
      <c r="AO70" s="67">
        <f t="shared" si="30"/>
        <v>0</v>
      </c>
      <c r="AP70" s="67">
        <f t="shared" si="30"/>
        <v>0</v>
      </c>
      <c r="AQ70" s="67">
        <f t="shared" si="30"/>
        <v>0</v>
      </c>
      <c r="AR70" s="67">
        <f t="shared" si="30"/>
        <v>0</v>
      </c>
      <c r="AS70" s="67">
        <f t="shared" si="30"/>
        <v>0</v>
      </c>
      <c r="AT70" s="67">
        <f t="shared" si="30"/>
        <v>0</v>
      </c>
      <c r="AU70" s="67">
        <f t="shared" si="30"/>
        <v>0</v>
      </c>
      <c r="AV70" s="67">
        <f t="shared" si="30"/>
        <v>0</v>
      </c>
      <c r="AW70" s="67">
        <f t="shared" si="30"/>
        <v>0</v>
      </c>
      <c r="AX70" s="67">
        <f t="shared" si="30"/>
        <v>0</v>
      </c>
      <c r="AY70" s="67">
        <f t="shared" si="30"/>
        <v>0</v>
      </c>
      <c r="AZ70" s="67">
        <f t="shared" si="30"/>
        <v>0</v>
      </c>
      <c r="BA70" s="67">
        <f t="shared" si="30"/>
        <v>0</v>
      </c>
      <c r="BB70" s="67">
        <f t="shared" si="30"/>
        <v>0</v>
      </c>
      <c r="BC70" s="67">
        <f t="shared" si="30"/>
        <v>0</v>
      </c>
      <c r="BD70" s="67">
        <f t="shared" si="30"/>
        <v>0</v>
      </c>
      <c r="BE70" s="67">
        <f t="shared" si="30"/>
        <v>0</v>
      </c>
      <c r="BF70" s="67">
        <f t="shared" si="30"/>
        <v>0</v>
      </c>
      <c r="BG70" s="67">
        <f t="shared" si="30"/>
        <v>0</v>
      </c>
      <c r="BH70" s="67">
        <f t="shared" si="30"/>
        <v>0</v>
      </c>
      <c r="BI70" s="67">
        <f t="shared" si="30"/>
        <v>0</v>
      </c>
      <c r="BJ70" s="67">
        <f t="shared" si="30"/>
        <v>0</v>
      </c>
      <c r="BK70" s="67">
        <f t="shared" si="30"/>
        <v>0</v>
      </c>
      <c r="BN70" s="67">
        <f t="shared" si="29"/>
        <v>2.0981917808219177</v>
      </c>
    </row>
    <row r="71" spans="1:66" x14ac:dyDescent="0.35">
      <c r="A71" s="38" t="s">
        <v>53</v>
      </c>
      <c r="B71" s="10">
        <f>SUM(C71:BK71)</f>
        <v>0</v>
      </c>
      <c r="C71" s="66">
        <v>0</v>
      </c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N71" s="67">
        <f t="shared" si="29"/>
        <v>0</v>
      </c>
    </row>
    <row r="72" spans="1:66" x14ac:dyDescent="0.35">
      <c r="A72" s="38" t="s">
        <v>54</v>
      </c>
      <c r="B72" s="10">
        <f>SUM(C72:BK72)</f>
        <v>30</v>
      </c>
      <c r="C72" s="66">
        <v>0</v>
      </c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>
        <v>1</v>
      </c>
      <c r="O72" s="73">
        <v>1</v>
      </c>
      <c r="P72" s="73">
        <v>1</v>
      </c>
      <c r="Q72" s="73">
        <v>1</v>
      </c>
      <c r="R72" s="73">
        <v>1</v>
      </c>
      <c r="S72" s="73">
        <v>1</v>
      </c>
      <c r="T72" s="73">
        <v>1</v>
      </c>
      <c r="U72" s="73">
        <v>1</v>
      </c>
      <c r="V72" s="73">
        <v>1</v>
      </c>
      <c r="W72" s="73">
        <v>1</v>
      </c>
      <c r="X72" s="73">
        <v>20</v>
      </c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N72" s="73">
        <f t="shared" si="29"/>
        <v>28</v>
      </c>
    </row>
    <row r="73" spans="1:66" ht="15" thickBot="1" x14ac:dyDescent="0.4">
      <c r="A73" s="69" t="s">
        <v>44</v>
      </c>
      <c r="B73" s="70"/>
      <c r="C73" s="71">
        <f>C68+C69-C72</f>
        <v>0</v>
      </c>
      <c r="D73" s="72">
        <f t="shared" ref="D73:BK73" si="31">D68+D69-D72</f>
        <v>0</v>
      </c>
      <c r="E73" s="72">
        <f t="shared" si="31"/>
        <v>0</v>
      </c>
      <c r="F73" s="72">
        <f t="shared" si="31"/>
        <v>0</v>
      </c>
      <c r="G73" s="72">
        <f t="shared" si="31"/>
        <v>15</v>
      </c>
      <c r="H73" s="72">
        <f t="shared" si="31"/>
        <v>30</v>
      </c>
      <c r="I73" s="72">
        <f t="shared" si="31"/>
        <v>30</v>
      </c>
      <c r="J73" s="72">
        <f t="shared" si="31"/>
        <v>30</v>
      </c>
      <c r="K73" s="72">
        <f t="shared" si="31"/>
        <v>30</v>
      </c>
      <c r="L73" s="72">
        <f t="shared" si="31"/>
        <v>30</v>
      </c>
      <c r="M73" s="72">
        <f t="shared" si="31"/>
        <v>30</v>
      </c>
      <c r="N73" s="72">
        <f t="shared" si="31"/>
        <v>29</v>
      </c>
      <c r="O73" s="72">
        <f t="shared" si="31"/>
        <v>28</v>
      </c>
      <c r="P73" s="72">
        <f t="shared" si="31"/>
        <v>27</v>
      </c>
      <c r="Q73" s="72">
        <f t="shared" si="31"/>
        <v>26</v>
      </c>
      <c r="R73" s="72">
        <f t="shared" si="31"/>
        <v>25</v>
      </c>
      <c r="S73" s="72">
        <f t="shared" si="31"/>
        <v>24</v>
      </c>
      <c r="T73" s="72">
        <f t="shared" si="31"/>
        <v>23</v>
      </c>
      <c r="U73" s="72">
        <f t="shared" si="31"/>
        <v>22</v>
      </c>
      <c r="V73" s="72">
        <f t="shared" si="31"/>
        <v>21</v>
      </c>
      <c r="W73" s="72">
        <f t="shared" si="31"/>
        <v>20</v>
      </c>
      <c r="X73" s="72">
        <f t="shared" si="31"/>
        <v>0</v>
      </c>
      <c r="Y73" s="72">
        <f t="shared" si="31"/>
        <v>0</v>
      </c>
      <c r="Z73" s="72">
        <f t="shared" si="31"/>
        <v>0</v>
      </c>
      <c r="AA73" s="72">
        <f t="shared" si="31"/>
        <v>0</v>
      </c>
      <c r="AB73" s="72">
        <f t="shared" si="31"/>
        <v>0</v>
      </c>
      <c r="AC73" s="72">
        <f t="shared" si="31"/>
        <v>0</v>
      </c>
      <c r="AD73" s="72">
        <f t="shared" si="31"/>
        <v>0</v>
      </c>
      <c r="AE73" s="72">
        <f t="shared" si="31"/>
        <v>0</v>
      </c>
      <c r="AF73" s="72">
        <f t="shared" si="31"/>
        <v>0</v>
      </c>
      <c r="AG73" s="72">
        <f t="shared" si="31"/>
        <v>0</v>
      </c>
      <c r="AH73" s="72">
        <f t="shared" si="31"/>
        <v>0</v>
      </c>
      <c r="AI73" s="72">
        <f t="shared" si="31"/>
        <v>0</v>
      </c>
      <c r="AJ73" s="72">
        <f t="shared" si="31"/>
        <v>0</v>
      </c>
      <c r="AK73" s="72">
        <f t="shared" si="31"/>
        <v>0</v>
      </c>
      <c r="AL73" s="72">
        <f t="shared" si="31"/>
        <v>0</v>
      </c>
      <c r="AM73" s="72">
        <f t="shared" si="31"/>
        <v>0</v>
      </c>
      <c r="AN73" s="72">
        <f t="shared" si="31"/>
        <v>0</v>
      </c>
      <c r="AO73" s="72">
        <f t="shared" si="31"/>
        <v>0</v>
      </c>
      <c r="AP73" s="72">
        <f t="shared" si="31"/>
        <v>0</v>
      </c>
      <c r="AQ73" s="72">
        <f t="shared" si="31"/>
        <v>0</v>
      </c>
      <c r="AR73" s="72">
        <f t="shared" si="31"/>
        <v>0</v>
      </c>
      <c r="AS73" s="72">
        <f t="shared" si="31"/>
        <v>0</v>
      </c>
      <c r="AT73" s="72">
        <f t="shared" si="31"/>
        <v>0</v>
      </c>
      <c r="AU73" s="72">
        <f t="shared" si="31"/>
        <v>0</v>
      </c>
      <c r="AV73" s="72">
        <f t="shared" si="31"/>
        <v>0</v>
      </c>
      <c r="AW73" s="72">
        <f t="shared" si="31"/>
        <v>0</v>
      </c>
      <c r="AX73" s="72">
        <f t="shared" si="31"/>
        <v>0</v>
      </c>
      <c r="AY73" s="72">
        <f t="shared" si="31"/>
        <v>0</v>
      </c>
      <c r="AZ73" s="72">
        <f t="shared" si="31"/>
        <v>0</v>
      </c>
      <c r="BA73" s="72">
        <f t="shared" si="31"/>
        <v>0</v>
      </c>
      <c r="BB73" s="72">
        <f t="shared" si="31"/>
        <v>0</v>
      </c>
      <c r="BC73" s="72">
        <f t="shared" si="31"/>
        <v>0</v>
      </c>
      <c r="BD73" s="72">
        <f t="shared" si="31"/>
        <v>0</v>
      </c>
      <c r="BE73" s="72">
        <f t="shared" si="31"/>
        <v>0</v>
      </c>
      <c r="BF73" s="72">
        <f t="shared" si="31"/>
        <v>0</v>
      </c>
      <c r="BG73" s="72">
        <f t="shared" si="31"/>
        <v>0</v>
      </c>
      <c r="BH73" s="72">
        <f t="shared" si="31"/>
        <v>0</v>
      </c>
      <c r="BI73" s="72">
        <f t="shared" si="31"/>
        <v>0</v>
      </c>
      <c r="BJ73" s="72">
        <f t="shared" si="31"/>
        <v>0</v>
      </c>
      <c r="BK73" s="72">
        <f t="shared" si="31"/>
        <v>0</v>
      </c>
      <c r="BN73" s="72"/>
    </row>
    <row r="74" spans="1:66" x14ac:dyDescent="0.35">
      <c r="A74" s="56"/>
      <c r="B74" s="56"/>
      <c r="C74" s="57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N74" s="56"/>
    </row>
    <row r="75" spans="1:66" x14ac:dyDescent="0.35">
      <c r="A75" s="50" t="s">
        <v>57</v>
      </c>
      <c r="C75" s="57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N75" s="56"/>
    </row>
    <row r="76" spans="1:66" x14ac:dyDescent="0.35">
      <c r="A76" s="50" t="s">
        <v>58</v>
      </c>
      <c r="B76" s="58">
        <v>45138</v>
      </c>
    </row>
    <row r="77" spans="1:66" x14ac:dyDescent="0.35">
      <c r="A77" s="50" t="s">
        <v>59</v>
      </c>
      <c r="B77" s="74">
        <v>7</v>
      </c>
      <c r="C77" s="57"/>
      <c r="D77" s="4">
        <f>D$2</f>
        <v>1</v>
      </c>
      <c r="E77" s="4">
        <f t="shared" ref="E77:BK77" si="32">E$2</f>
        <v>2</v>
      </c>
      <c r="F77" s="4">
        <f t="shared" si="32"/>
        <v>3</v>
      </c>
      <c r="G77" s="4">
        <f t="shared" si="32"/>
        <v>4</v>
      </c>
      <c r="H77" s="4">
        <f t="shared" si="32"/>
        <v>5</v>
      </c>
      <c r="I77" s="4">
        <f t="shared" si="32"/>
        <v>6</v>
      </c>
      <c r="J77" s="4">
        <f t="shared" si="32"/>
        <v>7</v>
      </c>
      <c r="K77" s="4">
        <f t="shared" si="32"/>
        <v>8</v>
      </c>
      <c r="L77" s="4">
        <f t="shared" si="32"/>
        <v>9</v>
      </c>
      <c r="M77" s="4">
        <f t="shared" si="32"/>
        <v>10</v>
      </c>
      <c r="N77" s="4">
        <f t="shared" si="32"/>
        <v>11</v>
      </c>
      <c r="O77" s="4">
        <f t="shared" si="32"/>
        <v>12</v>
      </c>
      <c r="P77" s="4">
        <f t="shared" si="32"/>
        <v>13</v>
      </c>
      <c r="Q77" s="4">
        <f t="shared" si="32"/>
        <v>14</v>
      </c>
      <c r="R77" s="4">
        <f t="shared" si="32"/>
        <v>15</v>
      </c>
      <c r="S77" s="4">
        <f t="shared" si="32"/>
        <v>16</v>
      </c>
      <c r="T77" s="4">
        <f t="shared" si="32"/>
        <v>17</v>
      </c>
      <c r="U77" s="4">
        <f t="shared" si="32"/>
        <v>18</v>
      </c>
      <c r="V77" s="4">
        <f t="shared" si="32"/>
        <v>19</v>
      </c>
      <c r="W77" s="4">
        <f t="shared" si="32"/>
        <v>20</v>
      </c>
      <c r="X77" s="4">
        <f t="shared" si="32"/>
        <v>21</v>
      </c>
      <c r="Y77" s="4">
        <f t="shared" si="32"/>
        <v>22</v>
      </c>
      <c r="Z77" s="4">
        <f t="shared" si="32"/>
        <v>23</v>
      </c>
      <c r="AA77" s="4">
        <f t="shared" si="32"/>
        <v>24</v>
      </c>
      <c r="AB77" s="4">
        <f t="shared" si="32"/>
        <v>25</v>
      </c>
      <c r="AC77" s="4">
        <f t="shared" si="32"/>
        <v>26</v>
      </c>
      <c r="AD77" s="4">
        <f t="shared" si="32"/>
        <v>27</v>
      </c>
      <c r="AE77" s="4">
        <f t="shared" si="32"/>
        <v>28</v>
      </c>
      <c r="AF77" s="4">
        <f t="shared" si="32"/>
        <v>29</v>
      </c>
      <c r="AG77" s="4">
        <f t="shared" si="32"/>
        <v>30</v>
      </c>
      <c r="AH77" s="4">
        <f t="shared" si="32"/>
        <v>31</v>
      </c>
      <c r="AI77" s="4">
        <f t="shared" si="32"/>
        <v>32</v>
      </c>
      <c r="AJ77" s="4">
        <f t="shared" si="32"/>
        <v>33</v>
      </c>
      <c r="AK77" s="4">
        <f t="shared" si="32"/>
        <v>34</v>
      </c>
      <c r="AL77" s="4">
        <f t="shared" si="32"/>
        <v>35</v>
      </c>
      <c r="AM77" s="4">
        <f t="shared" si="32"/>
        <v>36</v>
      </c>
      <c r="AN77" s="4">
        <f t="shared" si="32"/>
        <v>37</v>
      </c>
      <c r="AO77" s="4">
        <f t="shared" si="32"/>
        <v>38</v>
      </c>
      <c r="AP77" s="4">
        <f t="shared" si="32"/>
        <v>39</v>
      </c>
      <c r="AQ77" s="4">
        <f t="shared" si="32"/>
        <v>40</v>
      </c>
      <c r="AR77" s="4">
        <f t="shared" si="32"/>
        <v>41</v>
      </c>
      <c r="AS77" s="4">
        <f t="shared" si="32"/>
        <v>42</v>
      </c>
      <c r="AT77" s="4">
        <f t="shared" si="32"/>
        <v>43</v>
      </c>
      <c r="AU77" s="4">
        <f t="shared" si="32"/>
        <v>44</v>
      </c>
      <c r="AV77" s="4">
        <f t="shared" si="32"/>
        <v>45</v>
      </c>
      <c r="AW77" s="4">
        <f t="shared" si="32"/>
        <v>46</v>
      </c>
      <c r="AX77" s="4">
        <f t="shared" si="32"/>
        <v>47</v>
      </c>
      <c r="AY77" s="4">
        <f t="shared" si="32"/>
        <v>48</v>
      </c>
      <c r="AZ77" s="4">
        <f t="shared" si="32"/>
        <v>49</v>
      </c>
      <c r="BA77" s="4">
        <f t="shared" si="32"/>
        <v>50</v>
      </c>
      <c r="BB77" s="4">
        <f t="shared" si="32"/>
        <v>51</v>
      </c>
      <c r="BC77" s="4">
        <f t="shared" si="32"/>
        <v>52</v>
      </c>
      <c r="BD77" s="4">
        <f t="shared" si="32"/>
        <v>53</v>
      </c>
      <c r="BE77" s="4">
        <f t="shared" si="32"/>
        <v>54</v>
      </c>
      <c r="BF77" s="4">
        <f t="shared" si="32"/>
        <v>55</v>
      </c>
      <c r="BG77" s="4">
        <f t="shared" si="32"/>
        <v>56</v>
      </c>
      <c r="BH77" s="4">
        <f t="shared" si="32"/>
        <v>57</v>
      </c>
      <c r="BI77" s="4">
        <f t="shared" si="32"/>
        <v>58</v>
      </c>
      <c r="BJ77" s="4">
        <f t="shared" si="32"/>
        <v>59</v>
      </c>
      <c r="BK77" s="4">
        <f t="shared" si="32"/>
        <v>60</v>
      </c>
      <c r="BN77" s="4"/>
    </row>
    <row r="78" spans="1:66" x14ac:dyDescent="0.35">
      <c r="A78" s="56" t="s">
        <v>56</v>
      </c>
      <c r="B78" s="59">
        <v>9.5000000000000001E-2</v>
      </c>
      <c r="C78" s="57"/>
      <c r="D78" s="5">
        <f>D$3</f>
        <v>45017</v>
      </c>
      <c r="E78" s="5">
        <f t="shared" ref="E78:BK78" si="33">E$3</f>
        <v>45047</v>
      </c>
      <c r="F78" s="5">
        <f t="shared" si="33"/>
        <v>45078</v>
      </c>
      <c r="G78" s="5">
        <f t="shared" si="33"/>
        <v>45108</v>
      </c>
      <c r="H78" s="5">
        <f t="shared" si="33"/>
        <v>45139</v>
      </c>
      <c r="I78" s="5">
        <f t="shared" si="33"/>
        <v>45170</v>
      </c>
      <c r="J78" s="5">
        <f t="shared" si="33"/>
        <v>45200</v>
      </c>
      <c r="K78" s="5">
        <f t="shared" si="33"/>
        <v>45231</v>
      </c>
      <c r="L78" s="5">
        <f t="shared" si="33"/>
        <v>45261</v>
      </c>
      <c r="M78" s="5">
        <f t="shared" si="33"/>
        <v>45292</v>
      </c>
      <c r="N78" s="5">
        <f t="shared" si="33"/>
        <v>45323</v>
      </c>
      <c r="O78" s="5">
        <f t="shared" si="33"/>
        <v>45352</v>
      </c>
      <c r="P78" s="5">
        <f t="shared" si="33"/>
        <v>45383</v>
      </c>
      <c r="Q78" s="5">
        <f t="shared" si="33"/>
        <v>45413</v>
      </c>
      <c r="R78" s="5">
        <f t="shared" si="33"/>
        <v>45444</v>
      </c>
      <c r="S78" s="5">
        <f t="shared" si="33"/>
        <v>45474</v>
      </c>
      <c r="T78" s="5">
        <f t="shared" si="33"/>
        <v>45505</v>
      </c>
      <c r="U78" s="5">
        <f t="shared" si="33"/>
        <v>45536</v>
      </c>
      <c r="V78" s="5">
        <f t="shared" si="33"/>
        <v>45566</v>
      </c>
      <c r="W78" s="5">
        <f t="shared" si="33"/>
        <v>45597</v>
      </c>
      <c r="X78" s="5">
        <f t="shared" si="33"/>
        <v>45627</v>
      </c>
      <c r="Y78" s="5">
        <f t="shared" si="33"/>
        <v>45658</v>
      </c>
      <c r="Z78" s="5">
        <f t="shared" si="33"/>
        <v>45689</v>
      </c>
      <c r="AA78" s="5">
        <f t="shared" si="33"/>
        <v>45717</v>
      </c>
      <c r="AB78" s="5">
        <f t="shared" si="33"/>
        <v>45748</v>
      </c>
      <c r="AC78" s="5">
        <f t="shared" si="33"/>
        <v>45778</v>
      </c>
      <c r="AD78" s="5">
        <f t="shared" si="33"/>
        <v>45809</v>
      </c>
      <c r="AE78" s="5">
        <f t="shared" si="33"/>
        <v>45839</v>
      </c>
      <c r="AF78" s="5">
        <f t="shared" si="33"/>
        <v>45870</v>
      </c>
      <c r="AG78" s="5">
        <f t="shared" si="33"/>
        <v>45901</v>
      </c>
      <c r="AH78" s="5">
        <f t="shared" si="33"/>
        <v>45931</v>
      </c>
      <c r="AI78" s="5">
        <f t="shared" si="33"/>
        <v>45962</v>
      </c>
      <c r="AJ78" s="5">
        <f t="shared" si="33"/>
        <v>45992</v>
      </c>
      <c r="AK78" s="5">
        <f t="shared" si="33"/>
        <v>46023</v>
      </c>
      <c r="AL78" s="5">
        <f t="shared" si="33"/>
        <v>46054</v>
      </c>
      <c r="AM78" s="5">
        <f t="shared" si="33"/>
        <v>46082</v>
      </c>
      <c r="AN78" s="5">
        <f t="shared" si="33"/>
        <v>46113</v>
      </c>
      <c r="AO78" s="5">
        <f t="shared" si="33"/>
        <v>46143</v>
      </c>
      <c r="AP78" s="5">
        <f t="shared" si="33"/>
        <v>46174</v>
      </c>
      <c r="AQ78" s="5">
        <f t="shared" si="33"/>
        <v>46204</v>
      </c>
      <c r="AR78" s="5">
        <f t="shared" si="33"/>
        <v>46235</v>
      </c>
      <c r="AS78" s="5">
        <f t="shared" si="33"/>
        <v>46266</v>
      </c>
      <c r="AT78" s="5">
        <f t="shared" si="33"/>
        <v>46296</v>
      </c>
      <c r="AU78" s="5">
        <f t="shared" si="33"/>
        <v>46327</v>
      </c>
      <c r="AV78" s="5">
        <f t="shared" si="33"/>
        <v>46357</v>
      </c>
      <c r="AW78" s="5">
        <f t="shared" si="33"/>
        <v>46388</v>
      </c>
      <c r="AX78" s="5">
        <f t="shared" si="33"/>
        <v>46419</v>
      </c>
      <c r="AY78" s="5">
        <f t="shared" si="33"/>
        <v>46447</v>
      </c>
      <c r="AZ78" s="5">
        <f t="shared" si="33"/>
        <v>46478</v>
      </c>
      <c r="BA78" s="5">
        <f t="shared" si="33"/>
        <v>46508</v>
      </c>
      <c r="BB78" s="5">
        <f t="shared" si="33"/>
        <v>46539</v>
      </c>
      <c r="BC78" s="5">
        <f t="shared" si="33"/>
        <v>46569</v>
      </c>
      <c r="BD78" s="5">
        <f t="shared" si="33"/>
        <v>46600</v>
      </c>
      <c r="BE78" s="5">
        <f t="shared" si="33"/>
        <v>46631</v>
      </c>
      <c r="BF78" s="5">
        <f t="shared" si="33"/>
        <v>46661</v>
      </c>
      <c r="BG78" s="5">
        <f t="shared" si="33"/>
        <v>46692</v>
      </c>
      <c r="BH78" s="5">
        <f t="shared" si="33"/>
        <v>46722</v>
      </c>
      <c r="BI78" s="5">
        <f t="shared" si="33"/>
        <v>46753</v>
      </c>
      <c r="BJ78" s="5">
        <f t="shared" si="33"/>
        <v>46784</v>
      </c>
      <c r="BK78" s="5">
        <f t="shared" si="33"/>
        <v>46813</v>
      </c>
      <c r="BN78" s="5"/>
    </row>
    <row r="79" spans="1:66" ht="15" thickBot="1" x14ac:dyDescent="0.4">
      <c r="A79" s="56"/>
      <c r="B79" s="56" t="s">
        <v>21</v>
      </c>
      <c r="C79" s="57" t="s">
        <v>50</v>
      </c>
      <c r="D79" s="5">
        <f>D$4</f>
        <v>45046</v>
      </c>
      <c r="E79" s="5">
        <f t="shared" ref="E79:BK79" si="34">E$4</f>
        <v>45077</v>
      </c>
      <c r="F79" s="5">
        <f t="shared" si="34"/>
        <v>45107</v>
      </c>
      <c r="G79" s="5">
        <f t="shared" si="34"/>
        <v>45138</v>
      </c>
      <c r="H79" s="5">
        <f t="shared" si="34"/>
        <v>45169</v>
      </c>
      <c r="I79" s="5">
        <f t="shared" si="34"/>
        <v>45199</v>
      </c>
      <c r="J79" s="5">
        <f t="shared" si="34"/>
        <v>45230</v>
      </c>
      <c r="K79" s="5">
        <f t="shared" si="34"/>
        <v>45260</v>
      </c>
      <c r="L79" s="5">
        <f t="shared" si="34"/>
        <v>45291</v>
      </c>
      <c r="M79" s="5">
        <f t="shared" si="34"/>
        <v>45322</v>
      </c>
      <c r="N79" s="5">
        <f t="shared" si="34"/>
        <v>45351</v>
      </c>
      <c r="O79" s="5">
        <f t="shared" si="34"/>
        <v>45382</v>
      </c>
      <c r="P79" s="5">
        <f t="shared" si="34"/>
        <v>45412</v>
      </c>
      <c r="Q79" s="5">
        <f t="shared" si="34"/>
        <v>45443</v>
      </c>
      <c r="R79" s="5">
        <f t="shared" si="34"/>
        <v>45473</v>
      </c>
      <c r="S79" s="5">
        <f t="shared" si="34"/>
        <v>45504</v>
      </c>
      <c r="T79" s="5">
        <f t="shared" si="34"/>
        <v>45535</v>
      </c>
      <c r="U79" s="5">
        <f t="shared" si="34"/>
        <v>45565</v>
      </c>
      <c r="V79" s="5">
        <f t="shared" si="34"/>
        <v>45596</v>
      </c>
      <c r="W79" s="5">
        <f t="shared" si="34"/>
        <v>45626</v>
      </c>
      <c r="X79" s="5">
        <f t="shared" si="34"/>
        <v>45657</v>
      </c>
      <c r="Y79" s="5">
        <f t="shared" si="34"/>
        <v>45688</v>
      </c>
      <c r="Z79" s="5">
        <f t="shared" si="34"/>
        <v>45716</v>
      </c>
      <c r="AA79" s="5">
        <f t="shared" si="34"/>
        <v>45747</v>
      </c>
      <c r="AB79" s="5">
        <f t="shared" si="34"/>
        <v>45777</v>
      </c>
      <c r="AC79" s="5">
        <f t="shared" si="34"/>
        <v>45808</v>
      </c>
      <c r="AD79" s="5">
        <f t="shared" si="34"/>
        <v>45838</v>
      </c>
      <c r="AE79" s="5">
        <f t="shared" si="34"/>
        <v>45869</v>
      </c>
      <c r="AF79" s="5">
        <f t="shared" si="34"/>
        <v>45900</v>
      </c>
      <c r="AG79" s="5">
        <f t="shared" si="34"/>
        <v>45930</v>
      </c>
      <c r="AH79" s="5">
        <f t="shared" si="34"/>
        <v>45961</v>
      </c>
      <c r="AI79" s="5">
        <f t="shared" si="34"/>
        <v>45991</v>
      </c>
      <c r="AJ79" s="5">
        <f t="shared" si="34"/>
        <v>46022</v>
      </c>
      <c r="AK79" s="5">
        <f t="shared" si="34"/>
        <v>46053</v>
      </c>
      <c r="AL79" s="5">
        <f t="shared" si="34"/>
        <v>46081</v>
      </c>
      <c r="AM79" s="5">
        <f t="shared" si="34"/>
        <v>46112</v>
      </c>
      <c r="AN79" s="5">
        <f t="shared" si="34"/>
        <v>46142</v>
      </c>
      <c r="AO79" s="5">
        <f t="shared" si="34"/>
        <v>46173</v>
      </c>
      <c r="AP79" s="5">
        <f t="shared" si="34"/>
        <v>46203</v>
      </c>
      <c r="AQ79" s="5">
        <f t="shared" si="34"/>
        <v>46234</v>
      </c>
      <c r="AR79" s="5">
        <f t="shared" si="34"/>
        <v>46265</v>
      </c>
      <c r="AS79" s="5">
        <f t="shared" si="34"/>
        <v>46295</v>
      </c>
      <c r="AT79" s="5">
        <f t="shared" si="34"/>
        <v>46326</v>
      </c>
      <c r="AU79" s="5">
        <f t="shared" si="34"/>
        <v>46356</v>
      </c>
      <c r="AV79" s="5">
        <f t="shared" si="34"/>
        <v>46387</v>
      </c>
      <c r="AW79" s="5">
        <f t="shared" si="34"/>
        <v>46418</v>
      </c>
      <c r="AX79" s="5">
        <f t="shared" si="34"/>
        <v>46446</v>
      </c>
      <c r="AY79" s="5">
        <f t="shared" si="34"/>
        <v>46477</v>
      </c>
      <c r="AZ79" s="5">
        <f t="shared" si="34"/>
        <v>46507</v>
      </c>
      <c r="BA79" s="5">
        <f t="shared" si="34"/>
        <v>46538</v>
      </c>
      <c r="BB79" s="5">
        <f t="shared" si="34"/>
        <v>46568</v>
      </c>
      <c r="BC79" s="5">
        <f t="shared" si="34"/>
        <v>46599</v>
      </c>
      <c r="BD79" s="5">
        <f t="shared" si="34"/>
        <v>46630</v>
      </c>
      <c r="BE79" s="5">
        <f t="shared" si="34"/>
        <v>46660</v>
      </c>
      <c r="BF79" s="5">
        <f t="shared" si="34"/>
        <v>46691</v>
      </c>
      <c r="BG79" s="5">
        <f t="shared" si="34"/>
        <v>46721</v>
      </c>
      <c r="BH79" s="5">
        <f t="shared" si="34"/>
        <v>46752</v>
      </c>
      <c r="BI79" s="5">
        <f t="shared" si="34"/>
        <v>46783</v>
      </c>
      <c r="BJ79" s="5">
        <f t="shared" si="34"/>
        <v>46812</v>
      </c>
      <c r="BK79" s="5">
        <f t="shared" si="34"/>
        <v>46843</v>
      </c>
      <c r="BN79" s="5"/>
    </row>
    <row r="80" spans="1:66" x14ac:dyDescent="0.35">
      <c r="A80" s="62" t="s">
        <v>9</v>
      </c>
      <c r="B80" s="63"/>
      <c r="C80" s="75">
        <v>0</v>
      </c>
      <c r="D80" s="76">
        <f>C85</f>
        <v>0</v>
      </c>
      <c r="E80" s="76">
        <f>D85</f>
        <v>0</v>
      </c>
      <c r="F80" s="76">
        <f t="shared" ref="F80:BK80" si="35">E85</f>
        <v>0</v>
      </c>
      <c r="G80" s="76">
        <f t="shared" si="35"/>
        <v>0</v>
      </c>
      <c r="H80" s="76">
        <f t="shared" si="35"/>
        <v>187.43834543615998</v>
      </c>
      <c r="I80" s="76">
        <f t="shared" si="35"/>
        <v>187.43834543615998</v>
      </c>
      <c r="J80" s="76">
        <f t="shared" si="35"/>
        <v>187.43834543615998</v>
      </c>
      <c r="K80" s="76">
        <f t="shared" si="35"/>
        <v>187.43834543615998</v>
      </c>
      <c r="L80" s="76">
        <f t="shared" si="35"/>
        <v>187.43834543615998</v>
      </c>
      <c r="M80" s="76">
        <f t="shared" si="35"/>
        <v>187.43834543615998</v>
      </c>
      <c r="N80" s="76">
        <f t="shared" si="35"/>
        <v>187.55082729698259</v>
      </c>
      <c r="O80" s="76">
        <f t="shared" si="35"/>
        <v>186.24606166577703</v>
      </c>
      <c r="P80" s="76">
        <f t="shared" si="35"/>
        <v>185.02873733631804</v>
      </c>
      <c r="Q80" s="76">
        <f t="shared" si="35"/>
        <v>185.07424628445162</v>
      </c>
      <c r="R80" s="76">
        <f t="shared" si="35"/>
        <v>183.84777216365899</v>
      </c>
      <c r="S80" s="76">
        <f t="shared" si="35"/>
        <v>182.56387067409975</v>
      </c>
      <c r="T80" s="76">
        <f t="shared" si="35"/>
        <v>182.63829156760218</v>
      </c>
      <c r="U80" s="76">
        <f t="shared" si="35"/>
        <v>181.39279697847249</v>
      </c>
      <c r="V80" s="76">
        <f t="shared" si="35"/>
        <v>180.09036547073467</v>
      </c>
      <c r="W80" s="76">
        <f t="shared" si="35"/>
        <v>180.14547269347108</v>
      </c>
      <c r="X80" s="76">
        <f t="shared" si="35"/>
        <v>178.83362645037658</v>
      </c>
      <c r="Y80" s="76">
        <f t="shared" si="35"/>
        <v>177.55842420211241</v>
      </c>
      <c r="Z80" s="76">
        <f t="shared" si="35"/>
        <v>177.59376147247738</v>
      </c>
      <c r="AA80" s="76">
        <f t="shared" si="35"/>
        <v>176.17020898529083</v>
      </c>
      <c r="AB80" s="76">
        <f t="shared" si="35"/>
        <v>174.87421018969653</v>
      </c>
      <c r="AC80" s="76">
        <f t="shared" si="35"/>
        <v>174.84307332333987</v>
      </c>
      <c r="AD80" s="76">
        <f t="shared" si="35"/>
        <v>173.53671196161801</v>
      </c>
      <c r="AE80" s="76">
        <f t="shared" si="35"/>
        <v>172.17498315464337</v>
      </c>
      <c r="AF80" s="76">
        <f t="shared" si="35"/>
        <v>172.16828533737743</v>
      </c>
      <c r="AG80" s="76">
        <f t="shared" si="35"/>
        <v>170.84103864480628</v>
      </c>
      <c r="AH80" s="76">
        <f t="shared" si="35"/>
        <v>169.45896304334448</v>
      </c>
      <c r="AI80" s="76">
        <f t="shared" si="35"/>
        <v>169.43105794575746</v>
      </c>
      <c r="AJ80" s="76">
        <f t="shared" si="35"/>
        <v>168.03833988723844</v>
      </c>
      <c r="AK80" s="76">
        <f t="shared" si="35"/>
        <v>166.67884567539906</v>
      </c>
      <c r="AL80" s="76">
        <f t="shared" si="35"/>
        <v>166.62923281206233</v>
      </c>
      <c r="AM80" s="76">
        <f t="shared" si="35"/>
        <v>165.12862822620735</v>
      </c>
      <c r="AN80" s="76">
        <f t="shared" si="35"/>
        <v>163.74641434797363</v>
      </c>
      <c r="AO80" s="76">
        <f t="shared" si="35"/>
        <v>163.63128548834587</v>
      </c>
      <c r="AP80" s="76">
        <f t="shared" si="35"/>
        <v>162.23738002983021</v>
      </c>
      <c r="AQ80" s="76">
        <f t="shared" si="35"/>
        <v>160.79036448457592</v>
      </c>
      <c r="AR80" s="76">
        <f t="shared" si="35"/>
        <v>160.71889413493122</v>
      </c>
      <c r="AS80" s="76">
        <f t="shared" si="35"/>
        <v>159.06226983639576</v>
      </c>
      <c r="AT80" s="76">
        <f t="shared" si="35"/>
        <v>157.35131048338005</v>
      </c>
      <c r="AU80" s="76">
        <f t="shared" si="35"/>
        <v>157.25298724632873</v>
      </c>
      <c r="AV80" s="76">
        <f t="shared" si="35"/>
        <v>155.52837152746199</v>
      </c>
      <c r="AW80" s="76">
        <f t="shared" si="35"/>
        <v>153.8312184907586</v>
      </c>
      <c r="AX80" s="76">
        <f t="shared" si="35"/>
        <v>153.7054096039019</v>
      </c>
      <c r="AY80" s="76">
        <f t="shared" si="35"/>
        <v>151.74539960024165</v>
      </c>
      <c r="AZ80" s="76">
        <f t="shared" si="35"/>
        <v>149.890101961586</v>
      </c>
      <c r="BA80" s="76">
        <f t="shared" si="35"/>
        <v>149.56590115277177</v>
      </c>
      <c r="BB80" s="76">
        <f t="shared" si="35"/>
        <v>147.69358551253998</v>
      </c>
      <c r="BC80" s="76">
        <f t="shared" si="35"/>
        <v>145.76820962518943</v>
      </c>
      <c r="BD80" s="76">
        <f t="shared" si="35"/>
        <v>145.45083666987554</v>
      </c>
      <c r="BE80" s="76">
        <f t="shared" si="35"/>
        <v>143.54638970422937</v>
      </c>
      <c r="BF80" s="76">
        <f t="shared" si="35"/>
        <v>141.5897110101613</v>
      </c>
      <c r="BG80" s="76">
        <f t="shared" si="35"/>
        <v>141.23971142182594</v>
      </c>
      <c r="BH80" s="76">
        <f t="shared" si="35"/>
        <v>139.26562204647561</v>
      </c>
      <c r="BI80" s="76">
        <f t="shared" si="35"/>
        <v>137.31287956938644</v>
      </c>
      <c r="BJ80" s="76">
        <f t="shared" si="35"/>
        <v>136.92948554377381</v>
      </c>
      <c r="BK80" s="76">
        <f t="shared" si="35"/>
        <v>134.88722363850377</v>
      </c>
      <c r="BN80" s="76"/>
    </row>
    <row r="81" spans="1:66" x14ac:dyDescent="0.35">
      <c r="A81" s="38" t="s">
        <v>51</v>
      </c>
      <c r="B81" s="10">
        <f>SUM(C81:BK81)</f>
        <v>187.43834543615998</v>
      </c>
      <c r="C81" s="77"/>
      <c r="D81" s="78">
        <f>(D79=$B$76)*($L$165*12-$J$28*4)*$B$77</f>
        <v>0</v>
      </c>
      <c r="E81" s="78">
        <f>(E79=$B$76)*($L$165*12-$J$28*4)*$B$77</f>
        <v>0</v>
      </c>
      <c r="F81" s="78">
        <f>(F79=$B$76)*($L$165*12-$J$28*4)*$B$77</f>
        <v>0</v>
      </c>
      <c r="G81" s="78">
        <f>(G79=$B$76)*($L$165*12-$J$28*4)*$B$77</f>
        <v>187.43834543615998</v>
      </c>
      <c r="H81" s="78">
        <f>(H79=$B$76)*($L$165*12-$J$28*4)*$B$77</f>
        <v>0</v>
      </c>
      <c r="I81" s="78">
        <f>(I79=$B$76)*($L$165*12-$J$28*4)*$B$77</f>
        <v>0</v>
      </c>
      <c r="J81" s="78">
        <f>(J79=$B$76)*($L$165*12-$J$28*4)*$B$77</f>
        <v>0</v>
      </c>
      <c r="K81" s="78">
        <f>(K79=$B$76)*($L$165*12-$J$28*4)*$B$77</f>
        <v>0</v>
      </c>
      <c r="L81" s="79">
        <f>(L79=$B$76)*($L$165*12-$J$28*4)*$B$77</f>
        <v>0</v>
      </c>
      <c r="M81" s="79">
        <f>(M79=$B$76)*($L$165*12-$J$28*4)*$B$77</f>
        <v>0</v>
      </c>
      <c r="N81" s="79">
        <f>(N79=$B$76)*($L$165*12-$J$28*4)*$B$77</f>
        <v>0</v>
      </c>
      <c r="O81" s="79">
        <f>(O79=$B$76)*($L$165*12-$J$28*4)*$B$77</f>
        <v>0</v>
      </c>
      <c r="P81" s="78">
        <f>(P79=$B$76)*($L$165*12-$J$28*4)*$B$77</f>
        <v>0</v>
      </c>
      <c r="Q81" s="78">
        <f>(Q79=$B$76)*($L$165*12-$J$28*4)*$B$77</f>
        <v>0</v>
      </c>
      <c r="R81" s="78">
        <f>(R79=$B$76)*($L$165*12-$J$28*4)*$B$77</f>
        <v>0</v>
      </c>
      <c r="S81" s="78">
        <f>(S79=$B$76)*($L$165*12-$J$28*4)*$B$77</f>
        <v>0</v>
      </c>
      <c r="T81" s="78">
        <f>(T79=$B$76)*($L$165*12-$J$28*4)*$B$77</f>
        <v>0</v>
      </c>
      <c r="U81" s="78">
        <f>(U79=$B$76)*($L$165*12-$J$28*4)*$B$77</f>
        <v>0</v>
      </c>
      <c r="V81" s="78">
        <f>(V79=$B$76)*($L$165*12-$J$28*4)*$B$77</f>
        <v>0</v>
      </c>
      <c r="W81" s="78">
        <f>(W79=$B$76)*($L$165*12-$J$28*4)*$B$77</f>
        <v>0</v>
      </c>
      <c r="X81" s="78">
        <f>(X79=$B$76)*($L$165*12-$J$28*4)*$B$77</f>
        <v>0</v>
      </c>
      <c r="Y81" s="78">
        <f>(Y79=$B$76)*($L$165*12-$J$28*4)*$B$77</f>
        <v>0</v>
      </c>
      <c r="Z81" s="78">
        <f>(Z79=$B$76)*($L$165*12-$J$28*4)*$B$77</f>
        <v>0</v>
      </c>
      <c r="AA81" s="78">
        <f>(AA79=$B$76)*($L$165*12-$J$28*4)*$B$77</f>
        <v>0</v>
      </c>
      <c r="AB81" s="78">
        <f>(AB79=$B$76)*($L$165*12-$J$28*4)*$B$77</f>
        <v>0</v>
      </c>
      <c r="AC81" s="78">
        <f>(AC79=$B$76)*($L$165*12-$J$28*4)*$B$77</f>
        <v>0</v>
      </c>
      <c r="AD81" s="78">
        <f>(AD79=$B$76)*($L$165*12-$J$28*4)*$B$77</f>
        <v>0</v>
      </c>
      <c r="AE81" s="78">
        <f>(AE79=$B$76)*($L$165*12-$J$28*4)*$B$77</f>
        <v>0</v>
      </c>
      <c r="AF81" s="78">
        <f>(AF79=$B$76)*($L$165*12-$J$28*4)*$B$77</f>
        <v>0</v>
      </c>
      <c r="AG81" s="78">
        <f>(AG79=$B$76)*($L$165*12-$J$28*4)*$B$77</f>
        <v>0</v>
      </c>
      <c r="AH81" s="78">
        <f>(AH79=$B$76)*($L$165*12-$J$28*4)*$B$77</f>
        <v>0</v>
      </c>
      <c r="AI81" s="78">
        <f>(AI79=$B$76)*($L$165*12-$J$28*4)*$B$77</f>
        <v>0</v>
      </c>
      <c r="AJ81" s="78">
        <f>(AJ79=$B$76)*($L$165*12-$J$28*4)*$B$77</f>
        <v>0</v>
      </c>
      <c r="AK81" s="78">
        <f>(AK79=$B$76)*($L$165*12-$J$28*4)*$B$77</f>
        <v>0</v>
      </c>
      <c r="AL81" s="78">
        <f>(AL79=$B$76)*($L$165*12-$J$28*4)*$B$77</f>
        <v>0</v>
      </c>
      <c r="AM81" s="78">
        <f>(AM79=$B$76)*($L$165*12-$J$28*4)*$B$77</f>
        <v>0</v>
      </c>
      <c r="AN81" s="78">
        <f>(AN79=$B$76)*($L$165*12-$J$28*4)*$B$77</f>
        <v>0</v>
      </c>
      <c r="AO81" s="78">
        <f>(AO79=$B$76)*($L$165*12-$J$28*4)*$B$77</f>
        <v>0</v>
      </c>
      <c r="AP81" s="78">
        <f>(AP79=$B$76)*($L$165*12-$J$28*4)*$B$77</f>
        <v>0</v>
      </c>
      <c r="AQ81" s="78">
        <f>(AQ79=$B$76)*($L$165*12-$J$28*4)*$B$77</f>
        <v>0</v>
      </c>
      <c r="AR81" s="78">
        <f>(AR79=$B$76)*($L$165*12-$J$28*4)*$B$77</f>
        <v>0</v>
      </c>
      <c r="AS81" s="78">
        <f>(AS79=$B$76)*($L$165*12-$J$28*4)*$B$77</f>
        <v>0</v>
      </c>
      <c r="AT81" s="78">
        <f>(AT79=$B$76)*($L$165*12-$J$28*4)*$B$77</f>
        <v>0</v>
      </c>
      <c r="AU81" s="78">
        <f>(AU79=$B$76)*($L$165*12-$J$28*4)*$B$77</f>
        <v>0</v>
      </c>
      <c r="AV81" s="78">
        <f>(AV79=$B$76)*($L$165*12-$J$28*4)*$B$77</f>
        <v>0</v>
      </c>
      <c r="AW81" s="78">
        <f>(AW79=$B$76)*($L$165*12-$J$28*4)*$B$77</f>
        <v>0</v>
      </c>
      <c r="AX81" s="78">
        <f>(AX79=$B$76)*($L$165*12-$J$28*4)*$B$77</f>
        <v>0</v>
      </c>
      <c r="AY81" s="78">
        <f>(AY79=$B$76)*($L$165*12-$J$28*4)*$B$77</f>
        <v>0</v>
      </c>
      <c r="AZ81" s="78">
        <f>(AZ79=$B$76)*($L$165*12-$J$28*4)*$B$77</f>
        <v>0</v>
      </c>
      <c r="BA81" s="78">
        <f>(BA79=$B$76)*($L$165*12-$J$28*4)*$B$77</f>
        <v>0</v>
      </c>
      <c r="BB81" s="78">
        <f>(BB79=$B$76)*($L$165*12-$J$28*4)*$B$77</f>
        <v>0</v>
      </c>
      <c r="BC81" s="78">
        <f>(BC79=$B$76)*($L$165*12-$J$28*4)*$B$77</f>
        <v>0</v>
      </c>
      <c r="BD81" s="78">
        <f>(BD79=$B$76)*($L$165*12-$J$28*4)*$B$77</f>
        <v>0</v>
      </c>
      <c r="BE81" s="78">
        <f>(BE79=$B$76)*($L$165*12-$J$28*4)*$B$77</f>
        <v>0</v>
      </c>
      <c r="BF81" s="78">
        <f>(BF79=$B$76)*($L$165*12-$J$28*4)*$B$77</f>
        <v>0</v>
      </c>
      <c r="BG81" s="78">
        <f>(BG79=$B$76)*($L$165*12-$J$28*4)*$B$77</f>
        <v>0</v>
      </c>
      <c r="BH81" s="78">
        <f>(BH79=$B$76)*($L$165*12-$J$28*4)*$B$77</f>
        <v>0</v>
      </c>
      <c r="BI81" s="78">
        <f>(BI79=$B$76)*($L$165*12-$J$28*4)*$B$77</f>
        <v>0</v>
      </c>
      <c r="BJ81" s="78">
        <f>(BJ79=$B$76)*($L$165*12-$J$28*4)*$B$77</f>
        <v>0</v>
      </c>
      <c r="BK81" s="78">
        <f>(BK79=$B$76)*($L$165*12-$J$28*4)*$B$77</f>
        <v>0</v>
      </c>
      <c r="BN81" s="78">
        <f t="shared" ref="BN81:BN84" si="36">SUM(P81:BK81)</f>
        <v>0</v>
      </c>
    </row>
    <row r="82" spans="1:66" x14ac:dyDescent="0.35">
      <c r="A82" s="38" t="s">
        <v>52</v>
      </c>
      <c r="B82" s="10">
        <f>SUM(C82:BK82)</f>
        <v>72.938924906570435</v>
      </c>
      <c r="C82" s="77"/>
      <c r="D82" s="80">
        <f t="shared" ref="D82:BK82" si="37">(D80+D81)*$B$78*(D79-D78)/365</f>
        <v>0</v>
      </c>
      <c r="E82" s="80">
        <f t="shared" si="37"/>
        <v>0</v>
      </c>
      <c r="F82" s="80">
        <f t="shared" si="37"/>
        <v>0</v>
      </c>
      <c r="G82" s="80">
        <f t="shared" si="37"/>
        <v>1.4635596835426188</v>
      </c>
      <c r="H82" s="80">
        <f t="shared" si="37"/>
        <v>1.4635596835426188</v>
      </c>
      <c r="I82" s="80">
        <f t="shared" si="37"/>
        <v>1.4147743607578649</v>
      </c>
      <c r="J82" s="80">
        <f t="shared" si="37"/>
        <v>1.4635596835426188</v>
      </c>
      <c r="K82" s="80">
        <f t="shared" si="37"/>
        <v>1.4147743607578649</v>
      </c>
      <c r="L82" s="80">
        <f t="shared" si="37"/>
        <v>1.4635596835426188</v>
      </c>
      <c r="M82" s="80">
        <f t="shared" si="37"/>
        <v>1.4635596835426188</v>
      </c>
      <c r="N82" s="80">
        <f t="shared" si="37"/>
        <v>1.3668087687944486</v>
      </c>
      <c r="O82" s="80">
        <f t="shared" si="37"/>
        <v>1.4542500705409986</v>
      </c>
      <c r="P82" s="80">
        <f t="shared" si="37"/>
        <v>1.3965867708535789</v>
      </c>
      <c r="Q82" s="80">
        <f t="shared" si="37"/>
        <v>1.4451002792073619</v>
      </c>
      <c r="R82" s="80">
        <f t="shared" si="37"/>
        <v>1.3876729104407686</v>
      </c>
      <c r="S82" s="80">
        <f t="shared" si="37"/>
        <v>1.4254987162224229</v>
      </c>
      <c r="T82" s="80">
        <f t="shared" si="37"/>
        <v>1.4260798108703185</v>
      </c>
      <c r="U82" s="80">
        <f t="shared" si="37"/>
        <v>1.3691428922621691</v>
      </c>
      <c r="V82" s="80">
        <f t="shared" si="37"/>
        <v>1.4061850454564215</v>
      </c>
      <c r="W82" s="80">
        <f t="shared" si="37"/>
        <v>1.3597281569055144</v>
      </c>
      <c r="X82" s="80">
        <f t="shared" si="37"/>
        <v>1.3963721517358172</v>
      </c>
      <c r="Y82" s="80">
        <f t="shared" si="37"/>
        <v>1.3864150930849872</v>
      </c>
      <c r="Z82" s="80">
        <f t="shared" si="37"/>
        <v>1.2480219128134369</v>
      </c>
      <c r="AA82" s="80">
        <f t="shared" si="37"/>
        <v>1.3755756044056955</v>
      </c>
      <c r="AB82" s="80">
        <f t="shared" si="37"/>
        <v>1.3199409563633258</v>
      </c>
      <c r="AC82" s="80">
        <f t="shared" si="37"/>
        <v>1.3652130382781333</v>
      </c>
      <c r="AD82" s="80">
        <f t="shared" si="37"/>
        <v>1.3098455930253634</v>
      </c>
      <c r="AE82" s="80">
        <f t="shared" si="37"/>
        <v>1.3443800054540647</v>
      </c>
      <c r="AF82" s="80">
        <f t="shared" si="37"/>
        <v>1.3443277074288373</v>
      </c>
      <c r="AG82" s="80">
        <f t="shared" si="37"/>
        <v>1.2894987985381954</v>
      </c>
      <c r="AH82" s="80">
        <f t="shared" si="37"/>
        <v>1.3231727251329639</v>
      </c>
      <c r="AI82" s="80">
        <f t="shared" si="37"/>
        <v>1.278856341480991</v>
      </c>
      <c r="AJ82" s="80">
        <f t="shared" si="37"/>
        <v>1.3120801881606288</v>
      </c>
      <c r="AK82" s="80">
        <f t="shared" si="37"/>
        <v>1.301464959383253</v>
      </c>
      <c r="AL82" s="80">
        <f t="shared" si="37"/>
        <v>1.1709698141450409</v>
      </c>
      <c r="AM82" s="80">
        <f t="shared" si="37"/>
        <v>1.2893605217662767</v>
      </c>
      <c r="AN82" s="80">
        <f t="shared" si="37"/>
        <v>1.2359489630922393</v>
      </c>
      <c r="AO82" s="80">
        <f t="shared" si="37"/>
        <v>1.2776689414843445</v>
      </c>
      <c r="AP82" s="80">
        <f t="shared" si="37"/>
        <v>1.2245588547457047</v>
      </c>
      <c r="AQ82" s="80">
        <f t="shared" si="37"/>
        <v>1.2554864076192915</v>
      </c>
      <c r="AR82" s="80">
        <f t="shared" si="37"/>
        <v>1.2549283514645315</v>
      </c>
      <c r="AS82" s="80">
        <f t="shared" si="37"/>
        <v>1.2005932969843023</v>
      </c>
      <c r="AT82" s="80">
        <f t="shared" si="37"/>
        <v>1.2286335202126935</v>
      </c>
      <c r="AU82" s="80">
        <f t="shared" si="37"/>
        <v>1.1869369311332483</v>
      </c>
      <c r="AV82" s="80">
        <f t="shared" si="37"/>
        <v>1.214399613296621</v>
      </c>
      <c r="AW82" s="80">
        <f t="shared" si="37"/>
        <v>1.2011478704072931</v>
      </c>
      <c r="AX82" s="80">
        <f t="shared" si="37"/>
        <v>1.0801489743397488</v>
      </c>
      <c r="AY82" s="80">
        <f t="shared" si="37"/>
        <v>1.1848613393443528</v>
      </c>
      <c r="AZ82" s="80">
        <f t="shared" si="37"/>
        <v>1.1313622764497793</v>
      </c>
      <c r="BA82" s="80">
        <f t="shared" si="37"/>
        <v>1.1678433377682178</v>
      </c>
      <c r="BB82" s="80">
        <f t="shared" si="37"/>
        <v>1.1147830906494456</v>
      </c>
      <c r="BC82" s="80">
        <f t="shared" si="37"/>
        <v>1.1381901299501092</v>
      </c>
      <c r="BD82" s="80">
        <f t="shared" si="37"/>
        <v>1.1357120123538227</v>
      </c>
      <c r="BE82" s="80">
        <f t="shared" si="37"/>
        <v>1.0834802839319229</v>
      </c>
      <c r="BF82" s="80">
        <f t="shared" si="37"/>
        <v>1.1055634969286567</v>
      </c>
      <c r="BG82" s="80">
        <f t="shared" si="37"/>
        <v>1.0660696026496725</v>
      </c>
      <c r="BH82" s="80">
        <f t="shared" si="37"/>
        <v>1.087416500910837</v>
      </c>
      <c r="BI82" s="80">
        <f t="shared" si="37"/>
        <v>1.0721690596513735</v>
      </c>
      <c r="BJ82" s="80">
        <f t="shared" si="37"/>
        <v>0.99789707272996808</v>
      </c>
      <c r="BK82" s="80">
        <f t="shared" si="37"/>
        <v>1.0532290064924266</v>
      </c>
      <c r="BN82" s="80">
        <f t="shared" si="36"/>
        <v>59.970518928006165</v>
      </c>
    </row>
    <row r="83" spans="1:66" x14ac:dyDescent="0.35">
      <c r="A83" s="38" t="s">
        <v>60</v>
      </c>
      <c r="B83" s="10">
        <f>SUM(C83:BK83)</f>
        <v>2.2117724761466877</v>
      </c>
      <c r="C83" s="81"/>
      <c r="D83" s="80">
        <f t="shared" ref="D83:K83" si="38">(D79=$B$76)*1%*$B$81*1.18</f>
        <v>0</v>
      </c>
      <c r="E83" s="80">
        <f t="shared" si="38"/>
        <v>0</v>
      </c>
      <c r="F83" s="80">
        <f t="shared" si="38"/>
        <v>0</v>
      </c>
      <c r="G83" s="80">
        <f t="shared" si="38"/>
        <v>2.2117724761466877</v>
      </c>
      <c r="H83" s="80">
        <f t="shared" si="38"/>
        <v>0</v>
      </c>
      <c r="I83" s="80">
        <f t="shared" si="38"/>
        <v>0</v>
      </c>
      <c r="J83" s="80">
        <f t="shared" si="38"/>
        <v>0</v>
      </c>
      <c r="K83" s="80">
        <f t="shared" si="38"/>
        <v>0</v>
      </c>
      <c r="L83" s="80">
        <f>(L79=$B$76)*1%*$B$81*1.18</f>
        <v>0</v>
      </c>
      <c r="M83" s="80">
        <f t="shared" ref="M83:BK83" si="39">(M79=$B$76)*1%*$B$81*1.18</f>
        <v>0</v>
      </c>
      <c r="N83" s="80">
        <f t="shared" si="39"/>
        <v>0</v>
      </c>
      <c r="O83" s="80">
        <f t="shared" si="39"/>
        <v>0</v>
      </c>
      <c r="P83" s="80">
        <f t="shared" si="39"/>
        <v>0</v>
      </c>
      <c r="Q83" s="80">
        <f t="shared" si="39"/>
        <v>0</v>
      </c>
      <c r="R83" s="80">
        <f t="shared" si="39"/>
        <v>0</v>
      </c>
      <c r="S83" s="80">
        <f t="shared" si="39"/>
        <v>0</v>
      </c>
      <c r="T83" s="80">
        <f t="shared" si="39"/>
        <v>0</v>
      </c>
      <c r="U83" s="80">
        <f t="shared" si="39"/>
        <v>0</v>
      </c>
      <c r="V83" s="80">
        <f t="shared" si="39"/>
        <v>0</v>
      </c>
      <c r="W83" s="80">
        <f t="shared" si="39"/>
        <v>0</v>
      </c>
      <c r="X83" s="80">
        <f t="shared" si="39"/>
        <v>0</v>
      </c>
      <c r="Y83" s="80">
        <f t="shared" si="39"/>
        <v>0</v>
      </c>
      <c r="Z83" s="80">
        <f t="shared" si="39"/>
        <v>0</v>
      </c>
      <c r="AA83" s="80">
        <f t="shared" si="39"/>
        <v>0</v>
      </c>
      <c r="AB83" s="80">
        <f t="shared" si="39"/>
        <v>0</v>
      </c>
      <c r="AC83" s="80">
        <f t="shared" si="39"/>
        <v>0</v>
      </c>
      <c r="AD83" s="80">
        <f t="shared" si="39"/>
        <v>0</v>
      </c>
      <c r="AE83" s="80">
        <f t="shared" si="39"/>
        <v>0</v>
      </c>
      <c r="AF83" s="80">
        <f t="shared" si="39"/>
        <v>0</v>
      </c>
      <c r="AG83" s="80">
        <f t="shared" si="39"/>
        <v>0</v>
      </c>
      <c r="AH83" s="80">
        <f t="shared" si="39"/>
        <v>0</v>
      </c>
      <c r="AI83" s="80">
        <f t="shared" si="39"/>
        <v>0</v>
      </c>
      <c r="AJ83" s="80">
        <f t="shared" si="39"/>
        <v>0</v>
      </c>
      <c r="AK83" s="80">
        <f t="shared" si="39"/>
        <v>0</v>
      </c>
      <c r="AL83" s="80">
        <f t="shared" si="39"/>
        <v>0</v>
      </c>
      <c r="AM83" s="80">
        <f t="shared" si="39"/>
        <v>0</v>
      </c>
      <c r="AN83" s="80">
        <f t="shared" si="39"/>
        <v>0</v>
      </c>
      <c r="AO83" s="80">
        <f t="shared" si="39"/>
        <v>0</v>
      </c>
      <c r="AP83" s="80">
        <f t="shared" si="39"/>
        <v>0</v>
      </c>
      <c r="AQ83" s="80">
        <f t="shared" si="39"/>
        <v>0</v>
      </c>
      <c r="AR83" s="80">
        <f t="shared" si="39"/>
        <v>0</v>
      </c>
      <c r="AS83" s="80">
        <f t="shared" si="39"/>
        <v>0</v>
      </c>
      <c r="AT83" s="80">
        <f t="shared" si="39"/>
        <v>0</v>
      </c>
      <c r="AU83" s="80">
        <f t="shared" si="39"/>
        <v>0</v>
      </c>
      <c r="AV83" s="80">
        <f t="shared" si="39"/>
        <v>0</v>
      </c>
      <c r="AW83" s="80">
        <f t="shared" si="39"/>
        <v>0</v>
      </c>
      <c r="AX83" s="80">
        <f t="shared" si="39"/>
        <v>0</v>
      </c>
      <c r="AY83" s="80">
        <f t="shared" si="39"/>
        <v>0</v>
      </c>
      <c r="AZ83" s="80">
        <f t="shared" si="39"/>
        <v>0</v>
      </c>
      <c r="BA83" s="80">
        <f t="shared" si="39"/>
        <v>0</v>
      </c>
      <c r="BB83" s="80">
        <f t="shared" si="39"/>
        <v>0</v>
      </c>
      <c r="BC83" s="80">
        <f t="shared" si="39"/>
        <v>0</v>
      </c>
      <c r="BD83" s="80">
        <f t="shared" si="39"/>
        <v>0</v>
      </c>
      <c r="BE83" s="80">
        <f t="shared" si="39"/>
        <v>0</v>
      </c>
      <c r="BF83" s="80">
        <f t="shared" si="39"/>
        <v>0</v>
      </c>
      <c r="BG83" s="80">
        <f t="shared" si="39"/>
        <v>0</v>
      </c>
      <c r="BH83" s="80">
        <f t="shared" si="39"/>
        <v>0</v>
      </c>
      <c r="BI83" s="80">
        <f t="shared" si="39"/>
        <v>0</v>
      </c>
      <c r="BJ83" s="80">
        <f t="shared" si="39"/>
        <v>0</v>
      </c>
      <c r="BK83" s="80">
        <f t="shared" si="39"/>
        <v>0</v>
      </c>
      <c r="BN83" s="80">
        <f t="shared" si="36"/>
        <v>0</v>
      </c>
    </row>
    <row r="84" spans="1:66" x14ac:dyDescent="0.35">
      <c r="A84" s="38" t="s">
        <v>54</v>
      </c>
      <c r="B84" s="10">
        <f>SUM(C84:BK84)</f>
        <v>54.538051769163765</v>
      </c>
      <c r="C84" s="82"/>
      <c r="D84" s="83"/>
      <c r="E84" s="83"/>
      <c r="F84" s="83"/>
      <c r="G84" s="83"/>
      <c r="H84" s="83"/>
      <c r="I84" s="83"/>
      <c r="J84" s="83"/>
      <c r="K84" s="83"/>
      <c r="L84" s="83"/>
      <c r="M84" s="83">
        <f t="shared" ref="M84:BK84" si="40">(M165-M28-M82)</f>
        <v>-0.1124818608226188</v>
      </c>
      <c r="N84" s="83">
        <f t="shared" si="40"/>
        <v>1.3047656312055513</v>
      </c>
      <c r="O84" s="83">
        <f t="shared" si="40"/>
        <v>1.2173243294590013</v>
      </c>
      <c r="P84" s="83">
        <f t="shared" si="40"/>
        <v>-4.5508948133578864E-2</v>
      </c>
      <c r="Q84" s="83">
        <f t="shared" si="40"/>
        <v>1.226474120792638</v>
      </c>
      <c r="R84" s="83">
        <f t="shared" si="40"/>
        <v>1.2839014895592313</v>
      </c>
      <c r="S84" s="83">
        <f t="shared" si="40"/>
        <v>-7.4420893502422869E-2</v>
      </c>
      <c r="T84" s="83">
        <f t="shared" si="40"/>
        <v>1.2454945891296814</v>
      </c>
      <c r="U84" s="83">
        <f t="shared" si="40"/>
        <v>1.3024315077378308</v>
      </c>
      <c r="V84" s="83">
        <f t="shared" si="40"/>
        <v>-5.5107222736421546E-2</v>
      </c>
      <c r="W84" s="83">
        <f t="shared" si="40"/>
        <v>1.3118462430944855</v>
      </c>
      <c r="X84" s="83">
        <f t="shared" si="40"/>
        <v>1.2752022482641827</v>
      </c>
      <c r="Y84" s="83">
        <f t="shared" si="40"/>
        <v>-3.5337270364987239E-2</v>
      </c>
      <c r="Z84" s="83">
        <f t="shared" si="40"/>
        <v>1.423552487186563</v>
      </c>
      <c r="AA84" s="83">
        <f t="shared" si="40"/>
        <v>1.2959987955943044</v>
      </c>
      <c r="AB84" s="83">
        <f t="shared" si="40"/>
        <v>3.1136866356674231E-2</v>
      </c>
      <c r="AC84" s="83">
        <f t="shared" si="40"/>
        <v>1.3063613617218666</v>
      </c>
      <c r="AD84" s="83">
        <f t="shared" si="40"/>
        <v>1.3617288069746365</v>
      </c>
      <c r="AE84" s="83">
        <f t="shared" si="40"/>
        <v>6.6978172659353241E-3</v>
      </c>
      <c r="AF84" s="83">
        <f t="shared" si="40"/>
        <v>1.3272466925711626</v>
      </c>
      <c r="AG84" s="83">
        <f t="shared" si="40"/>
        <v>1.3820756014618045</v>
      </c>
      <c r="AH84" s="83">
        <f t="shared" si="40"/>
        <v>2.7905097587036076E-2</v>
      </c>
      <c r="AI84" s="83">
        <f t="shared" si="40"/>
        <v>1.3927180585190089</v>
      </c>
      <c r="AJ84" s="83">
        <f t="shared" si="40"/>
        <v>1.3594942118393711</v>
      </c>
      <c r="AK84" s="83">
        <f t="shared" si="40"/>
        <v>4.9612863336746971E-2</v>
      </c>
      <c r="AL84" s="83">
        <f t="shared" si="40"/>
        <v>1.500604585854959</v>
      </c>
      <c r="AM84" s="83">
        <f t="shared" si="40"/>
        <v>1.3822138782337232</v>
      </c>
      <c r="AN84" s="83">
        <f t="shared" si="40"/>
        <v>0.11512885962776065</v>
      </c>
      <c r="AO84" s="83">
        <f t="shared" si="40"/>
        <v>1.3939054585156554</v>
      </c>
      <c r="AP84" s="83">
        <f t="shared" si="40"/>
        <v>1.4470155452542952</v>
      </c>
      <c r="AQ84" s="83">
        <f t="shared" si="40"/>
        <v>7.1470349644709108E-2</v>
      </c>
      <c r="AR84" s="83">
        <f t="shared" si="40"/>
        <v>1.6566242985354689</v>
      </c>
      <c r="AS84" s="83">
        <f t="shared" si="40"/>
        <v>1.7109593530156981</v>
      </c>
      <c r="AT84" s="83">
        <f t="shared" si="40"/>
        <v>9.8323237051307188E-2</v>
      </c>
      <c r="AU84" s="83">
        <f t="shared" si="40"/>
        <v>1.7246157188667521</v>
      </c>
      <c r="AV84" s="83">
        <f t="shared" si="40"/>
        <v>1.6971530367033794</v>
      </c>
      <c r="AW84" s="83">
        <f t="shared" si="40"/>
        <v>0.12580888685670755</v>
      </c>
      <c r="AX84" s="83">
        <f t="shared" si="40"/>
        <v>1.9600100036602517</v>
      </c>
      <c r="AY84" s="83">
        <f t="shared" si="40"/>
        <v>1.8552976386556477</v>
      </c>
      <c r="AZ84" s="83">
        <f t="shared" si="40"/>
        <v>0.32420080881422142</v>
      </c>
      <c r="BA84" s="83">
        <f t="shared" si="40"/>
        <v>1.8723156402317827</v>
      </c>
      <c r="BB84" s="83">
        <f t="shared" si="40"/>
        <v>1.9253758873505549</v>
      </c>
      <c r="BC84" s="83">
        <f t="shared" si="40"/>
        <v>0.31737295531389154</v>
      </c>
      <c r="BD84" s="83">
        <f t="shared" si="40"/>
        <v>1.9044469656461778</v>
      </c>
      <c r="BE84" s="83">
        <f t="shared" si="40"/>
        <v>1.9566786940680776</v>
      </c>
      <c r="BF84" s="83">
        <f t="shared" si="40"/>
        <v>0.34999958833534395</v>
      </c>
      <c r="BG84" s="83">
        <f t="shared" si="40"/>
        <v>1.9740893753503279</v>
      </c>
      <c r="BH84" s="83">
        <f t="shared" si="40"/>
        <v>1.9527424770891635</v>
      </c>
      <c r="BI84" s="83">
        <f t="shared" si="40"/>
        <v>0.38339402561262714</v>
      </c>
      <c r="BJ84" s="83">
        <f t="shared" si="40"/>
        <v>2.0422619052700322</v>
      </c>
      <c r="BK84" s="83">
        <f t="shared" si="40"/>
        <v>1.9869299715075739</v>
      </c>
      <c r="BN84" s="83">
        <f t="shared" si="36"/>
        <v>52.128443669321832</v>
      </c>
    </row>
    <row r="85" spans="1:66" ht="15" thickBot="1" x14ac:dyDescent="0.4">
      <c r="A85" s="69" t="s">
        <v>44</v>
      </c>
      <c r="B85" s="70"/>
      <c r="C85" s="84">
        <f>C80+C81-C84</f>
        <v>0</v>
      </c>
      <c r="D85" s="85">
        <f t="shared" ref="D85:BK85" si="41">D80+D81-D84</f>
        <v>0</v>
      </c>
      <c r="E85" s="85">
        <f t="shared" si="41"/>
        <v>0</v>
      </c>
      <c r="F85" s="85">
        <f t="shared" si="41"/>
        <v>0</v>
      </c>
      <c r="G85" s="85">
        <f t="shared" si="41"/>
        <v>187.43834543615998</v>
      </c>
      <c r="H85" s="85">
        <f t="shared" si="41"/>
        <v>187.43834543615998</v>
      </c>
      <c r="I85" s="85">
        <f t="shared" si="41"/>
        <v>187.43834543615998</v>
      </c>
      <c r="J85" s="85">
        <f t="shared" si="41"/>
        <v>187.43834543615998</v>
      </c>
      <c r="K85" s="85">
        <f t="shared" si="41"/>
        <v>187.43834543615998</v>
      </c>
      <c r="L85" s="85">
        <f t="shared" si="41"/>
        <v>187.43834543615998</v>
      </c>
      <c r="M85" s="85">
        <f t="shared" si="41"/>
        <v>187.55082729698259</v>
      </c>
      <c r="N85" s="85">
        <f t="shared" si="41"/>
        <v>186.24606166577703</v>
      </c>
      <c r="O85" s="85">
        <f t="shared" si="41"/>
        <v>185.02873733631804</v>
      </c>
      <c r="P85" s="85">
        <f t="shared" si="41"/>
        <v>185.07424628445162</v>
      </c>
      <c r="Q85" s="85">
        <f t="shared" si="41"/>
        <v>183.84777216365899</v>
      </c>
      <c r="R85" s="85">
        <f t="shared" si="41"/>
        <v>182.56387067409975</v>
      </c>
      <c r="S85" s="85">
        <f t="shared" si="41"/>
        <v>182.63829156760218</v>
      </c>
      <c r="T85" s="85">
        <f t="shared" si="41"/>
        <v>181.39279697847249</v>
      </c>
      <c r="U85" s="85">
        <f t="shared" si="41"/>
        <v>180.09036547073467</v>
      </c>
      <c r="V85" s="85">
        <f t="shared" si="41"/>
        <v>180.14547269347108</v>
      </c>
      <c r="W85" s="85">
        <f t="shared" si="41"/>
        <v>178.83362645037658</v>
      </c>
      <c r="X85" s="85">
        <f t="shared" si="41"/>
        <v>177.55842420211241</v>
      </c>
      <c r="Y85" s="85">
        <f t="shared" si="41"/>
        <v>177.59376147247738</v>
      </c>
      <c r="Z85" s="85">
        <f t="shared" si="41"/>
        <v>176.17020898529083</v>
      </c>
      <c r="AA85" s="85">
        <f t="shared" si="41"/>
        <v>174.87421018969653</v>
      </c>
      <c r="AB85" s="85">
        <f t="shared" si="41"/>
        <v>174.84307332333987</v>
      </c>
      <c r="AC85" s="85">
        <f t="shared" si="41"/>
        <v>173.53671196161801</v>
      </c>
      <c r="AD85" s="85">
        <f t="shared" si="41"/>
        <v>172.17498315464337</v>
      </c>
      <c r="AE85" s="85">
        <f t="shared" si="41"/>
        <v>172.16828533737743</v>
      </c>
      <c r="AF85" s="85">
        <f t="shared" si="41"/>
        <v>170.84103864480628</v>
      </c>
      <c r="AG85" s="85">
        <f t="shared" si="41"/>
        <v>169.45896304334448</v>
      </c>
      <c r="AH85" s="85">
        <f t="shared" si="41"/>
        <v>169.43105794575746</v>
      </c>
      <c r="AI85" s="85">
        <f t="shared" si="41"/>
        <v>168.03833988723844</v>
      </c>
      <c r="AJ85" s="85">
        <f t="shared" si="41"/>
        <v>166.67884567539906</v>
      </c>
      <c r="AK85" s="85">
        <f t="shared" si="41"/>
        <v>166.62923281206233</v>
      </c>
      <c r="AL85" s="85">
        <f t="shared" si="41"/>
        <v>165.12862822620735</v>
      </c>
      <c r="AM85" s="85">
        <f t="shared" si="41"/>
        <v>163.74641434797363</v>
      </c>
      <c r="AN85" s="85">
        <f t="shared" si="41"/>
        <v>163.63128548834587</v>
      </c>
      <c r="AO85" s="85">
        <f t="shared" si="41"/>
        <v>162.23738002983021</v>
      </c>
      <c r="AP85" s="85">
        <f t="shared" si="41"/>
        <v>160.79036448457592</v>
      </c>
      <c r="AQ85" s="85">
        <f t="shared" si="41"/>
        <v>160.71889413493122</v>
      </c>
      <c r="AR85" s="85">
        <f t="shared" si="41"/>
        <v>159.06226983639576</v>
      </c>
      <c r="AS85" s="85">
        <f t="shared" si="41"/>
        <v>157.35131048338005</v>
      </c>
      <c r="AT85" s="85">
        <f t="shared" si="41"/>
        <v>157.25298724632873</v>
      </c>
      <c r="AU85" s="85">
        <f t="shared" si="41"/>
        <v>155.52837152746199</v>
      </c>
      <c r="AV85" s="85">
        <f t="shared" si="41"/>
        <v>153.8312184907586</v>
      </c>
      <c r="AW85" s="85">
        <f t="shared" si="41"/>
        <v>153.7054096039019</v>
      </c>
      <c r="AX85" s="85">
        <f t="shared" si="41"/>
        <v>151.74539960024165</v>
      </c>
      <c r="AY85" s="85">
        <f t="shared" si="41"/>
        <v>149.890101961586</v>
      </c>
      <c r="AZ85" s="85">
        <f t="shared" si="41"/>
        <v>149.56590115277177</v>
      </c>
      <c r="BA85" s="85">
        <f t="shared" si="41"/>
        <v>147.69358551253998</v>
      </c>
      <c r="BB85" s="85">
        <f t="shared" si="41"/>
        <v>145.76820962518943</v>
      </c>
      <c r="BC85" s="85">
        <f t="shared" si="41"/>
        <v>145.45083666987554</v>
      </c>
      <c r="BD85" s="85">
        <f t="shared" si="41"/>
        <v>143.54638970422937</v>
      </c>
      <c r="BE85" s="85">
        <f t="shared" si="41"/>
        <v>141.5897110101613</v>
      </c>
      <c r="BF85" s="85">
        <f t="shared" si="41"/>
        <v>141.23971142182594</v>
      </c>
      <c r="BG85" s="85">
        <f t="shared" si="41"/>
        <v>139.26562204647561</v>
      </c>
      <c r="BH85" s="85">
        <f t="shared" si="41"/>
        <v>137.31287956938644</v>
      </c>
      <c r="BI85" s="85">
        <f t="shared" si="41"/>
        <v>136.92948554377381</v>
      </c>
      <c r="BJ85" s="85">
        <f t="shared" si="41"/>
        <v>134.88722363850377</v>
      </c>
      <c r="BK85" s="85">
        <f t="shared" si="41"/>
        <v>132.90029366699619</v>
      </c>
      <c r="BN85" s="85"/>
    </row>
    <row r="86" spans="1:66" x14ac:dyDescent="0.35">
      <c r="A86" s="56"/>
      <c r="B86" s="56"/>
      <c r="C86" s="57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N86" s="56"/>
    </row>
    <row r="87" spans="1:66" x14ac:dyDescent="0.35">
      <c r="A87" s="50" t="s">
        <v>61</v>
      </c>
      <c r="C87" s="57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N87" s="56"/>
    </row>
    <row r="88" spans="1:66" x14ac:dyDescent="0.35">
      <c r="A88" s="50" t="s">
        <v>58</v>
      </c>
      <c r="B88" s="58">
        <v>45657</v>
      </c>
    </row>
    <row r="89" spans="1:66" x14ac:dyDescent="0.35">
      <c r="A89" s="50" t="s">
        <v>59</v>
      </c>
      <c r="B89" s="74">
        <v>7</v>
      </c>
      <c r="C89" s="57"/>
      <c r="D89" s="4">
        <f>D$2</f>
        <v>1</v>
      </c>
      <c r="E89" s="4">
        <f t="shared" ref="E89:BK89" si="42">E$2</f>
        <v>2</v>
      </c>
      <c r="F89" s="4">
        <f t="shared" si="42"/>
        <v>3</v>
      </c>
      <c r="G89" s="4">
        <f t="shared" si="42"/>
        <v>4</v>
      </c>
      <c r="H89" s="4">
        <f t="shared" si="42"/>
        <v>5</v>
      </c>
      <c r="I89" s="4">
        <f t="shared" si="42"/>
        <v>6</v>
      </c>
      <c r="J89" s="4">
        <f t="shared" si="42"/>
        <v>7</v>
      </c>
      <c r="K89" s="4">
        <f t="shared" si="42"/>
        <v>8</v>
      </c>
      <c r="L89" s="4">
        <f t="shared" si="42"/>
        <v>9</v>
      </c>
      <c r="M89" s="4">
        <f t="shared" si="42"/>
        <v>10</v>
      </c>
      <c r="N89" s="4">
        <f t="shared" si="42"/>
        <v>11</v>
      </c>
      <c r="O89" s="4">
        <f t="shared" si="42"/>
        <v>12</v>
      </c>
      <c r="P89" s="4">
        <f t="shared" si="42"/>
        <v>13</v>
      </c>
      <c r="Q89" s="4">
        <f t="shared" si="42"/>
        <v>14</v>
      </c>
      <c r="R89" s="4">
        <f t="shared" si="42"/>
        <v>15</v>
      </c>
      <c r="S89" s="4">
        <f t="shared" si="42"/>
        <v>16</v>
      </c>
      <c r="T89" s="4">
        <f t="shared" si="42"/>
        <v>17</v>
      </c>
      <c r="U89" s="4">
        <f t="shared" si="42"/>
        <v>18</v>
      </c>
      <c r="V89" s="4">
        <f t="shared" si="42"/>
        <v>19</v>
      </c>
      <c r="W89" s="4">
        <f t="shared" si="42"/>
        <v>20</v>
      </c>
      <c r="X89" s="4">
        <f t="shared" si="42"/>
        <v>21</v>
      </c>
      <c r="Y89" s="4">
        <f t="shared" si="42"/>
        <v>22</v>
      </c>
      <c r="Z89" s="4">
        <f t="shared" si="42"/>
        <v>23</v>
      </c>
      <c r="AA89" s="4">
        <f t="shared" si="42"/>
        <v>24</v>
      </c>
      <c r="AB89" s="4">
        <f t="shared" si="42"/>
        <v>25</v>
      </c>
      <c r="AC89" s="4">
        <f t="shared" si="42"/>
        <v>26</v>
      </c>
      <c r="AD89" s="4">
        <f t="shared" si="42"/>
        <v>27</v>
      </c>
      <c r="AE89" s="4">
        <f t="shared" si="42"/>
        <v>28</v>
      </c>
      <c r="AF89" s="4">
        <f t="shared" si="42"/>
        <v>29</v>
      </c>
      <c r="AG89" s="4">
        <f t="shared" si="42"/>
        <v>30</v>
      </c>
      <c r="AH89" s="4">
        <f t="shared" si="42"/>
        <v>31</v>
      </c>
      <c r="AI89" s="4">
        <f t="shared" si="42"/>
        <v>32</v>
      </c>
      <c r="AJ89" s="4">
        <f t="shared" si="42"/>
        <v>33</v>
      </c>
      <c r="AK89" s="4">
        <f t="shared" si="42"/>
        <v>34</v>
      </c>
      <c r="AL89" s="4">
        <f t="shared" si="42"/>
        <v>35</v>
      </c>
      <c r="AM89" s="4">
        <f t="shared" si="42"/>
        <v>36</v>
      </c>
      <c r="AN89" s="4">
        <f t="shared" si="42"/>
        <v>37</v>
      </c>
      <c r="AO89" s="4">
        <f t="shared" si="42"/>
        <v>38</v>
      </c>
      <c r="AP89" s="4">
        <f t="shared" si="42"/>
        <v>39</v>
      </c>
      <c r="AQ89" s="4">
        <f t="shared" si="42"/>
        <v>40</v>
      </c>
      <c r="AR89" s="4">
        <f t="shared" si="42"/>
        <v>41</v>
      </c>
      <c r="AS89" s="4">
        <f t="shared" si="42"/>
        <v>42</v>
      </c>
      <c r="AT89" s="4">
        <f t="shared" si="42"/>
        <v>43</v>
      </c>
      <c r="AU89" s="4">
        <f t="shared" si="42"/>
        <v>44</v>
      </c>
      <c r="AV89" s="4">
        <f t="shared" si="42"/>
        <v>45</v>
      </c>
      <c r="AW89" s="4">
        <f t="shared" si="42"/>
        <v>46</v>
      </c>
      <c r="AX89" s="4">
        <f t="shared" si="42"/>
        <v>47</v>
      </c>
      <c r="AY89" s="4">
        <f t="shared" si="42"/>
        <v>48</v>
      </c>
      <c r="AZ89" s="4">
        <f t="shared" si="42"/>
        <v>49</v>
      </c>
      <c r="BA89" s="4">
        <f t="shared" si="42"/>
        <v>50</v>
      </c>
      <c r="BB89" s="4">
        <f t="shared" si="42"/>
        <v>51</v>
      </c>
      <c r="BC89" s="4">
        <f t="shared" si="42"/>
        <v>52</v>
      </c>
      <c r="BD89" s="4">
        <f t="shared" si="42"/>
        <v>53</v>
      </c>
      <c r="BE89" s="4">
        <f t="shared" si="42"/>
        <v>54</v>
      </c>
      <c r="BF89" s="4">
        <f t="shared" si="42"/>
        <v>55</v>
      </c>
      <c r="BG89" s="4">
        <f t="shared" si="42"/>
        <v>56</v>
      </c>
      <c r="BH89" s="4">
        <f t="shared" si="42"/>
        <v>57</v>
      </c>
      <c r="BI89" s="4">
        <f t="shared" si="42"/>
        <v>58</v>
      </c>
      <c r="BJ89" s="4">
        <f t="shared" si="42"/>
        <v>59</v>
      </c>
      <c r="BK89" s="4">
        <f t="shared" si="42"/>
        <v>60</v>
      </c>
      <c r="BN89" s="4"/>
    </row>
    <row r="90" spans="1:66" x14ac:dyDescent="0.35">
      <c r="A90" s="56" t="s">
        <v>56</v>
      </c>
      <c r="B90" s="59">
        <v>0</v>
      </c>
      <c r="C90" s="57"/>
      <c r="D90" s="5">
        <f>D$3</f>
        <v>45017</v>
      </c>
      <c r="E90" s="5">
        <f t="shared" ref="E90:BK90" si="43">E$3</f>
        <v>45047</v>
      </c>
      <c r="F90" s="5">
        <f t="shared" si="43"/>
        <v>45078</v>
      </c>
      <c r="G90" s="5">
        <f t="shared" si="43"/>
        <v>45108</v>
      </c>
      <c r="H90" s="5">
        <f t="shared" si="43"/>
        <v>45139</v>
      </c>
      <c r="I90" s="5">
        <f t="shared" si="43"/>
        <v>45170</v>
      </c>
      <c r="J90" s="5">
        <f t="shared" si="43"/>
        <v>45200</v>
      </c>
      <c r="K90" s="5">
        <f t="shared" si="43"/>
        <v>45231</v>
      </c>
      <c r="L90" s="5">
        <f t="shared" si="43"/>
        <v>45261</v>
      </c>
      <c r="M90" s="5">
        <f t="shared" si="43"/>
        <v>45292</v>
      </c>
      <c r="N90" s="5">
        <f t="shared" si="43"/>
        <v>45323</v>
      </c>
      <c r="O90" s="5">
        <f t="shared" si="43"/>
        <v>45352</v>
      </c>
      <c r="P90" s="5">
        <f t="shared" si="43"/>
        <v>45383</v>
      </c>
      <c r="Q90" s="5">
        <f t="shared" si="43"/>
        <v>45413</v>
      </c>
      <c r="R90" s="5">
        <f t="shared" si="43"/>
        <v>45444</v>
      </c>
      <c r="S90" s="5">
        <f t="shared" si="43"/>
        <v>45474</v>
      </c>
      <c r="T90" s="5">
        <f t="shared" si="43"/>
        <v>45505</v>
      </c>
      <c r="U90" s="5">
        <f t="shared" si="43"/>
        <v>45536</v>
      </c>
      <c r="V90" s="5">
        <f t="shared" si="43"/>
        <v>45566</v>
      </c>
      <c r="W90" s="5">
        <f t="shared" si="43"/>
        <v>45597</v>
      </c>
      <c r="X90" s="5">
        <f t="shared" si="43"/>
        <v>45627</v>
      </c>
      <c r="Y90" s="5">
        <f t="shared" si="43"/>
        <v>45658</v>
      </c>
      <c r="Z90" s="5">
        <f t="shared" si="43"/>
        <v>45689</v>
      </c>
      <c r="AA90" s="5">
        <f t="shared" si="43"/>
        <v>45717</v>
      </c>
      <c r="AB90" s="5">
        <f t="shared" si="43"/>
        <v>45748</v>
      </c>
      <c r="AC90" s="5">
        <f t="shared" si="43"/>
        <v>45778</v>
      </c>
      <c r="AD90" s="5">
        <f t="shared" si="43"/>
        <v>45809</v>
      </c>
      <c r="AE90" s="5">
        <f t="shared" si="43"/>
        <v>45839</v>
      </c>
      <c r="AF90" s="5">
        <f t="shared" si="43"/>
        <v>45870</v>
      </c>
      <c r="AG90" s="5">
        <f t="shared" si="43"/>
        <v>45901</v>
      </c>
      <c r="AH90" s="5">
        <f t="shared" si="43"/>
        <v>45931</v>
      </c>
      <c r="AI90" s="5">
        <f t="shared" si="43"/>
        <v>45962</v>
      </c>
      <c r="AJ90" s="5">
        <f t="shared" si="43"/>
        <v>45992</v>
      </c>
      <c r="AK90" s="5">
        <f t="shared" si="43"/>
        <v>46023</v>
      </c>
      <c r="AL90" s="5">
        <f t="shared" si="43"/>
        <v>46054</v>
      </c>
      <c r="AM90" s="5">
        <f t="shared" si="43"/>
        <v>46082</v>
      </c>
      <c r="AN90" s="5">
        <f t="shared" si="43"/>
        <v>46113</v>
      </c>
      <c r="AO90" s="5">
        <f t="shared" si="43"/>
        <v>46143</v>
      </c>
      <c r="AP90" s="5">
        <f t="shared" si="43"/>
        <v>46174</v>
      </c>
      <c r="AQ90" s="5">
        <f t="shared" si="43"/>
        <v>46204</v>
      </c>
      <c r="AR90" s="5">
        <f t="shared" si="43"/>
        <v>46235</v>
      </c>
      <c r="AS90" s="5">
        <f t="shared" si="43"/>
        <v>46266</v>
      </c>
      <c r="AT90" s="5">
        <f t="shared" si="43"/>
        <v>46296</v>
      </c>
      <c r="AU90" s="5">
        <f t="shared" si="43"/>
        <v>46327</v>
      </c>
      <c r="AV90" s="5">
        <f t="shared" si="43"/>
        <v>46357</v>
      </c>
      <c r="AW90" s="5">
        <f t="shared" si="43"/>
        <v>46388</v>
      </c>
      <c r="AX90" s="5">
        <f t="shared" si="43"/>
        <v>46419</v>
      </c>
      <c r="AY90" s="5">
        <f t="shared" si="43"/>
        <v>46447</v>
      </c>
      <c r="AZ90" s="5">
        <f t="shared" si="43"/>
        <v>46478</v>
      </c>
      <c r="BA90" s="5">
        <f t="shared" si="43"/>
        <v>46508</v>
      </c>
      <c r="BB90" s="5">
        <f t="shared" si="43"/>
        <v>46539</v>
      </c>
      <c r="BC90" s="5">
        <f t="shared" si="43"/>
        <v>46569</v>
      </c>
      <c r="BD90" s="5">
        <f t="shared" si="43"/>
        <v>46600</v>
      </c>
      <c r="BE90" s="5">
        <f t="shared" si="43"/>
        <v>46631</v>
      </c>
      <c r="BF90" s="5">
        <f t="shared" si="43"/>
        <v>46661</v>
      </c>
      <c r="BG90" s="5">
        <f t="shared" si="43"/>
        <v>46692</v>
      </c>
      <c r="BH90" s="5">
        <f t="shared" si="43"/>
        <v>46722</v>
      </c>
      <c r="BI90" s="5">
        <f t="shared" si="43"/>
        <v>46753</v>
      </c>
      <c r="BJ90" s="5">
        <f t="shared" si="43"/>
        <v>46784</v>
      </c>
      <c r="BK90" s="5">
        <f t="shared" si="43"/>
        <v>46813</v>
      </c>
      <c r="BN90" s="5"/>
    </row>
    <row r="91" spans="1:66" ht="15" thickBot="1" x14ac:dyDescent="0.4">
      <c r="A91" s="56"/>
      <c r="B91" s="56" t="s">
        <v>21</v>
      </c>
      <c r="C91" s="57" t="s">
        <v>50</v>
      </c>
      <c r="D91" s="5">
        <f>D$4</f>
        <v>45046</v>
      </c>
      <c r="E91" s="5">
        <f t="shared" ref="E91:BK91" si="44">E$4</f>
        <v>45077</v>
      </c>
      <c r="F91" s="5">
        <f t="shared" si="44"/>
        <v>45107</v>
      </c>
      <c r="G91" s="5">
        <f t="shared" si="44"/>
        <v>45138</v>
      </c>
      <c r="H91" s="5">
        <f t="shared" si="44"/>
        <v>45169</v>
      </c>
      <c r="I91" s="5">
        <f t="shared" si="44"/>
        <v>45199</v>
      </c>
      <c r="J91" s="5">
        <f t="shared" si="44"/>
        <v>45230</v>
      </c>
      <c r="K91" s="5">
        <f t="shared" si="44"/>
        <v>45260</v>
      </c>
      <c r="L91" s="5">
        <f t="shared" si="44"/>
        <v>45291</v>
      </c>
      <c r="M91" s="5">
        <f t="shared" si="44"/>
        <v>45322</v>
      </c>
      <c r="N91" s="5">
        <f t="shared" si="44"/>
        <v>45351</v>
      </c>
      <c r="O91" s="5">
        <f t="shared" si="44"/>
        <v>45382</v>
      </c>
      <c r="P91" s="5">
        <f t="shared" si="44"/>
        <v>45412</v>
      </c>
      <c r="Q91" s="5">
        <f t="shared" si="44"/>
        <v>45443</v>
      </c>
      <c r="R91" s="5">
        <f t="shared" si="44"/>
        <v>45473</v>
      </c>
      <c r="S91" s="5">
        <f t="shared" si="44"/>
        <v>45504</v>
      </c>
      <c r="T91" s="5">
        <f t="shared" si="44"/>
        <v>45535</v>
      </c>
      <c r="U91" s="5">
        <f t="shared" si="44"/>
        <v>45565</v>
      </c>
      <c r="V91" s="5">
        <f t="shared" si="44"/>
        <v>45596</v>
      </c>
      <c r="W91" s="5">
        <f t="shared" si="44"/>
        <v>45626</v>
      </c>
      <c r="X91" s="5">
        <f t="shared" si="44"/>
        <v>45657</v>
      </c>
      <c r="Y91" s="5">
        <f t="shared" si="44"/>
        <v>45688</v>
      </c>
      <c r="Z91" s="5">
        <f t="shared" si="44"/>
        <v>45716</v>
      </c>
      <c r="AA91" s="5">
        <f t="shared" si="44"/>
        <v>45747</v>
      </c>
      <c r="AB91" s="5">
        <f t="shared" si="44"/>
        <v>45777</v>
      </c>
      <c r="AC91" s="5">
        <f t="shared" si="44"/>
        <v>45808</v>
      </c>
      <c r="AD91" s="5">
        <f t="shared" si="44"/>
        <v>45838</v>
      </c>
      <c r="AE91" s="5">
        <f t="shared" si="44"/>
        <v>45869</v>
      </c>
      <c r="AF91" s="5">
        <f t="shared" si="44"/>
        <v>45900</v>
      </c>
      <c r="AG91" s="5">
        <f t="shared" si="44"/>
        <v>45930</v>
      </c>
      <c r="AH91" s="5">
        <f t="shared" si="44"/>
        <v>45961</v>
      </c>
      <c r="AI91" s="5">
        <f t="shared" si="44"/>
        <v>45991</v>
      </c>
      <c r="AJ91" s="5">
        <f t="shared" si="44"/>
        <v>46022</v>
      </c>
      <c r="AK91" s="5">
        <f t="shared" si="44"/>
        <v>46053</v>
      </c>
      <c r="AL91" s="5">
        <f t="shared" si="44"/>
        <v>46081</v>
      </c>
      <c r="AM91" s="5">
        <f t="shared" si="44"/>
        <v>46112</v>
      </c>
      <c r="AN91" s="5">
        <f t="shared" si="44"/>
        <v>46142</v>
      </c>
      <c r="AO91" s="5">
        <f t="shared" si="44"/>
        <v>46173</v>
      </c>
      <c r="AP91" s="5">
        <f t="shared" si="44"/>
        <v>46203</v>
      </c>
      <c r="AQ91" s="5">
        <f t="shared" si="44"/>
        <v>46234</v>
      </c>
      <c r="AR91" s="5">
        <f t="shared" si="44"/>
        <v>46265</v>
      </c>
      <c r="AS91" s="5">
        <f t="shared" si="44"/>
        <v>46295</v>
      </c>
      <c r="AT91" s="5">
        <f t="shared" si="44"/>
        <v>46326</v>
      </c>
      <c r="AU91" s="5">
        <f t="shared" si="44"/>
        <v>46356</v>
      </c>
      <c r="AV91" s="5">
        <f t="shared" si="44"/>
        <v>46387</v>
      </c>
      <c r="AW91" s="5">
        <f t="shared" si="44"/>
        <v>46418</v>
      </c>
      <c r="AX91" s="5">
        <f t="shared" si="44"/>
        <v>46446</v>
      </c>
      <c r="AY91" s="5">
        <f t="shared" si="44"/>
        <v>46477</v>
      </c>
      <c r="AZ91" s="5">
        <f t="shared" si="44"/>
        <v>46507</v>
      </c>
      <c r="BA91" s="5">
        <f t="shared" si="44"/>
        <v>46538</v>
      </c>
      <c r="BB91" s="5">
        <f t="shared" si="44"/>
        <v>46568</v>
      </c>
      <c r="BC91" s="5">
        <f t="shared" si="44"/>
        <v>46599</v>
      </c>
      <c r="BD91" s="5">
        <f t="shared" si="44"/>
        <v>46630</v>
      </c>
      <c r="BE91" s="5">
        <f t="shared" si="44"/>
        <v>46660</v>
      </c>
      <c r="BF91" s="5">
        <f t="shared" si="44"/>
        <v>46691</v>
      </c>
      <c r="BG91" s="5">
        <f t="shared" si="44"/>
        <v>46721</v>
      </c>
      <c r="BH91" s="5">
        <f t="shared" si="44"/>
        <v>46752</v>
      </c>
      <c r="BI91" s="5">
        <f t="shared" si="44"/>
        <v>46783</v>
      </c>
      <c r="BJ91" s="5">
        <f t="shared" si="44"/>
        <v>46812</v>
      </c>
      <c r="BK91" s="5">
        <f t="shared" si="44"/>
        <v>46843</v>
      </c>
      <c r="BN91" s="5"/>
    </row>
    <row r="92" spans="1:66" x14ac:dyDescent="0.35">
      <c r="A92" s="62" t="s">
        <v>9</v>
      </c>
      <c r="B92" s="63"/>
      <c r="C92" s="75">
        <v>0</v>
      </c>
      <c r="D92" s="76">
        <f>C97</f>
        <v>0</v>
      </c>
      <c r="E92" s="76">
        <f>D97</f>
        <v>0</v>
      </c>
      <c r="F92" s="76">
        <f t="shared" ref="F92:BK92" si="45">E97</f>
        <v>0</v>
      </c>
      <c r="G92" s="76">
        <f t="shared" si="45"/>
        <v>0</v>
      </c>
      <c r="H92" s="76">
        <f t="shared" si="45"/>
        <v>0</v>
      </c>
      <c r="I92" s="76">
        <f t="shared" si="45"/>
        <v>0</v>
      </c>
      <c r="J92" s="76">
        <f t="shared" si="45"/>
        <v>0</v>
      </c>
      <c r="K92" s="76">
        <f t="shared" si="45"/>
        <v>0</v>
      </c>
      <c r="L92" s="76">
        <f t="shared" si="45"/>
        <v>0</v>
      </c>
      <c r="M92" s="76">
        <f t="shared" si="45"/>
        <v>0</v>
      </c>
      <c r="N92" s="76">
        <f t="shared" si="45"/>
        <v>0</v>
      </c>
      <c r="O92" s="76">
        <f t="shared" si="45"/>
        <v>0</v>
      </c>
      <c r="P92" s="76">
        <f t="shared" si="45"/>
        <v>0</v>
      </c>
      <c r="Q92" s="76">
        <f t="shared" si="45"/>
        <v>0</v>
      </c>
      <c r="R92" s="76">
        <f t="shared" si="45"/>
        <v>0</v>
      </c>
      <c r="S92" s="76">
        <f t="shared" si="45"/>
        <v>0</v>
      </c>
      <c r="T92" s="76">
        <f t="shared" si="45"/>
        <v>0</v>
      </c>
      <c r="U92" s="76">
        <f t="shared" si="45"/>
        <v>0</v>
      </c>
      <c r="V92" s="76">
        <f t="shared" si="45"/>
        <v>0</v>
      </c>
      <c r="W92" s="76">
        <f t="shared" si="45"/>
        <v>0</v>
      </c>
      <c r="X92" s="76">
        <f t="shared" si="45"/>
        <v>0</v>
      </c>
      <c r="Y92" s="76">
        <f t="shared" si="45"/>
        <v>140.8447647369</v>
      </c>
      <c r="Z92" s="76">
        <f t="shared" si="45"/>
        <v>140.8447647369</v>
      </c>
      <c r="AA92" s="76">
        <f t="shared" si="45"/>
        <v>140.8447647369</v>
      </c>
      <c r="AB92" s="76">
        <f t="shared" si="45"/>
        <v>140.8447647369</v>
      </c>
      <c r="AC92" s="76">
        <f t="shared" si="45"/>
        <v>140.8447647369</v>
      </c>
      <c r="AD92" s="76">
        <f t="shared" si="45"/>
        <v>140.8447647369</v>
      </c>
      <c r="AE92" s="76">
        <f t="shared" si="45"/>
        <v>140.8447647369</v>
      </c>
      <c r="AF92" s="76">
        <f t="shared" si="45"/>
        <v>140.8447647369</v>
      </c>
      <c r="AG92" s="76">
        <f t="shared" si="45"/>
        <v>140.8447647369</v>
      </c>
      <c r="AH92" s="76">
        <f t="shared" si="45"/>
        <v>140.8447647369</v>
      </c>
      <c r="AI92" s="76">
        <f t="shared" si="45"/>
        <v>140.8447647369</v>
      </c>
      <c r="AJ92" s="76">
        <f t="shared" si="45"/>
        <v>140.8447647369</v>
      </c>
      <c r="AK92" s="76">
        <f t="shared" si="45"/>
        <v>140.8447647369</v>
      </c>
      <c r="AL92" s="76">
        <f t="shared" si="45"/>
        <v>140.8447647369</v>
      </c>
      <c r="AM92" s="76">
        <f t="shared" si="45"/>
        <v>140.8447647369</v>
      </c>
      <c r="AN92" s="76">
        <f t="shared" si="45"/>
        <v>140.8447647369</v>
      </c>
      <c r="AO92" s="76">
        <f t="shared" si="45"/>
        <v>140.8447647369</v>
      </c>
      <c r="AP92" s="76">
        <f t="shared" si="45"/>
        <v>140.8447647369</v>
      </c>
      <c r="AQ92" s="76">
        <f t="shared" si="45"/>
        <v>140.8447647369</v>
      </c>
      <c r="AR92" s="76">
        <f t="shared" si="45"/>
        <v>140.8447647369</v>
      </c>
      <c r="AS92" s="76">
        <f t="shared" si="45"/>
        <v>140.8447647369</v>
      </c>
      <c r="AT92" s="76">
        <f t="shared" si="45"/>
        <v>140.8447647369</v>
      </c>
      <c r="AU92" s="76">
        <f t="shared" si="45"/>
        <v>140.8447647369</v>
      </c>
      <c r="AV92" s="76">
        <f t="shared" si="45"/>
        <v>140.8447647369</v>
      </c>
      <c r="AW92" s="76">
        <f t="shared" si="45"/>
        <v>140.8447647369</v>
      </c>
      <c r="AX92" s="76">
        <f t="shared" si="45"/>
        <v>140.8447647369</v>
      </c>
      <c r="AY92" s="76">
        <f t="shared" si="45"/>
        <v>140.8447647369</v>
      </c>
      <c r="AZ92" s="76">
        <f t="shared" si="45"/>
        <v>140.8447647369</v>
      </c>
      <c r="BA92" s="76">
        <f t="shared" si="45"/>
        <v>140.8447647369</v>
      </c>
      <c r="BB92" s="76">
        <f t="shared" si="45"/>
        <v>140.8447647369</v>
      </c>
      <c r="BC92" s="76">
        <f t="shared" si="45"/>
        <v>140.8447647369</v>
      </c>
      <c r="BD92" s="76">
        <f t="shared" si="45"/>
        <v>140.8447647369</v>
      </c>
      <c r="BE92" s="76">
        <f t="shared" si="45"/>
        <v>140.8447647369</v>
      </c>
      <c r="BF92" s="76">
        <f t="shared" si="45"/>
        <v>140.8447647369</v>
      </c>
      <c r="BG92" s="76">
        <f t="shared" si="45"/>
        <v>140.8447647369</v>
      </c>
      <c r="BH92" s="76">
        <f t="shared" si="45"/>
        <v>140.8447647369</v>
      </c>
      <c r="BI92" s="76">
        <f t="shared" si="45"/>
        <v>140.8447647369</v>
      </c>
      <c r="BJ92" s="76">
        <f t="shared" si="45"/>
        <v>140.8447647369</v>
      </c>
      <c r="BK92" s="76">
        <f t="shared" si="45"/>
        <v>140.8447647369</v>
      </c>
      <c r="BN92" s="76"/>
    </row>
    <row r="93" spans="1:66" x14ac:dyDescent="0.35">
      <c r="A93" s="38" t="s">
        <v>51</v>
      </c>
      <c r="B93" s="10">
        <f>SUM(C93:BK93)</f>
        <v>140.8447647369</v>
      </c>
      <c r="C93" s="77"/>
      <c r="D93" s="78">
        <f>(D91=$B$88)*($Y$174*12-$Y$29*4)*$B$89</f>
        <v>0</v>
      </c>
      <c r="E93" s="78">
        <f>(E91=$B$88)*($Y$174*12-$Y$29*4)*$B$89</f>
        <v>0</v>
      </c>
      <c r="F93" s="78">
        <f>(F91=$B$88)*($Y$174*12-$Y$29*4)*$B$89</f>
        <v>0</v>
      </c>
      <c r="G93" s="78">
        <f>(G91=$B$88)*($Y$174*12-$Y$29*4)*$B$89</f>
        <v>0</v>
      </c>
      <c r="H93" s="78">
        <f>(H91=$B$88)*($Y$174*12-$Y$29*4)*$B$89</f>
        <v>0</v>
      </c>
      <c r="I93" s="78">
        <f>(I91=$B$88)*($Y$174*12-$Y$29*4)*$B$89</f>
        <v>0</v>
      </c>
      <c r="J93" s="78">
        <f>(J91=$B$88)*($Y$174*12-$Y$29*4)*$B$89</f>
        <v>0</v>
      </c>
      <c r="K93" s="78">
        <f>(K91=$B$88)*($Y$174*12-$Y$29*4)*$B$89</f>
        <v>0</v>
      </c>
      <c r="L93" s="78">
        <f>(L91=$B$88)*($Y$174*12-$Y$29*4)*$B$89</f>
        <v>0</v>
      </c>
      <c r="M93" s="78">
        <f>(M91=$B$88)*($Y$174*12-$Y$29*4)*$B$89</f>
        <v>0</v>
      </c>
      <c r="N93" s="78">
        <f>(N91=$B$88)*($Y$174*12-$Y$29*4)*$B$89</f>
        <v>0</v>
      </c>
      <c r="O93" s="78">
        <f>(O91=$B$88)*($Y$174*12-$Y$29*4)*$B$89</f>
        <v>0</v>
      </c>
      <c r="P93" s="78">
        <f>(P91=$B$88)*($Y$174*12-$Y$29*4)*$B$89</f>
        <v>0</v>
      </c>
      <c r="Q93" s="78">
        <f>(Q91=$B$88)*($Y$174*12-$Y$29*4)*$B$89</f>
        <v>0</v>
      </c>
      <c r="R93" s="78">
        <f>(R91=$B$88)*($Y$174*12-$Y$29*4)*$B$89</f>
        <v>0</v>
      </c>
      <c r="S93" s="78">
        <f>(S91=$B$88)*($Y$174*12-$Y$29*4)*$B$89</f>
        <v>0</v>
      </c>
      <c r="T93" s="78">
        <f>(T91=$B$88)*($Y$174*12-$Y$29*4)*$B$89</f>
        <v>0</v>
      </c>
      <c r="U93" s="78">
        <f>(U91=$B$88)*($Y$174*12-$Y$29*4)*$B$89</f>
        <v>0</v>
      </c>
      <c r="V93" s="78">
        <f>(V91=$B$88)*($Y$174*12-$Y$29*4)*$B$89</f>
        <v>0</v>
      </c>
      <c r="W93" s="78">
        <f>(W91=$B$88)*($Y$174*12-$Y$29*4)*$B$89</f>
        <v>0</v>
      </c>
      <c r="X93" s="78">
        <f>(X91=$B$88)*($Y$174*12-$Y$29*4)*$B$89</f>
        <v>140.8447647369</v>
      </c>
      <c r="Y93" s="78">
        <f>(Y91=$B$88)*($Y$174*12-$Y$29*4)*$B$89</f>
        <v>0</v>
      </c>
      <c r="Z93" s="78">
        <f>(Z91=$B$88)*($Y$174*12-$Y$29*4)*$B$89</f>
        <v>0</v>
      </c>
      <c r="AA93" s="78">
        <f>(AA91=$B$88)*($Y$174*12-$Y$29*4)*$B$89</f>
        <v>0</v>
      </c>
      <c r="AB93" s="78">
        <f>(AB91=$B$88)*($Y$174*12-$Y$29*4)*$B$89</f>
        <v>0</v>
      </c>
      <c r="AC93" s="78">
        <f>(AC91=$B$88)*($Y$174*12-$Y$29*4)*$B$89</f>
        <v>0</v>
      </c>
      <c r="AD93" s="78">
        <f>(AD91=$B$88)*($Y$174*12-$Y$29*4)*$B$89</f>
        <v>0</v>
      </c>
      <c r="AE93" s="78">
        <f>(AE91=$B$88)*($Y$174*12-$Y$29*4)*$B$89</f>
        <v>0</v>
      </c>
      <c r="AF93" s="78">
        <f>(AF91=$B$88)*($Y$174*12-$Y$29*4)*$B$89</f>
        <v>0</v>
      </c>
      <c r="AG93" s="78">
        <f>(AG91=$B$88)*($Y$174*12-$Y$29*4)*$B$89</f>
        <v>0</v>
      </c>
      <c r="AH93" s="78">
        <f>(AH91=$B$88)*($Y$174*12-$Y$29*4)*$B$89</f>
        <v>0</v>
      </c>
      <c r="AI93" s="78">
        <f>(AI91=$B$88)*($Y$174*12-$Y$29*4)*$B$89</f>
        <v>0</v>
      </c>
      <c r="AJ93" s="78">
        <f>(AJ91=$B$88)*($Y$174*12-$Y$29*4)*$B$89</f>
        <v>0</v>
      </c>
      <c r="AK93" s="78">
        <f>(AK91=$B$88)*($Y$174*12-$Y$29*4)*$B$89</f>
        <v>0</v>
      </c>
      <c r="AL93" s="78">
        <f>(AL91=$B$88)*($Y$174*12-$Y$29*4)*$B$89</f>
        <v>0</v>
      </c>
      <c r="AM93" s="78">
        <f>(AM91=$B$88)*($Y$174*12-$Y$29*4)*$B$89</f>
        <v>0</v>
      </c>
      <c r="AN93" s="78">
        <f>(AN91=$B$88)*($Y$174*12-$Y$29*4)*$B$89</f>
        <v>0</v>
      </c>
      <c r="AO93" s="78">
        <f>(AO91=$B$88)*($Y$174*12-$Y$29*4)*$B$89</f>
        <v>0</v>
      </c>
      <c r="AP93" s="78">
        <f>(AP91=$B$88)*($Y$174*12-$Y$29*4)*$B$89</f>
        <v>0</v>
      </c>
      <c r="AQ93" s="78">
        <f>(AQ91=$B$88)*($Y$174*12-$Y$29*4)*$B$89</f>
        <v>0</v>
      </c>
      <c r="AR93" s="78">
        <f>(AR91=$B$88)*($Y$174*12-$Y$29*4)*$B$89</f>
        <v>0</v>
      </c>
      <c r="AS93" s="78">
        <f>(AS91=$B$88)*($Y$174*12-$Y$29*4)*$B$89</f>
        <v>0</v>
      </c>
      <c r="AT93" s="78">
        <f>(AT91=$B$88)*($Y$174*12-$Y$29*4)*$B$89</f>
        <v>0</v>
      </c>
      <c r="AU93" s="78">
        <f>(AU91=$B$88)*($Y$174*12-$Y$29*4)*$B$89</f>
        <v>0</v>
      </c>
      <c r="AV93" s="78">
        <f>(AV91=$B$88)*($Y$174*12-$Y$29*4)*$B$89</f>
        <v>0</v>
      </c>
      <c r="AW93" s="78">
        <f>(AW91=$B$88)*($Y$174*12-$Y$29*4)*$B$89</f>
        <v>0</v>
      </c>
      <c r="AX93" s="78">
        <f>(AX91=$B$88)*($Y$174*12-$Y$29*4)*$B$89</f>
        <v>0</v>
      </c>
      <c r="AY93" s="78">
        <f>(AY91=$B$88)*($Y$174*12-$Y$29*4)*$B$89</f>
        <v>0</v>
      </c>
      <c r="AZ93" s="78">
        <f>(AZ91=$B$88)*($Y$174*12-$Y$29*4)*$B$89</f>
        <v>0</v>
      </c>
      <c r="BA93" s="78">
        <f>(BA91=$B$88)*($Y$174*12-$Y$29*4)*$B$89</f>
        <v>0</v>
      </c>
      <c r="BB93" s="78">
        <f>(BB91=$B$88)*($Y$174*12-$Y$29*4)*$B$89</f>
        <v>0</v>
      </c>
      <c r="BC93" s="78">
        <f>(BC91=$B$88)*($Y$174*12-$Y$29*4)*$B$89</f>
        <v>0</v>
      </c>
      <c r="BD93" s="78">
        <f>(BD91=$B$88)*($Y$174*12-$Y$29*4)*$B$89</f>
        <v>0</v>
      </c>
      <c r="BE93" s="78">
        <f>(BE91=$B$88)*($Y$174*12-$Y$29*4)*$B$89</f>
        <v>0</v>
      </c>
      <c r="BF93" s="78">
        <f>(BF91=$B$88)*($Y$174*12-$Y$29*4)*$B$89</f>
        <v>0</v>
      </c>
      <c r="BG93" s="78">
        <f>(BG91=$B$88)*($Y$174*12-$Y$29*4)*$B$89</f>
        <v>0</v>
      </c>
      <c r="BH93" s="78">
        <f>(BH91=$B$88)*($Y$174*12-$Y$29*4)*$B$89</f>
        <v>0</v>
      </c>
      <c r="BI93" s="78">
        <f>(BI91=$B$88)*($Y$174*12-$Y$29*4)*$B$89</f>
        <v>0</v>
      </c>
      <c r="BJ93" s="78">
        <f>(BJ91=$B$88)*($Y$174*12-$Y$29*4)*$B$89</f>
        <v>0</v>
      </c>
      <c r="BK93" s="78">
        <f>(BK91=$B$88)*($Y$174*12-$Y$29*4)*$B$89</f>
        <v>0</v>
      </c>
      <c r="BN93" s="78">
        <f t="shared" ref="BN93:BN96" si="46">SUM(P93:BK93)</f>
        <v>140.8447647369</v>
      </c>
    </row>
    <row r="94" spans="1:66" x14ac:dyDescent="0.35">
      <c r="A94" s="38" t="s">
        <v>52</v>
      </c>
      <c r="B94" s="10">
        <f>SUM(C94:BK94)</f>
        <v>43.14673251796291</v>
      </c>
      <c r="C94" s="77"/>
      <c r="D94" s="80">
        <f t="shared" ref="D94:BK94" si="47">(D92+D93)*$B$78*(D91-D90)/365</f>
        <v>0</v>
      </c>
      <c r="E94" s="80">
        <f t="shared" si="47"/>
        <v>0</v>
      </c>
      <c r="F94" s="80">
        <f t="shared" si="47"/>
        <v>0</v>
      </c>
      <c r="G94" s="80">
        <f t="shared" si="47"/>
        <v>0</v>
      </c>
      <c r="H94" s="80">
        <f t="shared" si="47"/>
        <v>0</v>
      </c>
      <c r="I94" s="80">
        <f t="shared" si="47"/>
        <v>0</v>
      </c>
      <c r="J94" s="80">
        <f t="shared" si="47"/>
        <v>0</v>
      </c>
      <c r="K94" s="80">
        <f t="shared" si="47"/>
        <v>0</v>
      </c>
      <c r="L94" s="80">
        <f t="shared" si="47"/>
        <v>0</v>
      </c>
      <c r="M94" s="80">
        <f t="shared" si="47"/>
        <v>0</v>
      </c>
      <c r="N94" s="80">
        <f t="shared" si="47"/>
        <v>0</v>
      </c>
      <c r="O94" s="80">
        <f t="shared" si="47"/>
        <v>0</v>
      </c>
      <c r="P94" s="80">
        <f t="shared" si="47"/>
        <v>0</v>
      </c>
      <c r="Q94" s="80">
        <f t="shared" si="47"/>
        <v>0</v>
      </c>
      <c r="R94" s="80">
        <f t="shared" si="47"/>
        <v>0</v>
      </c>
      <c r="S94" s="80">
        <f t="shared" si="47"/>
        <v>0</v>
      </c>
      <c r="T94" s="80">
        <f t="shared" si="47"/>
        <v>0</v>
      </c>
      <c r="U94" s="80">
        <f t="shared" si="47"/>
        <v>0</v>
      </c>
      <c r="V94" s="80">
        <f t="shared" si="47"/>
        <v>0</v>
      </c>
      <c r="W94" s="80">
        <f t="shared" si="47"/>
        <v>0</v>
      </c>
      <c r="X94" s="80">
        <f t="shared" si="47"/>
        <v>1.0997467931511371</v>
      </c>
      <c r="Y94" s="80">
        <f t="shared" si="47"/>
        <v>1.0997467931511371</v>
      </c>
      <c r="Z94" s="80">
        <f t="shared" si="47"/>
        <v>0.98977211383602326</v>
      </c>
      <c r="AA94" s="80">
        <f t="shared" si="47"/>
        <v>1.0997467931511371</v>
      </c>
      <c r="AB94" s="80">
        <f t="shared" si="47"/>
        <v>1.0630885667127659</v>
      </c>
      <c r="AC94" s="80">
        <f t="shared" si="47"/>
        <v>1.0997467931511371</v>
      </c>
      <c r="AD94" s="80">
        <f t="shared" si="47"/>
        <v>1.0630885667127659</v>
      </c>
      <c r="AE94" s="80">
        <f t="shared" si="47"/>
        <v>1.0997467931511371</v>
      </c>
      <c r="AF94" s="80">
        <f t="shared" si="47"/>
        <v>1.0997467931511371</v>
      </c>
      <c r="AG94" s="80">
        <f t="shared" si="47"/>
        <v>1.0630885667127659</v>
      </c>
      <c r="AH94" s="80">
        <f t="shared" si="47"/>
        <v>1.0997467931511371</v>
      </c>
      <c r="AI94" s="80">
        <f t="shared" si="47"/>
        <v>1.0630885667127659</v>
      </c>
      <c r="AJ94" s="80">
        <f t="shared" si="47"/>
        <v>1.0997467931511371</v>
      </c>
      <c r="AK94" s="80">
        <f t="shared" si="47"/>
        <v>1.0997467931511371</v>
      </c>
      <c r="AL94" s="80">
        <f t="shared" si="47"/>
        <v>0.98977211383602326</v>
      </c>
      <c r="AM94" s="80">
        <f t="shared" si="47"/>
        <v>1.0997467931511371</v>
      </c>
      <c r="AN94" s="80">
        <f t="shared" si="47"/>
        <v>1.0630885667127659</v>
      </c>
      <c r="AO94" s="80">
        <f t="shared" si="47"/>
        <v>1.0997467931511371</v>
      </c>
      <c r="AP94" s="80">
        <f t="shared" si="47"/>
        <v>1.0630885667127659</v>
      </c>
      <c r="AQ94" s="80">
        <f t="shared" si="47"/>
        <v>1.0997467931511371</v>
      </c>
      <c r="AR94" s="80">
        <f t="shared" si="47"/>
        <v>1.0997467931511371</v>
      </c>
      <c r="AS94" s="80">
        <f t="shared" si="47"/>
        <v>1.0630885667127659</v>
      </c>
      <c r="AT94" s="80">
        <f t="shared" si="47"/>
        <v>1.0997467931511371</v>
      </c>
      <c r="AU94" s="80">
        <f t="shared" si="47"/>
        <v>1.0630885667127659</v>
      </c>
      <c r="AV94" s="80">
        <f t="shared" si="47"/>
        <v>1.0997467931511371</v>
      </c>
      <c r="AW94" s="80">
        <f t="shared" si="47"/>
        <v>1.0997467931511371</v>
      </c>
      <c r="AX94" s="80">
        <f t="shared" si="47"/>
        <v>0.98977211383602326</v>
      </c>
      <c r="AY94" s="80">
        <f t="shared" si="47"/>
        <v>1.0997467931511371</v>
      </c>
      <c r="AZ94" s="80">
        <f t="shared" si="47"/>
        <v>1.0630885667127659</v>
      </c>
      <c r="BA94" s="80">
        <f t="shared" si="47"/>
        <v>1.0997467931511371</v>
      </c>
      <c r="BB94" s="80">
        <f t="shared" si="47"/>
        <v>1.0630885667127659</v>
      </c>
      <c r="BC94" s="80">
        <f t="shared" si="47"/>
        <v>1.0997467931511371</v>
      </c>
      <c r="BD94" s="80">
        <f t="shared" si="47"/>
        <v>1.0997467931511371</v>
      </c>
      <c r="BE94" s="80">
        <f t="shared" si="47"/>
        <v>1.0630885667127659</v>
      </c>
      <c r="BF94" s="80">
        <f t="shared" si="47"/>
        <v>1.0997467931511371</v>
      </c>
      <c r="BG94" s="80">
        <f t="shared" si="47"/>
        <v>1.0630885667127659</v>
      </c>
      <c r="BH94" s="80">
        <f t="shared" si="47"/>
        <v>1.0997467931511371</v>
      </c>
      <c r="BI94" s="80">
        <f t="shared" si="47"/>
        <v>1.0997467931511371</v>
      </c>
      <c r="BJ94" s="80">
        <f t="shared" si="47"/>
        <v>1.0264303402743946</v>
      </c>
      <c r="BK94" s="80">
        <f t="shared" si="47"/>
        <v>1.0997467931511371</v>
      </c>
      <c r="BN94" s="80">
        <f t="shared" si="46"/>
        <v>43.14673251796291</v>
      </c>
    </row>
    <row r="95" spans="1:66" x14ac:dyDescent="0.35">
      <c r="A95" s="38" t="s">
        <v>60</v>
      </c>
      <c r="B95" s="10">
        <f>SUM(C95:BK95)</f>
        <v>1.6619682238954199</v>
      </c>
      <c r="C95" s="81"/>
      <c r="D95" s="80">
        <f t="shared" ref="D95:K95" si="48">(D91=$B$88)*1%*$B$93*1.18</f>
        <v>0</v>
      </c>
      <c r="E95" s="80">
        <f t="shared" si="48"/>
        <v>0</v>
      </c>
      <c r="F95" s="80">
        <f t="shared" si="48"/>
        <v>0</v>
      </c>
      <c r="G95" s="80">
        <f t="shared" si="48"/>
        <v>0</v>
      </c>
      <c r="H95" s="80">
        <f t="shared" si="48"/>
        <v>0</v>
      </c>
      <c r="I95" s="80">
        <f t="shared" si="48"/>
        <v>0</v>
      </c>
      <c r="J95" s="80">
        <f t="shared" si="48"/>
        <v>0</v>
      </c>
      <c r="K95" s="80">
        <f t="shared" si="48"/>
        <v>0</v>
      </c>
      <c r="L95" s="80">
        <f>(L91=$B$88)*1%*$B$93*1.18</f>
        <v>0</v>
      </c>
      <c r="M95" s="80">
        <f t="shared" ref="M95:BK95" si="49">(M91=$B$88)*1%*$B$93*1.18</f>
        <v>0</v>
      </c>
      <c r="N95" s="80">
        <f t="shared" si="49"/>
        <v>0</v>
      </c>
      <c r="O95" s="80">
        <f t="shared" si="49"/>
        <v>0</v>
      </c>
      <c r="P95" s="80">
        <f t="shared" si="49"/>
        <v>0</v>
      </c>
      <c r="Q95" s="80">
        <f t="shared" si="49"/>
        <v>0</v>
      </c>
      <c r="R95" s="80">
        <f t="shared" si="49"/>
        <v>0</v>
      </c>
      <c r="S95" s="80">
        <f t="shared" si="49"/>
        <v>0</v>
      </c>
      <c r="T95" s="80">
        <f t="shared" si="49"/>
        <v>0</v>
      </c>
      <c r="U95" s="80">
        <f t="shared" si="49"/>
        <v>0</v>
      </c>
      <c r="V95" s="80">
        <f t="shared" si="49"/>
        <v>0</v>
      </c>
      <c r="W95" s="80">
        <f t="shared" si="49"/>
        <v>0</v>
      </c>
      <c r="X95" s="80">
        <f t="shared" si="49"/>
        <v>1.6619682238954199</v>
      </c>
      <c r="Y95" s="80">
        <f t="shared" si="49"/>
        <v>0</v>
      </c>
      <c r="Z95" s="80">
        <f t="shared" si="49"/>
        <v>0</v>
      </c>
      <c r="AA95" s="80">
        <f t="shared" si="49"/>
        <v>0</v>
      </c>
      <c r="AB95" s="80">
        <f t="shared" si="49"/>
        <v>0</v>
      </c>
      <c r="AC95" s="80">
        <f t="shared" si="49"/>
        <v>0</v>
      </c>
      <c r="AD95" s="80">
        <f t="shared" si="49"/>
        <v>0</v>
      </c>
      <c r="AE95" s="80">
        <f t="shared" si="49"/>
        <v>0</v>
      </c>
      <c r="AF95" s="80">
        <f t="shared" si="49"/>
        <v>0</v>
      </c>
      <c r="AG95" s="80">
        <f t="shared" si="49"/>
        <v>0</v>
      </c>
      <c r="AH95" s="80">
        <f t="shared" si="49"/>
        <v>0</v>
      </c>
      <c r="AI95" s="80">
        <f t="shared" si="49"/>
        <v>0</v>
      </c>
      <c r="AJ95" s="80">
        <f t="shared" si="49"/>
        <v>0</v>
      </c>
      <c r="AK95" s="80">
        <f t="shared" si="49"/>
        <v>0</v>
      </c>
      <c r="AL95" s="80">
        <f t="shared" si="49"/>
        <v>0</v>
      </c>
      <c r="AM95" s="80">
        <f t="shared" si="49"/>
        <v>0</v>
      </c>
      <c r="AN95" s="80">
        <f t="shared" si="49"/>
        <v>0</v>
      </c>
      <c r="AO95" s="80">
        <f t="shared" si="49"/>
        <v>0</v>
      </c>
      <c r="AP95" s="80">
        <f t="shared" si="49"/>
        <v>0</v>
      </c>
      <c r="AQ95" s="80">
        <f t="shared" si="49"/>
        <v>0</v>
      </c>
      <c r="AR95" s="80">
        <f t="shared" si="49"/>
        <v>0</v>
      </c>
      <c r="AS95" s="80">
        <f t="shared" si="49"/>
        <v>0</v>
      </c>
      <c r="AT95" s="80">
        <f t="shared" si="49"/>
        <v>0</v>
      </c>
      <c r="AU95" s="80">
        <f t="shared" si="49"/>
        <v>0</v>
      </c>
      <c r="AV95" s="80">
        <f t="shared" si="49"/>
        <v>0</v>
      </c>
      <c r="AW95" s="80">
        <f t="shared" si="49"/>
        <v>0</v>
      </c>
      <c r="AX95" s="80">
        <f t="shared" si="49"/>
        <v>0</v>
      </c>
      <c r="AY95" s="80">
        <f t="shared" si="49"/>
        <v>0</v>
      </c>
      <c r="AZ95" s="80">
        <f t="shared" si="49"/>
        <v>0</v>
      </c>
      <c r="BA95" s="80">
        <f t="shared" si="49"/>
        <v>0</v>
      </c>
      <c r="BB95" s="80">
        <f t="shared" si="49"/>
        <v>0</v>
      </c>
      <c r="BC95" s="80">
        <f t="shared" si="49"/>
        <v>0</v>
      </c>
      <c r="BD95" s="80">
        <f t="shared" si="49"/>
        <v>0</v>
      </c>
      <c r="BE95" s="80">
        <f t="shared" si="49"/>
        <v>0</v>
      </c>
      <c r="BF95" s="80">
        <f t="shared" si="49"/>
        <v>0</v>
      </c>
      <c r="BG95" s="80">
        <f t="shared" si="49"/>
        <v>0</v>
      </c>
      <c r="BH95" s="80">
        <f t="shared" si="49"/>
        <v>0</v>
      </c>
      <c r="BI95" s="80">
        <f t="shared" si="49"/>
        <v>0</v>
      </c>
      <c r="BJ95" s="80">
        <f t="shared" si="49"/>
        <v>0</v>
      </c>
      <c r="BK95" s="80">
        <f t="shared" si="49"/>
        <v>0</v>
      </c>
      <c r="BN95" s="80">
        <f t="shared" si="46"/>
        <v>1.6619682238954199</v>
      </c>
    </row>
    <row r="96" spans="1:66" x14ac:dyDescent="0.35">
      <c r="A96" s="38" t="s">
        <v>54</v>
      </c>
      <c r="B96" s="10">
        <f>SUM(C96:BK96)</f>
        <v>0</v>
      </c>
      <c r="C96" s="82"/>
      <c r="D96" s="83">
        <f t="shared" ref="D96:BK96" si="50">(D174-D29-D94)*0</f>
        <v>0</v>
      </c>
      <c r="E96" s="83">
        <f t="shared" si="50"/>
        <v>0</v>
      </c>
      <c r="F96" s="83">
        <f t="shared" si="50"/>
        <v>0</v>
      </c>
      <c r="G96" s="83">
        <f t="shared" si="50"/>
        <v>0</v>
      </c>
      <c r="H96" s="83">
        <f t="shared" si="50"/>
        <v>0</v>
      </c>
      <c r="I96" s="83">
        <f t="shared" si="50"/>
        <v>0</v>
      </c>
      <c r="J96" s="83">
        <f t="shared" si="50"/>
        <v>0</v>
      </c>
      <c r="K96" s="83">
        <f t="shared" si="50"/>
        <v>0</v>
      </c>
      <c r="L96" s="83">
        <f t="shared" si="50"/>
        <v>0</v>
      </c>
      <c r="M96" s="83">
        <f t="shared" si="50"/>
        <v>0</v>
      </c>
      <c r="N96" s="83">
        <f t="shared" si="50"/>
        <v>0</v>
      </c>
      <c r="O96" s="83">
        <f t="shared" si="50"/>
        <v>0</v>
      </c>
      <c r="P96" s="83">
        <f t="shared" si="50"/>
        <v>0</v>
      </c>
      <c r="Q96" s="83">
        <f t="shared" si="50"/>
        <v>0</v>
      </c>
      <c r="R96" s="83">
        <f t="shared" si="50"/>
        <v>0</v>
      </c>
      <c r="S96" s="83">
        <f t="shared" si="50"/>
        <v>0</v>
      </c>
      <c r="T96" s="83">
        <f t="shared" si="50"/>
        <v>0</v>
      </c>
      <c r="U96" s="83">
        <f t="shared" si="50"/>
        <v>0</v>
      </c>
      <c r="V96" s="83">
        <f t="shared" si="50"/>
        <v>0</v>
      </c>
      <c r="W96" s="83">
        <f t="shared" si="50"/>
        <v>0</v>
      </c>
      <c r="X96" s="83">
        <f t="shared" si="50"/>
        <v>0</v>
      </c>
      <c r="Y96" s="83">
        <f t="shared" si="50"/>
        <v>0</v>
      </c>
      <c r="Z96" s="83">
        <f t="shared" si="50"/>
        <v>0</v>
      </c>
      <c r="AA96" s="83">
        <f t="shared" si="50"/>
        <v>0</v>
      </c>
      <c r="AB96" s="83">
        <f t="shared" si="50"/>
        <v>0</v>
      </c>
      <c r="AC96" s="83">
        <f t="shared" si="50"/>
        <v>0</v>
      </c>
      <c r="AD96" s="83">
        <f t="shared" si="50"/>
        <v>0</v>
      </c>
      <c r="AE96" s="83">
        <f t="shared" si="50"/>
        <v>0</v>
      </c>
      <c r="AF96" s="83">
        <f t="shared" si="50"/>
        <v>0</v>
      </c>
      <c r="AG96" s="83">
        <f t="shared" si="50"/>
        <v>0</v>
      </c>
      <c r="AH96" s="83">
        <f t="shared" si="50"/>
        <v>0</v>
      </c>
      <c r="AI96" s="83">
        <f t="shared" si="50"/>
        <v>0</v>
      </c>
      <c r="AJ96" s="83">
        <f t="shared" si="50"/>
        <v>0</v>
      </c>
      <c r="AK96" s="83">
        <f t="shared" si="50"/>
        <v>0</v>
      </c>
      <c r="AL96" s="83">
        <f t="shared" si="50"/>
        <v>0</v>
      </c>
      <c r="AM96" s="83">
        <f t="shared" si="50"/>
        <v>0</v>
      </c>
      <c r="AN96" s="83">
        <f t="shared" si="50"/>
        <v>0</v>
      </c>
      <c r="AO96" s="83">
        <f t="shared" si="50"/>
        <v>0</v>
      </c>
      <c r="AP96" s="83">
        <f t="shared" si="50"/>
        <v>0</v>
      </c>
      <c r="AQ96" s="83">
        <f t="shared" si="50"/>
        <v>0</v>
      </c>
      <c r="AR96" s="83">
        <f t="shared" si="50"/>
        <v>0</v>
      </c>
      <c r="AS96" s="83">
        <f t="shared" si="50"/>
        <v>0</v>
      </c>
      <c r="AT96" s="83">
        <f t="shared" si="50"/>
        <v>0</v>
      </c>
      <c r="AU96" s="83">
        <f t="shared" si="50"/>
        <v>0</v>
      </c>
      <c r="AV96" s="83">
        <f t="shared" si="50"/>
        <v>0</v>
      </c>
      <c r="AW96" s="83">
        <f t="shared" si="50"/>
        <v>0</v>
      </c>
      <c r="AX96" s="83">
        <f t="shared" si="50"/>
        <v>0</v>
      </c>
      <c r="AY96" s="83">
        <f t="shared" si="50"/>
        <v>0</v>
      </c>
      <c r="AZ96" s="83">
        <f t="shared" si="50"/>
        <v>0</v>
      </c>
      <c r="BA96" s="83">
        <f t="shared" si="50"/>
        <v>0</v>
      </c>
      <c r="BB96" s="83">
        <f t="shared" si="50"/>
        <v>0</v>
      </c>
      <c r="BC96" s="83">
        <f t="shared" si="50"/>
        <v>0</v>
      </c>
      <c r="BD96" s="83">
        <f t="shared" si="50"/>
        <v>0</v>
      </c>
      <c r="BE96" s="83">
        <f t="shared" si="50"/>
        <v>0</v>
      </c>
      <c r="BF96" s="83">
        <f t="shared" si="50"/>
        <v>0</v>
      </c>
      <c r="BG96" s="83">
        <f t="shared" si="50"/>
        <v>0</v>
      </c>
      <c r="BH96" s="83">
        <f t="shared" si="50"/>
        <v>0</v>
      </c>
      <c r="BI96" s="83">
        <f t="shared" si="50"/>
        <v>0</v>
      </c>
      <c r="BJ96" s="83">
        <f t="shared" si="50"/>
        <v>0</v>
      </c>
      <c r="BK96" s="83">
        <f t="shared" si="50"/>
        <v>0</v>
      </c>
      <c r="BN96" s="83">
        <f t="shared" si="46"/>
        <v>0</v>
      </c>
    </row>
    <row r="97" spans="1:66" ht="15" thickBot="1" x14ac:dyDescent="0.4">
      <c r="A97" s="69" t="s">
        <v>44</v>
      </c>
      <c r="B97" s="70"/>
      <c r="C97" s="84">
        <f>C92+C93-C96</f>
        <v>0</v>
      </c>
      <c r="D97" s="85">
        <f t="shared" ref="D97:BK97" si="51">D92+D93-D96</f>
        <v>0</v>
      </c>
      <c r="E97" s="85">
        <f t="shared" si="51"/>
        <v>0</v>
      </c>
      <c r="F97" s="85">
        <f t="shared" si="51"/>
        <v>0</v>
      </c>
      <c r="G97" s="85">
        <f t="shared" si="51"/>
        <v>0</v>
      </c>
      <c r="H97" s="85">
        <f t="shared" si="51"/>
        <v>0</v>
      </c>
      <c r="I97" s="85">
        <f t="shared" si="51"/>
        <v>0</v>
      </c>
      <c r="J97" s="85">
        <f t="shared" si="51"/>
        <v>0</v>
      </c>
      <c r="K97" s="85">
        <f t="shared" si="51"/>
        <v>0</v>
      </c>
      <c r="L97" s="85">
        <f t="shared" si="51"/>
        <v>0</v>
      </c>
      <c r="M97" s="85">
        <f t="shared" si="51"/>
        <v>0</v>
      </c>
      <c r="N97" s="85">
        <f t="shared" si="51"/>
        <v>0</v>
      </c>
      <c r="O97" s="85">
        <f t="shared" si="51"/>
        <v>0</v>
      </c>
      <c r="P97" s="85">
        <f t="shared" si="51"/>
        <v>0</v>
      </c>
      <c r="Q97" s="85">
        <f t="shared" si="51"/>
        <v>0</v>
      </c>
      <c r="R97" s="85">
        <f t="shared" si="51"/>
        <v>0</v>
      </c>
      <c r="S97" s="85">
        <f t="shared" si="51"/>
        <v>0</v>
      </c>
      <c r="T97" s="85">
        <f t="shared" si="51"/>
        <v>0</v>
      </c>
      <c r="U97" s="85">
        <f t="shared" si="51"/>
        <v>0</v>
      </c>
      <c r="V97" s="85">
        <f t="shared" si="51"/>
        <v>0</v>
      </c>
      <c r="W97" s="85">
        <f t="shared" si="51"/>
        <v>0</v>
      </c>
      <c r="X97" s="85">
        <f t="shared" si="51"/>
        <v>140.8447647369</v>
      </c>
      <c r="Y97" s="85">
        <f t="shared" si="51"/>
        <v>140.8447647369</v>
      </c>
      <c r="Z97" s="85">
        <f t="shared" si="51"/>
        <v>140.8447647369</v>
      </c>
      <c r="AA97" s="85">
        <f t="shared" si="51"/>
        <v>140.8447647369</v>
      </c>
      <c r="AB97" s="85">
        <f t="shared" si="51"/>
        <v>140.8447647369</v>
      </c>
      <c r="AC97" s="85">
        <f t="shared" si="51"/>
        <v>140.8447647369</v>
      </c>
      <c r="AD97" s="85">
        <f t="shared" si="51"/>
        <v>140.8447647369</v>
      </c>
      <c r="AE97" s="85">
        <f t="shared" si="51"/>
        <v>140.8447647369</v>
      </c>
      <c r="AF97" s="85">
        <f t="shared" si="51"/>
        <v>140.8447647369</v>
      </c>
      <c r="AG97" s="85">
        <f t="shared" si="51"/>
        <v>140.8447647369</v>
      </c>
      <c r="AH97" s="85">
        <f t="shared" si="51"/>
        <v>140.8447647369</v>
      </c>
      <c r="AI97" s="85">
        <f t="shared" si="51"/>
        <v>140.8447647369</v>
      </c>
      <c r="AJ97" s="85">
        <f t="shared" si="51"/>
        <v>140.8447647369</v>
      </c>
      <c r="AK97" s="85">
        <f t="shared" si="51"/>
        <v>140.8447647369</v>
      </c>
      <c r="AL97" s="85">
        <f t="shared" si="51"/>
        <v>140.8447647369</v>
      </c>
      <c r="AM97" s="85">
        <f t="shared" si="51"/>
        <v>140.8447647369</v>
      </c>
      <c r="AN97" s="85">
        <f t="shared" si="51"/>
        <v>140.8447647369</v>
      </c>
      <c r="AO97" s="85">
        <f t="shared" si="51"/>
        <v>140.8447647369</v>
      </c>
      <c r="AP97" s="85">
        <f t="shared" si="51"/>
        <v>140.8447647369</v>
      </c>
      <c r="AQ97" s="85">
        <f t="shared" si="51"/>
        <v>140.8447647369</v>
      </c>
      <c r="AR97" s="85">
        <f t="shared" si="51"/>
        <v>140.8447647369</v>
      </c>
      <c r="AS97" s="85">
        <f t="shared" si="51"/>
        <v>140.8447647369</v>
      </c>
      <c r="AT97" s="85">
        <f t="shared" si="51"/>
        <v>140.8447647369</v>
      </c>
      <c r="AU97" s="85">
        <f t="shared" si="51"/>
        <v>140.8447647369</v>
      </c>
      <c r="AV97" s="85">
        <f t="shared" si="51"/>
        <v>140.8447647369</v>
      </c>
      <c r="AW97" s="85">
        <f t="shared" si="51"/>
        <v>140.8447647369</v>
      </c>
      <c r="AX97" s="85">
        <f t="shared" si="51"/>
        <v>140.8447647369</v>
      </c>
      <c r="AY97" s="85">
        <f t="shared" si="51"/>
        <v>140.8447647369</v>
      </c>
      <c r="AZ97" s="85">
        <f t="shared" si="51"/>
        <v>140.8447647369</v>
      </c>
      <c r="BA97" s="85">
        <f t="shared" si="51"/>
        <v>140.8447647369</v>
      </c>
      <c r="BB97" s="85">
        <f t="shared" si="51"/>
        <v>140.8447647369</v>
      </c>
      <c r="BC97" s="85">
        <f t="shared" si="51"/>
        <v>140.8447647369</v>
      </c>
      <c r="BD97" s="85">
        <f t="shared" si="51"/>
        <v>140.8447647369</v>
      </c>
      <c r="BE97" s="85">
        <f t="shared" si="51"/>
        <v>140.8447647369</v>
      </c>
      <c r="BF97" s="85">
        <f t="shared" si="51"/>
        <v>140.8447647369</v>
      </c>
      <c r="BG97" s="85">
        <f t="shared" si="51"/>
        <v>140.8447647369</v>
      </c>
      <c r="BH97" s="85">
        <f t="shared" si="51"/>
        <v>140.8447647369</v>
      </c>
      <c r="BI97" s="85">
        <f t="shared" si="51"/>
        <v>140.8447647369</v>
      </c>
      <c r="BJ97" s="85">
        <f t="shared" si="51"/>
        <v>140.8447647369</v>
      </c>
      <c r="BK97" s="85">
        <f t="shared" si="51"/>
        <v>140.8447647369</v>
      </c>
      <c r="BN97" s="85"/>
    </row>
    <row r="101" spans="1:66" x14ac:dyDescent="0.35">
      <c r="A101" s="86" t="s">
        <v>62</v>
      </c>
      <c r="B101" s="86"/>
      <c r="C101" s="87" t="s">
        <v>63</v>
      </c>
      <c r="D101" s="88" t="s">
        <v>64</v>
      </c>
    </row>
    <row r="102" spans="1:66" x14ac:dyDescent="0.35">
      <c r="A102" s="89"/>
      <c r="B102" s="89"/>
      <c r="C102" s="90"/>
      <c r="D102" s="89"/>
    </row>
    <row r="103" spans="1:66" x14ac:dyDescent="0.35">
      <c r="A103" s="91" t="s">
        <v>65</v>
      </c>
      <c r="B103" s="91"/>
      <c r="C103" s="92">
        <v>42915</v>
      </c>
      <c r="D103" s="93">
        <v>44910</v>
      </c>
    </row>
    <row r="104" spans="1:66" x14ac:dyDescent="0.35">
      <c r="A104" s="91" t="s">
        <v>66</v>
      </c>
      <c r="B104" s="91"/>
      <c r="C104" s="94">
        <f>C103+(5*365)</f>
        <v>44740</v>
      </c>
      <c r="D104" s="91"/>
    </row>
    <row r="105" spans="1:66" x14ac:dyDescent="0.35">
      <c r="A105" s="91"/>
      <c r="B105" s="91"/>
      <c r="C105" s="95"/>
      <c r="D105" s="91"/>
    </row>
    <row r="106" spans="1:66" x14ac:dyDescent="0.35">
      <c r="A106" s="91" t="s">
        <v>67</v>
      </c>
      <c r="B106" s="91" t="s">
        <v>68</v>
      </c>
      <c r="C106" s="96">
        <v>12219</v>
      </c>
      <c r="D106" s="97">
        <v>3683</v>
      </c>
    </row>
    <row r="107" spans="1:66" x14ac:dyDescent="0.35">
      <c r="A107" s="91" t="s">
        <v>69</v>
      </c>
      <c r="B107" s="91" t="s">
        <v>70</v>
      </c>
      <c r="C107" s="95">
        <v>212</v>
      </c>
      <c r="D107" s="91">
        <v>212</v>
      </c>
    </row>
    <row r="108" spans="1:66" x14ac:dyDescent="0.35">
      <c r="A108" s="91" t="s">
        <v>71</v>
      </c>
      <c r="B108" s="91" t="s">
        <v>72</v>
      </c>
      <c r="C108" s="98">
        <v>0.2</v>
      </c>
      <c r="D108" s="99">
        <v>0.2</v>
      </c>
    </row>
    <row r="109" spans="1:66" x14ac:dyDescent="0.35">
      <c r="A109" s="91" t="s">
        <v>73</v>
      </c>
      <c r="B109" s="91"/>
      <c r="C109" s="94">
        <f>C103+(365*3)</f>
        <v>44010</v>
      </c>
      <c r="D109" s="100">
        <f>D103+(365*3)</f>
        <v>46005</v>
      </c>
    </row>
    <row r="110" spans="1:66" x14ac:dyDescent="0.35">
      <c r="A110" s="91" t="s">
        <v>74</v>
      </c>
      <c r="B110" s="91"/>
      <c r="C110" s="94">
        <f>C109+(365*3)</f>
        <v>45105</v>
      </c>
      <c r="D110" s="100">
        <f>D109+(365*3)</f>
        <v>47100</v>
      </c>
    </row>
    <row r="111" spans="1:66" x14ac:dyDescent="0.35">
      <c r="A111" s="91" t="s">
        <v>75</v>
      </c>
      <c r="B111" s="91"/>
      <c r="C111" s="94">
        <f>C110+(365*3)</f>
        <v>46200</v>
      </c>
      <c r="D111" s="100">
        <f>D110+(365*3)</f>
        <v>48195</v>
      </c>
    </row>
    <row r="112" spans="1:66" x14ac:dyDescent="0.35">
      <c r="A112" s="91" t="s">
        <v>76</v>
      </c>
      <c r="B112" s="91" t="s">
        <v>77</v>
      </c>
      <c r="C112" s="98">
        <v>0.18</v>
      </c>
      <c r="D112" s="99">
        <v>0.18</v>
      </c>
    </row>
    <row r="113" spans="1:66" x14ac:dyDescent="0.35">
      <c r="A113" s="91"/>
      <c r="B113" s="91"/>
      <c r="C113" s="95"/>
      <c r="D113" s="91"/>
    </row>
    <row r="118" spans="1:66" x14ac:dyDescent="0.35">
      <c r="A118" s="13" t="s">
        <v>78</v>
      </c>
      <c r="D118" s="101"/>
      <c r="O118" t="s">
        <v>79</v>
      </c>
      <c r="R118" s="101">
        <f>B128-B126-B127</f>
        <v>215302</v>
      </c>
    </row>
    <row r="119" spans="1:66" ht="15" thickBot="1" x14ac:dyDescent="0.4">
      <c r="O119" t="s">
        <v>80</v>
      </c>
      <c r="R119" s="102">
        <f>V132/R118</f>
        <v>0.66046762222366717</v>
      </c>
    </row>
    <row r="120" spans="1:66" ht="15" thickBot="1" x14ac:dyDescent="0.4">
      <c r="A120" s="24"/>
      <c r="B120" s="24"/>
      <c r="C120" s="103"/>
      <c r="D120" s="104" t="s">
        <v>81</v>
      </c>
      <c r="E120" s="105"/>
      <c r="F120" s="105"/>
      <c r="G120" s="106"/>
      <c r="H120" s="24"/>
      <c r="I120" s="24"/>
      <c r="K120" s="107"/>
      <c r="L120" s="104" t="s">
        <v>82</v>
      </c>
      <c r="M120" s="105"/>
      <c r="N120" s="105"/>
      <c r="O120" s="106"/>
      <c r="P120" s="24"/>
      <c r="Q120" s="108"/>
      <c r="R120" s="108"/>
      <c r="S120" s="108"/>
      <c r="T120" s="108"/>
      <c r="U120" s="108"/>
      <c r="V120" s="108"/>
      <c r="W120" s="108"/>
      <c r="X120" s="108"/>
      <c r="Y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N120" s="108"/>
    </row>
    <row r="121" spans="1:66" ht="48.5" thickBot="1" x14ac:dyDescent="0.4">
      <c r="A121" s="109" t="s">
        <v>83</v>
      </c>
      <c r="B121" s="110" t="s">
        <v>84</v>
      </c>
      <c r="C121" s="111" t="s">
        <v>85</v>
      </c>
      <c r="D121" s="112" t="s">
        <v>86</v>
      </c>
      <c r="E121" s="112" t="s">
        <v>87</v>
      </c>
      <c r="F121" s="112" t="s">
        <v>88</v>
      </c>
      <c r="G121" s="112" t="s">
        <v>89</v>
      </c>
      <c r="H121" s="113" t="s">
        <v>90</v>
      </c>
      <c r="I121" s="113" t="s">
        <v>91</v>
      </c>
      <c r="K121" s="112" t="s">
        <v>92</v>
      </c>
      <c r="L121" s="112" t="s">
        <v>86</v>
      </c>
      <c r="M121" s="112" t="s">
        <v>87</v>
      </c>
      <c r="N121" s="112" t="s">
        <v>88</v>
      </c>
      <c r="O121" s="112" t="s">
        <v>89</v>
      </c>
      <c r="P121" s="113" t="s">
        <v>93</v>
      </c>
      <c r="Q121" s="113" t="s">
        <v>91</v>
      </c>
      <c r="R121" s="56"/>
      <c r="S121" s="114"/>
      <c r="T121" s="115" t="s">
        <v>94</v>
      </c>
      <c r="U121" s="116" t="s">
        <v>95</v>
      </c>
      <c r="V121" s="115" t="s">
        <v>96</v>
      </c>
      <c r="W121" s="115" t="s">
        <v>97</v>
      </c>
      <c r="X121" s="117" t="s">
        <v>98</v>
      </c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N121" s="56"/>
    </row>
    <row r="122" spans="1:66" x14ac:dyDescent="0.35">
      <c r="A122" s="118" t="s">
        <v>99</v>
      </c>
      <c r="B122" s="119">
        <v>52907</v>
      </c>
      <c r="C122" s="120">
        <v>52907</v>
      </c>
      <c r="D122" s="119">
        <f>V123+V125+V126</f>
        <v>10336.5</v>
      </c>
      <c r="E122" s="119">
        <f>C122-D122</f>
        <v>42570.5</v>
      </c>
      <c r="F122" s="119">
        <f>(X123+X125+X126)*10^5/(V123+V125+V126)</f>
        <v>109.6841290572244</v>
      </c>
      <c r="G122" s="119">
        <v>185</v>
      </c>
      <c r="H122" s="119">
        <f>IFERROR((F122*D122+E122*G122)/C122,0)</f>
        <v>170.28545372067967</v>
      </c>
      <c r="I122" s="119">
        <f>H122*C122/10^5</f>
        <v>90.092924999999994</v>
      </c>
      <c r="J122" s="121"/>
      <c r="K122" s="122">
        <f>B122-C122</f>
        <v>0</v>
      </c>
      <c r="L122" s="119"/>
      <c r="M122" s="119">
        <f t="shared" ref="M122:M127" si="52">K122-L122</f>
        <v>0</v>
      </c>
      <c r="N122" s="119"/>
      <c r="O122" s="119"/>
      <c r="P122" s="119">
        <f>IFERROR((N122*L122+M122*O122)/K122,0)</f>
        <v>0</v>
      </c>
      <c r="Q122" s="119">
        <f>P122*K122/10^5</f>
        <v>0</v>
      </c>
      <c r="R122" s="56"/>
      <c r="S122" s="123"/>
      <c r="T122" s="124"/>
      <c r="U122" s="125"/>
      <c r="V122" s="125"/>
      <c r="W122" s="125"/>
      <c r="X122" s="12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N122" s="56"/>
    </row>
    <row r="123" spans="1:66" x14ac:dyDescent="0.35">
      <c r="A123" s="127" t="s">
        <v>100</v>
      </c>
      <c r="B123" s="122">
        <f>52907+684</f>
        <v>53591</v>
      </c>
      <c r="C123" s="128">
        <v>6307.5</v>
      </c>
      <c r="D123" s="122">
        <f>V124</f>
        <v>6307.5</v>
      </c>
      <c r="E123" s="122">
        <f>C123-D123</f>
        <v>0</v>
      </c>
      <c r="F123" s="122">
        <f>W124</f>
        <v>67.380103051922319</v>
      </c>
      <c r="G123" s="122"/>
      <c r="H123" s="122">
        <f>IFERROR((F123*D123+E123*G123)/C123,0)</f>
        <v>67.380103051922319</v>
      </c>
      <c r="I123" s="122">
        <f>H123*C123/10^5</f>
        <v>4.25</v>
      </c>
      <c r="J123" s="121"/>
      <c r="K123" s="122">
        <f>B123-C123</f>
        <v>47283.5</v>
      </c>
      <c r="L123" s="122">
        <f>V128+V129+V130</f>
        <v>47283</v>
      </c>
      <c r="M123" s="122">
        <f t="shared" si="52"/>
        <v>0.5</v>
      </c>
      <c r="N123" s="122">
        <f>(X128+X129+X130)*10^5/(V128+V129+V130)</f>
        <v>170.09443140240677</v>
      </c>
      <c r="O123" s="122">
        <v>185</v>
      </c>
      <c r="P123" s="122">
        <f t="shared" ref="P123:P128" si="53">IFERROR((N123*L123+M123*O123)/K123,0)</f>
        <v>170.09458902154026</v>
      </c>
      <c r="Q123" s="122">
        <f t="shared" ref="Q123:Q127" si="54">P123*K123/10^5</f>
        <v>80.426674999999989</v>
      </c>
      <c r="R123" s="56"/>
      <c r="S123" s="129" t="s">
        <v>101</v>
      </c>
      <c r="T123" s="130" t="s">
        <v>102</v>
      </c>
      <c r="U123" s="131" t="s">
        <v>103</v>
      </c>
      <c r="V123" s="132">
        <f>12615*50%</f>
        <v>6307.5</v>
      </c>
      <c r="W123" s="132">
        <f>8.5*10^5/12615</f>
        <v>67.380103051922319</v>
      </c>
      <c r="X123" s="133">
        <f>V123*W123/10^5</f>
        <v>4.25</v>
      </c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N123" s="56"/>
    </row>
    <row r="124" spans="1:66" x14ac:dyDescent="0.35">
      <c r="A124" s="127" t="s">
        <v>104</v>
      </c>
      <c r="B124" s="122">
        <v>54402</v>
      </c>
      <c r="C124" s="128"/>
      <c r="D124" s="122"/>
      <c r="E124" s="122">
        <f>C124-D124</f>
        <v>0</v>
      </c>
      <c r="F124" s="122"/>
      <c r="G124" s="122"/>
      <c r="H124" s="122">
        <f>IFERROR((F124*D124+E124*G124)/C124,0)</f>
        <v>0</v>
      </c>
      <c r="I124" s="122">
        <f>H124*C124/10^5</f>
        <v>0</v>
      </c>
      <c r="J124" s="121"/>
      <c r="K124" s="122">
        <f>B124-C124</f>
        <v>54402</v>
      </c>
      <c r="L124" s="122">
        <f>V127</f>
        <v>54402</v>
      </c>
      <c r="M124" s="122">
        <f t="shared" si="52"/>
        <v>0</v>
      </c>
      <c r="N124" s="122">
        <f>W127</f>
        <v>197</v>
      </c>
      <c r="O124" s="122">
        <v>185</v>
      </c>
      <c r="P124" s="122">
        <f t="shared" si="53"/>
        <v>197</v>
      </c>
      <c r="Q124" s="122">
        <f t="shared" si="54"/>
        <v>107.17194000000001</v>
      </c>
      <c r="R124" s="56"/>
      <c r="S124" s="134"/>
      <c r="T124" s="130" t="s">
        <v>102</v>
      </c>
      <c r="U124" s="131" t="s">
        <v>105</v>
      </c>
      <c r="V124" s="132">
        <f>12615*50%</f>
        <v>6307.5</v>
      </c>
      <c r="W124" s="132">
        <f>8.5*10^5/12615</f>
        <v>67.380103051922319</v>
      </c>
      <c r="X124" s="133">
        <f t="shared" ref="X124:X131" si="55">V124*W124/10^5</f>
        <v>4.25</v>
      </c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N124" s="56"/>
    </row>
    <row r="125" spans="1:66" x14ac:dyDescent="0.35">
      <c r="A125" s="127" t="s">
        <v>106</v>
      </c>
      <c r="B125" s="122">
        <v>54402</v>
      </c>
      <c r="C125" s="128"/>
      <c r="D125" s="122"/>
      <c r="E125" s="122">
        <f>C125-D125</f>
        <v>0</v>
      </c>
      <c r="F125" s="122"/>
      <c r="G125" s="122"/>
      <c r="H125" s="122">
        <f>IFERROR((F125*D125+E125*G125)/C125,0)</f>
        <v>0</v>
      </c>
      <c r="I125" s="122">
        <f>H125*C125/10^5</f>
        <v>0</v>
      </c>
      <c r="J125" s="121"/>
      <c r="K125" s="122">
        <f>B125-C125</f>
        <v>54402</v>
      </c>
      <c r="L125" s="122">
        <f>V131</f>
        <v>23871</v>
      </c>
      <c r="M125" s="122">
        <f t="shared" si="52"/>
        <v>30531</v>
      </c>
      <c r="N125" s="122">
        <f>W131</f>
        <v>215</v>
      </c>
      <c r="O125" s="122">
        <v>215</v>
      </c>
      <c r="P125" s="122">
        <f t="shared" si="53"/>
        <v>215</v>
      </c>
      <c r="Q125" s="122">
        <f t="shared" si="54"/>
        <v>116.96429999999999</v>
      </c>
      <c r="R125" s="56"/>
      <c r="S125" s="135" t="s">
        <v>107</v>
      </c>
      <c r="T125" s="130" t="s">
        <v>102</v>
      </c>
      <c r="U125" s="131" t="s">
        <v>103</v>
      </c>
      <c r="V125" s="132">
        <v>1952</v>
      </c>
      <c r="W125" s="132">
        <f>3.75*10^5/V125</f>
        <v>192.11065573770492</v>
      </c>
      <c r="X125" s="133">
        <f t="shared" si="55"/>
        <v>3.75</v>
      </c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N125" s="56"/>
    </row>
    <row r="126" spans="1:66" x14ac:dyDescent="0.35">
      <c r="A126" s="127" t="s">
        <v>108</v>
      </c>
      <c r="B126" s="122">
        <v>54402</v>
      </c>
      <c r="C126" s="128"/>
      <c r="D126" s="122"/>
      <c r="E126" s="122">
        <f>C126-D126</f>
        <v>0</v>
      </c>
      <c r="F126" s="122"/>
      <c r="G126" s="122"/>
      <c r="H126" s="122">
        <f>IFERROR((F126*D126+E126*G126)/C126,0)</f>
        <v>0</v>
      </c>
      <c r="I126" s="122">
        <f>H126*C126/10^5</f>
        <v>0</v>
      </c>
      <c r="J126" s="121"/>
      <c r="K126" s="122">
        <f>B126-C126</f>
        <v>54402</v>
      </c>
      <c r="L126" s="122"/>
      <c r="M126" s="122">
        <f t="shared" si="52"/>
        <v>54402</v>
      </c>
      <c r="N126" s="122"/>
      <c r="O126" s="122">
        <v>225</v>
      </c>
      <c r="P126" s="122">
        <f t="shared" si="53"/>
        <v>225</v>
      </c>
      <c r="Q126" s="122">
        <f t="shared" si="54"/>
        <v>122.4045</v>
      </c>
      <c r="R126" s="56"/>
      <c r="S126" s="135" t="s">
        <v>109</v>
      </c>
      <c r="T126" s="130" t="s">
        <v>102</v>
      </c>
      <c r="U126" s="131" t="s">
        <v>103</v>
      </c>
      <c r="V126" s="132">
        <v>2077</v>
      </c>
      <c r="W126" s="132">
        <f>250*1335/V126</f>
        <v>160.68849301877708</v>
      </c>
      <c r="X126" s="133">
        <f t="shared" si="55"/>
        <v>3.3374999999999999</v>
      </c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N126" s="56"/>
    </row>
    <row r="127" spans="1:66" x14ac:dyDescent="0.35">
      <c r="A127" s="127" t="s">
        <v>110</v>
      </c>
      <c r="B127" s="122">
        <v>21792.492709000002</v>
      </c>
      <c r="C127" s="128"/>
      <c r="D127" s="122"/>
      <c r="E127" s="122">
        <f>C127-D127</f>
        <v>0</v>
      </c>
      <c r="F127" s="122"/>
      <c r="G127" s="122"/>
      <c r="H127" s="122">
        <f>IFERROR((F127*D127+E127*G127)/C127,0)</f>
        <v>0</v>
      </c>
      <c r="I127" s="122">
        <f>H127*C127/10^5</f>
        <v>0</v>
      </c>
      <c r="J127" s="121"/>
      <c r="K127" s="122">
        <f>B127</f>
        <v>21792.492709000002</v>
      </c>
      <c r="L127" s="122"/>
      <c r="M127" s="122">
        <f t="shared" si="52"/>
        <v>21792.492709000002</v>
      </c>
      <c r="N127" s="122"/>
      <c r="O127" s="122">
        <v>250</v>
      </c>
      <c r="P127" s="122">
        <f t="shared" si="53"/>
        <v>250</v>
      </c>
      <c r="Q127" s="122">
        <f t="shared" si="54"/>
        <v>54.48123177250001</v>
      </c>
      <c r="R127" s="56"/>
      <c r="S127" s="135" t="s">
        <v>111</v>
      </c>
      <c r="T127" s="130" t="s">
        <v>112</v>
      </c>
      <c r="U127" s="131" t="s">
        <v>113</v>
      </c>
      <c r="V127" s="132">
        <v>54402</v>
      </c>
      <c r="W127" s="132">
        <v>197</v>
      </c>
      <c r="X127" s="133">
        <f t="shared" si="55"/>
        <v>107.17194000000001</v>
      </c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N127" s="56"/>
    </row>
    <row r="128" spans="1:66" x14ac:dyDescent="0.35">
      <c r="A128" s="127" t="s">
        <v>21</v>
      </c>
      <c r="B128" s="136">
        <f>SUM(B122:B127)</f>
        <v>291496.49270900001</v>
      </c>
      <c r="C128" s="137">
        <f>SUM(C122:C127)</f>
        <v>59214.5</v>
      </c>
      <c r="D128" s="136">
        <f>SUM(D122:D127)</f>
        <v>16644</v>
      </c>
      <c r="E128" s="136">
        <f>SUM(E122:E127)</f>
        <v>42570.5</v>
      </c>
      <c r="F128" s="136">
        <f>SUMPRODUCT(F122:F127,D122:D127)/D128</f>
        <v>93.652367219418409</v>
      </c>
      <c r="G128" s="136">
        <f>SUMPRODUCT(G122:G127,E122:E127)/E128</f>
        <v>185</v>
      </c>
      <c r="H128" s="136">
        <f>IFERROR((F128*D128+E128*G128)/C128,0)</f>
        <v>159.3240253654088</v>
      </c>
      <c r="I128" s="136">
        <f>SUM(I122:I127)</f>
        <v>94.342924999999994</v>
      </c>
      <c r="K128" s="136">
        <f>SUM(K122:K127)</f>
        <v>232281.99270900001</v>
      </c>
      <c r="L128" s="136">
        <f>SUM(L122:L127)</f>
        <v>125556</v>
      </c>
      <c r="M128" s="136">
        <f>SUM(M122:M127)</f>
        <v>106725.992709</v>
      </c>
      <c r="N128" s="136">
        <f>SUMPRODUCT(N122:N127,L122:L127)/L128</f>
        <v>190.28986269075153</v>
      </c>
      <c r="O128" s="136">
        <f>SUMPRODUCT(O122:O127,M122:M127)/M128</f>
        <v>227.24389871339005</v>
      </c>
      <c r="P128" s="136">
        <f t="shared" si="53"/>
        <v>207.26903586351304</v>
      </c>
      <c r="Q128" s="136">
        <f>SUM(Q122:Q127)</f>
        <v>481.44864677249996</v>
      </c>
      <c r="R128" s="56"/>
      <c r="S128" s="135" t="s">
        <v>114</v>
      </c>
      <c r="T128" s="130" t="s">
        <v>112</v>
      </c>
      <c r="U128" s="131" t="s">
        <v>105</v>
      </c>
      <c r="V128" s="132">
        <v>23195</v>
      </c>
      <c r="W128" s="132">
        <v>165</v>
      </c>
      <c r="X128" s="133">
        <f t="shared" si="55"/>
        <v>38.271749999999997</v>
      </c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N128" s="56"/>
    </row>
    <row r="129" spans="1:66" x14ac:dyDescent="0.35">
      <c r="A129" s="138"/>
      <c r="B129" s="139"/>
      <c r="C129" s="140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56"/>
      <c r="Q129" s="141">
        <f>Q128-Q127-Q126</f>
        <v>304.56291499999998</v>
      </c>
      <c r="R129" s="56"/>
      <c r="S129" s="135" t="s">
        <v>114</v>
      </c>
      <c r="T129" s="130" t="s">
        <v>112</v>
      </c>
      <c r="U129" s="131" t="s">
        <v>105</v>
      </c>
      <c r="V129" s="132">
        <v>7380</v>
      </c>
      <c r="W129" s="132">
        <v>175</v>
      </c>
      <c r="X129" s="133">
        <f t="shared" si="55"/>
        <v>12.914999999999999</v>
      </c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N129" s="56"/>
    </row>
    <row r="130" spans="1:66" s="13" customFormat="1" x14ac:dyDescent="0.35">
      <c r="A130" s="142" t="s">
        <v>115</v>
      </c>
      <c r="B130" s="143"/>
      <c r="C130" s="144"/>
      <c r="D130" s="142"/>
      <c r="E130" s="143"/>
      <c r="F130" s="145">
        <f>(D128*F128+N128*L128)/(D128+L128)</f>
        <v>178.97879043600562</v>
      </c>
      <c r="G130" s="145">
        <f>(E128*G128+O128*M128)/(E128+M128)</f>
        <v>215.19844568534336</v>
      </c>
      <c r="H130" s="146">
        <f>(H128*C128+K128*P128)/B128</f>
        <v>197.52950247237135</v>
      </c>
      <c r="I130" s="143"/>
      <c r="J130" s="142"/>
      <c r="K130" s="142"/>
      <c r="L130" s="142"/>
      <c r="M130" s="143"/>
      <c r="N130" s="142"/>
      <c r="O130" s="142">
        <f>3.6*12</f>
        <v>43.2</v>
      </c>
      <c r="P130" s="50"/>
      <c r="Q130" s="147">
        <f>I128-I127-I126</f>
        <v>94.342924999999994</v>
      </c>
      <c r="R130" s="50"/>
      <c r="S130" s="127" t="s">
        <v>116</v>
      </c>
      <c r="T130" s="148" t="s">
        <v>112</v>
      </c>
      <c r="U130" s="149" t="s">
        <v>105</v>
      </c>
      <c r="V130" s="150">
        <v>16708</v>
      </c>
      <c r="W130" s="150">
        <v>175</v>
      </c>
      <c r="X130" s="151">
        <f t="shared" si="55"/>
        <v>29.239000000000001</v>
      </c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N130" s="50"/>
    </row>
    <row r="131" spans="1:66" ht="15" thickBot="1" x14ac:dyDescent="0.4">
      <c r="A131" s="138"/>
      <c r="B131" s="139"/>
      <c r="C131" s="140"/>
      <c r="D131" s="138"/>
      <c r="E131" s="139"/>
      <c r="F131" s="138"/>
      <c r="G131" s="138"/>
      <c r="H131" s="138"/>
      <c r="I131" s="139"/>
      <c r="J131" s="138"/>
      <c r="K131" s="138"/>
      <c r="L131" s="138"/>
      <c r="M131" s="139"/>
      <c r="N131" s="138"/>
      <c r="O131" s="138"/>
      <c r="P131" s="56"/>
      <c r="Q131" s="141"/>
      <c r="R131" s="56"/>
      <c r="S131" s="135" t="s">
        <v>116</v>
      </c>
      <c r="T131" s="130" t="s">
        <v>112</v>
      </c>
      <c r="U131" s="131" t="s">
        <v>117</v>
      </c>
      <c r="V131" s="132">
        <v>23871</v>
      </c>
      <c r="W131" s="132">
        <v>215</v>
      </c>
      <c r="X131" s="133">
        <f t="shared" si="55"/>
        <v>51.322650000000003</v>
      </c>
      <c r="Y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N131" s="56"/>
    </row>
    <row r="132" spans="1:66" ht="15" thickBot="1" x14ac:dyDescent="0.4">
      <c r="A132" s="138"/>
      <c r="B132" s="139"/>
      <c r="C132" s="140"/>
      <c r="D132" s="138"/>
      <c r="E132" s="139"/>
      <c r="F132" s="138"/>
      <c r="G132" s="138"/>
      <c r="H132" s="138"/>
      <c r="I132" s="138"/>
      <c r="J132" s="138"/>
      <c r="K132" s="138"/>
      <c r="L132" s="138"/>
      <c r="M132" s="139"/>
      <c r="N132" s="138"/>
      <c r="O132" s="138"/>
      <c r="P132" s="56"/>
      <c r="Q132" s="141"/>
      <c r="R132" s="56"/>
      <c r="S132" s="152" t="s">
        <v>21</v>
      </c>
      <c r="T132" s="153"/>
      <c r="U132" s="154"/>
      <c r="V132" s="155">
        <f>SUM(V123:V131)</f>
        <v>142200</v>
      </c>
      <c r="W132" s="155">
        <f>X132*10^5/V132</f>
        <v>178.97879043600562</v>
      </c>
      <c r="X132" s="156">
        <f>SUM(X123:X131)</f>
        <v>254.50784000000002</v>
      </c>
      <c r="Y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N132" s="56"/>
    </row>
    <row r="133" spans="1:66" x14ac:dyDescent="0.35">
      <c r="A133" s="138"/>
      <c r="B133" s="139"/>
      <c r="C133" s="140"/>
      <c r="D133" s="138"/>
      <c r="E133" s="139"/>
      <c r="F133" s="138"/>
      <c r="G133" s="138"/>
      <c r="H133" s="138"/>
      <c r="I133" s="138"/>
      <c r="J133" s="138"/>
      <c r="K133" s="138"/>
      <c r="L133" s="138"/>
      <c r="M133" s="139"/>
      <c r="N133" s="138"/>
      <c r="O133" s="138"/>
      <c r="P133" s="56"/>
      <c r="Q133" s="141"/>
      <c r="R133" s="56"/>
      <c r="Y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N133" s="56"/>
    </row>
    <row r="134" spans="1:66" x14ac:dyDescent="0.35">
      <c r="A134" s="138"/>
      <c r="B134" s="139"/>
      <c r="C134" s="140"/>
      <c r="D134" s="138"/>
      <c r="E134" s="139"/>
      <c r="F134" s="138"/>
      <c r="G134" s="138"/>
      <c r="H134" s="138"/>
      <c r="I134" s="138"/>
      <c r="J134" s="138"/>
      <c r="K134" s="138"/>
      <c r="L134" s="138"/>
      <c r="M134" s="139"/>
      <c r="N134" s="138"/>
      <c r="O134" s="138"/>
      <c r="P134" s="56"/>
      <c r="Q134" s="141"/>
      <c r="R134" s="56"/>
      <c r="Y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N134" s="56"/>
    </row>
    <row r="135" spans="1:66" x14ac:dyDescent="0.35">
      <c r="A135" s="138"/>
      <c r="B135" s="139"/>
      <c r="C135" s="140"/>
      <c r="D135" s="138"/>
      <c r="E135" s="139"/>
      <c r="F135" s="138"/>
      <c r="G135" s="138"/>
      <c r="H135" s="138"/>
      <c r="I135" s="138"/>
      <c r="J135" s="138"/>
      <c r="K135" s="138"/>
      <c r="L135" s="138"/>
      <c r="M135" s="139"/>
      <c r="N135" s="138"/>
      <c r="O135" s="138"/>
      <c r="P135" s="56"/>
      <c r="Q135" s="141"/>
      <c r="R135" s="56"/>
      <c r="Y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N135" s="56"/>
    </row>
    <row r="136" spans="1:66" x14ac:dyDescent="0.35">
      <c r="A136" s="56"/>
      <c r="B136" s="56"/>
      <c r="C136" s="57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N136" s="56"/>
    </row>
    <row r="137" spans="1:66" x14ac:dyDescent="0.35">
      <c r="A137" s="50"/>
      <c r="B137" s="56"/>
      <c r="C137" s="157"/>
      <c r="D137" s="158">
        <f>D2</f>
        <v>1</v>
      </c>
      <c r="E137" s="158">
        <f>E2</f>
        <v>2</v>
      </c>
      <c r="F137" s="158">
        <f>F2</f>
        <v>3</v>
      </c>
      <c r="G137" s="158">
        <f>G2</f>
        <v>4</v>
      </c>
      <c r="H137" s="158">
        <f>H2</f>
        <v>5</v>
      </c>
      <c r="I137" s="158">
        <f>I2</f>
        <v>6</v>
      </c>
      <c r="J137" s="158">
        <f>J2</f>
        <v>7</v>
      </c>
      <c r="K137" s="158">
        <f>K2</f>
        <v>8</v>
      </c>
      <c r="L137" s="158">
        <f>L2</f>
        <v>9</v>
      </c>
      <c r="M137" s="158">
        <f>M2</f>
        <v>10</v>
      </c>
      <c r="N137" s="158">
        <f>N2</f>
        <v>11</v>
      </c>
      <c r="O137" s="158">
        <f>O2</f>
        <v>12</v>
      </c>
      <c r="P137" s="158">
        <f>P2</f>
        <v>13</v>
      </c>
      <c r="Q137" s="158">
        <f>Q2</f>
        <v>14</v>
      </c>
      <c r="R137" s="158">
        <f>R2</f>
        <v>15</v>
      </c>
      <c r="S137" s="158">
        <f>S2</f>
        <v>16</v>
      </c>
      <c r="T137" s="158">
        <f>T2</f>
        <v>17</v>
      </c>
      <c r="U137" s="158">
        <f>U2</f>
        <v>18</v>
      </c>
      <c r="V137" s="158">
        <f>V2</f>
        <v>19</v>
      </c>
      <c r="W137" s="158">
        <f>W2</f>
        <v>20</v>
      </c>
      <c r="X137" s="158">
        <f>X2</f>
        <v>21</v>
      </c>
      <c r="Y137" s="158">
        <f>Y2</f>
        <v>22</v>
      </c>
      <c r="Z137" s="158">
        <f>Z2</f>
        <v>23</v>
      </c>
      <c r="AA137" s="158">
        <f>AA2</f>
        <v>24</v>
      </c>
      <c r="AB137" s="158">
        <f>AB2</f>
        <v>25</v>
      </c>
      <c r="AC137" s="158">
        <f>AC2</f>
        <v>26</v>
      </c>
      <c r="AD137" s="158">
        <f>AD2</f>
        <v>27</v>
      </c>
      <c r="AE137" s="158">
        <f>AE2</f>
        <v>28</v>
      </c>
      <c r="AF137" s="158">
        <f>AF2</f>
        <v>29</v>
      </c>
      <c r="AG137" s="158">
        <f>AG2</f>
        <v>30</v>
      </c>
      <c r="AH137" s="158">
        <f>AH2</f>
        <v>31</v>
      </c>
      <c r="AI137" s="158">
        <f>AI2</f>
        <v>32</v>
      </c>
      <c r="AJ137" s="158">
        <f>AJ2</f>
        <v>33</v>
      </c>
      <c r="AK137" s="158">
        <f>AK2</f>
        <v>34</v>
      </c>
      <c r="AL137" s="158">
        <f>AL2</f>
        <v>35</v>
      </c>
      <c r="AM137" s="158">
        <f>AM2</f>
        <v>36</v>
      </c>
      <c r="AN137" s="158">
        <f>AN2</f>
        <v>37</v>
      </c>
      <c r="AO137" s="158">
        <f>AO2</f>
        <v>38</v>
      </c>
      <c r="AP137" s="158">
        <f>AP2</f>
        <v>39</v>
      </c>
      <c r="AQ137" s="158">
        <f>AQ2</f>
        <v>40</v>
      </c>
      <c r="AR137" s="158">
        <f>AR2</f>
        <v>41</v>
      </c>
      <c r="AS137" s="158">
        <f>AS2</f>
        <v>42</v>
      </c>
      <c r="AT137" s="158">
        <f>AT2</f>
        <v>43</v>
      </c>
      <c r="AU137" s="158">
        <f>AU2</f>
        <v>44</v>
      </c>
      <c r="AV137" s="158">
        <f>AV2</f>
        <v>45</v>
      </c>
      <c r="AW137" s="158">
        <f>AW2</f>
        <v>46</v>
      </c>
      <c r="AX137" s="158">
        <f>AX2</f>
        <v>47</v>
      </c>
      <c r="AY137" s="158">
        <f>AY2</f>
        <v>48</v>
      </c>
      <c r="AZ137" s="158">
        <f>AZ2</f>
        <v>49</v>
      </c>
      <c r="BA137" s="158">
        <f>BA2</f>
        <v>50</v>
      </c>
      <c r="BB137" s="158">
        <f>BB2</f>
        <v>51</v>
      </c>
      <c r="BC137" s="158">
        <f>BC2</f>
        <v>52</v>
      </c>
      <c r="BD137" s="158">
        <f>BD2</f>
        <v>53</v>
      </c>
      <c r="BE137" s="158">
        <f>BE2</f>
        <v>54</v>
      </c>
      <c r="BF137" s="158">
        <f>BF2</f>
        <v>55</v>
      </c>
      <c r="BG137" s="158">
        <f>BG2</f>
        <v>56</v>
      </c>
      <c r="BH137" s="158">
        <f>BH2</f>
        <v>57</v>
      </c>
      <c r="BI137" s="158">
        <f>BI2</f>
        <v>58</v>
      </c>
      <c r="BJ137" s="158">
        <f>BJ2</f>
        <v>59</v>
      </c>
      <c r="BK137" s="158">
        <f>BK2</f>
        <v>60</v>
      </c>
      <c r="BN137" s="158"/>
    </row>
    <row r="138" spans="1:66" x14ac:dyDescent="0.35">
      <c r="A138" s="159"/>
      <c r="B138" s="160" t="s">
        <v>118</v>
      </c>
      <c r="C138" s="161"/>
      <c r="D138" s="162">
        <f>D3</f>
        <v>45017</v>
      </c>
      <c r="E138" s="162">
        <f>E3</f>
        <v>45047</v>
      </c>
      <c r="F138" s="162">
        <f>F3</f>
        <v>45078</v>
      </c>
      <c r="G138" s="162">
        <f>G3</f>
        <v>45108</v>
      </c>
      <c r="H138" s="162">
        <f>H3</f>
        <v>45139</v>
      </c>
      <c r="I138" s="162">
        <f>I3</f>
        <v>45170</v>
      </c>
      <c r="J138" s="162">
        <f>J3</f>
        <v>45200</v>
      </c>
      <c r="K138" s="162">
        <f>K3</f>
        <v>45231</v>
      </c>
      <c r="L138" s="162">
        <f>L3</f>
        <v>45261</v>
      </c>
      <c r="M138" s="162">
        <f>M3</f>
        <v>45292</v>
      </c>
      <c r="N138" s="162">
        <f>N3</f>
        <v>45323</v>
      </c>
      <c r="O138" s="162">
        <f>O3</f>
        <v>45352</v>
      </c>
      <c r="P138" s="162">
        <f>P3</f>
        <v>45383</v>
      </c>
      <c r="Q138" s="162">
        <f>Q3</f>
        <v>45413</v>
      </c>
      <c r="R138" s="162">
        <f>R3</f>
        <v>45444</v>
      </c>
      <c r="S138" s="162">
        <f>S3</f>
        <v>45474</v>
      </c>
      <c r="T138" s="162">
        <f>T3</f>
        <v>45505</v>
      </c>
      <c r="U138" s="162">
        <f>U3</f>
        <v>45536</v>
      </c>
      <c r="V138" s="162">
        <f>V3</f>
        <v>45566</v>
      </c>
      <c r="W138" s="162">
        <f>W3</f>
        <v>45597</v>
      </c>
      <c r="X138" s="162">
        <f>X3</f>
        <v>45627</v>
      </c>
      <c r="Y138" s="162">
        <f>Y3</f>
        <v>45658</v>
      </c>
      <c r="Z138" s="162">
        <f>Z3</f>
        <v>45689</v>
      </c>
      <c r="AA138" s="162">
        <f>AA3</f>
        <v>45717</v>
      </c>
      <c r="AB138" s="162">
        <f>AB3</f>
        <v>45748</v>
      </c>
      <c r="AC138" s="162">
        <f>AC3</f>
        <v>45778</v>
      </c>
      <c r="AD138" s="162">
        <f>AD3</f>
        <v>45809</v>
      </c>
      <c r="AE138" s="162">
        <f>AE3</f>
        <v>45839</v>
      </c>
      <c r="AF138" s="162">
        <f>AF3</f>
        <v>45870</v>
      </c>
      <c r="AG138" s="162">
        <f>AG3</f>
        <v>45901</v>
      </c>
      <c r="AH138" s="162">
        <f>AH3</f>
        <v>45931</v>
      </c>
      <c r="AI138" s="162">
        <f>AI3</f>
        <v>45962</v>
      </c>
      <c r="AJ138" s="162">
        <f>AJ3</f>
        <v>45992</v>
      </c>
      <c r="AK138" s="162">
        <f>AK3</f>
        <v>46023</v>
      </c>
      <c r="AL138" s="162">
        <f>AL3</f>
        <v>46054</v>
      </c>
      <c r="AM138" s="162">
        <f>AM3</f>
        <v>46082</v>
      </c>
      <c r="AN138" s="162">
        <f>AN3</f>
        <v>46113</v>
      </c>
      <c r="AO138" s="162">
        <f>AO3</f>
        <v>46143</v>
      </c>
      <c r="AP138" s="162">
        <f>AP3</f>
        <v>46174</v>
      </c>
      <c r="AQ138" s="162">
        <f>AQ3</f>
        <v>46204</v>
      </c>
      <c r="AR138" s="162">
        <f>AR3</f>
        <v>46235</v>
      </c>
      <c r="AS138" s="162">
        <f>AS3</f>
        <v>46266</v>
      </c>
      <c r="AT138" s="162">
        <f>AT3</f>
        <v>46296</v>
      </c>
      <c r="AU138" s="162">
        <f>AU3</f>
        <v>46327</v>
      </c>
      <c r="AV138" s="162">
        <f>AV3</f>
        <v>46357</v>
      </c>
      <c r="AW138" s="162">
        <f>AW3</f>
        <v>46388</v>
      </c>
      <c r="AX138" s="162">
        <f>AX3</f>
        <v>46419</v>
      </c>
      <c r="AY138" s="162">
        <f>AY3</f>
        <v>46447</v>
      </c>
      <c r="AZ138" s="162">
        <f>AZ3</f>
        <v>46478</v>
      </c>
      <c r="BA138" s="162">
        <f>BA3</f>
        <v>46508</v>
      </c>
      <c r="BB138" s="162">
        <f>BB3</f>
        <v>46539</v>
      </c>
      <c r="BC138" s="162">
        <f>BC3</f>
        <v>46569</v>
      </c>
      <c r="BD138" s="162">
        <f>BD3</f>
        <v>46600</v>
      </c>
      <c r="BE138" s="162">
        <f>BE3</f>
        <v>46631</v>
      </c>
      <c r="BF138" s="162">
        <f>BF3</f>
        <v>46661</v>
      </c>
      <c r="BG138" s="162">
        <f>BG3</f>
        <v>46692</v>
      </c>
      <c r="BH138" s="162">
        <f>BH3</f>
        <v>46722</v>
      </c>
      <c r="BI138" s="162">
        <f>BI3</f>
        <v>46753</v>
      </c>
      <c r="BJ138" s="162">
        <f>BJ3</f>
        <v>46784</v>
      </c>
      <c r="BK138" s="162">
        <f>BK3</f>
        <v>46813</v>
      </c>
      <c r="BN138" s="162"/>
    </row>
    <row r="139" spans="1:66" x14ac:dyDescent="0.35">
      <c r="A139" s="159"/>
      <c r="B139" s="163" t="s">
        <v>119</v>
      </c>
      <c r="C139" s="161" t="s">
        <v>50</v>
      </c>
      <c r="D139" s="162">
        <f>D4</f>
        <v>45046</v>
      </c>
      <c r="E139" s="162">
        <f>E4</f>
        <v>45077</v>
      </c>
      <c r="F139" s="162">
        <f>F4</f>
        <v>45107</v>
      </c>
      <c r="G139" s="162">
        <f>G4</f>
        <v>45138</v>
      </c>
      <c r="H139" s="162">
        <f>H4</f>
        <v>45169</v>
      </c>
      <c r="I139" s="162">
        <f>I4</f>
        <v>45199</v>
      </c>
      <c r="J139" s="162">
        <f>J4</f>
        <v>45230</v>
      </c>
      <c r="K139" s="162">
        <f>K4</f>
        <v>45260</v>
      </c>
      <c r="L139" s="162">
        <f>L4</f>
        <v>45291</v>
      </c>
      <c r="M139" s="162">
        <f>M4</f>
        <v>45322</v>
      </c>
      <c r="N139" s="162">
        <f>N4</f>
        <v>45351</v>
      </c>
      <c r="O139" s="162">
        <f>O4</f>
        <v>45382</v>
      </c>
      <c r="P139" s="162">
        <f>P4</f>
        <v>45412</v>
      </c>
      <c r="Q139" s="162">
        <f>Q4</f>
        <v>45443</v>
      </c>
      <c r="R139" s="162">
        <f>R4</f>
        <v>45473</v>
      </c>
      <c r="S139" s="162">
        <f>S4</f>
        <v>45504</v>
      </c>
      <c r="T139" s="162">
        <f>T4</f>
        <v>45535</v>
      </c>
      <c r="U139" s="162">
        <f>U4</f>
        <v>45565</v>
      </c>
      <c r="V139" s="162">
        <f>V4</f>
        <v>45596</v>
      </c>
      <c r="W139" s="162">
        <f>W4</f>
        <v>45626</v>
      </c>
      <c r="X139" s="162">
        <f>X4</f>
        <v>45657</v>
      </c>
      <c r="Y139" s="162">
        <f>Y4</f>
        <v>45688</v>
      </c>
      <c r="Z139" s="162">
        <f>Z4</f>
        <v>45716</v>
      </c>
      <c r="AA139" s="162">
        <f>AA4</f>
        <v>45747</v>
      </c>
      <c r="AB139" s="162">
        <f>AB4</f>
        <v>45777</v>
      </c>
      <c r="AC139" s="162">
        <f>AC4</f>
        <v>45808</v>
      </c>
      <c r="AD139" s="162">
        <f>AD4</f>
        <v>45838</v>
      </c>
      <c r="AE139" s="162">
        <f>AE4</f>
        <v>45869</v>
      </c>
      <c r="AF139" s="162">
        <f>AF4</f>
        <v>45900</v>
      </c>
      <c r="AG139" s="162">
        <f>AG4</f>
        <v>45930</v>
      </c>
      <c r="AH139" s="162">
        <f>AH4</f>
        <v>45961</v>
      </c>
      <c r="AI139" s="162">
        <f>AI4</f>
        <v>45991</v>
      </c>
      <c r="AJ139" s="162">
        <f>AJ4</f>
        <v>46022</v>
      </c>
      <c r="AK139" s="162">
        <f>AK4</f>
        <v>46053</v>
      </c>
      <c r="AL139" s="162">
        <f>AL4</f>
        <v>46081</v>
      </c>
      <c r="AM139" s="162">
        <f>AM4</f>
        <v>46112</v>
      </c>
      <c r="AN139" s="162">
        <f>AN4</f>
        <v>46142</v>
      </c>
      <c r="AO139" s="162">
        <f>AO4</f>
        <v>46173</v>
      </c>
      <c r="AP139" s="162">
        <f>AP4</f>
        <v>46203</v>
      </c>
      <c r="AQ139" s="162">
        <f>AQ4</f>
        <v>46234</v>
      </c>
      <c r="AR139" s="162">
        <f>AR4</f>
        <v>46265</v>
      </c>
      <c r="AS139" s="162">
        <f>AS4</f>
        <v>46295</v>
      </c>
      <c r="AT139" s="162">
        <f>AT4</f>
        <v>46326</v>
      </c>
      <c r="AU139" s="162">
        <f>AU4</f>
        <v>46356</v>
      </c>
      <c r="AV139" s="162">
        <f>AV4</f>
        <v>46387</v>
      </c>
      <c r="AW139" s="162">
        <f>AW4</f>
        <v>46418</v>
      </c>
      <c r="AX139" s="162">
        <f>AX4</f>
        <v>46446</v>
      </c>
      <c r="AY139" s="162">
        <f>AY4</f>
        <v>46477</v>
      </c>
      <c r="AZ139" s="162">
        <f>AZ4</f>
        <v>46507</v>
      </c>
      <c r="BA139" s="162">
        <f>BA4</f>
        <v>46538</v>
      </c>
      <c r="BB139" s="162">
        <f>BB4</f>
        <v>46568</v>
      </c>
      <c r="BC139" s="162">
        <f>BC4</f>
        <v>46599</v>
      </c>
      <c r="BD139" s="162">
        <f>BD4</f>
        <v>46630</v>
      </c>
      <c r="BE139" s="162">
        <f>BE4</f>
        <v>46660</v>
      </c>
      <c r="BF139" s="162">
        <f>BF4</f>
        <v>46691</v>
      </c>
      <c r="BG139" s="162">
        <f>BG4</f>
        <v>46721</v>
      </c>
      <c r="BH139" s="162">
        <f>BH4</f>
        <v>46752</v>
      </c>
      <c r="BI139" s="162">
        <f>BI4</f>
        <v>46783</v>
      </c>
      <c r="BJ139" s="162">
        <f>BJ4</f>
        <v>46812</v>
      </c>
      <c r="BK139" s="162">
        <f>BK4</f>
        <v>46843</v>
      </c>
      <c r="BN139" s="162"/>
    </row>
    <row r="140" spans="1:66" x14ac:dyDescent="0.35">
      <c r="A140" s="164" t="s">
        <v>120</v>
      </c>
      <c r="B140" s="165" t="s">
        <v>21</v>
      </c>
      <c r="C140" s="166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67"/>
      <c r="AQ140" s="167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7"/>
      <c r="BD140" s="167"/>
      <c r="BE140" s="167"/>
      <c r="BF140" s="167"/>
      <c r="BG140" s="167"/>
      <c r="BH140" s="167"/>
      <c r="BI140" s="167"/>
      <c r="BJ140" s="167"/>
      <c r="BK140" s="167"/>
      <c r="BN140" s="167"/>
    </row>
    <row r="141" spans="1:66" x14ac:dyDescent="0.35">
      <c r="A141" s="168" t="s">
        <v>121</v>
      </c>
      <c r="B141" s="169">
        <f>SUM(D141:BK141)</f>
        <v>1</v>
      </c>
      <c r="C141" s="170"/>
      <c r="D141" s="171">
        <f t="shared" ref="D141:BK141" si="56">D149/$B$149</f>
        <v>0</v>
      </c>
      <c r="E141" s="171">
        <f t="shared" si="56"/>
        <v>0</v>
      </c>
      <c r="F141" s="171">
        <f t="shared" si="56"/>
        <v>0</v>
      </c>
      <c r="G141" s="171">
        <f t="shared" si="56"/>
        <v>0</v>
      </c>
      <c r="H141" s="171">
        <f t="shared" si="56"/>
        <v>0.14816644824305461</v>
      </c>
      <c r="I141" s="171">
        <f t="shared" si="56"/>
        <v>0.48186994874145583</v>
      </c>
      <c r="J141" s="171">
        <f t="shared" si="56"/>
        <v>5.0156349615484049E-2</v>
      </c>
      <c r="K141" s="171">
        <f t="shared" si="56"/>
        <v>2.9208241652840736E-2</v>
      </c>
      <c r="L141" s="171">
        <f t="shared" si="56"/>
        <v>2.9208241652840736E-2</v>
      </c>
      <c r="M141" s="171">
        <f t="shared" si="56"/>
        <v>0</v>
      </c>
      <c r="N141" s="171">
        <f t="shared" si="56"/>
        <v>0</v>
      </c>
      <c r="O141" s="171">
        <f t="shared" si="56"/>
        <v>0</v>
      </c>
      <c r="P141" s="171">
        <f t="shared" si="56"/>
        <v>0</v>
      </c>
      <c r="Q141" s="171">
        <f t="shared" si="56"/>
        <v>0</v>
      </c>
      <c r="R141" s="171">
        <f t="shared" si="56"/>
        <v>0</v>
      </c>
      <c r="S141" s="171">
        <f t="shared" si="56"/>
        <v>0</v>
      </c>
      <c r="T141" s="171">
        <f t="shared" si="56"/>
        <v>0</v>
      </c>
      <c r="U141" s="171">
        <f t="shared" si="56"/>
        <v>0</v>
      </c>
      <c r="V141" s="171">
        <f t="shared" si="56"/>
        <v>0</v>
      </c>
      <c r="W141" s="171">
        <f t="shared" si="56"/>
        <v>0</v>
      </c>
      <c r="X141" s="171">
        <f t="shared" si="56"/>
        <v>0.15683446205659435</v>
      </c>
      <c r="Y141" s="171">
        <f t="shared" si="56"/>
        <v>0.10455630803772958</v>
      </c>
      <c r="Z141" s="171">
        <f t="shared" si="56"/>
        <v>0</v>
      </c>
      <c r="AA141" s="171">
        <f t="shared" si="56"/>
        <v>0</v>
      </c>
      <c r="AB141" s="171">
        <f t="shared" si="56"/>
        <v>0</v>
      </c>
      <c r="AC141" s="171">
        <f t="shared" si="56"/>
        <v>0</v>
      </c>
      <c r="AD141" s="171">
        <f t="shared" si="56"/>
        <v>0</v>
      </c>
      <c r="AE141" s="171">
        <f t="shared" si="56"/>
        <v>0</v>
      </c>
      <c r="AF141" s="171">
        <f t="shared" si="56"/>
        <v>0</v>
      </c>
      <c r="AG141" s="171">
        <f t="shared" si="56"/>
        <v>0</v>
      </c>
      <c r="AH141" s="171">
        <f t="shared" si="56"/>
        <v>0</v>
      </c>
      <c r="AI141" s="171">
        <f t="shared" si="56"/>
        <v>0</v>
      </c>
      <c r="AJ141" s="171">
        <f t="shared" si="56"/>
        <v>0</v>
      </c>
      <c r="AK141" s="171">
        <f t="shared" si="56"/>
        <v>0</v>
      </c>
      <c r="AL141" s="171">
        <f t="shared" si="56"/>
        <v>0</v>
      </c>
      <c r="AM141" s="171">
        <f t="shared" si="56"/>
        <v>0</v>
      </c>
      <c r="AN141" s="171">
        <f t="shared" si="56"/>
        <v>0</v>
      </c>
      <c r="AO141" s="171">
        <f t="shared" si="56"/>
        <v>0</v>
      </c>
      <c r="AP141" s="171">
        <f t="shared" si="56"/>
        <v>0</v>
      </c>
      <c r="AQ141" s="171">
        <f t="shared" si="56"/>
        <v>0</v>
      </c>
      <c r="AR141" s="171">
        <f t="shared" si="56"/>
        <v>0</v>
      </c>
      <c r="AS141" s="171">
        <f t="shared" si="56"/>
        <v>0</v>
      </c>
      <c r="AT141" s="171">
        <f t="shared" si="56"/>
        <v>0</v>
      </c>
      <c r="AU141" s="171">
        <f t="shared" si="56"/>
        <v>0</v>
      </c>
      <c r="AV141" s="171">
        <f t="shared" si="56"/>
        <v>0</v>
      </c>
      <c r="AW141" s="171">
        <f t="shared" si="56"/>
        <v>0</v>
      </c>
      <c r="AX141" s="171">
        <f t="shared" si="56"/>
        <v>0</v>
      </c>
      <c r="AY141" s="171">
        <f t="shared" si="56"/>
        <v>0</v>
      </c>
      <c r="AZ141" s="171">
        <f t="shared" si="56"/>
        <v>0</v>
      </c>
      <c r="BA141" s="171">
        <f t="shared" si="56"/>
        <v>0</v>
      </c>
      <c r="BB141" s="171">
        <f t="shared" si="56"/>
        <v>0</v>
      </c>
      <c r="BC141" s="171">
        <f t="shared" si="56"/>
        <v>0</v>
      </c>
      <c r="BD141" s="171">
        <f t="shared" si="56"/>
        <v>0</v>
      </c>
      <c r="BE141" s="171">
        <f t="shared" si="56"/>
        <v>0</v>
      </c>
      <c r="BF141" s="171">
        <f t="shared" si="56"/>
        <v>0</v>
      </c>
      <c r="BG141" s="171">
        <f t="shared" si="56"/>
        <v>0</v>
      </c>
      <c r="BH141" s="171">
        <f t="shared" si="56"/>
        <v>0</v>
      </c>
      <c r="BI141" s="171">
        <f t="shared" si="56"/>
        <v>0</v>
      </c>
      <c r="BJ141" s="171">
        <f t="shared" si="56"/>
        <v>0</v>
      </c>
      <c r="BK141" s="171">
        <f t="shared" si="56"/>
        <v>0</v>
      </c>
      <c r="BN141" s="171"/>
    </row>
    <row r="142" spans="1:66" x14ac:dyDescent="0.35">
      <c r="A142" s="168" t="s">
        <v>122</v>
      </c>
      <c r="B142" s="169"/>
      <c r="C142" s="170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171"/>
      <c r="AE142" s="171"/>
      <c r="AF142" s="171"/>
      <c r="AG142" s="171"/>
      <c r="AH142" s="171"/>
      <c r="AI142" s="171"/>
      <c r="AJ142" s="171"/>
      <c r="AK142" s="171"/>
      <c r="AL142" s="171"/>
      <c r="AM142" s="171"/>
      <c r="AN142" s="171"/>
      <c r="AO142" s="171"/>
      <c r="AP142" s="171"/>
      <c r="AQ142" s="171"/>
      <c r="AR142" s="171"/>
      <c r="AS142" s="171"/>
      <c r="AT142" s="171"/>
      <c r="AU142" s="171"/>
      <c r="AV142" s="171"/>
      <c r="AW142" s="171"/>
      <c r="AX142" s="171"/>
      <c r="AY142" s="171"/>
      <c r="AZ142" s="171"/>
      <c r="BA142" s="171"/>
      <c r="BB142" s="171"/>
      <c r="BC142" s="171"/>
      <c r="BD142" s="171"/>
      <c r="BE142" s="171"/>
      <c r="BF142" s="171"/>
      <c r="BG142" s="171"/>
      <c r="BH142" s="171"/>
      <c r="BI142" s="171"/>
      <c r="BJ142" s="171"/>
      <c r="BK142" s="171"/>
      <c r="BN142" s="171"/>
    </row>
    <row r="143" spans="1:66" x14ac:dyDescent="0.35">
      <c r="A143" s="172" t="s">
        <v>123</v>
      </c>
      <c r="B143" s="169">
        <f>SUM(D143:BK143)</f>
        <v>1</v>
      </c>
      <c r="C143" s="173"/>
      <c r="D143" s="174"/>
      <c r="E143" s="174"/>
      <c r="F143" s="174"/>
      <c r="G143" s="174"/>
      <c r="H143" s="174"/>
      <c r="I143" s="174">
        <v>0.4</v>
      </c>
      <c r="J143" s="174">
        <v>0.2</v>
      </c>
      <c r="K143" s="174">
        <v>0.2</v>
      </c>
      <c r="L143" s="174">
        <v>0.2</v>
      </c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  <c r="AE143" s="174"/>
      <c r="AF143" s="174"/>
      <c r="AG143" s="174"/>
      <c r="AH143" s="174"/>
      <c r="AI143" s="174"/>
      <c r="AJ143" s="174"/>
      <c r="AK143" s="174"/>
      <c r="AL143" s="174"/>
      <c r="AM143" s="174"/>
      <c r="AN143" s="174"/>
      <c r="AO143" s="174"/>
      <c r="AP143" s="174"/>
      <c r="AQ143" s="174"/>
      <c r="AR143" s="174"/>
      <c r="AS143" s="174"/>
      <c r="AT143" s="174"/>
      <c r="AU143" s="174"/>
      <c r="AV143" s="174"/>
      <c r="AW143" s="174"/>
      <c r="AX143" s="174"/>
      <c r="AY143" s="174"/>
      <c r="AZ143" s="174"/>
      <c r="BA143" s="174"/>
      <c r="BB143" s="174"/>
      <c r="BC143" s="174"/>
      <c r="BD143" s="174"/>
      <c r="BE143" s="174"/>
      <c r="BF143" s="174"/>
      <c r="BG143" s="174"/>
      <c r="BH143" s="174"/>
      <c r="BI143" s="174"/>
      <c r="BJ143" s="174"/>
      <c r="BK143" s="174"/>
      <c r="BN143" s="174"/>
    </row>
    <row r="144" spans="1:66" x14ac:dyDescent="0.35">
      <c r="A144" s="172" t="s">
        <v>124</v>
      </c>
      <c r="B144" s="169">
        <f>SUM(D144:BK144)</f>
        <v>1</v>
      </c>
      <c r="C144" s="173"/>
      <c r="D144" s="174"/>
      <c r="E144" s="174"/>
      <c r="F144" s="174"/>
      <c r="G144" s="174"/>
      <c r="H144" s="174"/>
      <c r="I144" s="174">
        <v>0.8</v>
      </c>
      <c r="J144" s="174">
        <v>0.2</v>
      </c>
      <c r="K144" s="174"/>
      <c r="L144" s="174"/>
      <c r="M144" s="174"/>
      <c r="N144" s="174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  <c r="AE144" s="174"/>
      <c r="AF144" s="174"/>
      <c r="AG144" s="174"/>
      <c r="AH144" s="174"/>
      <c r="AI144" s="174"/>
      <c r="AJ144" s="174"/>
      <c r="AK144" s="174"/>
      <c r="AL144" s="174"/>
      <c r="AM144" s="174"/>
      <c r="AN144" s="174"/>
      <c r="AO144" s="174"/>
      <c r="AP144" s="174"/>
      <c r="AQ144" s="174"/>
      <c r="AR144" s="174"/>
      <c r="AS144" s="174"/>
      <c r="AT144" s="174"/>
      <c r="AU144" s="174"/>
      <c r="AV144" s="174"/>
      <c r="AW144" s="174"/>
      <c r="AX144" s="174"/>
      <c r="AY144" s="174"/>
      <c r="AZ144" s="174"/>
      <c r="BA144" s="174"/>
      <c r="BB144" s="174"/>
      <c r="BC144" s="174"/>
      <c r="BD144" s="174"/>
      <c r="BE144" s="174"/>
      <c r="BF144" s="174"/>
      <c r="BG144" s="174"/>
      <c r="BH144" s="174"/>
      <c r="BI144" s="174"/>
      <c r="BJ144" s="174"/>
      <c r="BK144" s="174"/>
      <c r="BN144" s="174"/>
    </row>
    <row r="145" spans="1:66" x14ac:dyDescent="0.35">
      <c r="A145" s="168" t="s">
        <v>125</v>
      </c>
      <c r="B145" s="169"/>
      <c r="C145" s="170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1"/>
      <c r="AC145" s="171"/>
      <c r="AD145" s="171"/>
      <c r="AE145" s="171"/>
      <c r="AF145" s="171"/>
      <c r="AG145" s="171"/>
      <c r="AH145" s="171"/>
      <c r="AI145" s="171"/>
      <c r="AJ145" s="171"/>
      <c r="AK145" s="171"/>
      <c r="AL145" s="171"/>
      <c r="AM145" s="171"/>
      <c r="AN145" s="171"/>
      <c r="AO145" s="171"/>
      <c r="AP145" s="171"/>
      <c r="AQ145" s="171"/>
      <c r="AR145" s="171"/>
      <c r="AS145" s="171"/>
      <c r="AT145" s="171"/>
      <c r="AU145" s="171"/>
      <c r="AV145" s="171"/>
      <c r="AW145" s="171"/>
      <c r="AX145" s="171"/>
      <c r="AY145" s="171"/>
      <c r="AZ145" s="171"/>
      <c r="BA145" s="171"/>
      <c r="BB145" s="171"/>
      <c r="BC145" s="171"/>
      <c r="BD145" s="171"/>
      <c r="BE145" s="171"/>
      <c r="BF145" s="171"/>
      <c r="BG145" s="171"/>
      <c r="BH145" s="171"/>
      <c r="BI145" s="171"/>
      <c r="BJ145" s="171"/>
      <c r="BK145" s="171"/>
      <c r="BN145" s="171"/>
    </row>
    <row r="146" spans="1:66" x14ac:dyDescent="0.35">
      <c r="A146" s="172" t="s">
        <v>123</v>
      </c>
      <c r="B146" s="169">
        <f>SUM(D146:BK146)</f>
        <v>1</v>
      </c>
      <c r="C146" s="173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>
        <v>0.6</v>
      </c>
      <c r="Y146" s="174">
        <v>0.4</v>
      </c>
      <c r="Z146" s="174"/>
      <c r="AA146" s="174"/>
      <c r="AB146" s="174"/>
      <c r="AC146" s="174"/>
      <c r="AD146" s="174"/>
      <c r="AE146" s="174"/>
      <c r="AF146" s="174"/>
      <c r="AG146" s="174"/>
      <c r="AH146" s="174"/>
      <c r="AI146" s="174"/>
      <c r="AJ146" s="174"/>
      <c r="AK146" s="174"/>
      <c r="AL146" s="174"/>
      <c r="AM146" s="174"/>
      <c r="AN146" s="174"/>
      <c r="AO146" s="174"/>
      <c r="AP146" s="174"/>
      <c r="AQ146" s="174"/>
      <c r="AR146" s="174"/>
      <c r="AS146" s="174"/>
      <c r="AT146" s="174"/>
      <c r="AU146" s="174"/>
      <c r="AV146" s="174"/>
      <c r="AW146" s="174"/>
      <c r="AX146" s="174"/>
      <c r="AY146" s="174"/>
      <c r="AZ146" s="174"/>
      <c r="BA146" s="174"/>
      <c r="BB146" s="174"/>
      <c r="BC146" s="174"/>
      <c r="BD146" s="174"/>
      <c r="BE146" s="174"/>
      <c r="BF146" s="174"/>
      <c r="BG146" s="174"/>
      <c r="BH146" s="174"/>
      <c r="BI146" s="174"/>
      <c r="BJ146" s="174"/>
      <c r="BK146" s="174"/>
      <c r="BN146" s="174"/>
    </row>
    <row r="147" spans="1:66" x14ac:dyDescent="0.35">
      <c r="A147" s="172" t="s">
        <v>124</v>
      </c>
      <c r="B147" s="169">
        <f>SUM(D147:BK147)</f>
        <v>1</v>
      </c>
      <c r="C147" s="173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>
        <v>0.6</v>
      </c>
      <c r="Y147" s="174">
        <v>0.4</v>
      </c>
      <c r="Z147" s="174"/>
      <c r="AA147" s="174"/>
      <c r="AB147" s="174"/>
      <c r="AC147" s="174"/>
      <c r="AD147" s="174"/>
      <c r="AE147" s="174"/>
      <c r="AF147" s="174"/>
      <c r="AG147" s="174"/>
      <c r="AH147" s="174"/>
      <c r="AI147" s="174"/>
      <c r="AJ147" s="174"/>
      <c r="AK147" s="174"/>
      <c r="AL147" s="174"/>
      <c r="AM147" s="174"/>
      <c r="AN147" s="174"/>
      <c r="AO147" s="174"/>
      <c r="AP147" s="174"/>
      <c r="AQ147" s="174"/>
      <c r="AR147" s="174"/>
      <c r="AS147" s="174"/>
      <c r="AT147" s="174"/>
      <c r="AU147" s="174"/>
      <c r="AV147" s="174"/>
      <c r="AW147" s="174"/>
      <c r="AX147" s="174"/>
      <c r="AY147" s="174"/>
      <c r="AZ147" s="174"/>
      <c r="BA147" s="174"/>
      <c r="BB147" s="174"/>
      <c r="BC147" s="174"/>
      <c r="BD147" s="174"/>
      <c r="BE147" s="174"/>
      <c r="BF147" s="174"/>
      <c r="BG147" s="174"/>
      <c r="BH147" s="174"/>
      <c r="BI147" s="174"/>
      <c r="BJ147" s="174"/>
      <c r="BK147" s="174"/>
      <c r="BN147" s="174"/>
    </row>
    <row r="148" spans="1:66" x14ac:dyDescent="0.35">
      <c r="A148" s="50"/>
      <c r="B148" s="56"/>
      <c r="C148" s="57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N148" s="56"/>
    </row>
    <row r="149" spans="1:66" x14ac:dyDescent="0.35">
      <c r="A149" s="168" t="s">
        <v>126</v>
      </c>
      <c r="B149" s="175">
        <f>SUM(D149:BK149)</f>
        <v>291496.49270900001</v>
      </c>
      <c r="C149" s="176"/>
      <c r="D149" s="177">
        <f>SUM(D151:D161)</f>
        <v>0</v>
      </c>
      <c r="E149" s="177">
        <f t="shared" ref="E149:BK149" si="57">SUM(E151:E161)</f>
        <v>0</v>
      </c>
      <c r="F149" s="177">
        <f t="shared" si="57"/>
        <v>0</v>
      </c>
      <c r="G149" s="177">
        <f t="shared" si="57"/>
        <v>0</v>
      </c>
      <c r="H149" s="177">
        <f t="shared" si="57"/>
        <v>43190</v>
      </c>
      <c r="I149" s="177">
        <f t="shared" si="57"/>
        <v>140463.4</v>
      </c>
      <c r="J149" s="177">
        <f t="shared" si="57"/>
        <v>14620.400000000001</v>
      </c>
      <c r="K149" s="177">
        <f t="shared" si="57"/>
        <v>8514.1</v>
      </c>
      <c r="L149" s="177">
        <f t="shared" si="57"/>
        <v>8514.1</v>
      </c>
      <c r="M149" s="177">
        <f t="shared" si="57"/>
        <v>0</v>
      </c>
      <c r="N149" s="177">
        <f t="shared" si="57"/>
        <v>0</v>
      </c>
      <c r="O149" s="177">
        <f t="shared" si="57"/>
        <v>0</v>
      </c>
      <c r="P149" s="177">
        <f t="shared" si="57"/>
        <v>0</v>
      </c>
      <c r="Q149" s="177">
        <f t="shared" si="57"/>
        <v>0</v>
      </c>
      <c r="R149" s="177">
        <f t="shared" si="57"/>
        <v>0</v>
      </c>
      <c r="S149" s="177">
        <f t="shared" si="57"/>
        <v>0</v>
      </c>
      <c r="T149" s="177">
        <f t="shared" si="57"/>
        <v>0</v>
      </c>
      <c r="U149" s="177">
        <f t="shared" si="57"/>
        <v>0</v>
      </c>
      <c r="V149" s="177">
        <f t="shared" si="57"/>
        <v>0</v>
      </c>
      <c r="W149" s="177">
        <f t="shared" si="57"/>
        <v>0</v>
      </c>
      <c r="X149" s="177">
        <f t="shared" si="57"/>
        <v>45716.695625399996</v>
      </c>
      <c r="Y149" s="177">
        <f t="shared" si="57"/>
        <v>30477.797083600002</v>
      </c>
      <c r="Z149" s="177">
        <f t="shared" si="57"/>
        <v>0</v>
      </c>
      <c r="AA149" s="177">
        <f t="shared" si="57"/>
        <v>0</v>
      </c>
      <c r="AB149" s="177">
        <f t="shared" si="57"/>
        <v>0</v>
      </c>
      <c r="AC149" s="177">
        <f t="shared" si="57"/>
        <v>0</v>
      </c>
      <c r="AD149" s="177">
        <f t="shared" si="57"/>
        <v>0</v>
      </c>
      <c r="AE149" s="177">
        <f t="shared" si="57"/>
        <v>0</v>
      </c>
      <c r="AF149" s="177">
        <f t="shared" si="57"/>
        <v>0</v>
      </c>
      <c r="AG149" s="177">
        <f t="shared" si="57"/>
        <v>0</v>
      </c>
      <c r="AH149" s="177">
        <f t="shared" si="57"/>
        <v>0</v>
      </c>
      <c r="AI149" s="177">
        <f t="shared" si="57"/>
        <v>0</v>
      </c>
      <c r="AJ149" s="177">
        <f t="shared" si="57"/>
        <v>0</v>
      </c>
      <c r="AK149" s="177">
        <f t="shared" si="57"/>
        <v>0</v>
      </c>
      <c r="AL149" s="177">
        <f t="shared" si="57"/>
        <v>0</v>
      </c>
      <c r="AM149" s="177">
        <f t="shared" si="57"/>
        <v>0</v>
      </c>
      <c r="AN149" s="177">
        <f t="shared" si="57"/>
        <v>0</v>
      </c>
      <c r="AO149" s="177">
        <f t="shared" si="57"/>
        <v>0</v>
      </c>
      <c r="AP149" s="177">
        <f t="shared" si="57"/>
        <v>0</v>
      </c>
      <c r="AQ149" s="177">
        <f t="shared" si="57"/>
        <v>0</v>
      </c>
      <c r="AR149" s="177">
        <f t="shared" si="57"/>
        <v>0</v>
      </c>
      <c r="AS149" s="177">
        <f t="shared" si="57"/>
        <v>0</v>
      </c>
      <c r="AT149" s="177">
        <f t="shared" si="57"/>
        <v>0</v>
      </c>
      <c r="AU149" s="177">
        <f t="shared" si="57"/>
        <v>0</v>
      </c>
      <c r="AV149" s="177">
        <f t="shared" si="57"/>
        <v>0</v>
      </c>
      <c r="AW149" s="177">
        <f t="shared" si="57"/>
        <v>0</v>
      </c>
      <c r="AX149" s="177">
        <f t="shared" si="57"/>
        <v>0</v>
      </c>
      <c r="AY149" s="177">
        <f t="shared" si="57"/>
        <v>0</v>
      </c>
      <c r="AZ149" s="177">
        <f t="shared" si="57"/>
        <v>0</v>
      </c>
      <c r="BA149" s="177">
        <f t="shared" si="57"/>
        <v>0</v>
      </c>
      <c r="BB149" s="177">
        <f t="shared" si="57"/>
        <v>0</v>
      </c>
      <c r="BC149" s="177">
        <f t="shared" si="57"/>
        <v>0</v>
      </c>
      <c r="BD149" s="177">
        <f t="shared" si="57"/>
        <v>0</v>
      </c>
      <c r="BE149" s="177">
        <f t="shared" si="57"/>
        <v>0</v>
      </c>
      <c r="BF149" s="177">
        <f t="shared" si="57"/>
        <v>0</v>
      </c>
      <c r="BG149" s="177">
        <f t="shared" si="57"/>
        <v>0</v>
      </c>
      <c r="BH149" s="177">
        <f t="shared" si="57"/>
        <v>0</v>
      </c>
      <c r="BI149" s="177">
        <f t="shared" si="57"/>
        <v>0</v>
      </c>
      <c r="BJ149" s="177">
        <f t="shared" si="57"/>
        <v>0</v>
      </c>
      <c r="BK149" s="177">
        <f t="shared" si="57"/>
        <v>0</v>
      </c>
      <c r="BN149" s="177"/>
    </row>
    <row r="150" spans="1:66" x14ac:dyDescent="0.35">
      <c r="A150" s="168" t="s">
        <v>122</v>
      </c>
      <c r="B150" s="175"/>
      <c r="C150" s="176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7"/>
      <c r="AG150" s="177"/>
      <c r="AH150" s="177"/>
      <c r="AI150" s="177"/>
      <c r="AJ150" s="177"/>
      <c r="AK150" s="177"/>
      <c r="AL150" s="177"/>
      <c r="AM150" s="177"/>
      <c r="AN150" s="177"/>
      <c r="AO150" s="177"/>
      <c r="AP150" s="177"/>
      <c r="AQ150" s="177"/>
      <c r="AR150" s="177"/>
      <c r="AS150" s="177"/>
      <c r="AT150" s="177"/>
      <c r="AU150" s="177"/>
      <c r="AV150" s="177"/>
      <c r="AW150" s="177"/>
      <c r="AX150" s="177"/>
      <c r="AY150" s="177"/>
      <c r="AZ150" s="177"/>
      <c r="BA150" s="177"/>
      <c r="BB150" s="177"/>
      <c r="BC150" s="177"/>
      <c r="BD150" s="177"/>
      <c r="BE150" s="177"/>
      <c r="BF150" s="177"/>
      <c r="BG150" s="177"/>
      <c r="BH150" s="177"/>
      <c r="BI150" s="177"/>
      <c r="BJ150" s="177"/>
      <c r="BK150" s="177"/>
      <c r="BN150" s="177"/>
    </row>
    <row r="151" spans="1:66" x14ac:dyDescent="0.35">
      <c r="A151" s="178" t="s">
        <v>127</v>
      </c>
      <c r="B151" s="179">
        <f>SUM(D151:BK151)</f>
        <v>54402</v>
      </c>
      <c r="C151" s="180"/>
      <c r="D151" s="181"/>
      <c r="E151" s="181"/>
      <c r="F151" s="181"/>
      <c r="G151" s="181"/>
      <c r="H151" s="182"/>
      <c r="I151" s="182">
        <v>54402</v>
      </c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1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1"/>
      <c r="AK151" s="181"/>
      <c r="AL151" s="181"/>
      <c r="AM151" s="181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1"/>
      <c r="AY151" s="181"/>
      <c r="AZ151" s="181"/>
      <c r="BA151" s="181"/>
      <c r="BB151" s="181"/>
      <c r="BC151" s="181"/>
      <c r="BD151" s="181"/>
      <c r="BE151" s="181"/>
      <c r="BF151" s="181"/>
      <c r="BG151" s="181"/>
      <c r="BH151" s="181"/>
      <c r="BI151" s="181"/>
      <c r="BJ151" s="181"/>
      <c r="BK151" s="181"/>
      <c r="BN151" s="181"/>
    </row>
    <row r="152" spans="1:66" x14ac:dyDescent="0.35">
      <c r="A152" s="178" t="s">
        <v>128</v>
      </c>
      <c r="B152" s="179">
        <f>SUM(D152:BK152)</f>
        <v>12615</v>
      </c>
      <c r="C152" s="180"/>
      <c r="D152" s="181"/>
      <c r="E152" s="181"/>
      <c r="F152" s="181"/>
      <c r="G152" s="181"/>
      <c r="H152" s="182">
        <v>12615</v>
      </c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1"/>
      <c r="AK152" s="181"/>
      <c r="AL152" s="181"/>
      <c r="AM152" s="181"/>
      <c r="AN152" s="181"/>
      <c r="AO152" s="181"/>
      <c r="AP152" s="181"/>
      <c r="AQ152" s="181"/>
      <c r="AR152" s="181"/>
      <c r="AS152" s="181"/>
      <c r="AT152" s="181"/>
      <c r="AU152" s="181"/>
      <c r="AV152" s="181"/>
      <c r="AW152" s="181"/>
      <c r="AX152" s="181"/>
      <c r="AY152" s="181"/>
      <c r="AZ152" s="181"/>
      <c r="BA152" s="181"/>
      <c r="BB152" s="181"/>
      <c r="BC152" s="181"/>
      <c r="BD152" s="181"/>
      <c r="BE152" s="181"/>
      <c r="BF152" s="181"/>
      <c r="BG152" s="181"/>
      <c r="BH152" s="181"/>
      <c r="BI152" s="181"/>
      <c r="BJ152" s="181"/>
      <c r="BK152" s="181"/>
      <c r="BN152" s="181"/>
    </row>
    <row r="153" spans="1:66" x14ac:dyDescent="0.35">
      <c r="A153" s="178" t="s">
        <v>129</v>
      </c>
      <c r="B153" s="179">
        <f>SUM(D153:BK153)</f>
        <v>1952</v>
      </c>
      <c r="C153" s="180"/>
      <c r="D153" s="181"/>
      <c r="E153" s="181"/>
      <c r="F153" s="181"/>
      <c r="G153" s="181"/>
      <c r="H153" s="182"/>
      <c r="I153" s="182">
        <v>1952</v>
      </c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1"/>
      <c r="AI153" s="181"/>
      <c r="AJ153" s="181"/>
      <c r="AK153" s="181"/>
      <c r="AL153" s="181"/>
      <c r="AM153" s="181"/>
      <c r="AN153" s="181"/>
      <c r="AO153" s="181"/>
      <c r="AP153" s="181"/>
      <c r="AQ153" s="181"/>
      <c r="AR153" s="181"/>
      <c r="AS153" s="181"/>
      <c r="AT153" s="181"/>
      <c r="AU153" s="181"/>
      <c r="AV153" s="181"/>
      <c r="AW153" s="181"/>
      <c r="AX153" s="181"/>
      <c r="AY153" s="181"/>
      <c r="AZ153" s="181"/>
      <c r="BA153" s="181"/>
      <c r="BB153" s="181"/>
      <c r="BC153" s="181"/>
      <c r="BD153" s="181"/>
      <c r="BE153" s="181"/>
      <c r="BF153" s="181"/>
      <c r="BG153" s="181"/>
      <c r="BH153" s="181"/>
      <c r="BI153" s="181"/>
      <c r="BJ153" s="181"/>
      <c r="BK153" s="181"/>
      <c r="BN153" s="181"/>
    </row>
    <row r="154" spans="1:66" x14ac:dyDescent="0.35">
      <c r="A154" s="178" t="s">
        <v>109</v>
      </c>
      <c r="B154" s="179">
        <f>SUM(D154:BK154)</f>
        <v>2077</v>
      </c>
      <c r="C154" s="180"/>
      <c r="D154" s="181"/>
      <c r="E154" s="181"/>
      <c r="F154" s="181"/>
      <c r="G154" s="181"/>
      <c r="H154" s="182"/>
      <c r="I154" s="182">
        <v>2077</v>
      </c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  <c r="Y154" s="181"/>
      <c r="Z154" s="181"/>
      <c r="AA154" s="181"/>
      <c r="AB154" s="181"/>
      <c r="AC154" s="181"/>
      <c r="AD154" s="181"/>
      <c r="AE154" s="181"/>
      <c r="AF154" s="181"/>
      <c r="AG154" s="181"/>
      <c r="AH154" s="181"/>
      <c r="AI154" s="181"/>
      <c r="AJ154" s="181"/>
      <c r="AK154" s="181"/>
      <c r="AL154" s="181"/>
      <c r="AM154" s="181"/>
      <c r="AN154" s="181"/>
      <c r="AO154" s="181"/>
      <c r="AP154" s="181"/>
      <c r="AQ154" s="181"/>
      <c r="AR154" s="181"/>
      <c r="AS154" s="181"/>
      <c r="AT154" s="181"/>
      <c r="AU154" s="181"/>
      <c r="AV154" s="181"/>
      <c r="AW154" s="181"/>
      <c r="AX154" s="181"/>
      <c r="AY154" s="181"/>
      <c r="AZ154" s="181"/>
      <c r="BA154" s="181"/>
      <c r="BB154" s="181"/>
      <c r="BC154" s="181"/>
      <c r="BD154" s="181"/>
      <c r="BE154" s="181"/>
      <c r="BF154" s="181"/>
      <c r="BG154" s="181"/>
      <c r="BH154" s="181"/>
      <c r="BI154" s="181"/>
      <c r="BJ154" s="181"/>
      <c r="BK154" s="181"/>
      <c r="BN154" s="181"/>
    </row>
    <row r="155" spans="1:66" x14ac:dyDescent="0.35">
      <c r="A155" s="178" t="s">
        <v>114</v>
      </c>
      <c r="B155" s="179">
        <f>SUM(D155:BK155)</f>
        <v>30575</v>
      </c>
      <c r="C155" s="180"/>
      <c r="D155" s="181"/>
      <c r="E155" s="181"/>
      <c r="F155" s="181"/>
      <c r="G155" s="181"/>
      <c r="H155" s="182">
        <f>$V$128+$V$129</f>
        <v>30575</v>
      </c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1"/>
      <c r="AI155" s="181"/>
      <c r="AJ155" s="181"/>
      <c r="AK155" s="181"/>
      <c r="AL155" s="181"/>
      <c r="AM155" s="181"/>
      <c r="AN155" s="181"/>
      <c r="AO155" s="181"/>
      <c r="AP155" s="181"/>
      <c r="AQ155" s="181"/>
      <c r="AR155" s="181"/>
      <c r="AS155" s="181"/>
      <c r="AT155" s="181"/>
      <c r="AU155" s="181"/>
      <c r="AV155" s="181"/>
      <c r="AW155" s="181"/>
      <c r="AX155" s="181"/>
      <c r="AY155" s="181"/>
      <c r="AZ155" s="181"/>
      <c r="BA155" s="181"/>
      <c r="BB155" s="181"/>
      <c r="BC155" s="181"/>
      <c r="BD155" s="181"/>
      <c r="BE155" s="181"/>
      <c r="BF155" s="181"/>
      <c r="BG155" s="181"/>
      <c r="BH155" s="181"/>
      <c r="BI155" s="181"/>
      <c r="BJ155" s="181"/>
      <c r="BK155" s="181"/>
      <c r="BN155" s="181"/>
    </row>
    <row r="156" spans="1:66" x14ac:dyDescent="0.35">
      <c r="A156" s="178" t="s">
        <v>116</v>
      </c>
      <c r="B156" s="179">
        <f>SUM(D156:BK156)</f>
        <v>40579</v>
      </c>
      <c r="C156" s="180"/>
      <c r="D156" s="181"/>
      <c r="E156" s="181"/>
      <c r="F156" s="181"/>
      <c r="G156" s="181"/>
      <c r="H156" s="182"/>
      <c r="I156" s="182">
        <f>V130+V131</f>
        <v>40579</v>
      </c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  <c r="Y156" s="181"/>
      <c r="Z156" s="181"/>
      <c r="AA156" s="181"/>
      <c r="AB156" s="181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1"/>
      <c r="AV156" s="181"/>
      <c r="AW156" s="181"/>
      <c r="AX156" s="181"/>
      <c r="AY156" s="181"/>
      <c r="AZ156" s="181"/>
      <c r="BA156" s="181"/>
      <c r="BB156" s="181"/>
      <c r="BC156" s="181"/>
      <c r="BD156" s="181"/>
      <c r="BE156" s="181"/>
      <c r="BF156" s="181"/>
      <c r="BG156" s="181"/>
      <c r="BH156" s="181"/>
      <c r="BI156" s="181"/>
      <c r="BJ156" s="181"/>
      <c r="BK156" s="181"/>
      <c r="BN156" s="181"/>
    </row>
    <row r="157" spans="1:66" x14ac:dyDescent="0.35">
      <c r="A157" s="172" t="s">
        <v>130</v>
      </c>
      <c r="B157" s="175">
        <f>SUM(D157:BK157)</f>
        <v>42570.5</v>
      </c>
      <c r="C157" s="180"/>
      <c r="D157" s="181">
        <f>SUM($E$122:$E$125)*D143</f>
        <v>0</v>
      </c>
      <c r="E157" s="181">
        <f>SUM($E$122:$E$125)*E143</f>
        <v>0</v>
      </c>
      <c r="F157" s="181">
        <f>SUM($E$122:$E$125)*F143</f>
        <v>0</v>
      </c>
      <c r="G157" s="181">
        <f>SUM($E$122:$E$125)*G143</f>
        <v>0</v>
      </c>
      <c r="H157" s="181">
        <f>SUM($E$122:$E$125)*H143</f>
        <v>0</v>
      </c>
      <c r="I157" s="181">
        <f>SUM($E$122:$E$125)*I143</f>
        <v>17028.2</v>
      </c>
      <c r="J157" s="181">
        <f>SUM($E$122:$E$125)*J143</f>
        <v>8514.1</v>
      </c>
      <c r="K157" s="181">
        <f>SUM($E$122:$E$125)*K143</f>
        <v>8514.1</v>
      </c>
      <c r="L157" s="181">
        <f>SUM($E$122:$E$125)*L143</f>
        <v>8514.1</v>
      </c>
      <c r="M157" s="181">
        <f>SUM($E$122:$E$125)*M143</f>
        <v>0</v>
      </c>
      <c r="N157" s="181">
        <f>SUM($E$122:$E$125)*N143</f>
        <v>0</v>
      </c>
      <c r="O157" s="181">
        <f>SUM($E$122:$E$125)*O143</f>
        <v>0</v>
      </c>
      <c r="P157" s="181">
        <f>SUM($E$122:$E$125)*P143</f>
        <v>0</v>
      </c>
      <c r="Q157" s="181">
        <f>SUM($E$122:$E$125)*Q143</f>
        <v>0</v>
      </c>
      <c r="R157" s="181">
        <f>SUM($E$122:$E$125)*R143</f>
        <v>0</v>
      </c>
      <c r="S157" s="181">
        <f>SUM($E$122:$E$125)*S143</f>
        <v>0</v>
      </c>
      <c r="T157" s="181">
        <f>SUM($E$122:$E$125)*T143</f>
        <v>0</v>
      </c>
      <c r="U157" s="181">
        <f>SUM($E$122:$E$125)*U143</f>
        <v>0</v>
      </c>
      <c r="V157" s="181">
        <f>SUM($E$122:$E$125)*V143</f>
        <v>0</v>
      </c>
      <c r="W157" s="181">
        <f>SUM($E$122:$E$125)*W143</f>
        <v>0</v>
      </c>
      <c r="X157" s="181">
        <f>SUM($E$122:$E$125)*X143</f>
        <v>0</v>
      </c>
      <c r="Y157" s="181">
        <f>SUM($E$122:$E$125)*Y143</f>
        <v>0</v>
      </c>
      <c r="Z157" s="181">
        <f>SUM($E$122:$E$125)*Z143</f>
        <v>0</v>
      </c>
      <c r="AA157" s="181">
        <f>SUM($E$122:$E$125)*AA143</f>
        <v>0</v>
      </c>
      <c r="AB157" s="181">
        <f>SUM($E$122:$E$125)*AB143</f>
        <v>0</v>
      </c>
      <c r="AC157" s="181">
        <f>SUM($E$122:$E$125)*AC143</f>
        <v>0</v>
      </c>
      <c r="AD157" s="181">
        <f>SUM($E$122:$E$125)*AD143</f>
        <v>0</v>
      </c>
      <c r="AE157" s="181">
        <f>SUM($E$122:$E$125)*AE143</f>
        <v>0</v>
      </c>
      <c r="AF157" s="181">
        <f>SUM($E$122:$E$125)*AF143</f>
        <v>0</v>
      </c>
      <c r="AG157" s="181">
        <f>SUM($E$122:$E$125)*AG143</f>
        <v>0</v>
      </c>
      <c r="AH157" s="181">
        <f>SUM($E$122:$E$125)*AH143</f>
        <v>0</v>
      </c>
      <c r="AI157" s="181">
        <f>SUM($E$122:$E$125)*AI143</f>
        <v>0</v>
      </c>
      <c r="AJ157" s="181">
        <f>SUM($E$122:$E$125)*AJ143</f>
        <v>0</v>
      </c>
      <c r="AK157" s="181">
        <f>SUM($E$122:$E$125)*AK143</f>
        <v>0</v>
      </c>
      <c r="AL157" s="181">
        <f>SUM($E$122:$E$125)*AL143</f>
        <v>0</v>
      </c>
      <c r="AM157" s="181">
        <f>SUM($E$122:$E$125)*AM143</f>
        <v>0</v>
      </c>
      <c r="AN157" s="181">
        <f>SUM($E$122:$E$125)*AN143</f>
        <v>0</v>
      </c>
      <c r="AO157" s="181">
        <f>SUM($E$122:$E$125)*AO143</f>
        <v>0</v>
      </c>
      <c r="AP157" s="181">
        <f>SUM($E$122:$E$125)*AP143</f>
        <v>0</v>
      </c>
      <c r="AQ157" s="181">
        <f>SUM($E$122:$E$125)*AQ143</f>
        <v>0</v>
      </c>
      <c r="AR157" s="181">
        <f>SUM($E$122:$E$125)*AR143</f>
        <v>0</v>
      </c>
      <c r="AS157" s="181">
        <f>SUM($E$122:$E$125)*AS143</f>
        <v>0</v>
      </c>
      <c r="AT157" s="181">
        <f>SUM($E$122:$E$125)*AT143</f>
        <v>0</v>
      </c>
      <c r="AU157" s="181">
        <f>SUM($E$122:$E$125)*AU143</f>
        <v>0</v>
      </c>
      <c r="AV157" s="181">
        <f>SUM($E$122:$E$125)*AV143</f>
        <v>0</v>
      </c>
      <c r="AW157" s="181">
        <f>SUM($E$122:$E$125)*AW143</f>
        <v>0</v>
      </c>
      <c r="AX157" s="181">
        <f>SUM($E$122:$E$125)*AX143</f>
        <v>0</v>
      </c>
      <c r="AY157" s="181">
        <f>SUM($E$122:$E$125)*AY143</f>
        <v>0</v>
      </c>
      <c r="AZ157" s="181">
        <f>SUM($E$122:$E$125)*AZ143</f>
        <v>0</v>
      </c>
      <c r="BA157" s="181">
        <f>SUM($E$122:$E$125)*BA143</f>
        <v>0</v>
      </c>
      <c r="BB157" s="181">
        <f>SUM($E$122:$E$125)*BB143</f>
        <v>0</v>
      </c>
      <c r="BC157" s="181">
        <f>SUM($E$122:$E$125)*BC143</f>
        <v>0</v>
      </c>
      <c r="BD157" s="181">
        <f>SUM($E$122:$E$125)*BD143</f>
        <v>0</v>
      </c>
      <c r="BE157" s="181">
        <f>SUM($E$122:$E$125)*BE143</f>
        <v>0</v>
      </c>
      <c r="BF157" s="181">
        <f>SUM($E$122:$E$125)*BF143</f>
        <v>0</v>
      </c>
      <c r="BG157" s="181">
        <f>SUM($E$122:$E$125)*BG143</f>
        <v>0</v>
      </c>
      <c r="BH157" s="181">
        <f>SUM($E$122:$E$125)*BH143</f>
        <v>0</v>
      </c>
      <c r="BI157" s="181">
        <f>SUM($E$122:$E$125)*BI143</f>
        <v>0</v>
      </c>
      <c r="BJ157" s="181">
        <f>SUM($E$122:$E$125)*BJ143</f>
        <v>0</v>
      </c>
      <c r="BK157" s="181">
        <f>SUM($E$122:$E$125)*BK143</f>
        <v>0</v>
      </c>
      <c r="BN157" s="181"/>
    </row>
    <row r="158" spans="1:66" x14ac:dyDescent="0.35">
      <c r="A158" s="172" t="s">
        <v>124</v>
      </c>
      <c r="B158" s="175">
        <f>SUM(D158:BK158)</f>
        <v>30531.5</v>
      </c>
      <c r="C158" s="180"/>
      <c r="D158" s="181">
        <f>SUM($M$122:$M$125)*D144</f>
        <v>0</v>
      </c>
      <c r="E158" s="181">
        <f>SUM($M$122:$M$125)*E144</f>
        <v>0</v>
      </c>
      <c r="F158" s="181">
        <f>SUM($M$122:$M$125)*F144</f>
        <v>0</v>
      </c>
      <c r="G158" s="181">
        <f>SUM($M$122:$M$125)*G144</f>
        <v>0</v>
      </c>
      <c r="H158" s="181">
        <f>SUM($M$122:$M$125)*H144</f>
        <v>0</v>
      </c>
      <c r="I158" s="181">
        <f>SUM($M$122:$M$125)*I144</f>
        <v>24425.200000000001</v>
      </c>
      <c r="J158" s="181">
        <f>SUM($M$122:$M$125)*J144</f>
        <v>6106.3</v>
      </c>
      <c r="K158" s="181">
        <f>SUM($M$122:$M$125)*K144</f>
        <v>0</v>
      </c>
      <c r="L158" s="181">
        <f>SUM($M$122:$M$125)*L144</f>
        <v>0</v>
      </c>
      <c r="M158" s="181">
        <f>SUM($M$122:$M$125)*M144</f>
        <v>0</v>
      </c>
      <c r="N158" s="181">
        <f>SUM($M$122:$M$125)*N144</f>
        <v>0</v>
      </c>
      <c r="O158" s="181">
        <f>SUM($M$122:$M$125)*O144</f>
        <v>0</v>
      </c>
      <c r="P158" s="181">
        <f>SUM($M$122:$M$125)*P144</f>
        <v>0</v>
      </c>
      <c r="Q158" s="181">
        <f>SUM($M$122:$M$125)*Q144</f>
        <v>0</v>
      </c>
      <c r="R158" s="181">
        <f>SUM($M$122:$M$125)*R144</f>
        <v>0</v>
      </c>
      <c r="S158" s="181">
        <f>SUM($M$122:$M$125)*S144</f>
        <v>0</v>
      </c>
      <c r="T158" s="181">
        <f>SUM($M$122:$M$125)*T144</f>
        <v>0</v>
      </c>
      <c r="U158" s="181">
        <f>SUM($M$122:$M$125)*U144</f>
        <v>0</v>
      </c>
      <c r="V158" s="181">
        <f>SUM($M$122:$M$125)*V144</f>
        <v>0</v>
      </c>
      <c r="W158" s="181">
        <f>SUM($M$122:$M$125)*W144</f>
        <v>0</v>
      </c>
      <c r="X158" s="181">
        <f>SUM($M$122:$M$125)*X144</f>
        <v>0</v>
      </c>
      <c r="Y158" s="181">
        <f>SUM($M$122:$M$125)*Y144</f>
        <v>0</v>
      </c>
      <c r="Z158" s="181">
        <f>SUM($M$122:$M$125)*Z144</f>
        <v>0</v>
      </c>
      <c r="AA158" s="181">
        <f>SUM($M$122:$M$125)*AA144</f>
        <v>0</v>
      </c>
      <c r="AB158" s="181">
        <f>SUM($M$122:$M$125)*AB144</f>
        <v>0</v>
      </c>
      <c r="AC158" s="181">
        <f>SUM($M$122:$M$125)*AC144</f>
        <v>0</v>
      </c>
      <c r="AD158" s="181">
        <f>SUM($M$122:$M$125)*AD144</f>
        <v>0</v>
      </c>
      <c r="AE158" s="181">
        <f>SUM($M$122:$M$125)*AE144</f>
        <v>0</v>
      </c>
      <c r="AF158" s="181">
        <f>SUM($M$122:$M$125)*AF144</f>
        <v>0</v>
      </c>
      <c r="AG158" s="181">
        <f>SUM($M$122:$M$125)*AG144</f>
        <v>0</v>
      </c>
      <c r="AH158" s="181">
        <f>SUM($M$122:$M$125)*AH144</f>
        <v>0</v>
      </c>
      <c r="AI158" s="181">
        <f>SUM($M$122:$M$125)*AI144</f>
        <v>0</v>
      </c>
      <c r="AJ158" s="181">
        <f>SUM($M$122:$M$125)*AJ144</f>
        <v>0</v>
      </c>
      <c r="AK158" s="181">
        <f>SUM($M$122:$M$125)*AK144</f>
        <v>0</v>
      </c>
      <c r="AL158" s="181">
        <f>SUM($M$122:$M$125)*AL144</f>
        <v>0</v>
      </c>
      <c r="AM158" s="181">
        <f>SUM($M$122:$M$125)*AM144</f>
        <v>0</v>
      </c>
      <c r="AN158" s="181">
        <f>SUM($M$122:$M$125)*AN144</f>
        <v>0</v>
      </c>
      <c r="AO158" s="181">
        <f>SUM($M$122:$M$125)*AO144</f>
        <v>0</v>
      </c>
      <c r="AP158" s="181">
        <f>SUM($M$122:$M$125)*AP144</f>
        <v>0</v>
      </c>
      <c r="AQ158" s="181">
        <f>SUM($M$122:$M$125)*AQ144</f>
        <v>0</v>
      </c>
      <c r="AR158" s="181">
        <f>SUM($M$122:$M$125)*AR144</f>
        <v>0</v>
      </c>
      <c r="AS158" s="181">
        <f>SUM($M$122:$M$125)*AS144</f>
        <v>0</v>
      </c>
      <c r="AT158" s="181">
        <f>SUM($M$122:$M$125)*AT144</f>
        <v>0</v>
      </c>
      <c r="AU158" s="181">
        <f>SUM($M$122:$M$125)*AU144</f>
        <v>0</v>
      </c>
      <c r="AV158" s="181">
        <f>SUM($M$122:$M$125)*AV144</f>
        <v>0</v>
      </c>
      <c r="AW158" s="181">
        <f>SUM($M$122:$M$125)*AW144</f>
        <v>0</v>
      </c>
      <c r="AX158" s="181">
        <f>SUM($M$122:$M$125)*AX144</f>
        <v>0</v>
      </c>
      <c r="AY158" s="181">
        <f>SUM($M$122:$M$125)*AY144</f>
        <v>0</v>
      </c>
      <c r="AZ158" s="181">
        <f>SUM($M$122:$M$125)*AZ144</f>
        <v>0</v>
      </c>
      <c r="BA158" s="181">
        <f>SUM($M$122:$M$125)*BA144</f>
        <v>0</v>
      </c>
      <c r="BB158" s="181">
        <f>SUM($M$122:$M$125)*BB144</f>
        <v>0</v>
      </c>
      <c r="BC158" s="181">
        <f>SUM($M$122:$M$125)*BC144</f>
        <v>0</v>
      </c>
      <c r="BD158" s="181">
        <f>SUM($M$122:$M$125)*BD144</f>
        <v>0</v>
      </c>
      <c r="BE158" s="181">
        <f>SUM($M$122:$M$125)*BE144</f>
        <v>0</v>
      </c>
      <c r="BF158" s="181">
        <f>SUM($M$122:$M$125)*BF144</f>
        <v>0</v>
      </c>
      <c r="BG158" s="181">
        <f>SUM($M$122:$M$125)*BG144</f>
        <v>0</v>
      </c>
      <c r="BH158" s="181">
        <f>SUM($M$122:$M$125)*BH144</f>
        <v>0</v>
      </c>
      <c r="BI158" s="181">
        <f>SUM($M$122:$M$125)*BI144</f>
        <v>0</v>
      </c>
      <c r="BJ158" s="181">
        <f>SUM($M$122:$M$125)*BJ144</f>
        <v>0</v>
      </c>
      <c r="BK158" s="181">
        <f>SUM($M$122:$M$125)*BK144</f>
        <v>0</v>
      </c>
      <c r="BN158" s="181"/>
    </row>
    <row r="159" spans="1:66" x14ac:dyDescent="0.35">
      <c r="A159" s="168" t="s">
        <v>125</v>
      </c>
      <c r="B159" s="175"/>
      <c r="C159" s="176"/>
      <c r="D159" s="177"/>
      <c r="E159" s="177"/>
      <c r="F159" s="177"/>
      <c r="G159" s="177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177"/>
      <c r="AH159" s="177"/>
      <c r="AI159" s="177"/>
      <c r="AJ159" s="177"/>
      <c r="AK159" s="177"/>
      <c r="AL159" s="177"/>
      <c r="AM159" s="177"/>
      <c r="AN159" s="177"/>
      <c r="AO159" s="177"/>
      <c r="AP159" s="177"/>
      <c r="AQ159" s="177"/>
      <c r="AR159" s="177"/>
      <c r="AS159" s="177"/>
      <c r="AT159" s="177"/>
      <c r="AU159" s="177"/>
      <c r="AV159" s="177"/>
      <c r="AW159" s="177"/>
      <c r="AX159" s="177"/>
      <c r="AY159" s="177"/>
      <c r="AZ159" s="177"/>
      <c r="BA159" s="177"/>
      <c r="BB159" s="177"/>
      <c r="BC159" s="177"/>
      <c r="BD159" s="177"/>
      <c r="BE159" s="177"/>
      <c r="BF159" s="177"/>
      <c r="BG159" s="177"/>
      <c r="BH159" s="177"/>
      <c r="BI159" s="177"/>
      <c r="BJ159" s="177"/>
      <c r="BK159" s="177"/>
      <c r="BN159" s="177"/>
    </row>
    <row r="160" spans="1:66" x14ac:dyDescent="0.35">
      <c r="A160" s="172" t="s">
        <v>130</v>
      </c>
      <c r="B160" s="175">
        <f>SUM(D160:BK160)</f>
        <v>0</v>
      </c>
      <c r="C160" s="180"/>
      <c r="D160" s="181">
        <f>SUM($E$126:$E$127)*D146</f>
        <v>0</v>
      </c>
      <c r="E160" s="181">
        <f>SUM($E$126:$E$127)*E146</f>
        <v>0</v>
      </c>
      <c r="F160" s="181">
        <f>SUM($E$126:$E$127)*F146</f>
        <v>0</v>
      </c>
      <c r="G160" s="181">
        <f>SUM($E$126:$E$127)*G146</f>
        <v>0</v>
      </c>
      <c r="H160" s="181">
        <f>SUM($E$126:$E$127)*H146</f>
        <v>0</v>
      </c>
      <c r="I160" s="181">
        <f>SUM($E$126:$E$127)*I146</f>
        <v>0</v>
      </c>
      <c r="J160" s="181">
        <f>SUM($E$126:$E$127)*J146</f>
        <v>0</v>
      </c>
      <c r="K160" s="181">
        <f>SUM($E$126:$E$127)*K146</f>
        <v>0</v>
      </c>
      <c r="L160" s="181">
        <f>SUM($E$126:$E$127)*L146</f>
        <v>0</v>
      </c>
      <c r="M160" s="181">
        <f>SUM($E$126:$E$127)*M146</f>
        <v>0</v>
      </c>
      <c r="N160" s="181">
        <f>SUM($E$126:$E$127)*N146</f>
        <v>0</v>
      </c>
      <c r="O160" s="181">
        <f>SUM($E$126:$E$127)*O146</f>
        <v>0</v>
      </c>
      <c r="P160" s="181">
        <f>SUM($E$126:$E$127)*P146</f>
        <v>0</v>
      </c>
      <c r="Q160" s="181">
        <f>SUM($E$126:$E$127)*Q146</f>
        <v>0</v>
      </c>
      <c r="R160" s="181">
        <f>SUM($E$126:$E$127)*R146</f>
        <v>0</v>
      </c>
      <c r="S160" s="181">
        <f>SUM($E$126:$E$127)*S146</f>
        <v>0</v>
      </c>
      <c r="T160" s="181">
        <f>SUM($E$126:$E$127)*T146</f>
        <v>0</v>
      </c>
      <c r="U160" s="181">
        <f>SUM($E$126:$E$127)*U146</f>
        <v>0</v>
      </c>
      <c r="V160" s="181">
        <f>SUM($E$126:$E$127)*V146</f>
        <v>0</v>
      </c>
      <c r="W160" s="181">
        <f>SUM($E$126:$E$127)*W146</f>
        <v>0</v>
      </c>
      <c r="X160" s="181">
        <f>SUM($E$126:$E$127)*X146</f>
        <v>0</v>
      </c>
      <c r="Y160" s="181">
        <f>SUM($E$126:$E$127)*Y146</f>
        <v>0</v>
      </c>
      <c r="Z160" s="181">
        <f>SUM($E$126:$E$127)*Z146</f>
        <v>0</v>
      </c>
      <c r="AA160" s="181">
        <f>SUM($E$126:$E$127)*AA146</f>
        <v>0</v>
      </c>
      <c r="AB160" s="181">
        <f>SUM($E$126:$E$127)*AB146</f>
        <v>0</v>
      </c>
      <c r="AC160" s="181">
        <f>SUM($E$126:$E$127)*AC146</f>
        <v>0</v>
      </c>
      <c r="AD160" s="181">
        <f>SUM($E$126:$E$127)*AD146</f>
        <v>0</v>
      </c>
      <c r="AE160" s="181">
        <f>SUM($E$126:$E$127)*AE146</f>
        <v>0</v>
      </c>
      <c r="AF160" s="181">
        <f>SUM($E$126:$E$127)*AF146</f>
        <v>0</v>
      </c>
      <c r="AG160" s="181">
        <f>SUM($E$126:$E$127)*AG146</f>
        <v>0</v>
      </c>
      <c r="AH160" s="181">
        <f>SUM($E$126:$E$127)*AH146</f>
        <v>0</v>
      </c>
      <c r="AI160" s="181">
        <f>SUM($E$126:$E$127)*AI146</f>
        <v>0</v>
      </c>
      <c r="AJ160" s="181">
        <f>SUM($E$126:$E$127)*AJ146</f>
        <v>0</v>
      </c>
      <c r="AK160" s="181">
        <f>SUM($E$126:$E$127)*AK146</f>
        <v>0</v>
      </c>
      <c r="AL160" s="181">
        <f>SUM($E$126:$E$127)*AL146</f>
        <v>0</v>
      </c>
      <c r="AM160" s="181">
        <f>SUM($E$126:$E$127)*AM146</f>
        <v>0</v>
      </c>
      <c r="AN160" s="181">
        <f>SUM($E$126:$E$127)*AN146</f>
        <v>0</v>
      </c>
      <c r="AO160" s="181">
        <f>SUM($E$126:$E$127)*AO146</f>
        <v>0</v>
      </c>
      <c r="AP160" s="181">
        <f>SUM($E$126:$E$127)*AP146</f>
        <v>0</v>
      </c>
      <c r="AQ160" s="181">
        <f>SUM($E$126:$E$127)*AQ146</f>
        <v>0</v>
      </c>
      <c r="AR160" s="181">
        <f>SUM($E$126:$E$127)*AR146</f>
        <v>0</v>
      </c>
      <c r="AS160" s="181">
        <f>SUM($E$126:$E$127)*AS146</f>
        <v>0</v>
      </c>
      <c r="AT160" s="181">
        <f>SUM($E$126:$E$127)*AT146</f>
        <v>0</v>
      </c>
      <c r="AU160" s="181">
        <f>SUM($E$126:$E$127)*AU146</f>
        <v>0</v>
      </c>
      <c r="AV160" s="181">
        <f>SUM($E$126:$E$127)*AV146</f>
        <v>0</v>
      </c>
      <c r="AW160" s="181">
        <f>SUM($E$126:$E$127)*AW146</f>
        <v>0</v>
      </c>
      <c r="AX160" s="181">
        <f>SUM($E$126:$E$127)*AX146</f>
        <v>0</v>
      </c>
      <c r="AY160" s="181">
        <f>SUM($E$126:$E$127)*AY146</f>
        <v>0</v>
      </c>
      <c r="AZ160" s="181">
        <f>SUM($E$126:$E$127)*AZ146</f>
        <v>0</v>
      </c>
      <c r="BA160" s="181">
        <f>SUM($E$126:$E$127)*BA146</f>
        <v>0</v>
      </c>
      <c r="BB160" s="181">
        <f>SUM($E$126:$E$127)*BB146</f>
        <v>0</v>
      </c>
      <c r="BC160" s="181">
        <f>SUM($E$126:$E$127)*BC146</f>
        <v>0</v>
      </c>
      <c r="BD160" s="181">
        <f>SUM($E$126:$E$127)*BD146</f>
        <v>0</v>
      </c>
      <c r="BE160" s="181">
        <f>SUM($E$126:$E$127)*BE146</f>
        <v>0</v>
      </c>
      <c r="BF160" s="181">
        <f>SUM($E$126:$E$127)*BF146</f>
        <v>0</v>
      </c>
      <c r="BG160" s="181">
        <f>SUM($E$126:$E$127)*BG146</f>
        <v>0</v>
      </c>
      <c r="BH160" s="181">
        <f>SUM($E$126:$E$127)*BH146</f>
        <v>0</v>
      </c>
      <c r="BI160" s="181">
        <f>SUM($E$126:$E$127)*BI146</f>
        <v>0</v>
      </c>
      <c r="BJ160" s="181">
        <f>SUM($E$126:$E$127)*BJ146</f>
        <v>0</v>
      </c>
      <c r="BK160" s="181">
        <f>SUM($E$126:$E$127)*BK146</f>
        <v>0</v>
      </c>
      <c r="BN160" s="181"/>
    </row>
    <row r="161" spans="1:66" x14ac:dyDescent="0.35">
      <c r="A161" s="172" t="s">
        <v>124</v>
      </c>
      <c r="B161" s="175">
        <f>SUM(D161:BK161)</f>
        <v>76194.492708999998</v>
      </c>
      <c r="C161" s="180"/>
      <c r="D161" s="181">
        <f>SUM($M$126:$M$127)*D147</f>
        <v>0</v>
      </c>
      <c r="E161" s="181">
        <f>SUM($M$126:$M$127)*E147</f>
        <v>0</v>
      </c>
      <c r="F161" s="181">
        <f>SUM($M$126:$M$127)*F147</f>
        <v>0</v>
      </c>
      <c r="G161" s="181">
        <f>SUM($M$126:$M$127)*G147</f>
        <v>0</v>
      </c>
      <c r="H161" s="181">
        <f>SUM($M$126:$M$127)*H147</f>
        <v>0</v>
      </c>
      <c r="I161" s="181">
        <f>SUM($M$126:$M$127)*I147</f>
        <v>0</v>
      </c>
      <c r="J161" s="181">
        <f>SUM($M$126:$M$127)*J147</f>
        <v>0</v>
      </c>
      <c r="K161" s="181">
        <f>SUM($M$126:$M$127)*K147</f>
        <v>0</v>
      </c>
      <c r="L161" s="181">
        <f>SUM($M$126:$M$127)*L147</f>
        <v>0</v>
      </c>
      <c r="M161" s="181">
        <f>SUM($M$126:$M$127)*M147</f>
        <v>0</v>
      </c>
      <c r="N161" s="181">
        <f>SUM($M$126:$M$127)*N147</f>
        <v>0</v>
      </c>
      <c r="O161" s="181">
        <f>SUM($M$126:$M$127)*O147</f>
        <v>0</v>
      </c>
      <c r="P161" s="181">
        <f>SUM($M$126:$M$127)*P147</f>
        <v>0</v>
      </c>
      <c r="Q161" s="181">
        <f>SUM($M$126:$M$127)*Q147</f>
        <v>0</v>
      </c>
      <c r="R161" s="181">
        <f>SUM($M$126:$M$127)*R147</f>
        <v>0</v>
      </c>
      <c r="S161" s="181">
        <f>SUM($M$126:$M$127)*S147</f>
        <v>0</v>
      </c>
      <c r="T161" s="181">
        <f>SUM($M$126:$M$127)*T147</f>
        <v>0</v>
      </c>
      <c r="U161" s="181">
        <f>SUM($M$126:$M$127)*U147</f>
        <v>0</v>
      </c>
      <c r="V161" s="181">
        <f>SUM($M$126:$M$127)*V147</f>
        <v>0</v>
      </c>
      <c r="W161" s="181">
        <f>SUM($M$126:$M$127)*W147</f>
        <v>0</v>
      </c>
      <c r="X161" s="181">
        <f>SUM($M$126:$M$127)*X147</f>
        <v>45716.695625399996</v>
      </c>
      <c r="Y161" s="181">
        <f>SUM($M$126:$M$127)*Y147</f>
        <v>30477.797083600002</v>
      </c>
      <c r="Z161" s="181">
        <f>SUM($M$126:$M$127)*Z147</f>
        <v>0</v>
      </c>
      <c r="AA161" s="181">
        <f>SUM($M$126:$M$127)*AA147</f>
        <v>0</v>
      </c>
      <c r="AB161" s="181">
        <f>SUM($M$126:$M$127)*AB147</f>
        <v>0</v>
      </c>
      <c r="AC161" s="181">
        <f>SUM($M$126:$M$127)*AC147</f>
        <v>0</v>
      </c>
      <c r="AD161" s="181">
        <f>SUM($M$126:$M$127)*AD147</f>
        <v>0</v>
      </c>
      <c r="AE161" s="181">
        <f>SUM($M$126:$M$127)*AE147</f>
        <v>0</v>
      </c>
      <c r="AF161" s="181">
        <f>SUM($M$126:$M$127)*AF147</f>
        <v>0</v>
      </c>
      <c r="AG161" s="181">
        <f>SUM($M$126:$M$127)*AG147</f>
        <v>0</v>
      </c>
      <c r="AH161" s="181">
        <f>SUM($M$126:$M$127)*AH147</f>
        <v>0</v>
      </c>
      <c r="AI161" s="181">
        <f>SUM($M$126:$M$127)*AI147</f>
        <v>0</v>
      </c>
      <c r="AJ161" s="181">
        <f>SUM($M$126:$M$127)*AJ147</f>
        <v>0</v>
      </c>
      <c r="AK161" s="181">
        <f>SUM($M$126:$M$127)*AK147</f>
        <v>0</v>
      </c>
      <c r="AL161" s="181">
        <f>SUM($M$126:$M$127)*AL147</f>
        <v>0</v>
      </c>
      <c r="AM161" s="181">
        <f>SUM($M$126:$M$127)*AM147</f>
        <v>0</v>
      </c>
      <c r="AN161" s="181">
        <f>SUM($M$126:$M$127)*AN147</f>
        <v>0</v>
      </c>
      <c r="AO161" s="181">
        <f>SUM($M$126:$M$127)*AO147</f>
        <v>0</v>
      </c>
      <c r="AP161" s="181">
        <f>SUM($M$126:$M$127)*AP147</f>
        <v>0</v>
      </c>
      <c r="AQ161" s="181">
        <f>SUM($M$126:$M$127)*AQ147</f>
        <v>0</v>
      </c>
      <c r="AR161" s="181">
        <f>SUM($M$126:$M$127)*AR147</f>
        <v>0</v>
      </c>
      <c r="AS161" s="181">
        <f>SUM($M$126:$M$127)*AS147</f>
        <v>0</v>
      </c>
      <c r="AT161" s="181">
        <f>SUM($M$126:$M$127)*AT147</f>
        <v>0</v>
      </c>
      <c r="AU161" s="181">
        <f>SUM($M$126:$M$127)*AU147</f>
        <v>0</v>
      </c>
      <c r="AV161" s="181">
        <f>SUM($M$126:$M$127)*AV147</f>
        <v>0</v>
      </c>
      <c r="AW161" s="181">
        <f>SUM($M$126:$M$127)*AW147</f>
        <v>0</v>
      </c>
      <c r="AX161" s="181">
        <f>SUM($M$126:$M$127)*AX147</f>
        <v>0</v>
      </c>
      <c r="AY161" s="181">
        <f>SUM($M$126:$M$127)*AY147</f>
        <v>0</v>
      </c>
      <c r="AZ161" s="181">
        <f>SUM($M$126:$M$127)*AZ147</f>
        <v>0</v>
      </c>
      <c r="BA161" s="181">
        <f>SUM($M$126:$M$127)*BA147</f>
        <v>0</v>
      </c>
      <c r="BB161" s="181">
        <f>SUM($M$126:$M$127)*BB147</f>
        <v>0</v>
      </c>
      <c r="BC161" s="181">
        <f>SUM($M$126:$M$127)*BC147</f>
        <v>0</v>
      </c>
      <c r="BD161" s="181">
        <f>SUM($M$126:$M$127)*BD147</f>
        <v>0</v>
      </c>
      <c r="BE161" s="181">
        <f>SUM($M$126:$M$127)*BE147</f>
        <v>0</v>
      </c>
      <c r="BF161" s="181">
        <f>SUM($M$126:$M$127)*BF147</f>
        <v>0</v>
      </c>
      <c r="BG161" s="181">
        <f>SUM($M$126:$M$127)*BG147</f>
        <v>0</v>
      </c>
      <c r="BH161" s="181">
        <f>SUM($M$126:$M$127)*BH147</f>
        <v>0</v>
      </c>
      <c r="BI161" s="181">
        <f>SUM($M$126:$M$127)*BI147</f>
        <v>0</v>
      </c>
      <c r="BJ161" s="181">
        <f>SUM($M$126:$M$127)*BJ147</f>
        <v>0</v>
      </c>
      <c r="BK161" s="181">
        <f>SUM($M$126:$M$127)*BK147</f>
        <v>0</v>
      </c>
      <c r="BN161" s="181"/>
    </row>
    <row r="162" spans="1:66" x14ac:dyDescent="0.35">
      <c r="A162" s="183"/>
      <c r="B162" s="184"/>
      <c r="C162" s="185"/>
      <c r="D162" s="186"/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  <c r="S162" s="186"/>
      <c r="T162" s="186"/>
      <c r="U162" s="186"/>
      <c r="V162" s="186"/>
      <c r="W162" s="186"/>
      <c r="X162" s="186"/>
      <c r="Y162" s="186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  <c r="AS162" s="186"/>
      <c r="AT162" s="186"/>
      <c r="AU162" s="186"/>
      <c r="AV162" s="186"/>
      <c r="AW162" s="186"/>
      <c r="AX162" s="186"/>
      <c r="AY162" s="186"/>
      <c r="AZ162" s="186"/>
      <c r="BA162" s="186"/>
      <c r="BB162" s="186"/>
      <c r="BC162" s="186"/>
      <c r="BD162" s="186"/>
      <c r="BE162" s="186"/>
      <c r="BF162" s="186"/>
      <c r="BG162" s="186"/>
      <c r="BH162" s="186"/>
      <c r="BI162" s="186"/>
      <c r="BJ162" s="186"/>
      <c r="BK162" s="186"/>
      <c r="BN162" s="186"/>
    </row>
    <row r="163" spans="1:66" x14ac:dyDescent="0.35">
      <c r="A163" s="50"/>
      <c r="B163" s="56"/>
      <c r="C163" s="57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N163" s="56"/>
    </row>
    <row r="164" spans="1:66" x14ac:dyDescent="0.35">
      <c r="A164" s="168" t="s">
        <v>131</v>
      </c>
      <c r="B164" s="187">
        <f>SUM(D164:BK164)</f>
        <v>223.89333776454509</v>
      </c>
      <c r="C164" s="188"/>
      <c r="D164" s="189">
        <f>D165+D174</f>
        <v>0</v>
      </c>
      <c r="E164" s="189">
        <f t="shared" ref="E164:BK164" si="58">E165+E174</f>
        <v>0</v>
      </c>
      <c r="F164" s="189">
        <f t="shared" si="58"/>
        <v>0</v>
      </c>
      <c r="G164" s="189">
        <f t="shared" si="58"/>
        <v>0</v>
      </c>
      <c r="H164" s="189">
        <f t="shared" si="58"/>
        <v>8.5000000000000006E-2</v>
      </c>
      <c r="I164" s="189">
        <f t="shared" si="58"/>
        <v>2.0677566999999999</v>
      </c>
      <c r="J164" s="189">
        <f t="shared" si="58"/>
        <v>2.3565527000000004</v>
      </c>
      <c r="K164" s="189">
        <f t="shared" si="58"/>
        <v>2.5140635499999999</v>
      </c>
      <c r="L164" s="189">
        <f t="shared" si="58"/>
        <v>2.6715743999999999</v>
      </c>
      <c r="M164" s="189">
        <f t="shared" si="58"/>
        <v>2.6715743999999999</v>
      </c>
      <c r="N164" s="189">
        <f t="shared" si="58"/>
        <v>2.6715743999999999</v>
      </c>
      <c r="O164" s="189">
        <f t="shared" si="58"/>
        <v>2.6715743999999999</v>
      </c>
      <c r="P164" s="189">
        <f t="shared" si="58"/>
        <v>2.6715743999999999</v>
      </c>
      <c r="Q164" s="189">
        <f t="shared" si="58"/>
        <v>2.6715743999999999</v>
      </c>
      <c r="R164" s="189">
        <f t="shared" si="58"/>
        <v>2.6715743999999999</v>
      </c>
      <c r="S164" s="189">
        <f t="shared" si="58"/>
        <v>2.6715743999999999</v>
      </c>
      <c r="T164" s="189">
        <f t="shared" si="58"/>
        <v>2.6715743999999999</v>
      </c>
      <c r="U164" s="189">
        <f t="shared" si="58"/>
        <v>2.6715743999999999</v>
      </c>
      <c r="V164" s="189">
        <f t="shared" si="58"/>
        <v>2.6715743999999999</v>
      </c>
      <c r="W164" s="189">
        <f t="shared" si="58"/>
        <v>2.6715743999999999</v>
      </c>
      <c r="X164" s="189">
        <f t="shared" si="58"/>
        <v>3.7328887906350001</v>
      </c>
      <c r="Y164" s="189">
        <f t="shared" si="58"/>
        <v>4.4404317177249997</v>
      </c>
      <c r="Z164" s="189">
        <f t="shared" si="58"/>
        <v>4.4404317177249997</v>
      </c>
      <c r="AA164" s="189">
        <f t="shared" si="58"/>
        <v>4.4404317177249997</v>
      </c>
      <c r="AB164" s="189">
        <f t="shared" si="58"/>
        <v>4.4404317177249997</v>
      </c>
      <c r="AC164" s="189">
        <f t="shared" si="58"/>
        <v>4.4404317177249997</v>
      </c>
      <c r="AD164" s="189">
        <f t="shared" si="58"/>
        <v>4.4404317177249997</v>
      </c>
      <c r="AE164" s="189">
        <f t="shared" si="58"/>
        <v>4.4404317177249997</v>
      </c>
      <c r="AF164" s="189">
        <f t="shared" si="58"/>
        <v>4.4404317177249997</v>
      </c>
      <c r="AG164" s="189">
        <f t="shared" si="58"/>
        <v>4.4404317177249997</v>
      </c>
      <c r="AH164" s="189">
        <f t="shared" si="58"/>
        <v>4.4404317177249997</v>
      </c>
      <c r="AI164" s="189">
        <f t="shared" si="58"/>
        <v>4.4404317177249997</v>
      </c>
      <c r="AJ164" s="189">
        <f t="shared" si="58"/>
        <v>4.4404317177249997</v>
      </c>
      <c r="AK164" s="189">
        <f t="shared" si="58"/>
        <v>4.4404317177249997</v>
      </c>
      <c r="AL164" s="189">
        <f t="shared" si="58"/>
        <v>4.4404317177249997</v>
      </c>
      <c r="AM164" s="189">
        <f t="shared" si="58"/>
        <v>4.4404317177249997</v>
      </c>
      <c r="AN164" s="189">
        <f t="shared" si="58"/>
        <v>4.4404317177249997</v>
      </c>
      <c r="AO164" s="189">
        <f t="shared" si="58"/>
        <v>4.4404317177249997</v>
      </c>
      <c r="AP164" s="189">
        <f t="shared" si="58"/>
        <v>4.4404317177249997</v>
      </c>
      <c r="AQ164" s="189">
        <f t="shared" si="58"/>
        <v>4.6804099677250006</v>
      </c>
      <c r="AR164" s="189">
        <f t="shared" si="58"/>
        <v>4.6804099677250006</v>
      </c>
      <c r="AS164" s="189">
        <f t="shared" si="58"/>
        <v>4.6804099677250006</v>
      </c>
      <c r="AT164" s="189">
        <f t="shared" si="58"/>
        <v>4.6804099677250006</v>
      </c>
      <c r="AU164" s="189">
        <f t="shared" si="58"/>
        <v>4.6804099677250006</v>
      </c>
      <c r="AV164" s="189">
        <f t="shared" si="58"/>
        <v>4.6804099677250006</v>
      </c>
      <c r="AW164" s="189">
        <f t="shared" si="58"/>
        <v>4.6804099677250006</v>
      </c>
      <c r="AX164" s="189">
        <f t="shared" si="58"/>
        <v>4.8090162957250007</v>
      </c>
      <c r="AY164" s="189">
        <f t="shared" si="58"/>
        <v>4.8090162957250007</v>
      </c>
      <c r="AZ164" s="189">
        <f t="shared" si="58"/>
        <v>4.8090162957250007</v>
      </c>
      <c r="BA164" s="189">
        <f t="shared" si="58"/>
        <v>4.8090162957250007</v>
      </c>
      <c r="BB164" s="189">
        <f t="shared" si="58"/>
        <v>4.8090162957250007</v>
      </c>
      <c r="BC164" s="189">
        <f t="shared" si="58"/>
        <v>4.8090162957250007</v>
      </c>
      <c r="BD164" s="189">
        <f t="shared" si="58"/>
        <v>4.8090162957250007</v>
      </c>
      <c r="BE164" s="189">
        <f t="shared" si="58"/>
        <v>4.8090162957250007</v>
      </c>
      <c r="BF164" s="189">
        <f t="shared" si="58"/>
        <v>4.8090162957250007</v>
      </c>
      <c r="BG164" s="189">
        <f t="shared" si="58"/>
        <v>4.8090162957250007</v>
      </c>
      <c r="BH164" s="189">
        <f t="shared" si="58"/>
        <v>5.0743448933837509</v>
      </c>
      <c r="BI164" s="189">
        <f t="shared" si="58"/>
        <v>5.0743448933837509</v>
      </c>
      <c r="BJ164" s="189">
        <f t="shared" si="58"/>
        <v>5.0743448933837509</v>
      </c>
      <c r="BK164" s="189">
        <f t="shared" si="58"/>
        <v>5.0743448933837509</v>
      </c>
      <c r="BN164" s="189"/>
    </row>
    <row r="165" spans="1:66" x14ac:dyDescent="0.35">
      <c r="A165" s="190" t="s">
        <v>122</v>
      </c>
      <c r="B165" s="191">
        <f>SUM(D165:BK165)</f>
        <v>152.7852735919999</v>
      </c>
      <c r="C165" s="192"/>
      <c r="D165" s="193">
        <f>SUM(D166:D173)</f>
        <v>0</v>
      </c>
      <c r="E165" s="193">
        <f t="shared" ref="E165:BK165" si="59">SUM(E166:E173)</f>
        <v>0</v>
      </c>
      <c r="F165" s="193">
        <f t="shared" si="59"/>
        <v>0</v>
      </c>
      <c r="G165" s="193">
        <f t="shared" si="59"/>
        <v>0</v>
      </c>
      <c r="H165" s="193">
        <f t="shared" si="59"/>
        <v>8.5000000000000006E-2</v>
      </c>
      <c r="I165" s="193">
        <f t="shared" si="59"/>
        <v>2.0677566999999999</v>
      </c>
      <c r="J165" s="193">
        <f t="shared" si="59"/>
        <v>2.3565527000000004</v>
      </c>
      <c r="K165" s="193">
        <f t="shared" si="59"/>
        <v>2.5140635499999999</v>
      </c>
      <c r="L165" s="193">
        <f t="shared" si="59"/>
        <v>2.6715743999999999</v>
      </c>
      <c r="M165" s="193">
        <f t="shared" si="59"/>
        <v>2.6715743999999999</v>
      </c>
      <c r="N165" s="193">
        <f t="shared" si="59"/>
        <v>2.6715743999999999</v>
      </c>
      <c r="O165" s="193">
        <f t="shared" si="59"/>
        <v>2.6715743999999999</v>
      </c>
      <c r="P165" s="193">
        <f t="shared" si="59"/>
        <v>2.6715743999999999</v>
      </c>
      <c r="Q165" s="193">
        <f t="shared" si="59"/>
        <v>2.6715743999999999</v>
      </c>
      <c r="R165" s="193">
        <f t="shared" si="59"/>
        <v>2.6715743999999999</v>
      </c>
      <c r="S165" s="193">
        <f t="shared" si="59"/>
        <v>2.6715743999999999</v>
      </c>
      <c r="T165" s="193">
        <f t="shared" si="59"/>
        <v>2.6715743999999999</v>
      </c>
      <c r="U165" s="193">
        <f t="shared" si="59"/>
        <v>2.6715743999999999</v>
      </c>
      <c r="V165" s="193">
        <f t="shared" si="59"/>
        <v>2.6715743999999999</v>
      </c>
      <c r="W165" s="193">
        <f t="shared" si="59"/>
        <v>2.6715743999999999</v>
      </c>
      <c r="X165" s="193">
        <f t="shared" si="59"/>
        <v>2.6715743999999999</v>
      </c>
      <c r="Y165" s="193">
        <f t="shared" si="59"/>
        <v>2.6715743999999999</v>
      </c>
      <c r="Z165" s="193">
        <f t="shared" si="59"/>
        <v>2.6715743999999999</v>
      </c>
      <c r="AA165" s="193">
        <f t="shared" si="59"/>
        <v>2.6715743999999999</v>
      </c>
      <c r="AB165" s="193">
        <f t="shared" si="59"/>
        <v>2.6715743999999999</v>
      </c>
      <c r="AC165" s="193">
        <f t="shared" si="59"/>
        <v>2.6715743999999999</v>
      </c>
      <c r="AD165" s="193">
        <f t="shared" si="59"/>
        <v>2.6715743999999999</v>
      </c>
      <c r="AE165" s="193">
        <f t="shared" si="59"/>
        <v>2.6715743999999999</v>
      </c>
      <c r="AF165" s="193">
        <f t="shared" si="59"/>
        <v>2.6715743999999999</v>
      </c>
      <c r="AG165" s="193">
        <f t="shared" si="59"/>
        <v>2.6715743999999999</v>
      </c>
      <c r="AH165" s="193">
        <f t="shared" si="59"/>
        <v>2.6715743999999999</v>
      </c>
      <c r="AI165" s="193">
        <f t="shared" si="59"/>
        <v>2.6715743999999999</v>
      </c>
      <c r="AJ165" s="193">
        <f t="shared" si="59"/>
        <v>2.6715743999999999</v>
      </c>
      <c r="AK165" s="193">
        <f t="shared" si="59"/>
        <v>2.6715743999999999</v>
      </c>
      <c r="AL165" s="193">
        <f t="shared" si="59"/>
        <v>2.6715743999999999</v>
      </c>
      <c r="AM165" s="193">
        <f t="shared" si="59"/>
        <v>2.6715743999999999</v>
      </c>
      <c r="AN165" s="193">
        <f t="shared" si="59"/>
        <v>2.6715743999999999</v>
      </c>
      <c r="AO165" s="193">
        <f t="shared" si="59"/>
        <v>2.6715743999999999</v>
      </c>
      <c r="AP165" s="193">
        <f t="shared" si="59"/>
        <v>2.6715743999999999</v>
      </c>
      <c r="AQ165" s="193">
        <f t="shared" si="59"/>
        <v>2.9115526500000004</v>
      </c>
      <c r="AR165" s="193">
        <f t="shared" si="59"/>
        <v>2.9115526500000004</v>
      </c>
      <c r="AS165" s="193">
        <f t="shared" si="59"/>
        <v>2.9115526500000004</v>
      </c>
      <c r="AT165" s="193">
        <f t="shared" si="59"/>
        <v>2.9115526500000004</v>
      </c>
      <c r="AU165" s="193">
        <f t="shared" si="59"/>
        <v>2.9115526500000004</v>
      </c>
      <c r="AV165" s="193">
        <f t="shared" si="59"/>
        <v>2.9115526500000004</v>
      </c>
      <c r="AW165" s="193">
        <f t="shared" si="59"/>
        <v>2.9115526500000004</v>
      </c>
      <c r="AX165" s="193">
        <f t="shared" si="59"/>
        <v>3.0401589780000005</v>
      </c>
      <c r="AY165" s="193">
        <f t="shared" si="59"/>
        <v>3.0401589780000005</v>
      </c>
      <c r="AZ165" s="193">
        <f t="shared" si="59"/>
        <v>3.0401589780000005</v>
      </c>
      <c r="BA165" s="193">
        <f t="shared" si="59"/>
        <v>3.0401589780000005</v>
      </c>
      <c r="BB165" s="193">
        <f t="shared" si="59"/>
        <v>3.0401589780000005</v>
      </c>
      <c r="BC165" s="193">
        <f t="shared" si="59"/>
        <v>3.0401589780000005</v>
      </c>
      <c r="BD165" s="193">
        <f t="shared" si="59"/>
        <v>3.0401589780000005</v>
      </c>
      <c r="BE165" s="193">
        <f t="shared" si="59"/>
        <v>3.0401589780000005</v>
      </c>
      <c r="BF165" s="193">
        <f t="shared" si="59"/>
        <v>3.0401589780000005</v>
      </c>
      <c r="BG165" s="193">
        <f t="shared" si="59"/>
        <v>3.0401589780000005</v>
      </c>
      <c r="BH165" s="193">
        <f t="shared" si="59"/>
        <v>3.0401589780000005</v>
      </c>
      <c r="BI165" s="193">
        <f t="shared" si="59"/>
        <v>3.0401589780000005</v>
      </c>
      <c r="BJ165" s="193">
        <f t="shared" si="59"/>
        <v>3.0401589780000005</v>
      </c>
      <c r="BK165" s="193">
        <f t="shared" si="59"/>
        <v>3.0401589780000005</v>
      </c>
      <c r="BN165" s="193"/>
    </row>
    <row r="166" spans="1:66" x14ac:dyDescent="0.35">
      <c r="A166" s="178" t="s">
        <v>127</v>
      </c>
      <c r="B166" s="187">
        <f>SUM(D166:BK166)</f>
        <v>60.745055592000014</v>
      </c>
      <c r="C166" s="180"/>
      <c r="D166" s="181">
        <f>SUM($D151:D151)*$N124/10^7</f>
        <v>0</v>
      </c>
      <c r="E166" s="181">
        <f>SUM($D151:E151)*$N124/10^7</f>
        <v>0</v>
      </c>
      <c r="F166" s="181">
        <f>SUM($D151:F151)*$N124/10^7</f>
        <v>0</v>
      </c>
      <c r="G166" s="181">
        <f>SUM($D151:G151)*$N124/10^7</f>
        <v>0</v>
      </c>
      <c r="H166" s="181">
        <f>SUM($D151:H151)*$N124/10^7</f>
        <v>0</v>
      </c>
      <c r="I166" s="194">
        <f>SUM($D151:I151)*$N124/10^7</f>
        <v>1.0717194000000001</v>
      </c>
      <c r="J166" s="194">
        <f>SUM($D151:J151)*$N124/10^7</f>
        <v>1.0717194000000001</v>
      </c>
      <c r="K166" s="194">
        <f>SUM($D151:K151)*$N124/10^7</f>
        <v>1.0717194000000001</v>
      </c>
      <c r="L166" s="194">
        <f>SUM($D151:L151)*$N124/10^7</f>
        <v>1.0717194000000001</v>
      </c>
      <c r="M166" s="194">
        <f>SUM($D151:M151)*$N124/10^7</f>
        <v>1.0717194000000001</v>
      </c>
      <c r="N166" s="194">
        <f>SUM($D151:N151)*$N124/10^7</f>
        <v>1.0717194000000001</v>
      </c>
      <c r="O166" s="194">
        <f>SUM($D151:O151)*$N124/10^7</f>
        <v>1.0717194000000001</v>
      </c>
      <c r="P166" s="194">
        <f>SUM($D151:P151)*$N124/10^7</f>
        <v>1.0717194000000001</v>
      </c>
      <c r="Q166" s="194">
        <f>SUM($D151:Q151)*$N124/10^7</f>
        <v>1.0717194000000001</v>
      </c>
      <c r="R166" s="194">
        <f>SUM($D151:R151)*$N124/10^7</f>
        <v>1.0717194000000001</v>
      </c>
      <c r="S166" s="194">
        <f>SUM($D151:S151)*$N124/10^7</f>
        <v>1.0717194000000001</v>
      </c>
      <c r="T166" s="194">
        <f>SUM($D151:T151)*$N124/10^7</f>
        <v>1.0717194000000001</v>
      </c>
      <c r="U166" s="194">
        <f>SUM($D151:U151)*$N124/10^7</f>
        <v>1.0717194000000001</v>
      </c>
      <c r="V166" s="194">
        <f>SUM($D151:V151)*$N124/10^7</f>
        <v>1.0717194000000001</v>
      </c>
      <c r="W166" s="194">
        <f>SUM($D151:W151)*$N124/10^7</f>
        <v>1.0717194000000001</v>
      </c>
      <c r="X166" s="194">
        <f>SUM($D151:X151)*$N124/10^7</f>
        <v>1.0717194000000001</v>
      </c>
      <c r="Y166" s="194">
        <f>SUM($D151:Y151)*$N124/10^7</f>
        <v>1.0717194000000001</v>
      </c>
      <c r="Z166" s="194">
        <f>SUM($D151:Z151)*$N124/10^7</f>
        <v>1.0717194000000001</v>
      </c>
      <c r="AA166" s="194">
        <f>SUM($D151:AA151)*$N124/10^7</f>
        <v>1.0717194000000001</v>
      </c>
      <c r="AB166" s="194">
        <f>SUM($D151:AB151)*$N124/10^7</f>
        <v>1.0717194000000001</v>
      </c>
      <c r="AC166" s="194">
        <f>SUM($D151:AC151)*$N124/10^7</f>
        <v>1.0717194000000001</v>
      </c>
      <c r="AD166" s="194">
        <f>SUM($D151:AD151)*$N124/10^7</f>
        <v>1.0717194000000001</v>
      </c>
      <c r="AE166" s="194">
        <f>SUM($D151:AE151)*$N124/10^7</f>
        <v>1.0717194000000001</v>
      </c>
      <c r="AF166" s="194">
        <f>SUM($D151:AF151)*$N124/10^7</f>
        <v>1.0717194000000001</v>
      </c>
      <c r="AG166" s="194">
        <f>SUM($D151:AG151)*$N124/10^7</f>
        <v>1.0717194000000001</v>
      </c>
      <c r="AH166" s="194">
        <f>SUM($D151:AH151)*$N124/10^7</f>
        <v>1.0717194000000001</v>
      </c>
      <c r="AI166" s="194">
        <f>SUM($D151:AI151)*$N124/10^7</f>
        <v>1.0717194000000001</v>
      </c>
      <c r="AJ166" s="194">
        <f>SUM($D151:AJ151)*$N124/10^7</f>
        <v>1.0717194000000001</v>
      </c>
      <c r="AK166" s="194">
        <f>SUM($D151:AK151)*$N124/10^7</f>
        <v>1.0717194000000001</v>
      </c>
      <c r="AL166" s="194">
        <f>SUM($D151:AL151)*$N124/10^7</f>
        <v>1.0717194000000001</v>
      </c>
      <c r="AM166" s="194">
        <f>SUM($D151:AM151)*$N124/10^7</f>
        <v>1.0717194000000001</v>
      </c>
      <c r="AN166" s="194">
        <f>SUM($D151:AN151)*$N124/10^7</f>
        <v>1.0717194000000001</v>
      </c>
      <c r="AO166" s="194">
        <f>SUM($D151:AO151)*$N124/10^7</f>
        <v>1.0717194000000001</v>
      </c>
      <c r="AP166" s="194">
        <f>SUM($D151:AP151)*$N124/10^7</f>
        <v>1.0717194000000001</v>
      </c>
      <c r="AQ166" s="194">
        <f>SUM($D151:AQ151)*$N124/10^7</f>
        <v>1.0717194000000001</v>
      </c>
      <c r="AR166" s="194">
        <f>SUM($D151:AR151)*$N124/10^7</f>
        <v>1.0717194000000001</v>
      </c>
      <c r="AS166" s="194">
        <f>SUM($D151:AS151)*$N124/10^7</f>
        <v>1.0717194000000001</v>
      </c>
      <c r="AT166" s="194">
        <f>SUM($D151:AT151)*$N124/10^7</f>
        <v>1.0717194000000001</v>
      </c>
      <c r="AU166" s="194">
        <f>SUM($D151:AU151)*$N124/10^7</f>
        <v>1.0717194000000001</v>
      </c>
      <c r="AV166" s="194">
        <f>SUM($D151:AV151)*$N124/10^7</f>
        <v>1.0717194000000001</v>
      </c>
      <c r="AW166" s="194">
        <f>SUM($D151:AW151)*$N124/10^7</f>
        <v>1.0717194000000001</v>
      </c>
      <c r="AX166" s="195">
        <f>SUM($D151:AX151)*$N124*(1+12%)/10^7</f>
        <v>1.2003257280000001</v>
      </c>
      <c r="AY166" s="194">
        <f>SUM($D151:AY151)*$N124*(1+12%)/10^7</f>
        <v>1.2003257280000001</v>
      </c>
      <c r="AZ166" s="194">
        <f>SUM($D151:AZ151)*$N124*(1+12%)/10^7</f>
        <v>1.2003257280000001</v>
      </c>
      <c r="BA166" s="194">
        <f>SUM($D151:BA151)*$N124*(1+12%)/10^7</f>
        <v>1.2003257280000001</v>
      </c>
      <c r="BB166" s="194">
        <f>SUM($D151:BB151)*$N124*(1+12%)/10^7</f>
        <v>1.2003257280000001</v>
      </c>
      <c r="BC166" s="194">
        <f>SUM($D151:BC151)*$N124*(1+12%)/10^7</f>
        <v>1.2003257280000001</v>
      </c>
      <c r="BD166" s="194">
        <f>SUM($D151:BD151)*$N124*(1+12%)/10^7</f>
        <v>1.2003257280000001</v>
      </c>
      <c r="BE166" s="194">
        <f>SUM($D151:BE151)*$N124*(1+12%)/10^7</f>
        <v>1.2003257280000001</v>
      </c>
      <c r="BF166" s="194">
        <f>SUM($D151:BF151)*$N124*(1+12%)/10^7</f>
        <v>1.2003257280000001</v>
      </c>
      <c r="BG166" s="194">
        <f>SUM($D151:BG151)*$N124*(1+12%)/10^7</f>
        <v>1.2003257280000001</v>
      </c>
      <c r="BH166" s="194">
        <f>SUM($D151:BH151)*$N124*(1+12%)/10^7</f>
        <v>1.2003257280000001</v>
      </c>
      <c r="BI166" s="194">
        <f>SUM($D151:BI151)*$N124*(1+12%)/10^7</f>
        <v>1.2003257280000001</v>
      </c>
      <c r="BJ166" s="194">
        <f>SUM($D151:BJ151)*$N124*(1+12%)/10^7</f>
        <v>1.2003257280000001</v>
      </c>
      <c r="BK166" s="194">
        <f>SUM($D151:BK151)*$N124*(1+12%)/10^7</f>
        <v>1.2003257280000001</v>
      </c>
      <c r="BN166" s="194"/>
    </row>
    <row r="167" spans="1:66" x14ac:dyDescent="0.35">
      <c r="A167" s="178" t="s">
        <v>128</v>
      </c>
      <c r="B167" s="187">
        <f>SUM(D167:BK167)</f>
        <v>5.0277499999999948</v>
      </c>
      <c r="C167" s="180"/>
      <c r="D167" s="181">
        <f>SUM($D152:D152)*$F123/10^7</f>
        <v>0</v>
      </c>
      <c r="E167" s="181">
        <f>SUM($D152:E152)*$F123/10^7</f>
        <v>0</v>
      </c>
      <c r="F167" s="181">
        <f>SUM($D152:F152)*$F123/10^7</f>
        <v>0</v>
      </c>
      <c r="G167" s="181">
        <f>SUM($D152:G152)*$F123/10^7</f>
        <v>0</v>
      </c>
      <c r="H167" s="181">
        <f>SUM($D152:H152)*$F123/10^7</f>
        <v>8.5000000000000006E-2</v>
      </c>
      <c r="I167" s="194">
        <f>SUM($D152:I152)*$F123/10^7</f>
        <v>8.5000000000000006E-2</v>
      </c>
      <c r="J167" s="194">
        <f>SUM($D152:J152)*$F123/10^7</f>
        <v>8.5000000000000006E-2</v>
      </c>
      <c r="K167" s="194">
        <f>SUM($D152:K152)*$F123/10^7</f>
        <v>8.5000000000000006E-2</v>
      </c>
      <c r="L167" s="194">
        <f>SUM($D152:L152)*$F123/10^7</f>
        <v>8.5000000000000006E-2</v>
      </c>
      <c r="M167" s="194">
        <f>SUM($D152:M152)*$F123/10^7</f>
        <v>8.5000000000000006E-2</v>
      </c>
      <c r="N167" s="194">
        <f>SUM($D152:N152)*$F123/10^7</f>
        <v>8.5000000000000006E-2</v>
      </c>
      <c r="O167" s="194">
        <f>SUM($D152:O152)*$F123/10^7</f>
        <v>8.5000000000000006E-2</v>
      </c>
      <c r="P167" s="194">
        <f>SUM($D152:P152)*$F123/10^7</f>
        <v>8.5000000000000006E-2</v>
      </c>
      <c r="Q167" s="194">
        <f>SUM($D152:Q152)*$F123/10^7</f>
        <v>8.5000000000000006E-2</v>
      </c>
      <c r="R167" s="194">
        <f>SUM($D152:R152)*$F123/10^7</f>
        <v>8.5000000000000006E-2</v>
      </c>
      <c r="S167" s="194">
        <f>SUM($D152:S152)*$F123/10^7</f>
        <v>8.5000000000000006E-2</v>
      </c>
      <c r="T167" s="194">
        <f>SUM($D152:T152)*$F123/10^7</f>
        <v>8.5000000000000006E-2</v>
      </c>
      <c r="U167" s="194">
        <f>SUM($D152:U152)*$F123/10^7</f>
        <v>8.5000000000000006E-2</v>
      </c>
      <c r="V167" s="194">
        <f>SUM($D152:V152)*$F123/10^7</f>
        <v>8.5000000000000006E-2</v>
      </c>
      <c r="W167" s="194">
        <f>SUM($D152:W152)*$F123/10^7</f>
        <v>8.5000000000000006E-2</v>
      </c>
      <c r="X167" s="194">
        <f>SUM($D152:X152)*$F123/10^7</f>
        <v>8.5000000000000006E-2</v>
      </c>
      <c r="Y167" s="194">
        <f>SUM($D152:Y152)*$F123/10^7</f>
        <v>8.5000000000000006E-2</v>
      </c>
      <c r="Z167" s="194">
        <f>SUM($D152:Z152)*$F123/10^7</f>
        <v>8.5000000000000006E-2</v>
      </c>
      <c r="AA167" s="194">
        <f>SUM($D152:AA152)*$F123/10^7</f>
        <v>8.5000000000000006E-2</v>
      </c>
      <c r="AB167" s="194">
        <f>SUM($D152:AB152)*$F123/10^7</f>
        <v>8.5000000000000006E-2</v>
      </c>
      <c r="AC167" s="194">
        <f>SUM($D152:AC152)*$F123/10^7</f>
        <v>8.5000000000000006E-2</v>
      </c>
      <c r="AD167" s="194">
        <f>SUM($D152:AD152)*$F123/10^7</f>
        <v>8.5000000000000006E-2</v>
      </c>
      <c r="AE167" s="194">
        <f>SUM($D152:AE152)*$F123/10^7</f>
        <v>8.5000000000000006E-2</v>
      </c>
      <c r="AF167" s="194">
        <f>SUM($D152:AF152)*$F123/10^7</f>
        <v>8.5000000000000006E-2</v>
      </c>
      <c r="AG167" s="194">
        <f>SUM($D152:AG152)*$F123/10^7</f>
        <v>8.5000000000000006E-2</v>
      </c>
      <c r="AH167" s="194">
        <f>SUM($D152:AH152)*$F123/10^7</f>
        <v>8.5000000000000006E-2</v>
      </c>
      <c r="AI167" s="194">
        <f>SUM($D152:AI152)*$F123/10^7</f>
        <v>8.5000000000000006E-2</v>
      </c>
      <c r="AJ167" s="194">
        <f>SUM($D152:AJ152)*$F123/10^7</f>
        <v>8.5000000000000006E-2</v>
      </c>
      <c r="AK167" s="194">
        <f>SUM($D152:AK152)*$F123/10^7</f>
        <v>8.5000000000000006E-2</v>
      </c>
      <c r="AL167" s="194">
        <f>SUM($D152:AL152)*$F123/10^7</f>
        <v>8.5000000000000006E-2</v>
      </c>
      <c r="AM167" s="194">
        <f>SUM($D152:AM152)*$F123/10^7</f>
        <v>8.5000000000000006E-2</v>
      </c>
      <c r="AN167" s="194">
        <f>SUM($D152:AN152)*$F123/10^7</f>
        <v>8.5000000000000006E-2</v>
      </c>
      <c r="AO167" s="194">
        <f>SUM($D152:AO152)*$F123/10^7</f>
        <v>8.5000000000000006E-2</v>
      </c>
      <c r="AP167" s="194">
        <f>SUM($D152:AP152)*$F123/10^7</f>
        <v>8.5000000000000006E-2</v>
      </c>
      <c r="AQ167" s="195">
        <f>SUM($D152:AQ152)*$F123*(1+15%)/10^7</f>
        <v>9.774999999999999E-2</v>
      </c>
      <c r="AR167" s="194">
        <f>SUM($D152:AR152)*$F123*(1+15%)/10^7</f>
        <v>9.774999999999999E-2</v>
      </c>
      <c r="AS167" s="194">
        <f>SUM($D152:AS152)*$F123*(1+15%)/10^7</f>
        <v>9.774999999999999E-2</v>
      </c>
      <c r="AT167" s="194">
        <f>SUM($D152:AT152)*$F123*(1+15%)/10^7</f>
        <v>9.774999999999999E-2</v>
      </c>
      <c r="AU167" s="194">
        <f>SUM($D152:AU152)*$F123*(1+15%)/10^7</f>
        <v>9.774999999999999E-2</v>
      </c>
      <c r="AV167" s="194">
        <f>SUM($D152:AV152)*$F123*(1+15%)/10^7</f>
        <v>9.774999999999999E-2</v>
      </c>
      <c r="AW167" s="194">
        <f>SUM($D152:AW152)*$F123*(1+15%)/10^7</f>
        <v>9.774999999999999E-2</v>
      </c>
      <c r="AX167" s="194">
        <f>SUM($D152:AX152)*$F123*(1+15%)/10^7</f>
        <v>9.774999999999999E-2</v>
      </c>
      <c r="AY167" s="194">
        <f>SUM($D152:AY152)*$F123*(1+15%)/10^7</f>
        <v>9.774999999999999E-2</v>
      </c>
      <c r="AZ167" s="194">
        <f>SUM($D152:AZ152)*$F123*(1+15%)/10^7</f>
        <v>9.774999999999999E-2</v>
      </c>
      <c r="BA167" s="194">
        <f>SUM($D152:BA152)*$F123*(1+15%)/10^7</f>
        <v>9.774999999999999E-2</v>
      </c>
      <c r="BB167" s="194">
        <f>SUM($D152:BB152)*$F123*(1+15%)/10^7</f>
        <v>9.774999999999999E-2</v>
      </c>
      <c r="BC167" s="194">
        <f>SUM($D152:BC152)*$F123*(1+15%)/10^7</f>
        <v>9.774999999999999E-2</v>
      </c>
      <c r="BD167" s="194">
        <f>SUM($D152:BD152)*$F123*(1+15%)/10^7</f>
        <v>9.774999999999999E-2</v>
      </c>
      <c r="BE167" s="194">
        <f>SUM($D152:BE152)*$F123*(1+15%)/10^7</f>
        <v>9.774999999999999E-2</v>
      </c>
      <c r="BF167" s="194">
        <f>SUM($D152:BF152)*$F123*(1+15%)/10^7</f>
        <v>9.774999999999999E-2</v>
      </c>
      <c r="BG167" s="194">
        <f>SUM($D152:BG152)*$F123*(1+15%)/10^7</f>
        <v>9.774999999999999E-2</v>
      </c>
      <c r="BH167" s="194">
        <f>SUM($D152:BH152)*$F123*(1+15%)/10^7</f>
        <v>9.774999999999999E-2</v>
      </c>
      <c r="BI167" s="194">
        <f>SUM($D152:BI152)*$F123*(1+15%)/10^7</f>
        <v>9.774999999999999E-2</v>
      </c>
      <c r="BJ167" s="194">
        <f>SUM($D152:BJ152)*$F123*(1+15%)/10^7</f>
        <v>9.774999999999999E-2</v>
      </c>
      <c r="BK167" s="194">
        <f>SUM($D152:BK152)*$F123*(1+15%)/10^7</f>
        <v>9.774999999999999E-2</v>
      </c>
      <c r="BN167" s="194"/>
    </row>
    <row r="168" spans="1:66" x14ac:dyDescent="0.35">
      <c r="A168" s="178" t="s">
        <v>107</v>
      </c>
      <c r="B168" s="187">
        <f>SUM(D168:BK168)</f>
        <v>2.1806250000000009</v>
      </c>
      <c r="C168" s="180"/>
      <c r="D168" s="181">
        <f>SUM($D153:D153)*$W$125/10^7</f>
        <v>0</v>
      </c>
      <c r="E168" s="181">
        <f>SUM($D153:E153)*$W$125/10^7</f>
        <v>0</v>
      </c>
      <c r="F168" s="181">
        <f>SUM($D153:F153)*$W$125/10^7</f>
        <v>0</v>
      </c>
      <c r="G168" s="181">
        <f>SUM($D153:G153)*$W$125/10^7</f>
        <v>0</v>
      </c>
      <c r="H168" s="181">
        <f>SUM($D153:H153)*$W$125/10^7</f>
        <v>0</v>
      </c>
      <c r="I168" s="194">
        <f>SUM($D153:I153)*$W$125/10^7</f>
        <v>3.7499999999999999E-2</v>
      </c>
      <c r="J168" s="194">
        <f>SUM($D153:J153)*$W$125/10^7</f>
        <v>3.7499999999999999E-2</v>
      </c>
      <c r="K168" s="194">
        <f>SUM($D153:K153)*$W$125/10^7</f>
        <v>3.7499999999999999E-2</v>
      </c>
      <c r="L168" s="194">
        <f>SUM($D153:L153)*$W$125/10^7</f>
        <v>3.7499999999999999E-2</v>
      </c>
      <c r="M168" s="194">
        <f>SUM($D153:M153)*$W$125/10^7</f>
        <v>3.7499999999999999E-2</v>
      </c>
      <c r="N168" s="194">
        <f>SUM($D153:N153)*$W$125/10^7</f>
        <v>3.7499999999999999E-2</v>
      </c>
      <c r="O168" s="194">
        <f>SUM($D153:O153)*$W$125/10^7</f>
        <v>3.7499999999999999E-2</v>
      </c>
      <c r="P168" s="194">
        <f>SUM($D153:P153)*$W$125/10^7</f>
        <v>3.7499999999999999E-2</v>
      </c>
      <c r="Q168" s="194">
        <f>SUM($D153:Q153)*$W$125/10^7</f>
        <v>3.7499999999999999E-2</v>
      </c>
      <c r="R168" s="194">
        <f>SUM($D153:R153)*$W$125/10^7</f>
        <v>3.7499999999999999E-2</v>
      </c>
      <c r="S168" s="194">
        <f>SUM($D153:S153)*$W$125/10^7</f>
        <v>3.7499999999999999E-2</v>
      </c>
      <c r="T168" s="194">
        <f>SUM($D153:T153)*$W$125/10^7</f>
        <v>3.7499999999999999E-2</v>
      </c>
      <c r="U168" s="194">
        <f>SUM($D153:U153)*$W$125/10^7</f>
        <v>3.7499999999999999E-2</v>
      </c>
      <c r="V168" s="194">
        <f>SUM($D153:V153)*$W$125/10^7</f>
        <v>3.7499999999999999E-2</v>
      </c>
      <c r="W168" s="194">
        <f>SUM($D153:W153)*$W$125/10^7</f>
        <v>3.7499999999999999E-2</v>
      </c>
      <c r="X168" s="194">
        <f>SUM($D153:X153)*$W$125/10^7</f>
        <v>3.7499999999999999E-2</v>
      </c>
      <c r="Y168" s="194">
        <f>SUM($D153:Y153)*$W$125/10^7</f>
        <v>3.7499999999999999E-2</v>
      </c>
      <c r="Z168" s="194">
        <f>SUM($D153:Z153)*$W$125/10^7</f>
        <v>3.7499999999999999E-2</v>
      </c>
      <c r="AA168" s="194">
        <f>SUM($D153:AA153)*$W$125/10^7</f>
        <v>3.7499999999999999E-2</v>
      </c>
      <c r="AB168" s="194">
        <f>SUM($D153:AB153)*$W$125/10^7</f>
        <v>3.7499999999999999E-2</v>
      </c>
      <c r="AC168" s="194">
        <f>SUM($D153:AC153)*$W$125/10^7</f>
        <v>3.7499999999999999E-2</v>
      </c>
      <c r="AD168" s="194">
        <f>SUM($D153:AD153)*$W$125/10^7</f>
        <v>3.7499999999999999E-2</v>
      </c>
      <c r="AE168" s="194">
        <f>SUM($D153:AE153)*$W$125/10^7</f>
        <v>3.7499999999999999E-2</v>
      </c>
      <c r="AF168" s="194">
        <f>SUM($D153:AF153)*$W$125/10^7</f>
        <v>3.7499999999999999E-2</v>
      </c>
      <c r="AG168" s="194">
        <f>SUM($D153:AG153)*$W$125/10^7</f>
        <v>3.7499999999999999E-2</v>
      </c>
      <c r="AH168" s="194">
        <f>SUM($D153:AH153)*$W$125/10^7</f>
        <v>3.7499999999999999E-2</v>
      </c>
      <c r="AI168" s="194">
        <f>SUM($D153:AI153)*$W$125/10^7</f>
        <v>3.7499999999999999E-2</v>
      </c>
      <c r="AJ168" s="194">
        <f>SUM($D153:AJ153)*$W$125/10^7</f>
        <v>3.7499999999999999E-2</v>
      </c>
      <c r="AK168" s="194">
        <f>SUM($D153:AK153)*$W$125/10^7</f>
        <v>3.7499999999999999E-2</v>
      </c>
      <c r="AL168" s="194">
        <f>SUM($D153:AL153)*$W$125/10^7</f>
        <v>3.7499999999999999E-2</v>
      </c>
      <c r="AM168" s="194">
        <f>SUM($D153:AM153)*$W$125/10^7</f>
        <v>3.7499999999999999E-2</v>
      </c>
      <c r="AN168" s="194">
        <f>SUM($D153:AN153)*$W$125/10^7</f>
        <v>3.7499999999999999E-2</v>
      </c>
      <c r="AO168" s="194">
        <f>SUM($D153:AO153)*$W$125/10^7</f>
        <v>3.7499999999999999E-2</v>
      </c>
      <c r="AP168" s="194">
        <f>SUM($D153:AP153)*$W$125/10^7</f>
        <v>3.7499999999999999E-2</v>
      </c>
      <c r="AQ168" s="195">
        <f>SUM($D153:AQ153)*$W$125*(1+15%)/10^7</f>
        <v>4.3124999999999997E-2</v>
      </c>
      <c r="AR168" s="194">
        <f>SUM($D153:AR153)*$W$125*(1+15%)/10^7</f>
        <v>4.3124999999999997E-2</v>
      </c>
      <c r="AS168" s="194">
        <f>SUM($D153:AS153)*$W$125*(1+15%)/10^7</f>
        <v>4.3124999999999997E-2</v>
      </c>
      <c r="AT168" s="194">
        <f>SUM($D153:AT153)*$W$125*(1+15%)/10^7</f>
        <v>4.3124999999999997E-2</v>
      </c>
      <c r="AU168" s="194">
        <f>SUM($D153:AU153)*$W$125*(1+15%)/10^7</f>
        <v>4.3124999999999997E-2</v>
      </c>
      <c r="AV168" s="194">
        <f>SUM($D153:AV153)*$W$125*(1+15%)/10^7</f>
        <v>4.3124999999999997E-2</v>
      </c>
      <c r="AW168" s="194">
        <f>SUM($D153:AW153)*$W$125*(1+15%)/10^7</f>
        <v>4.3124999999999997E-2</v>
      </c>
      <c r="AX168" s="194">
        <f>SUM($D153:AX153)*$W$125*(1+15%)/10^7</f>
        <v>4.3124999999999997E-2</v>
      </c>
      <c r="AY168" s="194">
        <f>SUM($D153:AY153)*$W$125*(1+15%)/10^7</f>
        <v>4.3124999999999997E-2</v>
      </c>
      <c r="AZ168" s="194">
        <f>SUM($D153:AZ153)*$W$125*(1+15%)/10^7</f>
        <v>4.3124999999999997E-2</v>
      </c>
      <c r="BA168" s="194">
        <f>SUM($D153:BA153)*$W$125*(1+15%)/10^7</f>
        <v>4.3124999999999997E-2</v>
      </c>
      <c r="BB168" s="194">
        <f>SUM($D153:BB153)*$W$125*(1+15%)/10^7</f>
        <v>4.3124999999999997E-2</v>
      </c>
      <c r="BC168" s="194">
        <f>SUM($D153:BC153)*$W$125*(1+15%)/10^7</f>
        <v>4.3124999999999997E-2</v>
      </c>
      <c r="BD168" s="194">
        <f>SUM($D153:BD153)*$W$125*(1+15%)/10^7</f>
        <v>4.3124999999999997E-2</v>
      </c>
      <c r="BE168" s="194">
        <f>SUM($D153:BE153)*$W$125*(1+15%)/10^7</f>
        <v>4.3124999999999997E-2</v>
      </c>
      <c r="BF168" s="194">
        <f>SUM($D153:BF153)*$W$125*(1+15%)/10^7</f>
        <v>4.3124999999999997E-2</v>
      </c>
      <c r="BG168" s="194">
        <f>SUM($D153:BG153)*$W$125*(1+15%)/10^7</f>
        <v>4.3124999999999997E-2</v>
      </c>
      <c r="BH168" s="194">
        <f>SUM($D153:BH153)*$W$125*(1+15%)/10^7</f>
        <v>4.3124999999999997E-2</v>
      </c>
      <c r="BI168" s="194">
        <f>SUM($D153:BI153)*$W$125*(1+15%)/10^7</f>
        <v>4.3124999999999997E-2</v>
      </c>
      <c r="BJ168" s="194">
        <f>SUM($D153:BJ153)*$W$125*(1+15%)/10^7</f>
        <v>4.3124999999999997E-2</v>
      </c>
      <c r="BK168" s="194">
        <f>SUM($D153:BK153)*$W$125*(1+15%)/10^7</f>
        <v>4.3124999999999997E-2</v>
      </c>
      <c r="BN168" s="194"/>
    </row>
    <row r="169" spans="1:66" x14ac:dyDescent="0.35">
      <c r="A169" s="178" t="s">
        <v>109</v>
      </c>
      <c r="B169" s="187">
        <f>SUM(D169:BK169)</f>
        <v>1.9407562500000008</v>
      </c>
      <c r="C169" s="180"/>
      <c r="D169" s="181">
        <f>SUM($D154:D154)*$W$126/10^7</f>
        <v>0</v>
      </c>
      <c r="E169" s="181">
        <f>SUM($D154:E154)*$W$126/10^7</f>
        <v>0</v>
      </c>
      <c r="F169" s="181">
        <f>SUM($D154:F154)*$W$126/10^7</f>
        <v>0</v>
      </c>
      <c r="G169" s="181">
        <f>SUM($D154:G154)*$W$126/10^7</f>
        <v>0</v>
      </c>
      <c r="H169" s="181">
        <f>SUM($D154:H154)*$W$126/10^7</f>
        <v>0</v>
      </c>
      <c r="I169" s="194">
        <f>SUM($D154:I154)*$W$126/10^7</f>
        <v>3.3375000000000002E-2</v>
      </c>
      <c r="J169" s="194">
        <f>SUM($D154:J154)*$W$126/10^7</f>
        <v>3.3375000000000002E-2</v>
      </c>
      <c r="K169" s="194">
        <f>SUM($D154:K154)*$W$126/10^7</f>
        <v>3.3375000000000002E-2</v>
      </c>
      <c r="L169" s="194">
        <f>SUM($D154:L154)*$W$126/10^7</f>
        <v>3.3375000000000002E-2</v>
      </c>
      <c r="M169" s="194">
        <f>SUM($D154:M154)*$W$126/10^7</f>
        <v>3.3375000000000002E-2</v>
      </c>
      <c r="N169" s="194">
        <f>SUM($D154:N154)*$W$126/10^7</f>
        <v>3.3375000000000002E-2</v>
      </c>
      <c r="O169" s="194">
        <f>SUM($D154:O154)*$W$126/10^7</f>
        <v>3.3375000000000002E-2</v>
      </c>
      <c r="P169" s="194">
        <f>SUM($D154:P154)*$W$126/10^7</f>
        <v>3.3375000000000002E-2</v>
      </c>
      <c r="Q169" s="194">
        <f>SUM($D154:Q154)*$W$126/10^7</f>
        <v>3.3375000000000002E-2</v>
      </c>
      <c r="R169" s="194">
        <f>SUM($D154:R154)*$W$126/10^7</f>
        <v>3.3375000000000002E-2</v>
      </c>
      <c r="S169" s="194">
        <f>SUM($D154:S154)*$W$126/10^7</f>
        <v>3.3375000000000002E-2</v>
      </c>
      <c r="T169" s="194">
        <f>SUM($D154:T154)*$W$126/10^7</f>
        <v>3.3375000000000002E-2</v>
      </c>
      <c r="U169" s="194">
        <f>SUM($D154:U154)*$W$126/10^7</f>
        <v>3.3375000000000002E-2</v>
      </c>
      <c r="V169" s="194">
        <f>SUM($D154:V154)*$W$126/10^7</f>
        <v>3.3375000000000002E-2</v>
      </c>
      <c r="W169" s="194">
        <f>SUM($D154:W154)*$W$126/10^7</f>
        <v>3.3375000000000002E-2</v>
      </c>
      <c r="X169" s="194">
        <f>SUM($D154:X154)*$W$126/10^7</f>
        <v>3.3375000000000002E-2</v>
      </c>
      <c r="Y169" s="194">
        <f>SUM($D154:Y154)*$W$126/10^7</f>
        <v>3.3375000000000002E-2</v>
      </c>
      <c r="Z169" s="194">
        <f>SUM($D154:Z154)*$W$126/10^7</f>
        <v>3.3375000000000002E-2</v>
      </c>
      <c r="AA169" s="194">
        <f>SUM($D154:AA154)*$W$126/10^7</f>
        <v>3.3375000000000002E-2</v>
      </c>
      <c r="AB169" s="194">
        <f>SUM($D154:AB154)*$W$126/10^7</f>
        <v>3.3375000000000002E-2</v>
      </c>
      <c r="AC169" s="194">
        <f>SUM($D154:AC154)*$W$126/10^7</f>
        <v>3.3375000000000002E-2</v>
      </c>
      <c r="AD169" s="194">
        <f>SUM($D154:AD154)*$W$126/10^7</f>
        <v>3.3375000000000002E-2</v>
      </c>
      <c r="AE169" s="194">
        <f>SUM($D154:AE154)*$W$126/10^7</f>
        <v>3.3375000000000002E-2</v>
      </c>
      <c r="AF169" s="194">
        <f>SUM($D154:AF154)*$W$126/10^7</f>
        <v>3.3375000000000002E-2</v>
      </c>
      <c r="AG169" s="194">
        <f>SUM($D154:AG154)*$W$126/10^7</f>
        <v>3.3375000000000002E-2</v>
      </c>
      <c r="AH169" s="194">
        <f>SUM($D154:AH154)*$W$126/10^7</f>
        <v>3.3375000000000002E-2</v>
      </c>
      <c r="AI169" s="194">
        <f>SUM($D154:AI154)*$W$126/10^7</f>
        <v>3.3375000000000002E-2</v>
      </c>
      <c r="AJ169" s="194">
        <f>SUM($D154:AJ154)*$W$126/10^7</f>
        <v>3.3375000000000002E-2</v>
      </c>
      <c r="AK169" s="194">
        <f>SUM($D154:AK154)*$W$126/10^7</f>
        <v>3.3375000000000002E-2</v>
      </c>
      <c r="AL169" s="194">
        <f>SUM($D154:AL154)*$W$126/10^7</f>
        <v>3.3375000000000002E-2</v>
      </c>
      <c r="AM169" s="194">
        <f>SUM($D154:AM154)*$W$126/10^7</f>
        <v>3.3375000000000002E-2</v>
      </c>
      <c r="AN169" s="194">
        <f>SUM($D154:AN154)*$W$126/10^7</f>
        <v>3.3375000000000002E-2</v>
      </c>
      <c r="AO169" s="194">
        <f>SUM($D154:AO154)*$W$126/10^7</f>
        <v>3.3375000000000002E-2</v>
      </c>
      <c r="AP169" s="194">
        <f>SUM($D154:AP154)*$W$126/10^7</f>
        <v>3.3375000000000002E-2</v>
      </c>
      <c r="AQ169" s="195">
        <f>SUM($D154:AQ154)*$W$126*(1+15%)/10^7</f>
        <v>3.8381249999999992E-2</v>
      </c>
      <c r="AR169" s="194">
        <f>SUM($D154:AR154)*$W$126*(1+15%)/10^7</f>
        <v>3.8381249999999992E-2</v>
      </c>
      <c r="AS169" s="194">
        <f>SUM($D154:AS154)*$W$126*(1+15%)/10^7</f>
        <v>3.8381249999999992E-2</v>
      </c>
      <c r="AT169" s="194">
        <f>SUM($D154:AT154)*$W$126*(1+15%)/10^7</f>
        <v>3.8381249999999992E-2</v>
      </c>
      <c r="AU169" s="194">
        <f>SUM($D154:AU154)*$W$126*(1+15%)/10^7</f>
        <v>3.8381249999999992E-2</v>
      </c>
      <c r="AV169" s="194">
        <f>SUM($D154:AV154)*$W$126*(1+15%)/10^7</f>
        <v>3.8381249999999992E-2</v>
      </c>
      <c r="AW169" s="194">
        <f>SUM($D154:AW154)*$W$126*(1+15%)/10^7</f>
        <v>3.8381249999999992E-2</v>
      </c>
      <c r="AX169" s="194">
        <f>SUM($D154:AX154)*$W$126*(1+15%)/10^7</f>
        <v>3.8381249999999992E-2</v>
      </c>
      <c r="AY169" s="194">
        <f>SUM($D154:AY154)*$W$126*(1+15%)/10^7</f>
        <v>3.8381249999999992E-2</v>
      </c>
      <c r="AZ169" s="194">
        <f>SUM($D154:AZ154)*$W$126*(1+15%)/10^7</f>
        <v>3.8381249999999992E-2</v>
      </c>
      <c r="BA169" s="194">
        <f>SUM($D154:BA154)*$W$126*(1+15%)/10^7</f>
        <v>3.8381249999999992E-2</v>
      </c>
      <c r="BB169" s="194">
        <f>SUM($D154:BB154)*$W$126*(1+15%)/10^7</f>
        <v>3.8381249999999992E-2</v>
      </c>
      <c r="BC169" s="194">
        <f>SUM($D154:BC154)*$W$126*(1+15%)/10^7</f>
        <v>3.8381249999999992E-2</v>
      </c>
      <c r="BD169" s="194">
        <f>SUM($D154:BD154)*$W$126*(1+15%)/10^7</f>
        <v>3.8381249999999992E-2</v>
      </c>
      <c r="BE169" s="194">
        <f>SUM($D154:BE154)*$W$126*(1+15%)/10^7</f>
        <v>3.8381249999999992E-2</v>
      </c>
      <c r="BF169" s="194">
        <f>SUM($D154:BF154)*$W$126*(1+15%)/10^7</f>
        <v>3.8381249999999992E-2</v>
      </c>
      <c r="BG169" s="194">
        <f>SUM($D154:BG154)*$W$126*(1+15%)/10^7</f>
        <v>3.8381249999999992E-2</v>
      </c>
      <c r="BH169" s="194">
        <f>SUM($D154:BH154)*$W$126*(1+15%)/10^7</f>
        <v>3.8381249999999992E-2</v>
      </c>
      <c r="BI169" s="194">
        <f>SUM($D154:BI154)*$W$126*(1+15%)/10^7</f>
        <v>3.8381249999999992E-2</v>
      </c>
      <c r="BJ169" s="194">
        <f>SUM($D154:BJ154)*$W$126*(1+15%)/10^7</f>
        <v>3.8381249999999992E-2</v>
      </c>
      <c r="BK169" s="194">
        <f>SUM($D154:BK154)*$W$126*(1+15%)/10^7</f>
        <v>3.8381249999999992E-2</v>
      </c>
      <c r="BN169" s="194"/>
    </row>
    <row r="170" spans="1:66" x14ac:dyDescent="0.35">
      <c r="A170" s="178" t="s">
        <v>114</v>
      </c>
      <c r="B170" s="187">
        <f>SUM(D170:BK170)</f>
        <v>0</v>
      </c>
      <c r="C170" s="180"/>
      <c r="D170" s="181">
        <f>SUM($D155:D155)*$Y$128/10^7</f>
        <v>0</v>
      </c>
      <c r="E170" s="181">
        <f>SUM($D155:E155)*$Y$128/10^7</f>
        <v>0</v>
      </c>
      <c r="F170" s="181">
        <f>SUM($D155:F155)*$Y$128/10^7</f>
        <v>0</v>
      </c>
      <c r="G170" s="181">
        <f>SUM($D155:G155)*$Y$128/10^7</f>
        <v>0</v>
      </c>
      <c r="H170" s="181">
        <f>SUM($D155:H155)*$Y$128/10^7</f>
        <v>0</v>
      </c>
      <c r="I170" s="194">
        <f>SUM($D155:I155)*$Y$128/10^7</f>
        <v>0</v>
      </c>
      <c r="J170" s="194">
        <f>SUM($D155:J155)*$Y$128/10^7</f>
        <v>0</v>
      </c>
      <c r="K170" s="194">
        <f>SUM($D155:K155)*$Y$128/10^7</f>
        <v>0</v>
      </c>
      <c r="L170" s="194">
        <f>SUM($D155:L155)*$Y$128/10^7</f>
        <v>0</v>
      </c>
      <c r="M170" s="194">
        <f>SUM($D155:M155)*$Y$128/10^7</f>
        <v>0</v>
      </c>
      <c r="N170" s="194">
        <f>SUM($D155:N155)*$Y$128/10^7</f>
        <v>0</v>
      </c>
      <c r="O170" s="194">
        <f>SUM($D155:O155)*$Y$128/10^7</f>
        <v>0</v>
      </c>
      <c r="P170" s="194">
        <f>SUM($D155:P155)*$Y$128/10^7</f>
        <v>0</v>
      </c>
      <c r="Q170" s="194">
        <f>SUM($D155:Q155)*$Y$128/10^7</f>
        <v>0</v>
      </c>
      <c r="R170" s="194">
        <f>SUM($D155:R155)*$Y$128/10^7</f>
        <v>0</v>
      </c>
      <c r="S170" s="194">
        <f>SUM($D155:S155)*$Y$128/10^7</f>
        <v>0</v>
      </c>
      <c r="T170" s="194">
        <f>SUM($D155:T155)*$Y$128/10^7</f>
        <v>0</v>
      </c>
      <c r="U170" s="194">
        <f>SUM($D155:U155)*$Y$128/10^7</f>
        <v>0</v>
      </c>
      <c r="V170" s="194">
        <f>SUM($D155:V155)*$Y$128/10^7</f>
        <v>0</v>
      </c>
      <c r="W170" s="194">
        <f>SUM($D155:W155)*$Y$128/10^7</f>
        <v>0</v>
      </c>
      <c r="X170" s="194">
        <f>SUM($D155:X155)*$Y$128/10^7</f>
        <v>0</v>
      </c>
      <c r="Y170" s="194">
        <f>SUM($D155:Y155)*$Y$128/10^7</f>
        <v>0</v>
      </c>
      <c r="Z170" s="194">
        <f>SUM($D155:Z155)*$Y$128/10^7</f>
        <v>0</v>
      </c>
      <c r="AA170" s="194">
        <f>SUM($D155:AA155)*$Y$128/10^7</f>
        <v>0</v>
      </c>
      <c r="AB170" s="194">
        <f>SUM($D155:AB155)*$Y$128/10^7</f>
        <v>0</v>
      </c>
      <c r="AC170" s="194">
        <f>SUM($D155:AC155)*$Y$128/10^7</f>
        <v>0</v>
      </c>
      <c r="AD170" s="194">
        <f>SUM($D155:AD155)*$Y$128/10^7</f>
        <v>0</v>
      </c>
      <c r="AE170" s="194">
        <f>SUM($D155:AE155)*$Y$128/10^7</f>
        <v>0</v>
      </c>
      <c r="AF170" s="194">
        <f>SUM($D155:AF155)*$Y$128/10^7</f>
        <v>0</v>
      </c>
      <c r="AG170" s="194">
        <f>SUM($D155:AG155)*$Y$128/10^7</f>
        <v>0</v>
      </c>
      <c r="AH170" s="194">
        <f>SUM($D155:AH155)*$Y$128/10^7</f>
        <v>0</v>
      </c>
      <c r="AI170" s="194">
        <f>SUM($D155:AI155)*$Y$128/10^7</f>
        <v>0</v>
      </c>
      <c r="AJ170" s="194">
        <f>SUM($D155:AJ155)*$Y$128/10^7</f>
        <v>0</v>
      </c>
      <c r="AK170" s="194">
        <f>SUM($D155:AK155)*$Y$128/10^7</f>
        <v>0</v>
      </c>
      <c r="AL170" s="194">
        <f>SUM($D155:AL155)*$Y$128/10^7</f>
        <v>0</v>
      </c>
      <c r="AM170" s="194">
        <f>SUM($D155:AM155)*$Y$128/10^7</f>
        <v>0</v>
      </c>
      <c r="AN170" s="194">
        <f>SUM($D155:AN155)*$Y$128/10^7</f>
        <v>0</v>
      </c>
      <c r="AO170" s="194">
        <f>SUM($D155:AO155)*$Y$128/10^7</f>
        <v>0</v>
      </c>
      <c r="AP170" s="194">
        <f>SUM($D155:AP155)*$Y$128/10^7</f>
        <v>0</v>
      </c>
      <c r="AQ170" s="195">
        <f>SUM($D155:AQ155)*$Y$128*(1+15%)/10^7</f>
        <v>0</v>
      </c>
      <c r="AR170" s="194">
        <f>SUM($D155:AR155)*$Y$128*(1+15%)/10^7</f>
        <v>0</v>
      </c>
      <c r="AS170" s="194">
        <f>SUM($D155:AS155)*$Y$128*(1+15%)/10^7</f>
        <v>0</v>
      </c>
      <c r="AT170" s="194">
        <f>SUM($D155:AT155)*$Y$128*(1+15%)/10^7</f>
        <v>0</v>
      </c>
      <c r="AU170" s="194">
        <f>SUM($D155:AU155)*$Y$128*(1+15%)/10^7</f>
        <v>0</v>
      </c>
      <c r="AV170" s="194">
        <f>SUM($D155:AV155)*$Y$128*(1+15%)/10^7</f>
        <v>0</v>
      </c>
      <c r="AW170" s="194">
        <f>SUM($D155:AW155)*$Y$128*(1+15%)/10^7</f>
        <v>0</v>
      </c>
      <c r="AX170" s="194">
        <f>SUM($D155:AX155)*$Y$128*(1+15%)/10^7</f>
        <v>0</v>
      </c>
      <c r="AY170" s="194">
        <f>SUM($D155:AY155)*$Y$128*(1+15%)/10^7</f>
        <v>0</v>
      </c>
      <c r="AZ170" s="194">
        <f>SUM($D155:AZ155)*$Y$128*(1+15%)/10^7</f>
        <v>0</v>
      </c>
      <c r="BA170" s="194">
        <f>SUM($D155:BA155)*$Y$128*(1+15%)/10^7</f>
        <v>0</v>
      </c>
      <c r="BB170" s="194">
        <f>SUM($D155:BB155)*$Y$128*(1+15%)/10^7</f>
        <v>0</v>
      </c>
      <c r="BC170" s="194">
        <f>SUM($D155:BC155)*$Y$128*(1+15%)/10^7</f>
        <v>0</v>
      </c>
      <c r="BD170" s="194">
        <f>SUM($D155:BD155)*$Y$128*(1+15%)/10^7</f>
        <v>0</v>
      </c>
      <c r="BE170" s="194">
        <f>SUM($D155:BE155)*$Y$128*(1+15%)/10^7</f>
        <v>0</v>
      </c>
      <c r="BF170" s="194">
        <f>SUM($D155:BF155)*$Y$128*(1+15%)/10^7</f>
        <v>0</v>
      </c>
      <c r="BG170" s="194">
        <f>SUM($D155:BG155)*$Y$128*(1+15%)/10^7</f>
        <v>0</v>
      </c>
      <c r="BH170" s="194">
        <f>SUM($D155:BH155)*$Y$128*(1+15%)/10^7</f>
        <v>0</v>
      </c>
      <c r="BI170" s="194">
        <f>SUM($D155:BI155)*$Y$128*(1+15%)/10^7</f>
        <v>0</v>
      </c>
      <c r="BJ170" s="194">
        <f>SUM($D155:BJ155)*$Y$128*(1+15%)/10^7</f>
        <v>0</v>
      </c>
      <c r="BK170" s="194">
        <f>SUM($D155:BK155)*$Y$128*(1+15%)/10^7</f>
        <v>0</v>
      </c>
      <c r="BN170" s="194"/>
    </row>
    <row r="171" spans="1:66" x14ac:dyDescent="0.35">
      <c r="A171" s="178" t="s">
        <v>116</v>
      </c>
      <c r="B171" s="187">
        <f>SUM(D171:BK171)</f>
        <v>0</v>
      </c>
      <c r="C171" s="180"/>
      <c r="D171" s="181">
        <f>SUM($D156:D156)*$Y$130/10^7</f>
        <v>0</v>
      </c>
      <c r="E171" s="181">
        <f>SUM($D156:E156)*$Y$130/10^7</f>
        <v>0</v>
      </c>
      <c r="F171" s="181">
        <f>SUM($D156:F156)*$Y$130/10^7</f>
        <v>0</v>
      </c>
      <c r="G171" s="181">
        <f>SUM($D156:G156)*$Y$130/10^7</f>
        <v>0</v>
      </c>
      <c r="H171" s="196">
        <f>SUM($D156:H156)*$Y$130*(15/30)/10^7</f>
        <v>0</v>
      </c>
      <c r="I171" s="194">
        <f>SUM($D156:I156)*$Y$130/10^7</f>
        <v>0</v>
      </c>
      <c r="J171" s="194">
        <f>SUM($D156:J156)*$Y$130/10^7</f>
        <v>0</v>
      </c>
      <c r="K171" s="194">
        <f>SUM($D156:K156)*$Y$130/10^7</f>
        <v>0</v>
      </c>
      <c r="L171" s="194">
        <f>SUM($D156:L156)*$Y$130/10^7</f>
        <v>0</v>
      </c>
      <c r="M171" s="194">
        <f>SUM($D156:M156)*$Y$130/10^7</f>
        <v>0</v>
      </c>
      <c r="N171" s="194">
        <f>SUM($D156:N156)*$Y$130/10^7</f>
        <v>0</v>
      </c>
      <c r="O171" s="194">
        <f>SUM($D156:O156)*$Y$130/10^7</f>
        <v>0</v>
      </c>
      <c r="P171" s="194">
        <f>SUM($D156:P156)*$Y$130/10^7</f>
        <v>0</v>
      </c>
      <c r="Q171" s="194">
        <f>SUM($D156:Q156)*$Y$130/10^7</f>
        <v>0</v>
      </c>
      <c r="R171" s="194">
        <f>SUM($D156:R156)*$Y$130/10^7</f>
        <v>0</v>
      </c>
      <c r="S171" s="194">
        <f>SUM($D156:S156)*$Y$130/10^7</f>
        <v>0</v>
      </c>
      <c r="T171" s="194">
        <f>SUM($D156:T156)*$Y$130/10^7</f>
        <v>0</v>
      </c>
      <c r="U171" s="194">
        <f>SUM($D156:U156)*$Y$130/10^7</f>
        <v>0</v>
      </c>
      <c r="V171" s="194">
        <f>SUM($D156:V156)*$Y$130/10^7</f>
        <v>0</v>
      </c>
      <c r="W171" s="194">
        <f>SUM($D156:W156)*$Y$130/10^7</f>
        <v>0</v>
      </c>
      <c r="X171" s="194">
        <f>SUM($D156:X156)*$Y$130/10^7</f>
        <v>0</v>
      </c>
      <c r="Y171" s="194">
        <f>SUM($D156:Y156)*$Y$130/10^7</f>
        <v>0</v>
      </c>
      <c r="Z171" s="194">
        <f>SUM($D156:Z156)*$Y$130/10^7</f>
        <v>0</v>
      </c>
      <c r="AA171" s="194">
        <f>SUM($D156:AA156)*$Y$130/10^7</f>
        <v>0</v>
      </c>
      <c r="AB171" s="194">
        <f>SUM($D156:AB156)*$Y$130/10^7</f>
        <v>0</v>
      </c>
      <c r="AC171" s="194">
        <f>SUM($D156:AC156)*$Y$130/10^7</f>
        <v>0</v>
      </c>
      <c r="AD171" s="194">
        <f>SUM($D156:AD156)*$Y$130/10^7</f>
        <v>0</v>
      </c>
      <c r="AE171" s="194">
        <f>SUM($D156:AE156)*$Y$130/10^7</f>
        <v>0</v>
      </c>
      <c r="AF171" s="194">
        <f>SUM($D156:AF156)*$Y$130/10^7</f>
        <v>0</v>
      </c>
      <c r="AG171" s="194">
        <f>SUM($D156:AG156)*$Y$130/10^7</f>
        <v>0</v>
      </c>
      <c r="AH171" s="194">
        <f>SUM($D156:AH156)*$Y$130/10^7</f>
        <v>0</v>
      </c>
      <c r="AI171" s="194">
        <f>SUM($D156:AI156)*$Y$130/10^7</f>
        <v>0</v>
      </c>
      <c r="AJ171" s="194">
        <f>SUM($D156:AJ156)*$Y$130/10^7</f>
        <v>0</v>
      </c>
      <c r="AK171" s="194">
        <f>SUM($D156:AK156)*$Y$130/10^7</f>
        <v>0</v>
      </c>
      <c r="AL171" s="194">
        <f>SUM($D156:AL156)*$Y$130/10^7</f>
        <v>0</v>
      </c>
      <c r="AM171" s="194">
        <f>SUM($D156:AM156)*$Y$130/10^7</f>
        <v>0</v>
      </c>
      <c r="AN171" s="194">
        <f>SUM($D156:AN156)*$Y$130/10^7</f>
        <v>0</v>
      </c>
      <c r="AO171" s="194">
        <f>SUM($D156:AO156)*$Y$130/10^7</f>
        <v>0</v>
      </c>
      <c r="AP171" s="194">
        <f>SUM($D156:AP156)*$Y$130/10^7</f>
        <v>0</v>
      </c>
      <c r="AQ171" s="195">
        <f>SUM($D156:AQ156)*$Y$130*(1+15%)/10^7</f>
        <v>0</v>
      </c>
      <c r="AR171" s="194">
        <f>SUM($D156:AR156)*$Y$130*(1+15%)/10^7</f>
        <v>0</v>
      </c>
      <c r="AS171" s="194">
        <f>SUM($D156:AS156)*$Y$130*(1+15%)/10^7</f>
        <v>0</v>
      </c>
      <c r="AT171" s="194">
        <f>SUM($D156:AT156)*$Y$130*(1+15%)/10^7</f>
        <v>0</v>
      </c>
      <c r="AU171" s="194">
        <f>SUM($D156:AU156)*$Y$130*(1+15%)/10^7</f>
        <v>0</v>
      </c>
      <c r="AV171" s="194">
        <f>SUM($D156:AV156)*$Y$130*(1+15%)/10^7</f>
        <v>0</v>
      </c>
      <c r="AW171" s="194">
        <f>SUM($D156:AW156)*$Y$130*(1+15%)/10^7</f>
        <v>0</v>
      </c>
      <c r="AX171" s="194">
        <f>SUM($D156:AX156)*$Y$130*(1+15%)/10^7</f>
        <v>0</v>
      </c>
      <c r="AY171" s="194">
        <f>SUM($D156:AY156)*$Y$130*(1+15%)/10^7</f>
        <v>0</v>
      </c>
      <c r="AZ171" s="194">
        <f>SUM($D156:AZ156)*$Y$130*(1+15%)/10^7</f>
        <v>0</v>
      </c>
      <c r="BA171" s="194">
        <f>SUM($D156:BA156)*$Y$130*(1+15%)/10^7</f>
        <v>0</v>
      </c>
      <c r="BB171" s="194">
        <f>SUM($D156:BB156)*$Y$130*(1+15%)/10^7</f>
        <v>0</v>
      </c>
      <c r="BC171" s="194">
        <f>SUM($D156:BC156)*$Y$130*(1+15%)/10^7</f>
        <v>0</v>
      </c>
      <c r="BD171" s="194">
        <f>SUM($D156:BD156)*$Y$130*(1+15%)/10^7</f>
        <v>0</v>
      </c>
      <c r="BE171" s="194">
        <f>SUM($D156:BE156)*$Y$130*(1+15%)/10^7</f>
        <v>0</v>
      </c>
      <c r="BF171" s="194">
        <f>SUM($D156:BF156)*$Y$130*(1+15%)/10^7</f>
        <v>0</v>
      </c>
      <c r="BG171" s="194">
        <f>SUM($D156:BG156)*$Y$130*(1+15%)/10^7</f>
        <v>0</v>
      </c>
      <c r="BH171" s="194">
        <f>SUM($D156:BH156)*$Y$130*(1+15%)/10^7</f>
        <v>0</v>
      </c>
      <c r="BI171" s="194">
        <f>SUM($D156:BI156)*$Y$130*(1+15%)/10^7</f>
        <v>0</v>
      </c>
      <c r="BJ171" s="194">
        <f>SUM($D156:BJ156)*$Y$130*(1+15%)/10^7</f>
        <v>0</v>
      </c>
      <c r="BK171" s="194">
        <f>SUM($D156:BK156)*$Y$130*(1+15%)/10^7</f>
        <v>0</v>
      </c>
      <c r="BN171" s="194"/>
    </row>
    <row r="172" spans="1:66" x14ac:dyDescent="0.35">
      <c r="A172" s="172" t="s">
        <v>130</v>
      </c>
      <c r="B172" s="187">
        <f>SUM(D172:BK172)</f>
        <v>44.851214537500013</v>
      </c>
      <c r="C172" s="197"/>
      <c r="D172" s="194">
        <f>SUM($D157:D157)*(SUMPRODUCT($E$122:$E$125,$G$122:$G$125)/SUM($E$122:$E$125))/10^7</f>
        <v>0</v>
      </c>
      <c r="E172" s="194">
        <f>SUM($D157:E157)*(SUMPRODUCT($E$122:$E$125,$G$122:$G$125)/SUM($E$122:$E$125))/10^7</f>
        <v>0</v>
      </c>
      <c r="F172" s="194">
        <f>SUM($D157:F157)*(SUMPRODUCT($E$122:$E$125,$G$122:$G$125)/SUM($E$122:$E$125))/10^7</f>
        <v>0</v>
      </c>
      <c r="G172" s="194">
        <f>SUM($D157:G157)*(SUMPRODUCT($E$122:$E$125,$G$122:$G$125)/SUM($E$122:$E$125))/10^7</f>
        <v>0</v>
      </c>
      <c r="H172" s="194">
        <f>SUM($D157:H157)*(SUMPRODUCT($E$122:$E$125,$G$122:$G$125)/SUM($E$122:$E$125))/10^7</f>
        <v>0</v>
      </c>
      <c r="I172" s="194">
        <f>SUM($D157:I157)*(SUMPRODUCT($E$122:$E$125,$G$122:$G$125)/SUM($E$122:$E$125))/10^7</f>
        <v>0.31502170000000002</v>
      </c>
      <c r="J172" s="194">
        <f>SUM($D157:J157)*(SUMPRODUCT($E$122:$E$125,$G$122:$G$125)/SUM($E$122:$E$125))/10^7</f>
        <v>0.47253255000000011</v>
      </c>
      <c r="K172" s="194">
        <f>SUM($D157:K157)*(SUMPRODUCT($E$122:$E$125,$G$122:$G$125)/SUM($E$122:$E$125))/10^7</f>
        <v>0.63004340000000003</v>
      </c>
      <c r="L172" s="194">
        <f>SUM($D157:L157)*(SUMPRODUCT($E$122:$E$125,$G$122:$G$125)/SUM($E$122:$E$125))/10^7</f>
        <v>0.78755425000000001</v>
      </c>
      <c r="M172" s="194">
        <f>SUM($D157:M157)*(SUMPRODUCT($E$122:$E$125,$G$122:$G$125)/SUM($E$122:$E$125))/10^7</f>
        <v>0.78755425000000001</v>
      </c>
      <c r="N172" s="194">
        <f>SUM($D157:N157)*(SUMPRODUCT($E$122:$E$125,$G$122:$G$125)/SUM($E$122:$E$125))/10^7</f>
        <v>0.78755425000000001</v>
      </c>
      <c r="O172" s="194">
        <f>SUM($D157:O157)*(SUMPRODUCT($E$122:$E$125,$G$122:$G$125)/SUM($E$122:$E$125))/10^7</f>
        <v>0.78755425000000001</v>
      </c>
      <c r="P172" s="194">
        <f>SUM($D157:P157)*(SUMPRODUCT($E$122:$E$125,$G$122:$G$125)/SUM($E$122:$E$125))/10^7</f>
        <v>0.78755425000000001</v>
      </c>
      <c r="Q172" s="194">
        <f>SUM($D157:Q157)*(SUMPRODUCT($E$122:$E$125,$G$122:$G$125)/SUM($E$122:$E$125))/10^7</f>
        <v>0.78755425000000001</v>
      </c>
      <c r="R172" s="194">
        <f>SUM($D157:R157)*(SUMPRODUCT($E$122:$E$125,$G$122:$G$125)/SUM($E$122:$E$125))/10^7</f>
        <v>0.78755425000000001</v>
      </c>
      <c r="S172" s="194">
        <f>SUM($D157:S157)*(SUMPRODUCT($E$122:$E$125,$G$122:$G$125)/SUM($E$122:$E$125))/10^7</f>
        <v>0.78755425000000001</v>
      </c>
      <c r="T172" s="194">
        <f>SUM($D157:T157)*(SUMPRODUCT($E$122:$E$125,$G$122:$G$125)/SUM($E$122:$E$125))/10^7</f>
        <v>0.78755425000000001</v>
      </c>
      <c r="U172" s="194">
        <f>SUM($D157:U157)*(SUMPRODUCT($E$122:$E$125,$G$122:$G$125)/SUM($E$122:$E$125))/10^7</f>
        <v>0.78755425000000001</v>
      </c>
      <c r="V172" s="194">
        <f>SUM($D157:V157)*(SUMPRODUCT($E$122:$E$125,$G$122:$G$125)/SUM($E$122:$E$125))/10^7</f>
        <v>0.78755425000000001</v>
      </c>
      <c r="W172" s="194">
        <f>SUM($D157:W157)*(SUMPRODUCT($E$122:$E$125,$G$122:$G$125)/SUM($E$122:$E$125))/10^7</f>
        <v>0.78755425000000001</v>
      </c>
      <c r="X172" s="194">
        <f>SUM($D157:X157)*(SUMPRODUCT($E$122:$E$125,$G$122:$G$125)/SUM($E$122:$E$125))/10^7</f>
        <v>0.78755425000000001</v>
      </c>
      <c r="Y172" s="194">
        <f>SUM($D157:Y157)*(SUMPRODUCT($E$122:$E$125,$G$122:$G$125)/SUM($E$122:$E$125))/10^7</f>
        <v>0.78755425000000001</v>
      </c>
      <c r="Z172" s="194">
        <f>SUM($D157:Z157)*(SUMPRODUCT($E$122:$E$125,$G$122:$G$125)/SUM($E$122:$E$125))/10^7</f>
        <v>0.78755425000000001</v>
      </c>
      <c r="AA172" s="194">
        <f>SUM($D157:AA157)*(SUMPRODUCT($E$122:$E$125,$G$122:$G$125)/SUM($E$122:$E$125))/10^7</f>
        <v>0.78755425000000001</v>
      </c>
      <c r="AB172" s="194">
        <f>SUM($D157:AB157)*(SUMPRODUCT($E$122:$E$125,$G$122:$G$125)/SUM($E$122:$E$125))/10^7</f>
        <v>0.78755425000000001</v>
      </c>
      <c r="AC172" s="194">
        <f>SUM($D157:AC157)*(SUMPRODUCT($E$122:$E$125,$G$122:$G$125)/SUM($E$122:$E$125))/10^7</f>
        <v>0.78755425000000001</v>
      </c>
      <c r="AD172" s="194">
        <f>SUM($D157:AD157)*(SUMPRODUCT($E$122:$E$125,$G$122:$G$125)/SUM($E$122:$E$125))/10^7</f>
        <v>0.78755425000000001</v>
      </c>
      <c r="AE172" s="194">
        <f>SUM($D157:AE157)*(SUMPRODUCT($E$122:$E$125,$G$122:$G$125)/SUM($E$122:$E$125))/10^7</f>
        <v>0.78755425000000001</v>
      </c>
      <c r="AF172" s="194">
        <f>SUM($D157:AF157)*(SUMPRODUCT($E$122:$E$125,$G$122:$G$125)/SUM($E$122:$E$125))/10^7</f>
        <v>0.78755425000000001</v>
      </c>
      <c r="AG172" s="194">
        <f>SUM($D157:AG157)*(SUMPRODUCT($E$122:$E$125,$G$122:$G$125)/SUM($E$122:$E$125))/10^7</f>
        <v>0.78755425000000001</v>
      </c>
      <c r="AH172" s="194">
        <f>SUM($D157:AH157)*(SUMPRODUCT($E$122:$E$125,$G$122:$G$125)/SUM($E$122:$E$125))/10^7</f>
        <v>0.78755425000000001</v>
      </c>
      <c r="AI172" s="194">
        <f>SUM($D157:AI157)*(SUMPRODUCT($E$122:$E$125,$G$122:$G$125)/SUM($E$122:$E$125))/10^7</f>
        <v>0.78755425000000001</v>
      </c>
      <c r="AJ172" s="194">
        <f>SUM($D157:AJ157)*(SUMPRODUCT($E$122:$E$125,$G$122:$G$125)/SUM($E$122:$E$125))/10^7</f>
        <v>0.78755425000000001</v>
      </c>
      <c r="AK172" s="194">
        <f>SUM($D157:AK157)*(SUMPRODUCT($E$122:$E$125,$G$122:$G$125)/SUM($E$122:$E$125))/10^7</f>
        <v>0.78755425000000001</v>
      </c>
      <c r="AL172" s="194">
        <f>SUM($D157:AL157)*(SUMPRODUCT($E$122:$E$125,$G$122:$G$125)/SUM($E$122:$E$125))/10^7</f>
        <v>0.78755425000000001</v>
      </c>
      <c r="AM172" s="194">
        <f>SUM($D157:AM157)*(SUMPRODUCT($E$122:$E$125,$G$122:$G$125)/SUM($E$122:$E$125))/10^7</f>
        <v>0.78755425000000001</v>
      </c>
      <c r="AN172" s="194">
        <f>SUM($D157:AN157)*(SUMPRODUCT($E$122:$E$125,$G$122:$G$125)/SUM($E$122:$E$125))/10^7</f>
        <v>0.78755425000000001</v>
      </c>
      <c r="AO172" s="194">
        <f>SUM($D157:AO157)*(SUMPRODUCT($E$122:$E$125,$G$122:$G$125)/SUM($E$122:$E$125))/10^7</f>
        <v>0.78755425000000001</v>
      </c>
      <c r="AP172" s="194">
        <f>SUM($D157:AP157)*(SUMPRODUCT($E$122:$E$125,$G$122:$G$125)/SUM($E$122:$E$125))/10^7</f>
        <v>0.78755425000000001</v>
      </c>
      <c r="AQ172" s="195">
        <f>SUM($D157:AQ157)*(SUMPRODUCT($E$122:$E$125,$G$122:$G$125)/SUM($E$122:$E$125))*1.15/10^7</f>
        <v>0.9056873875</v>
      </c>
      <c r="AR172" s="194">
        <f>SUM($D157:AR157)*(SUMPRODUCT($E$122:$E$125,$G$122:$G$125)/SUM($E$122:$E$125))*1.15/10^7</f>
        <v>0.9056873875</v>
      </c>
      <c r="AS172" s="194">
        <f>SUM($D157:AS157)*(SUMPRODUCT($E$122:$E$125,$G$122:$G$125)/SUM($E$122:$E$125))*1.15/10^7</f>
        <v>0.9056873875</v>
      </c>
      <c r="AT172" s="194">
        <f>SUM($D157:AT157)*(SUMPRODUCT($E$122:$E$125,$G$122:$G$125)/SUM($E$122:$E$125))*1.15/10^7</f>
        <v>0.9056873875</v>
      </c>
      <c r="AU172" s="194">
        <f>SUM($D157:AU157)*(SUMPRODUCT($E$122:$E$125,$G$122:$G$125)/SUM($E$122:$E$125))*1.15/10^7</f>
        <v>0.9056873875</v>
      </c>
      <c r="AV172" s="194">
        <f>SUM($D157:AV157)*(SUMPRODUCT($E$122:$E$125,$G$122:$G$125)/SUM($E$122:$E$125))*1.15/10^7</f>
        <v>0.9056873875</v>
      </c>
      <c r="AW172" s="194">
        <f>SUM($D157:AW157)*(SUMPRODUCT($E$122:$E$125,$G$122:$G$125)/SUM($E$122:$E$125))*1.15/10^7</f>
        <v>0.9056873875</v>
      </c>
      <c r="AX172" s="194">
        <f>SUM($D157:AX157)*(SUMPRODUCT($E$122:$E$125,$G$122:$G$125)/SUM($E$122:$E$125))*1.15/10^7</f>
        <v>0.9056873875</v>
      </c>
      <c r="AY172" s="194">
        <f>SUM($D157:AY157)*(SUMPRODUCT($E$122:$E$125,$G$122:$G$125)/SUM($E$122:$E$125))*1.15/10^7</f>
        <v>0.9056873875</v>
      </c>
      <c r="AZ172" s="194">
        <f>SUM($D157:AZ157)*(SUMPRODUCT($E$122:$E$125,$G$122:$G$125)/SUM($E$122:$E$125))*1.15/10^7</f>
        <v>0.9056873875</v>
      </c>
      <c r="BA172" s="194">
        <f>SUM($D157:BA157)*(SUMPRODUCT($E$122:$E$125,$G$122:$G$125)/SUM($E$122:$E$125))*1.15/10^7</f>
        <v>0.9056873875</v>
      </c>
      <c r="BB172" s="194">
        <f>SUM($D157:BB157)*(SUMPRODUCT($E$122:$E$125,$G$122:$G$125)/SUM($E$122:$E$125))*1.15/10^7</f>
        <v>0.9056873875</v>
      </c>
      <c r="BC172" s="194">
        <f>SUM($D157:BC157)*(SUMPRODUCT($E$122:$E$125,$G$122:$G$125)/SUM($E$122:$E$125))*1.15/10^7</f>
        <v>0.9056873875</v>
      </c>
      <c r="BD172" s="194">
        <f>SUM($D157:BD157)*(SUMPRODUCT($E$122:$E$125,$G$122:$G$125)/SUM($E$122:$E$125))*1.15/10^7</f>
        <v>0.9056873875</v>
      </c>
      <c r="BE172" s="194">
        <f>SUM($D157:BE157)*(SUMPRODUCT($E$122:$E$125,$G$122:$G$125)/SUM($E$122:$E$125))*1.15/10^7</f>
        <v>0.9056873875</v>
      </c>
      <c r="BF172" s="194">
        <f>SUM($D157:BF157)*(SUMPRODUCT($E$122:$E$125,$G$122:$G$125)/SUM($E$122:$E$125))*1.15/10^7</f>
        <v>0.9056873875</v>
      </c>
      <c r="BG172" s="194">
        <f>SUM($D157:BG157)*(SUMPRODUCT($E$122:$E$125,$G$122:$G$125)/SUM($E$122:$E$125))*1.15/10^7</f>
        <v>0.9056873875</v>
      </c>
      <c r="BH172" s="194">
        <f>SUM($D157:BH157)*(SUMPRODUCT($E$122:$E$125,$G$122:$G$125)/SUM($E$122:$E$125))*1.15/10^7</f>
        <v>0.9056873875</v>
      </c>
      <c r="BI172" s="194">
        <f>SUM($D157:BI157)*(SUMPRODUCT($E$122:$E$125,$G$122:$G$125)/SUM($E$122:$E$125))*1.15/10^7</f>
        <v>0.9056873875</v>
      </c>
      <c r="BJ172" s="194">
        <f>SUM($D157:BJ157)*(SUMPRODUCT($E$122:$E$125,$G$122:$G$125)/SUM($E$122:$E$125))*1.15/10^7</f>
        <v>0.9056873875</v>
      </c>
      <c r="BK172" s="194">
        <f>SUM($D157:BK157)*(SUMPRODUCT($E$122:$E$125,$G$122:$G$125)/SUM($E$122:$E$125))*1.15/10^7</f>
        <v>0.9056873875</v>
      </c>
      <c r="BN172" s="194"/>
    </row>
    <row r="173" spans="1:66" x14ac:dyDescent="0.35">
      <c r="A173" s="172" t="s">
        <v>124</v>
      </c>
      <c r="B173" s="187">
        <f>SUM(D173:BK173)</f>
        <v>38.039872212500036</v>
      </c>
      <c r="C173" s="197"/>
      <c r="D173" s="194">
        <f>SUM($D158:D158)*(SUMPRODUCT($M$122:$M$125,$O$122:$O$125)/SUM($M$122:$M$125))/10^7</f>
        <v>0</v>
      </c>
      <c r="E173" s="194">
        <f>SUM($D158:E158)*(SUMPRODUCT($M$122:$M$125,$O$122:$O$125)/SUM($M$122:$M$125))/10^7</f>
        <v>0</v>
      </c>
      <c r="F173" s="194">
        <f>SUM($D158:F158)*(SUMPRODUCT($M$122:$M$125,$O$122:$O$125)/SUM($M$122:$M$125))/10^7</f>
        <v>0</v>
      </c>
      <c r="G173" s="194">
        <f>SUM($D158:G158)*(SUMPRODUCT($M$122:$M$125,$O$122:$O$125)/SUM($M$122:$M$125))/10^7</f>
        <v>0</v>
      </c>
      <c r="H173" s="194">
        <f>SUM($D158:H158)*(SUMPRODUCT($M$122:$M$125,$O$122:$O$125)/SUM($M$122:$M$125))/10^7</f>
        <v>0</v>
      </c>
      <c r="I173" s="194">
        <f>SUM($D158:I158)*(SUMPRODUCT($M$122:$M$125,$O$122:$O$125)/SUM($M$122:$M$125))/10^7</f>
        <v>0.52514059999999996</v>
      </c>
      <c r="J173" s="194">
        <f>SUM($D158:J158)*(SUMPRODUCT($M$122:$M$125,$O$122:$O$125)/SUM($M$122:$M$125))/10^7</f>
        <v>0.65642575000000003</v>
      </c>
      <c r="K173" s="194">
        <f>SUM($D158:K158)*(SUMPRODUCT($M$122:$M$125,$O$122:$O$125)/SUM($M$122:$M$125))/10^7</f>
        <v>0.65642575000000003</v>
      </c>
      <c r="L173" s="194">
        <f>SUM($D158:L158)*(SUMPRODUCT($M$122:$M$125,$O$122:$O$125)/SUM($M$122:$M$125))/10^7</f>
        <v>0.65642575000000003</v>
      </c>
      <c r="M173" s="194">
        <f>SUM($D158:M158)*(SUMPRODUCT($M$122:$M$125,$O$122:$O$125)/SUM($M$122:$M$125))/10^7</f>
        <v>0.65642575000000003</v>
      </c>
      <c r="N173" s="194">
        <f>SUM($D158:N158)*(SUMPRODUCT($M$122:$M$125,$O$122:$O$125)/SUM($M$122:$M$125))/10^7</f>
        <v>0.65642575000000003</v>
      </c>
      <c r="O173" s="194">
        <f>SUM($D158:O158)*(SUMPRODUCT($M$122:$M$125,$O$122:$O$125)/SUM($M$122:$M$125))/10^7</f>
        <v>0.65642575000000003</v>
      </c>
      <c r="P173" s="194">
        <f>SUM($D158:P158)*(SUMPRODUCT($M$122:$M$125,$O$122:$O$125)/SUM($M$122:$M$125))/10^7</f>
        <v>0.65642575000000003</v>
      </c>
      <c r="Q173" s="194">
        <f>SUM($D158:Q158)*(SUMPRODUCT($M$122:$M$125,$O$122:$O$125)/SUM($M$122:$M$125))/10^7</f>
        <v>0.65642575000000003</v>
      </c>
      <c r="R173" s="194">
        <f>SUM($D158:R158)*(SUMPRODUCT($M$122:$M$125,$O$122:$O$125)/SUM($M$122:$M$125))/10^7</f>
        <v>0.65642575000000003</v>
      </c>
      <c r="S173" s="194">
        <f>SUM($D158:S158)*(SUMPRODUCT($M$122:$M$125,$O$122:$O$125)/SUM($M$122:$M$125))/10^7</f>
        <v>0.65642575000000003</v>
      </c>
      <c r="T173" s="194">
        <f>SUM($D158:T158)*(SUMPRODUCT($M$122:$M$125,$O$122:$O$125)/SUM($M$122:$M$125))/10^7</f>
        <v>0.65642575000000003</v>
      </c>
      <c r="U173" s="194">
        <f>SUM($D158:U158)*(SUMPRODUCT($M$122:$M$125,$O$122:$O$125)/SUM($M$122:$M$125))/10^7</f>
        <v>0.65642575000000003</v>
      </c>
      <c r="V173" s="194">
        <f>SUM($D158:V158)*(SUMPRODUCT($M$122:$M$125,$O$122:$O$125)/SUM($M$122:$M$125))/10^7</f>
        <v>0.65642575000000003</v>
      </c>
      <c r="W173" s="194">
        <f>SUM($D158:W158)*(SUMPRODUCT($M$122:$M$125,$O$122:$O$125)/SUM($M$122:$M$125))/10^7</f>
        <v>0.65642575000000003</v>
      </c>
      <c r="X173" s="194">
        <f>SUM($D158:X158)*(SUMPRODUCT($M$122:$M$125,$O$122:$O$125)/SUM($M$122:$M$125))/10^7</f>
        <v>0.65642575000000003</v>
      </c>
      <c r="Y173" s="194">
        <f>SUM($D158:Y158)*(SUMPRODUCT($M$122:$M$125,$O$122:$O$125)/SUM($M$122:$M$125))/10^7</f>
        <v>0.65642575000000003</v>
      </c>
      <c r="Z173" s="194">
        <f>SUM($D158:Z158)*(SUMPRODUCT($M$122:$M$125,$O$122:$O$125)/SUM($M$122:$M$125))/10^7</f>
        <v>0.65642575000000003</v>
      </c>
      <c r="AA173" s="194">
        <f>SUM($D158:AA158)*(SUMPRODUCT($M$122:$M$125,$O$122:$O$125)/SUM($M$122:$M$125))/10^7</f>
        <v>0.65642575000000003</v>
      </c>
      <c r="AB173" s="194">
        <f>SUM($D158:AB158)*(SUMPRODUCT($M$122:$M$125,$O$122:$O$125)/SUM($M$122:$M$125))/10^7</f>
        <v>0.65642575000000003</v>
      </c>
      <c r="AC173" s="194">
        <f>SUM($D158:AC158)*(SUMPRODUCT($M$122:$M$125,$O$122:$O$125)/SUM($M$122:$M$125))/10^7</f>
        <v>0.65642575000000003</v>
      </c>
      <c r="AD173" s="194">
        <f>SUM($D158:AD158)*(SUMPRODUCT($M$122:$M$125,$O$122:$O$125)/SUM($M$122:$M$125))/10^7</f>
        <v>0.65642575000000003</v>
      </c>
      <c r="AE173" s="194">
        <f>SUM($D158:AE158)*(SUMPRODUCT($M$122:$M$125,$O$122:$O$125)/SUM($M$122:$M$125))/10^7</f>
        <v>0.65642575000000003</v>
      </c>
      <c r="AF173" s="194">
        <f>SUM($D158:AF158)*(SUMPRODUCT($M$122:$M$125,$O$122:$O$125)/SUM($M$122:$M$125))/10^7</f>
        <v>0.65642575000000003</v>
      </c>
      <c r="AG173" s="194">
        <f>SUM($D158:AG158)*(SUMPRODUCT($M$122:$M$125,$O$122:$O$125)/SUM($M$122:$M$125))/10^7</f>
        <v>0.65642575000000003</v>
      </c>
      <c r="AH173" s="194">
        <f>SUM($D158:AH158)*(SUMPRODUCT($M$122:$M$125,$O$122:$O$125)/SUM($M$122:$M$125))/10^7</f>
        <v>0.65642575000000003</v>
      </c>
      <c r="AI173" s="194">
        <f>SUM($D158:AI158)*(SUMPRODUCT($M$122:$M$125,$O$122:$O$125)/SUM($M$122:$M$125))/10^7</f>
        <v>0.65642575000000003</v>
      </c>
      <c r="AJ173" s="194">
        <f>SUM($D158:AJ158)*(SUMPRODUCT($M$122:$M$125,$O$122:$O$125)/SUM($M$122:$M$125))/10^7</f>
        <v>0.65642575000000003</v>
      </c>
      <c r="AK173" s="194">
        <f>SUM($D158:AK158)*(SUMPRODUCT($M$122:$M$125,$O$122:$O$125)/SUM($M$122:$M$125))/10^7</f>
        <v>0.65642575000000003</v>
      </c>
      <c r="AL173" s="194">
        <f>SUM($D158:AL158)*(SUMPRODUCT($M$122:$M$125,$O$122:$O$125)/SUM($M$122:$M$125))/10^7</f>
        <v>0.65642575000000003</v>
      </c>
      <c r="AM173" s="194">
        <f>SUM($D158:AM158)*(SUMPRODUCT($M$122:$M$125,$O$122:$O$125)/SUM($M$122:$M$125))/10^7</f>
        <v>0.65642575000000003</v>
      </c>
      <c r="AN173" s="194">
        <f>SUM($D158:AN158)*(SUMPRODUCT($M$122:$M$125,$O$122:$O$125)/SUM($M$122:$M$125))/10^7</f>
        <v>0.65642575000000003</v>
      </c>
      <c r="AO173" s="194">
        <f>SUM($D158:AO158)*(SUMPRODUCT($M$122:$M$125,$O$122:$O$125)/SUM($M$122:$M$125))/10^7</f>
        <v>0.65642575000000003</v>
      </c>
      <c r="AP173" s="194">
        <f>SUM($D158:AP158)*(SUMPRODUCT($M$122:$M$125,$O$122:$O$125)/SUM($M$122:$M$125))/10^7</f>
        <v>0.65642575000000003</v>
      </c>
      <c r="AQ173" s="195">
        <f>SUM($D158:AQ158)*(SUMPRODUCT($M$122:$M$125,$O$122:$O$125)/SUM($M$122:$M$125))*1.15/10^7</f>
        <v>0.75488961249999986</v>
      </c>
      <c r="AR173" s="194">
        <f>SUM($D158:AR158)*(SUMPRODUCT($M$122:$M$125,$O$122:$O$125)/SUM($M$122:$M$125))*1.15/10^7</f>
        <v>0.75488961249999986</v>
      </c>
      <c r="AS173" s="194">
        <f>SUM($D158:AS158)*(SUMPRODUCT($M$122:$M$125,$O$122:$O$125)/SUM($M$122:$M$125))*1.15/10^7</f>
        <v>0.75488961249999986</v>
      </c>
      <c r="AT173" s="194">
        <f>SUM($D158:AT158)*(SUMPRODUCT($M$122:$M$125,$O$122:$O$125)/SUM($M$122:$M$125))*1.15/10^7</f>
        <v>0.75488961249999986</v>
      </c>
      <c r="AU173" s="194">
        <f>SUM($D158:AU158)*(SUMPRODUCT($M$122:$M$125,$O$122:$O$125)/SUM($M$122:$M$125))*1.15/10^7</f>
        <v>0.75488961249999986</v>
      </c>
      <c r="AV173" s="194">
        <f>SUM($D158:AV158)*(SUMPRODUCT($M$122:$M$125,$O$122:$O$125)/SUM($M$122:$M$125))*1.15/10^7</f>
        <v>0.75488961249999986</v>
      </c>
      <c r="AW173" s="194">
        <f>SUM($D158:AW158)*(SUMPRODUCT($M$122:$M$125,$O$122:$O$125)/SUM($M$122:$M$125))*1.15/10^7</f>
        <v>0.75488961249999986</v>
      </c>
      <c r="AX173" s="194">
        <f>SUM($D158:AX158)*(SUMPRODUCT($M$122:$M$125,$O$122:$O$125)/SUM($M$122:$M$125))*1.15/10^7</f>
        <v>0.75488961249999986</v>
      </c>
      <c r="AY173" s="194">
        <f>SUM($D158:AY158)*(SUMPRODUCT($M$122:$M$125,$O$122:$O$125)/SUM($M$122:$M$125))*1.15/10^7</f>
        <v>0.75488961249999986</v>
      </c>
      <c r="AZ173" s="194">
        <f>SUM($D158:AZ158)*(SUMPRODUCT($M$122:$M$125,$O$122:$O$125)/SUM($M$122:$M$125))*1.15/10^7</f>
        <v>0.75488961249999986</v>
      </c>
      <c r="BA173" s="194">
        <f>SUM($D158:BA158)*(SUMPRODUCT($M$122:$M$125,$O$122:$O$125)/SUM($M$122:$M$125))*1.15/10^7</f>
        <v>0.75488961249999986</v>
      </c>
      <c r="BB173" s="194">
        <f>SUM($D158:BB158)*(SUMPRODUCT($M$122:$M$125,$O$122:$O$125)/SUM($M$122:$M$125))*1.15/10^7</f>
        <v>0.75488961249999986</v>
      </c>
      <c r="BC173" s="194">
        <f>SUM($D158:BC158)*(SUMPRODUCT($M$122:$M$125,$O$122:$O$125)/SUM($M$122:$M$125))*1.15/10^7</f>
        <v>0.75488961249999986</v>
      </c>
      <c r="BD173" s="194">
        <f>SUM($D158:BD158)*(SUMPRODUCT($M$122:$M$125,$O$122:$O$125)/SUM($M$122:$M$125))*1.15/10^7</f>
        <v>0.75488961249999986</v>
      </c>
      <c r="BE173" s="194">
        <f>SUM($D158:BE158)*(SUMPRODUCT($M$122:$M$125,$O$122:$O$125)/SUM($M$122:$M$125))*1.15/10^7</f>
        <v>0.75488961249999986</v>
      </c>
      <c r="BF173" s="194">
        <f>SUM($D158:BF158)*(SUMPRODUCT($M$122:$M$125,$O$122:$O$125)/SUM($M$122:$M$125))*1.15/10^7</f>
        <v>0.75488961249999986</v>
      </c>
      <c r="BG173" s="194">
        <f>SUM($D158:BG158)*(SUMPRODUCT($M$122:$M$125,$O$122:$O$125)/SUM($M$122:$M$125))*1.15/10^7</f>
        <v>0.75488961249999986</v>
      </c>
      <c r="BH173" s="194">
        <f>SUM($D158:BH158)*(SUMPRODUCT($M$122:$M$125,$O$122:$O$125)/SUM($M$122:$M$125))*1.15/10^7</f>
        <v>0.75488961249999986</v>
      </c>
      <c r="BI173" s="194">
        <f>SUM($D158:BI158)*(SUMPRODUCT($M$122:$M$125,$O$122:$O$125)/SUM($M$122:$M$125))*1.15/10^7</f>
        <v>0.75488961249999986</v>
      </c>
      <c r="BJ173" s="194">
        <f>SUM($D158:BJ158)*(SUMPRODUCT($M$122:$M$125,$O$122:$O$125)/SUM($M$122:$M$125))*1.15/10^7</f>
        <v>0.75488961249999986</v>
      </c>
      <c r="BK173" s="194">
        <f>SUM($D158:BK158)*(SUMPRODUCT($M$122:$M$125,$O$122:$O$125)/SUM($M$122:$M$125))*1.15/10^7</f>
        <v>0.75488961249999986</v>
      </c>
      <c r="BN173" s="194"/>
    </row>
    <row r="174" spans="1:66" x14ac:dyDescent="0.35">
      <c r="A174" s="190" t="s">
        <v>125</v>
      </c>
      <c r="B174" s="191">
        <f>SUM(D174:BK174)</f>
        <v>71.108064172544999</v>
      </c>
      <c r="C174" s="192"/>
      <c r="D174" s="193">
        <f>SUM(D175:D176)</f>
        <v>0</v>
      </c>
      <c r="E174" s="193">
        <f t="shared" ref="E174:BK174" si="60">SUM(E175:E176)</f>
        <v>0</v>
      </c>
      <c r="F174" s="193">
        <f t="shared" si="60"/>
        <v>0</v>
      </c>
      <c r="G174" s="193">
        <f t="shared" si="60"/>
        <v>0</v>
      </c>
      <c r="H174" s="193">
        <f t="shared" si="60"/>
        <v>0</v>
      </c>
      <c r="I174" s="193">
        <f t="shared" si="60"/>
        <v>0</v>
      </c>
      <c r="J174" s="193">
        <f t="shared" si="60"/>
        <v>0</v>
      </c>
      <c r="K174" s="193">
        <f t="shared" si="60"/>
        <v>0</v>
      </c>
      <c r="L174" s="193">
        <f t="shared" si="60"/>
        <v>0</v>
      </c>
      <c r="M174" s="193">
        <f t="shared" si="60"/>
        <v>0</v>
      </c>
      <c r="N174" s="193">
        <f t="shared" si="60"/>
        <v>0</v>
      </c>
      <c r="O174" s="193">
        <f t="shared" si="60"/>
        <v>0</v>
      </c>
      <c r="P174" s="193">
        <f t="shared" si="60"/>
        <v>0</v>
      </c>
      <c r="Q174" s="193">
        <f t="shared" si="60"/>
        <v>0</v>
      </c>
      <c r="R174" s="193">
        <f t="shared" si="60"/>
        <v>0</v>
      </c>
      <c r="S174" s="193">
        <f t="shared" si="60"/>
        <v>0</v>
      </c>
      <c r="T174" s="193">
        <f t="shared" si="60"/>
        <v>0</v>
      </c>
      <c r="U174" s="193">
        <f t="shared" si="60"/>
        <v>0</v>
      </c>
      <c r="V174" s="193">
        <f t="shared" si="60"/>
        <v>0</v>
      </c>
      <c r="W174" s="193">
        <f t="shared" si="60"/>
        <v>0</v>
      </c>
      <c r="X174" s="193">
        <f t="shared" si="60"/>
        <v>1.061314390635</v>
      </c>
      <c r="Y174" s="193">
        <f t="shared" si="60"/>
        <v>1.7688573177250002</v>
      </c>
      <c r="Z174" s="193">
        <f t="shared" si="60"/>
        <v>1.7688573177250002</v>
      </c>
      <c r="AA174" s="193">
        <f t="shared" si="60"/>
        <v>1.7688573177250002</v>
      </c>
      <c r="AB174" s="193">
        <f t="shared" si="60"/>
        <v>1.7688573177250002</v>
      </c>
      <c r="AC174" s="193">
        <f t="shared" si="60"/>
        <v>1.7688573177250002</v>
      </c>
      <c r="AD174" s="193">
        <f t="shared" si="60"/>
        <v>1.7688573177250002</v>
      </c>
      <c r="AE174" s="193">
        <f t="shared" si="60"/>
        <v>1.7688573177250002</v>
      </c>
      <c r="AF174" s="193">
        <f t="shared" si="60"/>
        <v>1.7688573177250002</v>
      </c>
      <c r="AG174" s="193">
        <f t="shared" si="60"/>
        <v>1.7688573177250002</v>
      </c>
      <c r="AH174" s="193">
        <f t="shared" si="60"/>
        <v>1.7688573177250002</v>
      </c>
      <c r="AI174" s="193">
        <f t="shared" si="60"/>
        <v>1.7688573177250002</v>
      </c>
      <c r="AJ174" s="193">
        <f t="shared" si="60"/>
        <v>1.7688573177250002</v>
      </c>
      <c r="AK174" s="193">
        <f t="shared" si="60"/>
        <v>1.7688573177250002</v>
      </c>
      <c r="AL174" s="193">
        <f t="shared" si="60"/>
        <v>1.7688573177250002</v>
      </c>
      <c r="AM174" s="193">
        <f t="shared" si="60"/>
        <v>1.7688573177250002</v>
      </c>
      <c r="AN174" s="193">
        <f t="shared" si="60"/>
        <v>1.7688573177250002</v>
      </c>
      <c r="AO174" s="193">
        <f t="shared" si="60"/>
        <v>1.7688573177250002</v>
      </c>
      <c r="AP174" s="193">
        <f t="shared" si="60"/>
        <v>1.7688573177250002</v>
      </c>
      <c r="AQ174" s="193">
        <f t="shared" si="60"/>
        <v>1.7688573177250002</v>
      </c>
      <c r="AR174" s="193">
        <f t="shared" si="60"/>
        <v>1.7688573177250002</v>
      </c>
      <c r="AS174" s="193">
        <f t="shared" si="60"/>
        <v>1.7688573177250002</v>
      </c>
      <c r="AT174" s="193">
        <f t="shared" si="60"/>
        <v>1.7688573177250002</v>
      </c>
      <c r="AU174" s="193">
        <f t="shared" si="60"/>
        <v>1.7688573177250002</v>
      </c>
      <c r="AV174" s="193">
        <f t="shared" si="60"/>
        <v>1.7688573177250002</v>
      </c>
      <c r="AW174" s="193">
        <f t="shared" si="60"/>
        <v>1.7688573177250002</v>
      </c>
      <c r="AX174" s="193">
        <f t="shared" si="60"/>
        <v>1.7688573177250002</v>
      </c>
      <c r="AY174" s="193">
        <f t="shared" si="60"/>
        <v>1.7688573177250002</v>
      </c>
      <c r="AZ174" s="193">
        <f t="shared" si="60"/>
        <v>1.7688573177250002</v>
      </c>
      <c r="BA174" s="193">
        <f t="shared" si="60"/>
        <v>1.7688573177250002</v>
      </c>
      <c r="BB174" s="193">
        <f t="shared" si="60"/>
        <v>1.7688573177250002</v>
      </c>
      <c r="BC174" s="193">
        <f t="shared" si="60"/>
        <v>1.7688573177250002</v>
      </c>
      <c r="BD174" s="193">
        <f t="shared" si="60"/>
        <v>1.7688573177250002</v>
      </c>
      <c r="BE174" s="193">
        <f t="shared" si="60"/>
        <v>1.7688573177250002</v>
      </c>
      <c r="BF174" s="193">
        <f t="shared" si="60"/>
        <v>1.7688573177250002</v>
      </c>
      <c r="BG174" s="193">
        <f t="shared" si="60"/>
        <v>1.7688573177250002</v>
      </c>
      <c r="BH174" s="193">
        <f t="shared" si="60"/>
        <v>2.03418591538375</v>
      </c>
      <c r="BI174" s="193">
        <f t="shared" si="60"/>
        <v>2.03418591538375</v>
      </c>
      <c r="BJ174" s="193">
        <f t="shared" si="60"/>
        <v>2.03418591538375</v>
      </c>
      <c r="BK174" s="193">
        <f t="shared" si="60"/>
        <v>2.03418591538375</v>
      </c>
      <c r="BN174" s="193"/>
    </row>
    <row r="175" spans="1:66" x14ac:dyDescent="0.35">
      <c r="A175" s="172" t="s">
        <v>130</v>
      </c>
      <c r="B175" s="187">
        <f>SUM(D175:BK175)</f>
        <v>0</v>
      </c>
      <c r="C175" s="180"/>
      <c r="D175" s="181"/>
      <c r="E175" s="181"/>
      <c r="F175" s="181"/>
      <c r="G175" s="181"/>
      <c r="H175" s="181"/>
      <c r="I175" s="194"/>
      <c r="J175" s="194"/>
      <c r="K175" s="194"/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194"/>
      <c r="W175" s="194"/>
      <c r="X175" s="194"/>
      <c r="Y175" s="194"/>
      <c r="Z175" s="194"/>
      <c r="AA175" s="194"/>
      <c r="AB175" s="194"/>
      <c r="AC175" s="194"/>
      <c r="AD175" s="194"/>
      <c r="AE175" s="194"/>
      <c r="AF175" s="194"/>
      <c r="AG175" s="194"/>
      <c r="AH175" s="194"/>
      <c r="AI175" s="194"/>
      <c r="AJ175" s="194"/>
      <c r="AK175" s="194"/>
      <c r="AL175" s="194"/>
      <c r="AM175" s="194"/>
      <c r="AN175" s="194"/>
      <c r="AO175" s="194"/>
      <c r="AP175" s="194"/>
      <c r="AQ175" s="194"/>
      <c r="AR175" s="194"/>
      <c r="AS175" s="194"/>
      <c r="AT175" s="194"/>
      <c r="AU175" s="194"/>
      <c r="AV175" s="194"/>
      <c r="AW175" s="194"/>
      <c r="AX175" s="194"/>
      <c r="AY175" s="194"/>
      <c r="AZ175" s="194"/>
      <c r="BA175" s="194"/>
      <c r="BB175" s="194"/>
      <c r="BC175" s="194"/>
      <c r="BD175" s="194"/>
      <c r="BE175" s="194"/>
      <c r="BF175" s="194"/>
      <c r="BG175" s="194"/>
      <c r="BH175" s="194"/>
      <c r="BI175" s="194"/>
      <c r="BJ175" s="194"/>
      <c r="BK175" s="194"/>
      <c r="BN175" s="194"/>
    </row>
    <row r="176" spans="1:66" x14ac:dyDescent="0.35">
      <c r="A176" s="172" t="s">
        <v>124</v>
      </c>
      <c r="B176" s="187">
        <f>SUM(D176:BK176)</f>
        <v>71.108064172544999</v>
      </c>
      <c r="C176" s="180"/>
      <c r="D176" s="181">
        <f>SUM($D161:D161)*(SUMPRODUCT($M$126:$M$127,$O$126:$O$127)/SUM($M$126:$M$127))/10^7</f>
        <v>0</v>
      </c>
      <c r="E176" s="181">
        <f>SUM($D161:E161)*(SUMPRODUCT($M$126:$M$127,$O$126:$O$127)/SUM($M$126:$M$127))/10^7</f>
        <v>0</v>
      </c>
      <c r="F176" s="181">
        <f>SUM($D161:F161)*(SUMPRODUCT($M$126:$M$127,$O$126:$O$127)/SUM($M$126:$M$127))/10^7</f>
        <v>0</v>
      </c>
      <c r="G176" s="181">
        <f>SUM($D161:G161)*(SUMPRODUCT($M$126:$M$127,$O$126:$O$127)/SUM($M$126:$M$127))/10^7</f>
        <v>0</v>
      </c>
      <c r="H176" s="181">
        <f>SUM($D161:H161)*(SUMPRODUCT($M$126:$M$127,$O$126:$O$127)/SUM($M$126:$M$127))/10^7</f>
        <v>0</v>
      </c>
      <c r="I176" s="194">
        <f>SUM($D161:I161)*(SUMPRODUCT($M$126:$M$127,$O$126:$O$127)/SUM($M$126:$M$127))/10^7</f>
        <v>0</v>
      </c>
      <c r="J176" s="194">
        <f>SUM($D161:J161)*(SUMPRODUCT($M$126:$M$127,$O$126:$O$127)/SUM($M$126:$M$127))/10^7</f>
        <v>0</v>
      </c>
      <c r="K176" s="194">
        <f>SUM($D161:K161)*(SUMPRODUCT($M$126:$M$127,$O$126:$O$127)/SUM($M$126:$M$127))/10^7</f>
        <v>0</v>
      </c>
      <c r="L176" s="194">
        <f>SUM($D161:L161)*(SUMPRODUCT($M$126:$M$127,$O$126:$O$127)/SUM($M$126:$M$127))/10^7</f>
        <v>0</v>
      </c>
      <c r="M176" s="194">
        <f>SUM($D161:M161)*(SUMPRODUCT($M$126:$M$127,$O$126:$O$127)/SUM($M$126:$M$127))/10^7</f>
        <v>0</v>
      </c>
      <c r="N176" s="194">
        <f>SUM($D161:N161)*(SUMPRODUCT($M$126:$M$127,$O$126:$O$127)/SUM($M$126:$M$127))/10^7</f>
        <v>0</v>
      </c>
      <c r="O176" s="194">
        <f>SUM($D161:O161)*(SUMPRODUCT($M$126:$M$127,$O$126:$O$127)/SUM($M$126:$M$127))/10^7</f>
        <v>0</v>
      </c>
      <c r="P176" s="194">
        <f>SUM($D161:P161)*(SUMPRODUCT($M$126:$M$127,$O$126:$O$127)/SUM($M$126:$M$127))/10^7</f>
        <v>0</v>
      </c>
      <c r="Q176" s="194">
        <f>SUM($D161:Q161)*(SUMPRODUCT($M$126:$M$127,$O$126:$O$127)/SUM($M$126:$M$127))/10^7</f>
        <v>0</v>
      </c>
      <c r="R176" s="194">
        <f>SUM($D161:R161)*(SUMPRODUCT($M$126:$M$127,$O$126:$O$127)/SUM($M$126:$M$127))/10^7</f>
        <v>0</v>
      </c>
      <c r="S176" s="194">
        <f>SUM($D161:S161)*(SUMPRODUCT($M$126:$M$127,$O$126:$O$127)/SUM($M$126:$M$127))/10^7</f>
        <v>0</v>
      </c>
      <c r="T176" s="194">
        <f>SUM($D161:T161)*(SUMPRODUCT($M$126:$M$127,$O$126:$O$127)/SUM($M$126:$M$127))/10^7</f>
        <v>0</v>
      </c>
      <c r="U176" s="194">
        <f>SUM($D161:U161)*(SUMPRODUCT($M$126:$M$127,$O$126:$O$127)/SUM($M$126:$M$127))/10^7</f>
        <v>0</v>
      </c>
      <c r="V176" s="194">
        <f>SUM($D161:V161)*(SUMPRODUCT($M$126:$M$127,$O$126:$O$127)/SUM($M$126:$M$127))/10^7</f>
        <v>0</v>
      </c>
      <c r="W176" s="194">
        <f>SUM($D161:W161)*(SUMPRODUCT($M$126:$M$127,$O$126:$O$127)/SUM($M$126:$M$127))/10^7</f>
        <v>0</v>
      </c>
      <c r="X176" s="194">
        <f>SUM($D161:X161)*(SUMPRODUCT($M$126:$M$127,$O$126:$O$127)/SUM($M$126:$M$127))/10^7</f>
        <v>1.061314390635</v>
      </c>
      <c r="Y176" s="194">
        <f>SUM($D161:Y161)*(SUMPRODUCT($M$126:$M$127,$O$126:$O$127)/SUM($M$126:$M$127))/10^7</f>
        <v>1.7688573177250002</v>
      </c>
      <c r="Z176" s="194">
        <f>SUM($D161:Z161)*(SUMPRODUCT($M$126:$M$127,$O$126:$O$127)/SUM($M$126:$M$127))/10^7</f>
        <v>1.7688573177250002</v>
      </c>
      <c r="AA176" s="194">
        <f>SUM($D161:AA161)*(SUMPRODUCT($M$126:$M$127,$O$126:$O$127)/SUM($M$126:$M$127))/10^7</f>
        <v>1.7688573177250002</v>
      </c>
      <c r="AB176" s="194">
        <f>SUM($D161:AB161)*(SUMPRODUCT($M$126:$M$127,$O$126:$O$127)/SUM($M$126:$M$127))/10^7</f>
        <v>1.7688573177250002</v>
      </c>
      <c r="AC176" s="194">
        <f>SUM($D161:AC161)*(SUMPRODUCT($M$126:$M$127,$O$126:$O$127)/SUM($M$126:$M$127))/10^7</f>
        <v>1.7688573177250002</v>
      </c>
      <c r="AD176" s="194">
        <f>SUM($D161:AD161)*(SUMPRODUCT($M$126:$M$127,$O$126:$O$127)/SUM($M$126:$M$127))/10^7</f>
        <v>1.7688573177250002</v>
      </c>
      <c r="AE176" s="194">
        <f>SUM($D161:AE161)*(SUMPRODUCT($M$126:$M$127,$O$126:$O$127)/SUM($M$126:$M$127))/10^7</f>
        <v>1.7688573177250002</v>
      </c>
      <c r="AF176" s="194">
        <f>SUM($D161:AF161)*(SUMPRODUCT($M$126:$M$127,$O$126:$O$127)/SUM($M$126:$M$127))/10^7</f>
        <v>1.7688573177250002</v>
      </c>
      <c r="AG176" s="194">
        <f>SUM($D161:AG161)*(SUMPRODUCT($M$126:$M$127,$O$126:$O$127)/SUM($M$126:$M$127))/10^7</f>
        <v>1.7688573177250002</v>
      </c>
      <c r="AH176" s="194">
        <f>SUM($D161:AH161)*(SUMPRODUCT($M$126:$M$127,$O$126:$O$127)/SUM($M$126:$M$127))/10^7</f>
        <v>1.7688573177250002</v>
      </c>
      <c r="AI176" s="194">
        <f>SUM($D161:AI161)*(SUMPRODUCT($M$126:$M$127,$O$126:$O$127)/SUM($M$126:$M$127))/10^7</f>
        <v>1.7688573177250002</v>
      </c>
      <c r="AJ176" s="194">
        <f>SUM($D161:AJ161)*(SUMPRODUCT($M$126:$M$127,$O$126:$O$127)/SUM($M$126:$M$127))/10^7</f>
        <v>1.7688573177250002</v>
      </c>
      <c r="AK176" s="194">
        <f>SUM($D161:AK161)*(SUMPRODUCT($M$126:$M$127,$O$126:$O$127)/SUM($M$126:$M$127))/10^7</f>
        <v>1.7688573177250002</v>
      </c>
      <c r="AL176" s="194">
        <f>SUM($D161:AL161)*(SUMPRODUCT($M$126:$M$127,$O$126:$O$127)/SUM($M$126:$M$127))/10^7</f>
        <v>1.7688573177250002</v>
      </c>
      <c r="AM176" s="194">
        <f>SUM($D161:AM161)*(SUMPRODUCT($M$126:$M$127,$O$126:$O$127)/SUM($M$126:$M$127))/10^7</f>
        <v>1.7688573177250002</v>
      </c>
      <c r="AN176" s="194">
        <f>SUM($D161:AN161)*(SUMPRODUCT($M$126:$M$127,$O$126:$O$127)/SUM($M$126:$M$127))/10^7</f>
        <v>1.7688573177250002</v>
      </c>
      <c r="AO176" s="194">
        <f>SUM($D161:AO161)*(SUMPRODUCT($M$126:$M$127,$O$126:$O$127)/SUM($M$126:$M$127))/10^7</f>
        <v>1.7688573177250002</v>
      </c>
      <c r="AP176" s="194">
        <f>SUM($D161:AP161)*(SUMPRODUCT($M$126:$M$127,$O$126:$O$127)/SUM($M$126:$M$127))/10^7</f>
        <v>1.7688573177250002</v>
      </c>
      <c r="AQ176" s="194">
        <f>SUM($D161:AQ161)*(SUMPRODUCT($M$126:$M$127,$O$126:$O$127)/SUM($M$126:$M$127))/10^7</f>
        <v>1.7688573177250002</v>
      </c>
      <c r="AR176" s="194">
        <f>SUM($D161:AR161)*(SUMPRODUCT($M$126:$M$127,$O$126:$O$127)/SUM($M$126:$M$127))/10^7</f>
        <v>1.7688573177250002</v>
      </c>
      <c r="AS176" s="194">
        <f>SUM($D161:AS161)*(SUMPRODUCT($M$126:$M$127,$O$126:$O$127)/SUM($M$126:$M$127))/10^7</f>
        <v>1.7688573177250002</v>
      </c>
      <c r="AT176" s="194">
        <f>SUM($D161:AT161)*(SUMPRODUCT($M$126:$M$127,$O$126:$O$127)/SUM($M$126:$M$127))/10^7</f>
        <v>1.7688573177250002</v>
      </c>
      <c r="AU176" s="194">
        <f>SUM($D161:AU161)*(SUMPRODUCT($M$126:$M$127,$O$126:$O$127)/SUM($M$126:$M$127))/10^7</f>
        <v>1.7688573177250002</v>
      </c>
      <c r="AV176" s="194">
        <f>SUM($D161:AV161)*(SUMPRODUCT($M$126:$M$127,$O$126:$O$127)/SUM($M$126:$M$127))/10^7</f>
        <v>1.7688573177250002</v>
      </c>
      <c r="AW176" s="194">
        <f>SUM($D161:AW161)*(SUMPRODUCT($M$126:$M$127,$O$126:$O$127)/SUM($M$126:$M$127))/10^7</f>
        <v>1.7688573177250002</v>
      </c>
      <c r="AX176" s="194">
        <f>SUM($D161:AX161)*(SUMPRODUCT($M$126:$M$127,$O$126:$O$127)/SUM($M$126:$M$127))/10^7</f>
        <v>1.7688573177250002</v>
      </c>
      <c r="AY176" s="194">
        <f>SUM($D161:AY161)*(SUMPRODUCT($M$126:$M$127,$O$126:$O$127)/SUM($M$126:$M$127))/10^7</f>
        <v>1.7688573177250002</v>
      </c>
      <c r="AZ176" s="194">
        <f>SUM($D161:AZ161)*(SUMPRODUCT($M$126:$M$127,$O$126:$O$127)/SUM($M$126:$M$127))/10^7</f>
        <v>1.7688573177250002</v>
      </c>
      <c r="BA176" s="194">
        <f>SUM($D161:BA161)*(SUMPRODUCT($M$126:$M$127,$O$126:$O$127)/SUM($M$126:$M$127))/10^7</f>
        <v>1.7688573177250002</v>
      </c>
      <c r="BB176" s="194">
        <f>SUM($D161:BB161)*(SUMPRODUCT($M$126:$M$127,$O$126:$O$127)/SUM($M$126:$M$127))/10^7</f>
        <v>1.7688573177250002</v>
      </c>
      <c r="BC176" s="194">
        <f>SUM($D161:BC161)*(SUMPRODUCT($M$126:$M$127,$O$126:$O$127)/SUM($M$126:$M$127))/10^7</f>
        <v>1.7688573177250002</v>
      </c>
      <c r="BD176" s="194">
        <f>SUM($D161:BD161)*(SUMPRODUCT($M$126:$M$127,$O$126:$O$127)/SUM($M$126:$M$127))/10^7</f>
        <v>1.7688573177250002</v>
      </c>
      <c r="BE176" s="194">
        <f>SUM($D161:BE161)*(SUMPRODUCT($M$126:$M$127,$O$126:$O$127)/SUM($M$126:$M$127))/10^7</f>
        <v>1.7688573177250002</v>
      </c>
      <c r="BF176" s="194">
        <f>SUM($D161:BF161)*(SUMPRODUCT($M$126:$M$127,$O$126:$O$127)/SUM($M$126:$M$127))/10^7</f>
        <v>1.7688573177250002</v>
      </c>
      <c r="BG176" s="194">
        <f>SUM($D161:BG161)*(SUMPRODUCT($M$126:$M$127,$O$126:$O$127)/SUM($M$126:$M$127))/10^7</f>
        <v>1.7688573177250002</v>
      </c>
      <c r="BH176" s="194">
        <f>SUM($D161:BH161)*(SUMPRODUCT($M$126:$M$127,$O$126:$O$127)/SUM($M$126:$M$127))*1.15/10^7</f>
        <v>2.03418591538375</v>
      </c>
      <c r="BI176" s="194">
        <f>SUM($D161:BI161)*(SUMPRODUCT($M$126:$M$127,$O$126:$O$127)/SUM($M$126:$M$127))*1.15/10^7</f>
        <v>2.03418591538375</v>
      </c>
      <c r="BJ176" s="194">
        <f>SUM($D161:BJ161)*(SUMPRODUCT($M$126:$M$127,$O$126:$O$127)/SUM($M$126:$M$127))*1.15/10^7</f>
        <v>2.03418591538375</v>
      </c>
      <c r="BK176" s="194">
        <f>SUM($D161:BK161)*(SUMPRODUCT($M$126:$M$127,$O$126:$O$127)/SUM($M$126:$M$127))*1.15/10^7</f>
        <v>2.03418591538375</v>
      </c>
      <c r="BN176" s="194"/>
    </row>
    <row r="177" spans="1:66" x14ac:dyDescent="0.35">
      <c r="A177" s="50"/>
      <c r="B177" s="56"/>
      <c r="C177" s="57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N177" s="56"/>
    </row>
    <row r="178" spans="1:66" x14ac:dyDescent="0.35">
      <c r="A178" s="198" t="s">
        <v>132</v>
      </c>
      <c r="B178" s="199">
        <f>SUM(D178:BK178)</f>
        <v>4.3261240824728633</v>
      </c>
      <c r="C178" s="200"/>
      <c r="D178" s="201">
        <f>0.08*(SUM($D$149:D149)/$B$149)</f>
        <v>0</v>
      </c>
      <c r="E178" s="201">
        <f>0.08*(SUM($D$149:E149)/$B$149)</f>
        <v>0</v>
      </c>
      <c r="F178" s="201">
        <f>0.08*(SUM($D$149:F149)/$B$149)</f>
        <v>0</v>
      </c>
      <c r="G178" s="201">
        <f>0.08*(SUM($D$149:G149)/$B$149)</f>
        <v>0</v>
      </c>
      <c r="H178" s="201">
        <f>0.08*(SUM($D$149:H149)/$B$149)</f>
        <v>1.185331585944437E-2</v>
      </c>
      <c r="I178" s="201">
        <f>0.08*(SUM($D$149:I149)/$B$149)</f>
        <v>5.0402911758760834E-2</v>
      </c>
      <c r="J178" s="201">
        <f>0.08*(SUM($D$149:J149)/$B$149)</f>
        <v>5.4415419727999563E-2</v>
      </c>
      <c r="K178" s="201">
        <f>0.08*(SUM($D$149:K149)/$B$149)</f>
        <v>5.675207906022682E-2</v>
      </c>
      <c r="L178" s="201">
        <f>0.08*(SUM($D$149:L149)/$B$149)</f>
        <v>5.9088738392454085E-2</v>
      </c>
      <c r="M178" s="201">
        <f>0.08*(SUM($D$149:M149)/$B$149)</f>
        <v>5.9088738392454085E-2</v>
      </c>
      <c r="N178" s="201">
        <f>0.08*(SUM($D$149:N149)/$B$149)</f>
        <v>5.9088738392454085E-2</v>
      </c>
      <c r="O178" s="201">
        <f>0.08*(SUM($D$149:O149)/$B$149)</f>
        <v>5.9088738392454085E-2</v>
      </c>
      <c r="P178" s="201">
        <f>0.08*(SUM($D$149:P149)/$B$149)</f>
        <v>5.9088738392454085E-2</v>
      </c>
      <c r="Q178" s="201">
        <f>0.08*(SUM($D$149:Q149)/$B$149)</f>
        <v>5.9088738392454085E-2</v>
      </c>
      <c r="R178" s="201">
        <f>0.08*(SUM($D$149:R149)/$B$149)</f>
        <v>5.9088738392454085E-2</v>
      </c>
      <c r="S178" s="201">
        <f>0.08*(SUM($D$149:S149)/$B$149)</f>
        <v>5.9088738392454085E-2</v>
      </c>
      <c r="T178" s="201">
        <f>0.08*(SUM($D$149:T149)/$B$149)</f>
        <v>5.9088738392454085E-2</v>
      </c>
      <c r="U178" s="201">
        <f>0.08*(SUM($D$149:U149)/$B$149)</f>
        <v>5.9088738392454085E-2</v>
      </c>
      <c r="V178" s="201">
        <f>0.08*(SUM($D$149:V149)/$B$149)</f>
        <v>5.9088738392454085E-2</v>
      </c>
      <c r="W178" s="201">
        <f>0.08*(SUM($D$149:W149)/$B$149)</f>
        <v>5.9088738392454085E-2</v>
      </c>
      <c r="X178" s="201">
        <f>0.08*(SUM($D$149:X149)/$B$149)</f>
        <v>7.1635495356981632E-2</v>
      </c>
      <c r="Y178" s="201">
        <f>0.08*(SUM($D$149:Y149)/$B$149)</f>
        <v>0.08</v>
      </c>
      <c r="Z178" s="201">
        <f>0.08*(SUM($D$149:Z149)/$B$149)</f>
        <v>0.08</v>
      </c>
      <c r="AA178" s="201">
        <f>0.08*(SUM($D$149:AA149)/$B$149)</f>
        <v>0.08</v>
      </c>
      <c r="AB178" s="201">
        <f>0.08*(SUM($D$149:AB149)/$B$149)</f>
        <v>0.08</v>
      </c>
      <c r="AC178" s="201">
        <f>0.08*(SUM($D$149:AC149)/$B$149)</f>
        <v>0.08</v>
      </c>
      <c r="AD178" s="201">
        <f>0.08*(SUM($D$149:AD149)/$B$149)</f>
        <v>0.08</v>
      </c>
      <c r="AE178" s="201">
        <f>0.08*(SUM($D$149:AE149)/$B$149)</f>
        <v>0.08</v>
      </c>
      <c r="AF178" s="201">
        <f>0.08*(SUM($D$149:AF149)/$B$149)</f>
        <v>0.08</v>
      </c>
      <c r="AG178" s="201">
        <f>0.08*(SUM($D$149:AG149)/$B$149)</f>
        <v>0.08</v>
      </c>
      <c r="AH178" s="201">
        <f>0.08*(SUM($D$149:AH149)/$B$149)</f>
        <v>0.08</v>
      </c>
      <c r="AI178" s="201">
        <f>0.08*(SUM($D$149:AI149)/$B$149)</f>
        <v>0.08</v>
      </c>
      <c r="AJ178" s="201">
        <f>0.08*(SUM($D$149:AJ149)/$B$149)</f>
        <v>0.08</v>
      </c>
      <c r="AK178" s="201">
        <f>0.08*(SUM($D$149:AK149)/$B$149)</f>
        <v>0.08</v>
      </c>
      <c r="AL178" s="201">
        <f>0.08*(SUM($D$149:AL149)/$B$149)</f>
        <v>0.08</v>
      </c>
      <c r="AM178" s="201">
        <f>0.08*(SUM($D$149:AM149)/$B$149)</f>
        <v>0.08</v>
      </c>
      <c r="AN178" s="201">
        <f>0.08*(SUM($D$149:AN149)/$B$149)</f>
        <v>0.08</v>
      </c>
      <c r="AO178" s="201">
        <f>0.08*(SUM($D$149:AO149)/$B$149)</f>
        <v>0.08</v>
      </c>
      <c r="AP178" s="201">
        <f>0.08*(SUM($D$149:AP149)/$B$149)</f>
        <v>0.08</v>
      </c>
      <c r="AQ178" s="201">
        <f>0.08*1.15*(SUM($D$149:AQ149)/$B$149)</f>
        <v>9.1999999999999998E-2</v>
      </c>
      <c r="AR178" s="201">
        <f>0.08*1.15*(SUM($D$149:AR149)/$B$149)</f>
        <v>9.1999999999999998E-2</v>
      </c>
      <c r="AS178" s="201">
        <f>0.08*1.15*(SUM($D$149:AS149)/$B$149)</f>
        <v>9.1999999999999998E-2</v>
      </c>
      <c r="AT178" s="201">
        <f>0.08*1.15*(SUM($D$149:AT149)/$B$149)</f>
        <v>9.1999999999999998E-2</v>
      </c>
      <c r="AU178" s="201">
        <f>0.08*1.15*(SUM($D$149:AU149)/$B$149)</f>
        <v>9.1999999999999998E-2</v>
      </c>
      <c r="AV178" s="201">
        <f>0.08*1.15*(SUM($D$149:AV149)/$B$149)</f>
        <v>9.1999999999999998E-2</v>
      </c>
      <c r="AW178" s="201">
        <f>0.08*1.15*(SUM($D$149:AW149)/$B$149)</f>
        <v>9.1999999999999998E-2</v>
      </c>
      <c r="AX178" s="201">
        <f>0.08*1.15*(SUM($D$149:AX149)/$B$149)</f>
        <v>9.1999999999999998E-2</v>
      </c>
      <c r="AY178" s="201">
        <f>0.08*1.15*(SUM($D$149:AY149)/$B$149)</f>
        <v>9.1999999999999998E-2</v>
      </c>
      <c r="AZ178" s="201">
        <f>0.08*1.15*(SUM($D$149:AZ149)/$B$149)</f>
        <v>9.1999999999999998E-2</v>
      </c>
      <c r="BA178" s="201">
        <f>0.08*1.15*(SUM($D$149:BA149)/$B$149)</f>
        <v>9.1999999999999998E-2</v>
      </c>
      <c r="BB178" s="201">
        <f>0.08*1.15*(SUM($D$149:BB149)/$B$149)</f>
        <v>9.1999999999999998E-2</v>
      </c>
      <c r="BC178" s="201">
        <f>0.08*1.15*(SUM($D$149:BC149)/$B$149)</f>
        <v>9.1999999999999998E-2</v>
      </c>
      <c r="BD178" s="201">
        <f>0.08*1.15*(SUM($D$149:BD149)/$B$149)</f>
        <v>9.1999999999999998E-2</v>
      </c>
      <c r="BE178" s="201">
        <f>0.08*1.15*(SUM($D$149:BE149)/$B$149)</f>
        <v>9.1999999999999998E-2</v>
      </c>
      <c r="BF178" s="201">
        <f>0.08*1.15*(SUM($D$149:BF149)/$B$149)</f>
        <v>9.1999999999999998E-2</v>
      </c>
      <c r="BG178" s="201">
        <f>0.08*1.15*(SUM($D$149:BG149)/$B$149)</f>
        <v>9.1999999999999998E-2</v>
      </c>
      <c r="BH178" s="201">
        <f>0.08*1.15*(SUM($D$149:BH149)/$B$149)</f>
        <v>9.1999999999999998E-2</v>
      </c>
      <c r="BI178" s="201">
        <f>0.08*1.15*(SUM($D$149:BI149)/$B$149)</f>
        <v>9.1999999999999998E-2</v>
      </c>
      <c r="BJ178" s="201">
        <f>0.08*1.15*(SUM($D$149:BJ149)/$B$149)</f>
        <v>9.1999999999999998E-2</v>
      </c>
      <c r="BK178" s="201">
        <f>0.08*1.15*(SUM($D$149:BK149)/$B$149)</f>
        <v>9.1999999999999998E-2</v>
      </c>
      <c r="BN178" s="201"/>
    </row>
    <row r="179" spans="1:66" x14ac:dyDescent="0.35">
      <c r="A179" s="50"/>
      <c r="B179" s="202"/>
      <c r="C179" s="57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N179" s="61"/>
    </row>
    <row r="180" spans="1:66" ht="15" thickBot="1" x14ac:dyDescent="0.4">
      <c r="A180" s="50"/>
      <c r="B180" s="56"/>
      <c r="C180" s="57"/>
      <c r="D180" s="56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N180" s="61"/>
    </row>
    <row r="181" spans="1:66" ht="15" thickBot="1" x14ac:dyDescent="0.4">
      <c r="A181" s="203" t="s">
        <v>133</v>
      </c>
      <c r="B181" s="204">
        <f>SUM(D181:BK181)</f>
        <v>228.21946184701801</v>
      </c>
      <c r="C181" s="205"/>
      <c r="D181" s="206">
        <f>D164+D178</f>
        <v>0</v>
      </c>
      <c r="E181" s="207">
        <f t="shared" ref="E181:BK181" si="61">E164+E178</f>
        <v>0</v>
      </c>
      <c r="F181" s="207">
        <f t="shared" si="61"/>
        <v>0</v>
      </c>
      <c r="G181" s="207">
        <f t="shared" si="61"/>
        <v>0</v>
      </c>
      <c r="H181" s="207">
        <f t="shared" si="61"/>
        <v>9.6853315859444372E-2</v>
      </c>
      <c r="I181" s="207">
        <f t="shared" si="61"/>
        <v>2.1181596117587609</v>
      </c>
      <c r="J181" s="207">
        <f t="shared" si="61"/>
        <v>2.410968119728</v>
      </c>
      <c r="K181" s="207">
        <f t="shared" si="61"/>
        <v>2.5708156290602266</v>
      </c>
      <c r="L181" s="207">
        <f t="shared" si="61"/>
        <v>2.7306631383924538</v>
      </c>
      <c r="M181" s="207">
        <f t="shared" si="61"/>
        <v>2.7306631383924538</v>
      </c>
      <c r="N181" s="207">
        <f t="shared" si="61"/>
        <v>2.7306631383924538</v>
      </c>
      <c r="O181" s="207">
        <f t="shared" si="61"/>
        <v>2.7306631383924538</v>
      </c>
      <c r="P181" s="207">
        <f t="shared" si="61"/>
        <v>2.7306631383924538</v>
      </c>
      <c r="Q181" s="207">
        <f t="shared" si="61"/>
        <v>2.7306631383924538</v>
      </c>
      <c r="R181" s="207">
        <f t="shared" si="61"/>
        <v>2.7306631383924538</v>
      </c>
      <c r="S181" s="207">
        <f t="shared" si="61"/>
        <v>2.7306631383924538</v>
      </c>
      <c r="T181" s="207">
        <f t="shared" si="61"/>
        <v>2.7306631383924538</v>
      </c>
      <c r="U181" s="207">
        <f t="shared" si="61"/>
        <v>2.7306631383924538</v>
      </c>
      <c r="V181" s="207">
        <f t="shared" si="61"/>
        <v>2.7306631383924538</v>
      </c>
      <c r="W181" s="207">
        <f t="shared" si="61"/>
        <v>2.7306631383924538</v>
      </c>
      <c r="X181" s="207">
        <f t="shared" si="61"/>
        <v>3.8045242859919819</v>
      </c>
      <c r="Y181" s="207">
        <f t="shared" si="61"/>
        <v>4.5204317177249997</v>
      </c>
      <c r="Z181" s="207">
        <f t="shared" si="61"/>
        <v>4.5204317177249997</v>
      </c>
      <c r="AA181" s="207">
        <f t="shared" si="61"/>
        <v>4.5204317177249997</v>
      </c>
      <c r="AB181" s="207">
        <f t="shared" si="61"/>
        <v>4.5204317177249997</v>
      </c>
      <c r="AC181" s="207">
        <f t="shared" si="61"/>
        <v>4.5204317177249997</v>
      </c>
      <c r="AD181" s="207">
        <f t="shared" si="61"/>
        <v>4.5204317177249997</v>
      </c>
      <c r="AE181" s="207">
        <f t="shared" si="61"/>
        <v>4.5204317177249997</v>
      </c>
      <c r="AF181" s="207">
        <f t="shared" si="61"/>
        <v>4.5204317177249997</v>
      </c>
      <c r="AG181" s="207">
        <f t="shared" si="61"/>
        <v>4.5204317177249997</v>
      </c>
      <c r="AH181" s="207">
        <f t="shared" si="61"/>
        <v>4.5204317177249997</v>
      </c>
      <c r="AI181" s="207">
        <f t="shared" si="61"/>
        <v>4.5204317177249997</v>
      </c>
      <c r="AJ181" s="207">
        <f t="shared" si="61"/>
        <v>4.5204317177249997</v>
      </c>
      <c r="AK181" s="207">
        <f t="shared" si="61"/>
        <v>4.5204317177249997</v>
      </c>
      <c r="AL181" s="207">
        <f t="shared" si="61"/>
        <v>4.5204317177249997</v>
      </c>
      <c r="AM181" s="207">
        <f t="shared" si="61"/>
        <v>4.5204317177249997</v>
      </c>
      <c r="AN181" s="207">
        <f t="shared" si="61"/>
        <v>4.5204317177249997</v>
      </c>
      <c r="AO181" s="207">
        <f t="shared" si="61"/>
        <v>4.5204317177249997</v>
      </c>
      <c r="AP181" s="207">
        <f t="shared" si="61"/>
        <v>4.5204317177249997</v>
      </c>
      <c r="AQ181" s="207">
        <f t="shared" si="61"/>
        <v>4.7724099677250003</v>
      </c>
      <c r="AR181" s="207">
        <f t="shared" si="61"/>
        <v>4.7724099677250003</v>
      </c>
      <c r="AS181" s="207">
        <f t="shared" si="61"/>
        <v>4.7724099677250003</v>
      </c>
      <c r="AT181" s="207">
        <f t="shared" si="61"/>
        <v>4.7724099677250003</v>
      </c>
      <c r="AU181" s="207">
        <f t="shared" si="61"/>
        <v>4.7724099677250003</v>
      </c>
      <c r="AV181" s="207">
        <f t="shared" si="61"/>
        <v>4.7724099677250003</v>
      </c>
      <c r="AW181" s="207">
        <f t="shared" si="61"/>
        <v>4.7724099677250003</v>
      </c>
      <c r="AX181" s="207">
        <f t="shared" si="61"/>
        <v>4.9010162957250003</v>
      </c>
      <c r="AY181" s="207">
        <f t="shared" si="61"/>
        <v>4.9010162957250003</v>
      </c>
      <c r="AZ181" s="207">
        <f t="shared" si="61"/>
        <v>4.9010162957250003</v>
      </c>
      <c r="BA181" s="207">
        <f t="shared" si="61"/>
        <v>4.9010162957250003</v>
      </c>
      <c r="BB181" s="207">
        <f t="shared" si="61"/>
        <v>4.9010162957250003</v>
      </c>
      <c r="BC181" s="207">
        <f t="shared" si="61"/>
        <v>4.9010162957250003</v>
      </c>
      <c r="BD181" s="207">
        <f t="shared" si="61"/>
        <v>4.9010162957250003</v>
      </c>
      <c r="BE181" s="207">
        <f t="shared" si="61"/>
        <v>4.9010162957250003</v>
      </c>
      <c r="BF181" s="207">
        <f t="shared" si="61"/>
        <v>4.9010162957250003</v>
      </c>
      <c r="BG181" s="207">
        <f t="shared" si="61"/>
        <v>4.9010162957250003</v>
      </c>
      <c r="BH181" s="207">
        <f t="shared" si="61"/>
        <v>5.1663448933837506</v>
      </c>
      <c r="BI181" s="207">
        <f t="shared" si="61"/>
        <v>5.1663448933837506</v>
      </c>
      <c r="BJ181" s="207">
        <f t="shared" si="61"/>
        <v>5.1663448933837506</v>
      </c>
      <c r="BK181" s="207">
        <f t="shared" si="61"/>
        <v>5.1663448933837506</v>
      </c>
      <c r="BN181" s="207"/>
    </row>
    <row r="184" spans="1:66" x14ac:dyDescent="0.35">
      <c r="A184" s="168" t="s">
        <v>134</v>
      </c>
      <c r="B184" s="187">
        <f>SUM(D184:BK184)</f>
        <v>6.8571559665874986</v>
      </c>
      <c r="C184" s="188"/>
      <c r="D184" s="189"/>
      <c r="E184" s="189">
        <f t="shared" ref="E184:BK184" si="62">SUM(E185:E191)</f>
        <v>0</v>
      </c>
      <c r="F184" s="189">
        <f t="shared" si="62"/>
        <v>1.4137612399999999</v>
      </c>
      <c r="G184" s="189">
        <f t="shared" si="62"/>
        <v>0.62413874999999996</v>
      </c>
      <c r="H184" s="189">
        <f t="shared" si="62"/>
        <v>0</v>
      </c>
      <c r="I184" s="189">
        <f t="shared" si="62"/>
        <v>1.2602434499999997</v>
      </c>
      <c r="J184" s="189">
        <f t="shared" si="62"/>
        <v>0.43319400000000075</v>
      </c>
      <c r="K184" s="189">
        <f t="shared" si="62"/>
        <v>0.2362662749999993</v>
      </c>
      <c r="L184" s="189">
        <f t="shared" si="62"/>
        <v>0.23626627499999997</v>
      </c>
      <c r="M184" s="189">
        <f t="shared" si="62"/>
        <v>0</v>
      </c>
      <c r="N184" s="189">
        <f t="shared" si="62"/>
        <v>0</v>
      </c>
      <c r="O184" s="189">
        <f t="shared" si="62"/>
        <v>0</v>
      </c>
      <c r="P184" s="189">
        <f t="shared" si="62"/>
        <v>0</v>
      </c>
      <c r="Q184" s="189">
        <f t="shared" si="62"/>
        <v>0</v>
      </c>
      <c r="R184" s="189">
        <f t="shared" si="62"/>
        <v>0</v>
      </c>
      <c r="S184" s="189">
        <f t="shared" si="62"/>
        <v>0</v>
      </c>
      <c r="T184" s="189">
        <f t="shared" si="62"/>
        <v>0</v>
      </c>
      <c r="U184" s="189">
        <f t="shared" si="62"/>
        <v>0</v>
      </c>
      <c r="V184" s="189">
        <f t="shared" si="62"/>
        <v>0</v>
      </c>
      <c r="W184" s="189">
        <f t="shared" si="62"/>
        <v>0</v>
      </c>
      <c r="X184" s="189">
        <f t="shared" si="62"/>
        <v>1.5919715859525003</v>
      </c>
      <c r="Y184" s="189">
        <f t="shared" si="62"/>
        <v>1.0613143906349989</v>
      </c>
      <c r="Z184" s="189">
        <f t="shared" si="62"/>
        <v>0</v>
      </c>
      <c r="AA184" s="189">
        <f t="shared" si="62"/>
        <v>0</v>
      </c>
      <c r="AB184" s="189">
        <f t="shared" si="62"/>
        <v>0</v>
      </c>
      <c r="AC184" s="189">
        <f t="shared" si="62"/>
        <v>0</v>
      </c>
      <c r="AD184" s="189">
        <f t="shared" si="62"/>
        <v>0</v>
      </c>
      <c r="AE184" s="189">
        <f t="shared" si="62"/>
        <v>0</v>
      </c>
      <c r="AF184" s="189">
        <f t="shared" si="62"/>
        <v>0</v>
      </c>
      <c r="AG184" s="189">
        <f t="shared" si="62"/>
        <v>0</v>
      </c>
      <c r="AH184" s="189">
        <f t="shared" si="62"/>
        <v>0</v>
      </c>
      <c r="AI184" s="189">
        <f t="shared" si="62"/>
        <v>0</v>
      </c>
      <c r="AJ184" s="189">
        <f t="shared" si="62"/>
        <v>0</v>
      </c>
      <c r="AK184" s="189">
        <f t="shared" si="62"/>
        <v>0</v>
      </c>
      <c r="AL184" s="189">
        <f t="shared" si="62"/>
        <v>0</v>
      </c>
      <c r="AM184" s="189">
        <f t="shared" si="62"/>
        <v>0</v>
      </c>
      <c r="AN184" s="189">
        <f t="shared" si="62"/>
        <v>0</v>
      </c>
      <c r="AO184" s="189">
        <f t="shared" si="62"/>
        <v>0</v>
      </c>
      <c r="AP184" s="189">
        <f t="shared" si="62"/>
        <v>0</v>
      </c>
      <c r="AQ184" s="189">
        <f t="shared" si="62"/>
        <v>0</v>
      </c>
      <c r="AR184" s="189">
        <f t="shared" si="62"/>
        <v>0</v>
      </c>
      <c r="AS184" s="189">
        <f t="shared" si="62"/>
        <v>0</v>
      </c>
      <c r="AT184" s="189">
        <f t="shared" si="62"/>
        <v>0</v>
      </c>
      <c r="AU184" s="189">
        <f t="shared" si="62"/>
        <v>0</v>
      </c>
      <c r="AV184" s="189">
        <f t="shared" si="62"/>
        <v>0</v>
      </c>
      <c r="AW184" s="189">
        <f t="shared" si="62"/>
        <v>0</v>
      </c>
      <c r="AX184" s="189">
        <f t="shared" si="62"/>
        <v>0</v>
      </c>
      <c r="AY184" s="189">
        <f t="shared" si="62"/>
        <v>0</v>
      </c>
      <c r="AZ184" s="189">
        <f t="shared" si="62"/>
        <v>0</v>
      </c>
      <c r="BA184" s="189">
        <f t="shared" si="62"/>
        <v>0</v>
      </c>
      <c r="BB184" s="189">
        <f t="shared" si="62"/>
        <v>0</v>
      </c>
      <c r="BC184" s="189">
        <f t="shared" si="62"/>
        <v>0</v>
      </c>
      <c r="BD184" s="189">
        <f t="shared" si="62"/>
        <v>0</v>
      </c>
      <c r="BE184" s="189">
        <f t="shared" si="62"/>
        <v>0</v>
      </c>
      <c r="BF184" s="189">
        <f t="shared" si="62"/>
        <v>0</v>
      </c>
      <c r="BG184" s="189">
        <f t="shared" si="62"/>
        <v>0</v>
      </c>
      <c r="BH184" s="189">
        <f t="shared" si="62"/>
        <v>0</v>
      </c>
      <c r="BI184" s="189">
        <f t="shared" si="62"/>
        <v>0</v>
      </c>
      <c r="BJ184" s="189">
        <f t="shared" si="62"/>
        <v>0</v>
      </c>
      <c r="BK184" s="189">
        <f t="shared" si="62"/>
        <v>0</v>
      </c>
      <c r="BN184" s="189"/>
    </row>
    <row r="185" spans="1:66" x14ac:dyDescent="0.35">
      <c r="A185" s="178" t="s">
        <v>127</v>
      </c>
      <c r="B185" s="187">
        <f>SUM(D185:BK185)</f>
        <v>1.35751124</v>
      </c>
      <c r="C185" s="180"/>
      <c r="D185" s="181"/>
      <c r="E185" s="181"/>
      <c r="F185" s="181">
        <f>X127*(38/30)/100</f>
        <v>1.35751124</v>
      </c>
      <c r="G185" s="181"/>
      <c r="H185" s="181"/>
      <c r="I185" s="194"/>
      <c r="J185" s="194"/>
      <c r="K185" s="194"/>
      <c r="L185" s="194"/>
      <c r="M185" s="194"/>
      <c r="N185" s="194"/>
      <c r="O185" s="194"/>
      <c r="P185" s="194"/>
      <c r="Q185" s="194"/>
      <c r="R185" s="194"/>
      <c r="S185" s="194"/>
      <c r="T185" s="194"/>
      <c r="U185" s="194"/>
      <c r="V185" s="194"/>
      <c r="W185" s="194"/>
      <c r="X185" s="194"/>
      <c r="Y185" s="194"/>
      <c r="Z185" s="194"/>
      <c r="AA185" s="194"/>
      <c r="AB185" s="194"/>
      <c r="AC185" s="194"/>
      <c r="AD185" s="194"/>
      <c r="AE185" s="194"/>
      <c r="AF185" s="194"/>
      <c r="AG185" s="194"/>
      <c r="AH185" s="194"/>
      <c r="AI185" s="194"/>
      <c r="AJ185" s="194"/>
      <c r="AK185" s="194"/>
      <c r="AL185" s="194"/>
      <c r="AM185" s="194"/>
      <c r="AN185" s="194"/>
      <c r="AO185" s="194"/>
      <c r="AP185" s="194"/>
      <c r="AQ185" s="194"/>
      <c r="AR185" s="194"/>
      <c r="AS185" s="194"/>
      <c r="AT185" s="194"/>
      <c r="AU185" s="194"/>
      <c r="AV185" s="194"/>
      <c r="AW185" s="194"/>
      <c r="AX185" s="194"/>
      <c r="AY185" s="194"/>
      <c r="AZ185" s="194"/>
      <c r="BA185" s="194"/>
      <c r="BB185" s="194"/>
      <c r="BC185" s="194"/>
      <c r="BD185" s="194"/>
      <c r="BE185" s="194"/>
      <c r="BF185" s="194"/>
      <c r="BG185" s="194"/>
      <c r="BH185" s="194"/>
      <c r="BI185" s="194"/>
      <c r="BJ185" s="194"/>
      <c r="BK185" s="194"/>
      <c r="BN185" s="194"/>
    </row>
    <row r="186" spans="1:66" x14ac:dyDescent="0.35">
      <c r="A186" s="178" t="s">
        <v>128</v>
      </c>
      <c r="B186" s="187">
        <f>SUM(D186:BK186)</f>
        <v>0</v>
      </c>
      <c r="C186" s="180"/>
      <c r="D186" s="181"/>
      <c r="E186" s="181"/>
      <c r="F186" s="181"/>
      <c r="G186" s="181"/>
      <c r="H186" s="181"/>
      <c r="I186" s="194"/>
      <c r="J186" s="194"/>
      <c r="K186" s="194"/>
      <c r="L186" s="194"/>
      <c r="M186" s="194"/>
      <c r="N186" s="194"/>
      <c r="O186" s="194"/>
      <c r="P186" s="194"/>
      <c r="Q186" s="194"/>
      <c r="R186" s="194"/>
      <c r="S186" s="194"/>
      <c r="T186" s="194"/>
      <c r="U186" s="194"/>
      <c r="V186" s="194"/>
      <c r="W186" s="194"/>
      <c r="X186" s="194"/>
      <c r="Y186" s="194"/>
      <c r="Z186" s="194"/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194"/>
      <c r="AK186" s="194"/>
      <c r="AL186" s="194"/>
      <c r="AM186" s="194"/>
      <c r="AN186" s="194"/>
      <c r="AO186" s="194"/>
      <c r="AP186" s="194"/>
      <c r="AQ186" s="194"/>
      <c r="AR186" s="194"/>
      <c r="AS186" s="194"/>
      <c r="AT186" s="194"/>
      <c r="AU186" s="194"/>
      <c r="AV186" s="194"/>
      <c r="AW186" s="194"/>
      <c r="AX186" s="194"/>
      <c r="AY186" s="194"/>
      <c r="AZ186" s="194"/>
      <c r="BA186" s="194"/>
      <c r="BB186" s="194"/>
      <c r="BC186" s="194"/>
      <c r="BD186" s="194"/>
      <c r="BE186" s="194"/>
      <c r="BF186" s="194"/>
      <c r="BG186" s="194"/>
      <c r="BH186" s="194"/>
      <c r="BI186" s="194"/>
      <c r="BJ186" s="194"/>
      <c r="BK186" s="194"/>
      <c r="BN186" s="194"/>
    </row>
    <row r="187" spans="1:66" x14ac:dyDescent="0.35">
      <c r="A187" s="178" t="s">
        <v>107</v>
      </c>
      <c r="B187" s="187">
        <f>SUM(D187:BK187)</f>
        <v>5.6250000000000001E-2</v>
      </c>
      <c r="C187" s="180"/>
      <c r="D187" s="181"/>
      <c r="E187" s="181"/>
      <c r="F187" s="181">
        <f>X125*(45/30)/100</f>
        <v>5.6250000000000001E-2</v>
      </c>
      <c r="G187" s="181"/>
      <c r="H187" s="181"/>
      <c r="I187" s="194"/>
      <c r="J187" s="194"/>
      <c r="K187" s="194"/>
      <c r="L187" s="194"/>
      <c r="M187" s="194"/>
      <c r="N187" s="194"/>
      <c r="O187" s="194"/>
      <c r="P187" s="194"/>
      <c r="Q187" s="194"/>
      <c r="R187" s="194"/>
      <c r="S187" s="194"/>
      <c r="T187" s="194"/>
      <c r="U187" s="194"/>
      <c r="V187" s="194"/>
      <c r="W187" s="194"/>
      <c r="X187" s="194"/>
      <c r="Y187" s="194"/>
      <c r="Z187" s="194"/>
      <c r="AA187" s="194"/>
      <c r="AB187" s="194"/>
      <c r="AC187" s="194"/>
      <c r="AD187" s="194"/>
      <c r="AE187" s="194"/>
      <c r="AF187" s="194"/>
      <c r="AG187" s="194"/>
      <c r="AH187" s="194"/>
      <c r="AI187" s="194"/>
      <c r="AJ187" s="194"/>
      <c r="AK187" s="194"/>
      <c r="AL187" s="194"/>
      <c r="AM187" s="194"/>
      <c r="AN187" s="194"/>
      <c r="AO187" s="194"/>
      <c r="AP187" s="194"/>
      <c r="AQ187" s="194"/>
      <c r="AR187" s="194"/>
      <c r="AS187" s="194"/>
      <c r="AT187" s="194"/>
      <c r="AU187" s="194"/>
      <c r="AV187" s="194"/>
      <c r="AW187" s="194"/>
      <c r="AX187" s="194"/>
      <c r="AY187" s="194"/>
      <c r="AZ187" s="194"/>
      <c r="BA187" s="194"/>
      <c r="BB187" s="194"/>
      <c r="BC187" s="194"/>
      <c r="BD187" s="194"/>
      <c r="BE187" s="194"/>
      <c r="BF187" s="194"/>
      <c r="BG187" s="194"/>
      <c r="BH187" s="194"/>
      <c r="BI187" s="194"/>
      <c r="BJ187" s="194"/>
      <c r="BK187" s="194"/>
      <c r="BN187" s="194"/>
    </row>
    <row r="188" spans="1:66" x14ac:dyDescent="0.35">
      <c r="A188" s="178" t="s">
        <v>109</v>
      </c>
      <c r="B188" s="187">
        <f>SUM(D188:BK188)</f>
        <v>5.0062499999999996E-2</v>
      </c>
      <c r="C188" s="180"/>
      <c r="D188" s="181"/>
      <c r="E188" s="181"/>
      <c r="F188" s="181"/>
      <c r="G188" s="181">
        <f>X126*(45/30)/100</f>
        <v>5.0062499999999996E-2</v>
      </c>
      <c r="H188" s="181"/>
      <c r="I188" s="194"/>
      <c r="J188" s="194"/>
      <c r="K188" s="194"/>
      <c r="L188" s="194"/>
      <c r="M188" s="194"/>
      <c r="N188" s="194"/>
      <c r="O188" s="194"/>
      <c r="P188" s="194"/>
      <c r="Q188" s="194"/>
      <c r="R188" s="194"/>
      <c r="S188" s="194"/>
      <c r="T188" s="194"/>
      <c r="U188" s="194"/>
      <c r="V188" s="194"/>
      <c r="W188" s="194"/>
      <c r="X188" s="194"/>
      <c r="Y188" s="194"/>
      <c r="Z188" s="194"/>
      <c r="AA188" s="194"/>
      <c r="AB188" s="194"/>
      <c r="AC188" s="194"/>
      <c r="AD188" s="194"/>
      <c r="AE188" s="194"/>
      <c r="AF188" s="194"/>
      <c r="AG188" s="194"/>
      <c r="AH188" s="194"/>
      <c r="AI188" s="194"/>
      <c r="AJ188" s="194"/>
      <c r="AK188" s="194"/>
      <c r="AL188" s="194"/>
      <c r="AM188" s="194"/>
      <c r="AN188" s="194"/>
      <c r="AO188" s="194"/>
      <c r="AP188" s="194"/>
      <c r="AQ188" s="194"/>
      <c r="AR188" s="194"/>
      <c r="AS188" s="194"/>
      <c r="AT188" s="194"/>
      <c r="AU188" s="194"/>
      <c r="AV188" s="194"/>
      <c r="AW188" s="194"/>
      <c r="AX188" s="194"/>
      <c r="AY188" s="194"/>
      <c r="AZ188" s="194"/>
      <c r="BA188" s="194"/>
      <c r="BB188" s="194"/>
      <c r="BC188" s="194"/>
      <c r="BD188" s="194"/>
      <c r="BE188" s="194"/>
      <c r="BF188" s="194"/>
      <c r="BG188" s="194"/>
      <c r="BH188" s="194"/>
      <c r="BI188" s="194"/>
      <c r="BJ188" s="194"/>
      <c r="BK188" s="194"/>
      <c r="BN188" s="194"/>
    </row>
    <row r="189" spans="1:66" x14ac:dyDescent="0.35">
      <c r="A189" s="178" t="s">
        <v>114</v>
      </c>
      <c r="B189" s="187">
        <f>SUM(D189:BK189)</f>
        <v>0.57407624999999995</v>
      </c>
      <c r="C189" s="180"/>
      <c r="D189" s="181"/>
      <c r="E189" s="181"/>
      <c r="F189" s="181"/>
      <c r="G189" s="181">
        <f>X128*(45/30)/100</f>
        <v>0.57407624999999995</v>
      </c>
      <c r="H189" s="181"/>
      <c r="I189" s="194"/>
      <c r="J189" s="194"/>
      <c r="K189" s="194"/>
      <c r="L189" s="194"/>
      <c r="M189" s="194"/>
      <c r="N189" s="194"/>
      <c r="O189" s="194"/>
      <c r="P189" s="194"/>
      <c r="Q189" s="194"/>
      <c r="R189" s="194"/>
      <c r="S189" s="194"/>
      <c r="T189" s="194"/>
      <c r="U189" s="194"/>
      <c r="V189" s="194"/>
      <c r="W189" s="194"/>
      <c r="X189" s="194"/>
      <c r="Y189" s="194"/>
      <c r="Z189" s="194"/>
      <c r="AA189" s="194"/>
      <c r="AB189" s="194"/>
      <c r="AC189" s="194"/>
      <c r="AD189" s="194"/>
      <c r="AE189" s="194"/>
      <c r="AF189" s="194"/>
      <c r="AG189" s="194"/>
      <c r="AH189" s="194"/>
      <c r="AI189" s="194"/>
      <c r="AJ189" s="194"/>
      <c r="AK189" s="194"/>
      <c r="AL189" s="194"/>
      <c r="AM189" s="194"/>
      <c r="AN189" s="194"/>
      <c r="AO189" s="194"/>
      <c r="AP189" s="194"/>
      <c r="AQ189" s="194"/>
      <c r="AR189" s="194"/>
      <c r="AS189" s="194"/>
      <c r="AT189" s="194"/>
      <c r="AU189" s="194"/>
      <c r="AV189" s="194"/>
      <c r="AW189" s="194"/>
      <c r="AX189" s="194"/>
      <c r="AY189" s="194"/>
      <c r="AZ189" s="194"/>
      <c r="BA189" s="194"/>
      <c r="BB189" s="194"/>
      <c r="BC189" s="194"/>
      <c r="BD189" s="194"/>
      <c r="BE189" s="194"/>
      <c r="BF189" s="194"/>
      <c r="BG189" s="194"/>
      <c r="BH189" s="194"/>
      <c r="BI189" s="194"/>
      <c r="BJ189" s="194"/>
      <c r="BK189" s="194"/>
      <c r="BN189" s="194"/>
    </row>
    <row r="190" spans="1:66" x14ac:dyDescent="0.35">
      <c r="A190" s="178" t="s">
        <v>116</v>
      </c>
      <c r="B190" s="187">
        <f>SUM(D190:BK190)</f>
        <v>0</v>
      </c>
      <c r="C190" s="180"/>
      <c r="D190" s="181"/>
      <c r="E190" s="181"/>
      <c r="F190" s="181"/>
      <c r="G190" s="181"/>
      <c r="H190" s="181"/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  <c r="U190" s="194"/>
      <c r="V190" s="194"/>
      <c r="W190" s="194"/>
      <c r="X190" s="194"/>
      <c r="Y190" s="194"/>
      <c r="Z190" s="194"/>
      <c r="AA190" s="194"/>
      <c r="AB190" s="194"/>
      <c r="AC190" s="194"/>
      <c r="AD190" s="194"/>
      <c r="AE190" s="194"/>
      <c r="AF190" s="194"/>
      <c r="AG190" s="194"/>
      <c r="AH190" s="194"/>
      <c r="AI190" s="194"/>
      <c r="AJ190" s="194"/>
      <c r="AK190" s="194"/>
      <c r="AL190" s="194"/>
      <c r="AM190" s="194"/>
      <c r="AN190" s="194"/>
      <c r="AO190" s="194"/>
      <c r="AP190" s="194"/>
      <c r="AQ190" s="194"/>
      <c r="AR190" s="194"/>
      <c r="AS190" s="194"/>
      <c r="AT190" s="194"/>
      <c r="AU190" s="194"/>
      <c r="AV190" s="194"/>
      <c r="AW190" s="194"/>
      <c r="AX190" s="194"/>
      <c r="AY190" s="194"/>
      <c r="AZ190" s="194"/>
      <c r="BA190" s="194"/>
      <c r="BB190" s="194"/>
      <c r="BC190" s="194"/>
      <c r="BD190" s="194"/>
      <c r="BE190" s="194"/>
      <c r="BF190" s="194"/>
      <c r="BG190" s="194"/>
      <c r="BH190" s="194"/>
      <c r="BI190" s="194"/>
      <c r="BJ190" s="194"/>
      <c r="BK190" s="194"/>
      <c r="BN190" s="194"/>
    </row>
    <row r="191" spans="1:66" x14ac:dyDescent="0.35">
      <c r="A191" s="178" t="s">
        <v>87</v>
      </c>
      <c r="B191" s="187">
        <f>SUM(D191:BK191)</f>
        <v>4.8192559765874989</v>
      </c>
      <c r="C191" s="180"/>
      <c r="D191" s="181"/>
      <c r="E191" s="181">
        <f>(E164-E166-E167-E168-E169-E170)*1.5-SUM($D$191:D191)</f>
        <v>0</v>
      </c>
      <c r="F191" s="181">
        <f>(F164-F166-F167-F168-F169-F170)*1.5-SUM($D$191:E191)</f>
        <v>0</v>
      </c>
      <c r="G191" s="181">
        <f>(G164-G166-G167-G168-G169-G170)*1.5-SUM($D$191:F191)</f>
        <v>0</v>
      </c>
      <c r="H191" s="181">
        <f>(H164-H166-H167-H168-H169-H170)*1.5-SUM($D$191:G191)</f>
        <v>0</v>
      </c>
      <c r="I191" s="194">
        <f>(I164-I166-I167-I168-I169-I170)*1.5-SUM($D$191:H191)</f>
        <v>1.2602434499999997</v>
      </c>
      <c r="J191" s="194">
        <f>(J164-J166-J167-J168-J169-J170)*1.5-SUM($D$191:I191)</f>
        <v>0.43319400000000075</v>
      </c>
      <c r="K191" s="194">
        <f>(K164-K166-K167-K168-K169-K170)*1.5-SUM($D$191:J191)</f>
        <v>0.2362662749999993</v>
      </c>
      <c r="L191" s="194">
        <f>(L164-L166-L167-L168-L169-L170)*1.5-SUM($D$191:K191)</f>
        <v>0.23626627499999997</v>
      </c>
      <c r="M191" s="194">
        <f>(M164-M166-M167-M168-M169-M170)*1.5-SUM($D$191:L191)</f>
        <v>0</v>
      </c>
      <c r="N191" s="194">
        <f>(N164-N166-N167-N168-N169-N170)*1.5-SUM($D$191:M191)</f>
        <v>0</v>
      </c>
      <c r="O191" s="194">
        <f>(O164-O166-O167-O168-O169-O170)*1.5-SUM($D$191:N191)</f>
        <v>0</v>
      </c>
      <c r="P191" s="194">
        <f>(P164-P166-P167-P168-P169-P170)*1.5-SUM($D$191:O191)</f>
        <v>0</v>
      </c>
      <c r="Q191" s="194">
        <f>(Q164-Q166-Q167-Q168-Q169-Q170)*1.5-SUM($D$191:P191)</f>
        <v>0</v>
      </c>
      <c r="R191" s="194">
        <f>(R164-R166-R167-R168-R169-R170)*1.5-SUM($D$191:Q191)</f>
        <v>0</v>
      </c>
      <c r="S191" s="194">
        <f>(S164-S166-S167-S168-S169-S170)*1.5-SUM($D$191:R191)</f>
        <v>0</v>
      </c>
      <c r="T191" s="194">
        <f>(T164-T166-T167-T168-T169-T170)*1.5-SUM($D$191:S191)</f>
        <v>0</v>
      </c>
      <c r="U191" s="194">
        <f>(U164-U166-U167-U168-U169-U170)*1.5-SUM($D$191:T191)</f>
        <v>0</v>
      </c>
      <c r="V191" s="194">
        <f>(V164-V166-V167-V168-V169-V170)*1.5-SUM($D$191:U191)</f>
        <v>0</v>
      </c>
      <c r="W191" s="194">
        <f>(W164-W166-W167-W168-W169-W170)*1.5-SUM($D$191:V191)</f>
        <v>0</v>
      </c>
      <c r="X191" s="194">
        <f>(X164-X166-X167-X168-X169-X170)*1.5-SUM($D$191:W191)</f>
        <v>1.5919715859525003</v>
      </c>
      <c r="Y191" s="194">
        <f>(Y164-Y166-Y167-Y168-Y169-Y170)*1.5-SUM($D$191:X191)</f>
        <v>1.0613143906349989</v>
      </c>
      <c r="Z191" s="194">
        <f>(Z164-Z166-Z167-Z168-Z169-Z170)*1.5-SUM($D$191:Y191)</f>
        <v>0</v>
      </c>
      <c r="AA191" s="194">
        <f>(AA164-AA166-AA167-AA168-AA169-AA170)*1.5-SUM($D$191:Z191)</f>
        <v>0</v>
      </c>
      <c r="AB191" s="194">
        <f>(AB164-AB166-AB167-AB168-AB169-AB170)*1.5-SUM($D$191:AA191)</f>
        <v>0</v>
      </c>
      <c r="AC191" s="194">
        <f>(AC164-AC166-AC167-AC168-AC169-AC170)*1.5-SUM($D$191:AB191)</f>
        <v>0</v>
      </c>
      <c r="AD191" s="194"/>
      <c r="AE191" s="194"/>
      <c r="AF191" s="194"/>
      <c r="AG191" s="194"/>
      <c r="AH191" s="194"/>
      <c r="AI191" s="194"/>
      <c r="AJ191" s="194"/>
      <c r="AK191" s="194"/>
      <c r="AL191" s="194"/>
      <c r="AM191" s="194"/>
      <c r="AN191" s="194"/>
      <c r="AO191" s="194"/>
      <c r="AP191" s="194"/>
      <c r="AQ191" s="194"/>
      <c r="AR191" s="194"/>
      <c r="AS191" s="194"/>
      <c r="AT191" s="194"/>
      <c r="AU191" s="194"/>
      <c r="AV191" s="194"/>
      <c r="AW191" s="194"/>
      <c r="AX191" s="194"/>
      <c r="AY191" s="194"/>
      <c r="AZ191" s="194"/>
      <c r="BA191" s="194"/>
      <c r="BB191" s="194"/>
      <c r="BC191" s="194"/>
      <c r="BD191" s="194"/>
      <c r="BE191" s="194"/>
      <c r="BF191" s="194"/>
      <c r="BG191" s="194"/>
      <c r="BH191" s="194"/>
      <c r="BI191" s="194"/>
      <c r="BJ191" s="194"/>
      <c r="BK191" s="194"/>
      <c r="BN191" s="194"/>
    </row>
    <row r="192" spans="1:66" x14ac:dyDescent="0.35">
      <c r="A192" s="208"/>
      <c r="B192" s="187"/>
      <c r="C192" s="180"/>
      <c r="D192" s="181"/>
      <c r="E192" s="181"/>
      <c r="F192" s="181"/>
      <c r="G192" s="181"/>
      <c r="H192" s="181"/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  <c r="U192" s="194"/>
      <c r="V192" s="194"/>
      <c r="W192" s="194"/>
      <c r="X192" s="194"/>
      <c r="Y192" s="194"/>
      <c r="Z192" s="194"/>
      <c r="AA192" s="194"/>
      <c r="AB192" s="194"/>
      <c r="AC192" s="194"/>
      <c r="AD192" s="194"/>
      <c r="AE192" s="194"/>
      <c r="AF192" s="194"/>
      <c r="AG192" s="194"/>
      <c r="AH192" s="194"/>
      <c r="AI192" s="194"/>
      <c r="AJ192" s="194"/>
      <c r="AK192" s="194"/>
      <c r="AL192" s="194"/>
      <c r="AM192" s="194"/>
      <c r="AN192" s="194"/>
      <c r="AO192" s="194"/>
      <c r="AP192" s="194"/>
      <c r="AQ192" s="194"/>
      <c r="AR192" s="194"/>
      <c r="AS192" s="194"/>
      <c r="AT192" s="194"/>
      <c r="AU192" s="194"/>
      <c r="AV192" s="194"/>
      <c r="AW192" s="194"/>
      <c r="AX192" s="194"/>
      <c r="AY192" s="194"/>
      <c r="AZ192" s="194"/>
      <c r="BA192" s="194"/>
      <c r="BB192" s="194"/>
      <c r="BC192" s="194"/>
      <c r="BD192" s="194"/>
      <c r="BE192" s="194"/>
      <c r="BF192" s="194"/>
      <c r="BG192" s="194"/>
      <c r="BH192" s="194"/>
      <c r="BI192" s="194"/>
      <c r="BJ192" s="194"/>
      <c r="BK192" s="194"/>
      <c r="BN192" s="194"/>
    </row>
    <row r="193" spans="1:66" x14ac:dyDescent="0.35">
      <c r="A193" s="168" t="s">
        <v>15</v>
      </c>
      <c r="B193" s="187">
        <f>SUM(D193:BK193)</f>
        <v>8.4701996354499975</v>
      </c>
      <c r="C193" s="209">
        <f>SUM(C194:C200)</f>
        <v>3.5340184999999997</v>
      </c>
      <c r="D193" s="181"/>
      <c r="E193" s="181">
        <f t="shared" ref="E193:AC193" si="63">SUM(E194:E200)</f>
        <v>0</v>
      </c>
      <c r="F193" s="181">
        <f t="shared" si="63"/>
        <v>0.29336600000000002</v>
      </c>
      <c r="G193" s="181">
        <f t="shared" si="63"/>
        <v>1.3448264999999999</v>
      </c>
      <c r="H193" s="181">
        <f t="shared" si="63"/>
        <v>1.6803245999999996</v>
      </c>
      <c r="I193" s="181">
        <f t="shared" si="63"/>
        <v>0.98392450000000098</v>
      </c>
      <c r="J193" s="181">
        <f t="shared" si="63"/>
        <v>0.31502169999999907</v>
      </c>
      <c r="K193" s="181">
        <f t="shared" si="63"/>
        <v>0.31502169999999996</v>
      </c>
      <c r="L193" s="181">
        <f t="shared" si="63"/>
        <v>0</v>
      </c>
      <c r="M193" s="181">
        <f t="shared" si="63"/>
        <v>0</v>
      </c>
      <c r="N193" s="181">
        <f t="shared" si="63"/>
        <v>0</v>
      </c>
      <c r="O193" s="181">
        <f t="shared" si="63"/>
        <v>0</v>
      </c>
      <c r="P193" s="181">
        <f t="shared" si="63"/>
        <v>0</v>
      </c>
      <c r="Q193" s="181">
        <f t="shared" si="63"/>
        <v>0</v>
      </c>
      <c r="R193" s="181">
        <f t="shared" si="63"/>
        <v>0</v>
      </c>
      <c r="S193" s="181">
        <f t="shared" si="63"/>
        <v>0</v>
      </c>
      <c r="T193" s="181">
        <f t="shared" si="63"/>
        <v>0</v>
      </c>
      <c r="U193" s="181">
        <f t="shared" si="63"/>
        <v>0</v>
      </c>
      <c r="V193" s="181">
        <f t="shared" si="63"/>
        <v>0</v>
      </c>
      <c r="W193" s="181">
        <f t="shared" si="63"/>
        <v>2.1226287812700004</v>
      </c>
      <c r="X193" s="181">
        <f t="shared" si="63"/>
        <v>1.4150858541799991</v>
      </c>
      <c r="Y193" s="181">
        <f t="shared" si="63"/>
        <v>0</v>
      </c>
      <c r="Z193" s="181">
        <f t="shared" si="63"/>
        <v>0</v>
      </c>
      <c r="AA193" s="181">
        <f t="shared" si="63"/>
        <v>0</v>
      </c>
      <c r="AB193" s="181">
        <f t="shared" si="63"/>
        <v>0</v>
      </c>
      <c r="AC193" s="181">
        <f t="shared" si="63"/>
        <v>0</v>
      </c>
      <c r="AD193" s="181"/>
      <c r="AE193" s="181"/>
      <c r="AF193" s="181"/>
      <c r="AG193" s="181"/>
      <c r="AH193" s="181"/>
      <c r="AI193" s="181"/>
      <c r="AJ193" s="181"/>
      <c r="AK193" s="181"/>
      <c r="AL193" s="181"/>
      <c r="AM193" s="181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1"/>
      <c r="AY193" s="181"/>
      <c r="AZ193" s="181"/>
      <c r="BA193" s="181"/>
      <c r="BB193" s="181"/>
      <c r="BC193" s="181"/>
      <c r="BD193" s="181"/>
      <c r="BE193" s="181"/>
      <c r="BF193" s="181"/>
      <c r="BG193" s="181"/>
      <c r="BH193" s="181"/>
      <c r="BI193" s="181"/>
      <c r="BJ193" s="181"/>
      <c r="BK193" s="181"/>
      <c r="BN193" s="181"/>
    </row>
    <row r="194" spans="1:66" x14ac:dyDescent="0.35">
      <c r="A194" s="178" t="s">
        <v>127</v>
      </c>
      <c r="B194" s="187">
        <f>SUM(D194:BK194)</f>
        <v>0</v>
      </c>
      <c r="C194" s="209">
        <v>0.40801500000000002</v>
      </c>
      <c r="D194" s="181"/>
      <c r="E194" s="181"/>
      <c r="F194" s="181"/>
      <c r="G194" s="181"/>
      <c r="H194" s="181"/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  <c r="U194" s="194"/>
      <c r="V194" s="194"/>
      <c r="W194" s="194"/>
      <c r="X194" s="194"/>
      <c r="Y194" s="194"/>
      <c r="Z194" s="194"/>
      <c r="AA194" s="194"/>
      <c r="AB194" s="194"/>
      <c r="AC194" s="194"/>
      <c r="AD194" s="194"/>
      <c r="AE194" s="194"/>
      <c r="AF194" s="194"/>
      <c r="AG194" s="194"/>
      <c r="AH194" s="194"/>
      <c r="AI194" s="194"/>
      <c r="AJ194" s="194"/>
      <c r="AK194" s="194"/>
      <c r="AL194" s="194"/>
      <c r="AM194" s="194"/>
      <c r="AN194" s="194"/>
      <c r="AO194" s="194"/>
      <c r="AP194" s="194"/>
      <c r="AQ194" s="194"/>
      <c r="AR194" s="194"/>
      <c r="AS194" s="194"/>
      <c r="AT194" s="194"/>
      <c r="AU194" s="194"/>
      <c r="AV194" s="194"/>
      <c r="AW194" s="194"/>
      <c r="AX194" s="194"/>
      <c r="AY194" s="194"/>
      <c r="AZ194" s="194"/>
      <c r="BA194" s="194"/>
      <c r="BB194" s="194"/>
      <c r="BC194" s="194"/>
      <c r="BD194" s="194"/>
      <c r="BE194" s="194"/>
      <c r="BF194" s="194"/>
      <c r="BG194" s="194"/>
      <c r="BH194" s="194"/>
      <c r="BI194" s="194"/>
      <c r="BJ194" s="194"/>
      <c r="BK194" s="194"/>
      <c r="BN194" s="194"/>
    </row>
    <row r="195" spans="1:66" x14ac:dyDescent="0.35">
      <c r="A195" s="178" t="s">
        <v>128</v>
      </c>
      <c r="B195" s="187">
        <f>SUM(D195:BK195)</f>
        <v>0.13</v>
      </c>
      <c r="C195" s="209">
        <v>0.26</v>
      </c>
      <c r="D195" s="181"/>
      <c r="E195" s="181"/>
      <c r="F195" s="181">
        <v>0.13</v>
      </c>
      <c r="G195" s="181"/>
      <c r="H195" s="181"/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  <c r="S195" s="194"/>
      <c r="T195" s="194"/>
      <c r="U195" s="194"/>
      <c r="V195" s="194"/>
      <c r="W195" s="194"/>
      <c r="X195" s="194"/>
      <c r="Y195" s="194"/>
      <c r="Z195" s="194"/>
      <c r="AA195" s="194"/>
      <c r="AB195" s="194"/>
      <c r="AC195" s="194"/>
      <c r="AD195" s="194"/>
      <c r="AE195" s="194"/>
      <c r="AF195" s="194"/>
      <c r="AG195" s="194"/>
      <c r="AH195" s="194"/>
      <c r="AI195" s="194"/>
      <c r="AJ195" s="194"/>
      <c r="AK195" s="194"/>
      <c r="AL195" s="194"/>
      <c r="AM195" s="194"/>
      <c r="AN195" s="194"/>
      <c r="AO195" s="194"/>
      <c r="AP195" s="194"/>
      <c r="AQ195" s="194"/>
      <c r="AR195" s="194"/>
      <c r="AS195" s="194"/>
      <c r="AT195" s="194"/>
      <c r="AU195" s="194"/>
      <c r="AV195" s="194"/>
      <c r="AW195" s="194"/>
      <c r="AX195" s="194"/>
      <c r="AY195" s="194"/>
      <c r="AZ195" s="194"/>
      <c r="BA195" s="194"/>
      <c r="BB195" s="194"/>
      <c r="BC195" s="194"/>
      <c r="BD195" s="194"/>
      <c r="BE195" s="194"/>
      <c r="BF195" s="194"/>
      <c r="BG195" s="194"/>
      <c r="BH195" s="194"/>
      <c r="BI195" s="194"/>
      <c r="BJ195" s="194"/>
      <c r="BK195" s="194"/>
      <c r="BN195" s="194"/>
    </row>
    <row r="196" spans="1:66" x14ac:dyDescent="0.35">
      <c r="A196" s="178" t="s">
        <v>107</v>
      </c>
      <c r="B196" s="199">
        <f>SUM(D196:BK196)</f>
        <v>0.16022799999999998</v>
      </c>
      <c r="C196" s="209">
        <v>0.08</v>
      </c>
      <c r="D196" s="181"/>
      <c r="E196" s="181"/>
      <c r="F196" s="181">
        <v>0.08</v>
      </c>
      <c r="G196" s="181">
        <f>0.240228-0.16</f>
        <v>8.0227999999999994E-2</v>
      </c>
      <c r="H196" s="181"/>
      <c r="I196" s="194"/>
      <c r="J196" s="194"/>
      <c r="K196" s="194"/>
      <c r="L196" s="194"/>
      <c r="M196" s="194"/>
      <c r="N196" s="194"/>
      <c r="O196" s="194"/>
      <c r="P196" s="194"/>
      <c r="Q196" s="194"/>
      <c r="R196" s="194"/>
      <c r="S196" s="194"/>
      <c r="T196" s="194"/>
      <c r="U196" s="194"/>
      <c r="V196" s="194"/>
      <c r="W196" s="194"/>
      <c r="X196" s="194"/>
      <c r="Y196" s="194"/>
      <c r="Z196" s="194"/>
      <c r="AA196" s="194"/>
      <c r="AB196" s="194"/>
      <c r="AC196" s="194"/>
      <c r="AD196" s="194"/>
      <c r="AE196" s="194"/>
      <c r="AF196" s="194"/>
      <c r="AG196" s="194"/>
      <c r="AH196" s="194"/>
      <c r="AI196" s="194"/>
      <c r="AJ196" s="194"/>
      <c r="AK196" s="194"/>
      <c r="AL196" s="194"/>
      <c r="AM196" s="194"/>
      <c r="AN196" s="194"/>
      <c r="AO196" s="194"/>
      <c r="AP196" s="194"/>
      <c r="AQ196" s="194"/>
      <c r="AR196" s="194"/>
      <c r="AS196" s="194"/>
      <c r="AT196" s="194"/>
      <c r="AU196" s="194"/>
      <c r="AV196" s="194"/>
      <c r="AW196" s="194"/>
      <c r="AX196" s="194"/>
      <c r="AY196" s="194"/>
      <c r="AZ196" s="194"/>
      <c r="BA196" s="194"/>
      <c r="BB196" s="194"/>
      <c r="BC196" s="194"/>
      <c r="BD196" s="194"/>
      <c r="BE196" s="194"/>
      <c r="BF196" s="194"/>
      <c r="BG196" s="194"/>
      <c r="BH196" s="194"/>
      <c r="BI196" s="194"/>
      <c r="BJ196" s="194"/>
      <c r="BK196" s="194"/>
      <c r="BN196" s="194"/>
    </row>
    <row r="197" spans="1:66" x14ac:dyDescent="0.35">
      <c r="A197" s="178" t="s">
        <v>109</v>
      </c>
      <c r="B197" s="187">
        <f>SUM(D197:BK197)</f>
        <v>0.16673199999999999</v>
      </c>
      <c r="C197" s="209">
        <v>8.3365999999999996E-2</v>
      </c>
      <c r="D197" s="181"/>
      <c r="E197" s="181"/>
      <c r="F197" s="181">
        <v>8.3365999999999996E-2</v>
      </c>
      <c r="G197" s="181">
        <v>8.3365999999999996E-2</v>
      </c>
      <c r="H197" s="181"/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  <c r="U197" s="194"/>
      <c r="V197" s="194"/>
      <c r="W197" s="194"/>
      <c r="X197" s="194"/>
      <c r="Y197" s="194"/>
      <c r="Z197" s="194"/>
      <c r="AA197" s="194"/>
      <c r="AB197" s="194"/>
      <c r="AC197" s="194"/>
      <c r="AD197" s="194"/>
      <c r="AE197" s="194"/>
      <c r="AF197" s="194"/>
      <c r="AG197" s="194"/>
      <c r="AH197" s="194"/>
      <c r="AI197" s="194"/>
      <c r="AJ197" s="194"/>
      <c r="AK197" s="194"/>
      <c r="AL197" s="194"/>
      <c r="AM197" s="194"/>
      <c r="AN197" s="194"/>
      <c r="AO197" s="194"/>
      <c r="AP197" s="194"/>
      <c r="AQ197" s="194"/>
      <c r="AR197" s="194"/>
      <c r="AS197" s="194"/>
      <c r="AT197" s="194"/>
      <c r="AU197" s="194"/>
      <c r="AV197" s="194"/>
      <c r="AW197" s="194"/>
      <c r="AX197" s="194"/>
      <c r="AY197" s="194"/>
      <c r="AZ197" s="194"/>
      <c r="BA197" s="194"/>
      <c r="BB197" s="194"/>
      <c r="BC197" s="194"/>
      <c r="BD197" s="194"/>
      <c r="BE197" s="194"/>
      <c r="BF197" s="194"/>
      <c r="BG197" s="194"/>
      <c r="BH197" s="194"/>
      <c r="BI197" s="194"/>
      <c r="BJ197" s="194"/>
      <c r="BK197" s="194"/>
      <c r="BN197" s="194"/>
    </row>
    <row r="198" spans="1:66" x14ac:dyDescent="0.35">
      <c r="A198" s="178" t="s">
        <v>114</v>
      </c>
      <c r="B198" s="187">
        <f>SUM(D198:BK198)</f>
        <v>0.77490000000000003</v>
      </c>
      <c r="C198" s="209">
        <f>0.3827175+1.9135875</f>
        <v>2.2963049999999998</v>
      </c>
      <c r="D198" s="181"/>
      <c r="E198" s="181"/>
      <c r="F198" s="181"/>
      <c r="G198" s="181">
        <f>0.7749</f>
        <v>0.77490000000000003</v>
      </c>
      <c r="H198" s="181"/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  <c r="U198" s="194"/>
      <c r="V198" s="194"/>
      <c r="W198" s="194"/>
      <c r="X198" s="194"/>
      <c r="Y198" s="194"/>
      <c r="Z198" s="194"/>
      <c r="AA198" s="194"/>
      <c r="AB198" s="194"/>
      <c r="AC198" s="194"/>
      <c r="AD198" s="194"/>
      <c r="AE198" s="194"/>
      <c r="AF198" s="194"/>
      <c r="AG198" s="194"/>
      <c r="AH198" s="194"/>
      <c r="AI198" s="194"/>
      <c r="AJ198" s="194"/>
      <c r="AK198" s="194"/>
      <c r="AL198" s="194"/>
      <c r="AM198" s="194"/>
      <c r="AN198" s="194"/>
      <c r="AO198" s="194"/>
      <c r="AP198" s="194"/>
      <c r="AQ198" s="194"/>
      <c r="AR198" s="194"/>
      <c r="AS198" s="194"/>
      <c r="AT198" s="194"/>
      <c r="AU198" s="194"/>
      <c r="AV198" s="194"/>
      <c r="AW198" s="194"/>
      <c r="AX198" s="194"/>
      <c r="AY198" s="194"/>
      <c r="AZ198" s="194"/>
      <c r="BA198" s="194"/>
      <c r="BB198" s="194"/>
      <c r="BC198" s="194"/>
      <c r="BD198" s="194"/>
      <c r="BE198" s="194"/>
      <c r="BF198" s="194"/>
      <c r="BG198" s="194"/>
      <c r="BH198" s="194"/>
      <c r="BI198" s="194"/>
      <c r="BJ198" s="194"/>
      <c r="BK198" s="194"/>
      <c r="BN198" s="194"/>
    </row>
    <row r="199" spans="1:66" x14ac:dyDescent="0.35">
      <c r="A199" s="178" t="s">
        <v>116</v>
      </c>
      <c r="B199" s="187">
        <f>SUM(D199:BK199)</f>
        <v>0.81266499999999997</v>
      </c>
      <c r="C199" s="209">
        <f>0.4063325</f>
        <v>0.40633249999999999</v>
      </c>
      <c r="D199" s="181"/>
      <c r="E199" s="181"/>
      <c r="F199" s="181"/>
      <c r="G199" s="194">
        <f>0.4063325</f>
        <v>0.40633249999999999</v>
      </c>
      <c r="H199" s="181"/>
      <c r="I199" s="194">
        <f>0.4063325</f>
        <v>0.40633249999999999</v>
      </c>
      <c r="J199" s="194"/>
      <c r="K199" s="194"/>
      <c r="L199" s="194"/>
      <c r="M199" s="194"/>
      <c r="N199" s="194"/>
      <c r="O199" s="194"/>
      <c r="P199" s="194"/>
      <c r="Q199" s="194"/>
      <c r="R199" s="194"/>
      <c r="S199" s="194"/>
      <c r="T199" s="194"/>
      <c r="U199" s="194"/>
      <c r="V199" s="194"/>
      <c r="W199" s="194"/>
      <c r="X199" s="194"/>
      <c r="Y199" s="194"/>
      <c r="Z199" s="194"/>
      <c r="AA199" s="194"/>
      <c r="AB199" s="194"/>
      <c r="AC199" s="194"/>
      <c r="AD199" s="194"/>
      <c r="AE199" s="194"/>
      <c r="AF199" s="194"/>
      <c r="AG199" s="194"/>
      <c r="AH199" s="194"/>
      <c r="AI199" s="194"/>
      <c r="AJ199" s="194"/>
      <c r="AK199" s="194"/>
      <c r="AL199" s="194"/>
      <c r="AM199" s="194"/>
      <c r="AN199" s="194"/>
      <c r="AO199" s="194"/>
      <c r="AP199" s="194"/>
      <c r="AQ199" s="194"/>
      <c r="AR199" s="194"/>
      <c r="AS199" s="194"/>
      <c r="AT199" s="194"/>
      <c r="AU199" s="194"/>
      <c r="AV199" s="194"/>
      <c r="AW199" s="194"/>
      <c r="AX199" s="194"/>
      <c r="AY199" s="194"/>
      <c r="AZ199" s="194"/>
      <c r="BA199" s="194"/>
      <c r="BB199" s="194"/>
      <c r="BC199" s="194"/>
      <c r="BD199" s="194"/>
      <c r="BE199" s="194"/>
      <c r="BF199" s="194"/>
      <c r="BG199" s="194"/>
      <c r="BH199" s="194"/>
      <c r="BI199" s="194"/>
      <c r="BJ199" s="194"/>
      <c r="BK199" s="194"/>
      <c r="BN199" s="194"/>
    </row>
    <row r="200" spans="1:66" x14ac:dyDescent="0.35">
      <c r="A200" s="178" t="s">
        <v>87</v>
      </c>
      <c r="B200" s="187">
        <f>SUM(D200:BK200)</f>
        <v>6.4256746354499992</v>
      </c>
      <c r="C200" s="209"/>
      <c r="D200" s="181"/>
      <c r="E200" s="181">
        <f>(F164-F166-F167-F168-F169-F170-F171)*2-SUM($D$200:D200)</f>
        <v>0</v>
      </c>
      <c r="F200" s="181">
        <f>(G164-G166-G167-G168-G169-G170-G171)*2-SUM($D$200:E200)</f>
        <v>0</v>
      </c>
      <c r="G200" s="181">
        <f>(H164-H166-H167-H168-H169-H170-H171)*2-SUM($D$200:F200)</f>
        <v>0</v>
      </c>
      <c r="H200" s="181">
        <f>(I164-I166-I167-I168-I169-I170-I171)*2-SUM($D$200:G200)</f>
        <v>1.6803245999999996</v>
      </c>
      <c r="I200" s="194">
        <f>(J164-J166-J167-J168-J169-J170-J171)*2-SUM($D$200:H200)</f>
        <v>0.57759200000000099</v>
      </c>
      <c r="J200" s="194">
        <f>(K164-K166-K167-K168-K169-K170-K171)*2-SUM($D$200:I200)</f>
        <v>0.31502169999999907</v>
      </c>
      <c r="K200" s="194">
        <f>(L164-L166-L167-L168-L169-L170-L171)*2-SUM($D$200:J200)</f>
        <v>0.31502169999999996</v>
      </c>
      <c r="L200" s="194">
        <f>(M164-M166-M167-M168-M169-M170-M171)*2-SUM($D$200:K200)</f>
        <v>0</v>
      </c>
      <c r="M200" s="194">
        <f>(N164-N166-N167-N168-N169-N170-N171)*2-SUM($D$200:L200)</f>
        <v>0</v>
      </c>
      <c r="N200" s="194">
        <f>(O164-O166-O167-O168-O169-O170-O171)*2-SUM($D$200:M200)</f>
        <v>0</v>
      </c>
      <c r="O200" s="194">
        <f>(P164-P166-P167-P168-P169-P170-P171)*2-SUM($D$200:N200)</f>
        <v>0</v>
      </c>
      <c r="P200" s="194">
        <f>(Q164-Q166-Q167-Q168-Q169-Q170-Q171)*2-SUM($D$200:O200)</f>
        <v>0</v>
      </c>
      <c r="Q200" s="194">
        <f>(R164-R166-R167-R168-R169-R170-R171)*2-SUM($D$200:P200)</f>
        <v>0</v>
      </c>
      <c r="R200" s="194">
        <f>(S164-S166-S167-S168-S169-S170-S171)*2-SUM($D$200:Q200)</f>
        <v>0</v>
      </c>
      <c r="S200" s="194">
        <f>(T164-T166-T167-T168-T169-T170-T171)*2-SUM($D$200:R200)</f>
        <v>0</v>
      </c>
      <c r="T200" s="194">
        <f>(U164-U166-U167-U168-U169-U170-U171)*2-SUM($D$200:S200)</f>
        <v>0</v>
      </c>
      <c r="U200" s="194">
        <f>(V164-V166-V167-V168-V169-V170-V171)*2-SUM($D$200:T200)</f>
        <v>0</v>
      </c>
      <c r="V200" s="194">
        <f>(W164-W166-W167-W168-W169-W170-W171)*2-SUM($D$200:U200)</f>
        <v>0</v>
      </c>
      <c r="W200" s="194">
        <f>(X164-X166-X167-X168-X169-X170-X171)*2-SUM($D$200:V200)</f>
        <v>2.1226287812700004</v>
      </c>
      <c r="X200" s="194">
        <f>(Y164-Y166-Y167-Y168-Y169-Y170-Y171)*2-SUM($D$200:W200)</f>
        <v>1.4150858541799991</v>
      </c>
      <c r="Y200" s="194">
        <f>(Z164-Z166-Z167-Z168-Z169-Z170-Z171)*2-SUM($D$200:X200)</f>
        <v>0</v>
      </c>
      <c r="Z200" s="194">
        <f>(AA164-AA166-AA167-AA168-AA169-AA170-AA171)*2-SUM($D$200:Y200)</f>
        <v>0</v>
      </c>
      <c r="AA200" s="194">
        <f>(AB164-AB166-AB167-AB168-AB169-AB170-AB171)*2-SUM($D$200:Z200)</f>
        <v>0</v>
      </c>
      <c r="AB200" s="194">
        <f>(AC164-AC166-AC167-AC168-AC169-AC170-AC171)*2-SUM($D$200:AA200)</f>
        <v>0</v>
      </c>
      <c r="AC200" s="194">
        <f>(AD164-AD166-AD167-AD168-AD169-AD170-AD171)*2-SUM($D$200:AB200)</f>
        <v>0</v>
      </c>
      <c r="AD200" s="194"/>
      <c r="AE200" s="194"/>
      <c r="AF200" s="194"/>
      <c r="AG200" s="194"/>
      <c r="AH200" s="194"/>
      <c r="AI200" s="194"/>
      <c r="AJ200" s="194"/>
      <c r="AK200" s="194"/>
      <c r="AL200" s="194"/>
      <c r="AM200" s="194"/>
      <c r="AN200" s="194"/>
      <c r="AO200" s="194"/>
      <c r="AP200" s="194"/>
      <c r="AQ200" s="194"/>
      <c r="AR200" s="194"/>
      <c r="AS200" s="194"/>
      <c r="AT200" s="194"/>
      <c r="AU200" s="194"/>
      <c r="AV200" s="194"/>
      <c r="AW200" s="194"/>
      <c r="AX200" s="194"/>
      <c r="AY200" s="194"/>
      <c r="AZ200" s="194"/>
      <c r="BA200" s="194"/>
      <c r="BB200" s="194"/>
      <c r="BC200" s="194"/>
      <c r="BD200" s="194"/>
      <c r="BE200" s="194"/>
      <c r="BF200" s="194"/>
      <c r="BG200" s="194"/>
      <c r="BH200" s="194"/>
      <c r="BI200" s="194"/>
      <c r="BJ200" s="194"/>
      <c r="BK200" s="194"/>
      <c r="BN200" s="194"/>
    </row>
  </sheetData>
  <conditionalFormatting sqref="B139">
    <cfRule type="containsText" dxfId="0" priority="1" operator="containsText" text="Error">
      <formula>NOT(ISERROR(SEARCH("Error",B139)))</formula>
    </cfRule>
  </conditionalFormatting>
  <pageMargins left="0.23622047244094491" right="0.23622047244094491" top="0.74803149606299213" bottom="0.74803149606299213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Bestview Cashflows 30042023_SBI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Eldeco</dc:creator>
  <cp:lastModifiedBy>Eldeco</cp:lastModifiedBy>
  <dcterms:created xsi:type="dcterms:W3CDTF">2023-06-19T10:56:31Z</dcterms:created>
  <dcterms:modified xsi:type="dcterms:W3CDTF">2023-06-19T11:01:34Z</dcterms:modified>
</cp:coreProperties>
</file>