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tabRatio="787"/>
  </bookViews>
  <sheets>
    <sheet name="Summary-Pl &amp;MC" sheetId="7" r:id="rId1"/>
    <sheet name="2 J Rd-PL&amp; MC" sheetId="3" r:id="rId2"/>
    <sheet name="9A KBS-PL &amp; MC" sheetId="4" r:id="rId3"/>
    <sheet name="17N-1 KBS-PL&amp;MC" sheetId="5" r:id="rId4"/>
    <sheet name="DGP-PL&amp;MC" sheetId="6" r:id="rId5"/>
    <sheet name="2 J Rd-MH &amp; Others" sheetId="8" r:id="rId6"/>
    <sheet name="9A KBS-MH &amp; Others" sheetId="9" r:id="rId7"/>
    <sheet name="17N-1 KBS-MH &amp; Others" sheetId="10" r:id="rId8"/>
    <sheet name="DGP-MH &amp; Others" sheetId="11" r:id="rId9"/>
  </sheets>
  <externalReferences>
    <externalReference r:id="rId10"/>
    <externalReference r:id="rId11"/>
  </externalReferences>
  <definedNames>
    <definedName name="_xlnm._FilterDatabase" localSheetId="1" hidden="1">'2 J Rd-PL&amp; MC'!$B$5:$DE$118</definedName>
  </definedNames>
  <calcPr calcId="144525"/>
</workbook>
</file>

<file path=xl/calcChain.xml><?xml version="1.0" encoding="utf-8"?>
<calcChain xmlns="http://schemas.openxmlformats.org/spreadsheetml/2006/main">
  <c r="D27" i="7" l="1"/>
  <c r="D22" i="7"/>
  <c r="D21" i="7"/>
  <c r="D20" i="7"/>
  <c r="D19" i="7"/>
  <c r="DD23" i="11"/>
  <c r="DC23" i="11"/>
  <c r="DB23" i="11"/>
  <c r="CZ23" i="11"/>
  <c r="CS23" i="11"/>
  <c r="CR23" i="11"/>
  <c r="CQ23" i="11"/>
  <c r="CO23" i="11"/>
  <c r="CG23" i="11"/>
  <c r="CF23" i="11"/>
  <c r="CE23" i="11"/>
  <c r="CD23" i="11"/>
  <c r="BW23" i="11"/>
  <c r="BV23" i="11"/>
  <c r="BU23" i="11"/>
  <c r="BT23" i="11"/>
  <c r="BR23" i="11"/>
  <c r="BK23" i="11"/>
  <c r="BJ23" i="11"/>
  <c r="BI23" i="11"/>
  <c r="BG23" i="11"/>
  <c r="AY23" i="11"/>
  <c r="AX23" i="11"/>
  <c r="AV23" i="11"/>
  <c r="AN23" i="11"/>
  <c r="AM23" i="11"/>
  <c r="AK23" i="11"/>
  <c r="AC23" i="11"/>
  <c r="AB23" i="11"/>
  <c r="Z23" i="11"/>
  <c r="Y23" i="11"/>
  <c r="X23" i="11"/>
  <c r="W23" i="11"/>
  <c r="M23" i="11"/>
  <c r="K23" i="11"/>
  <c r="J23" i="11"/>
  <c r="DL22" i="11"/>
  <c r="DF22" i="11"/>
  <c r="DE22" i="11"/>
  <c r="CT22" i="11"/>
  <c r="CI22" i="11"/>
  <c r="CJ22" i="11" s="1"/>
  <c r="BX22" i="11"/>
  <c r="BY22" i="11" s="1"/>
  <c r="BL22" i="11"/>
  <c r="BB22" i="11"/>
  <c r="BA22" i="11"/>
  <c r="AR22" i="11"/>
  <c r="BC22" i="11" s="1"/>
  <c r="BN22" i="11" s="1"/>
  <c r="BZ22" i="11" s="1"/>
  <c r="AP22" i="11"/>
  <c r="AF22" i="11"/>
  <c r="AE22" i="11"/>
  <c r="Q22" i="11"/>
  <c r="AG22" i="11" s="1"/>
  <c r="N22" i="11"/>
  <c r="L22" i="11"/>
  <c r="H22" i="11"/>
  <c r="G22" i="11"/>
  <c r="I22" i="11" s="1"/>
  <c r="P22" i="11" s="1"/>
  <c r="T22" i="11" s="1"/>
  <c r="DL21" i="11"/>
  <c r="DE21" i="11"/>
  <c r="CT21" i="11"/>
  <c r="CI21" i="11"/>
  <c r="BX21" i="11"/>
  <c r="BL21" i="11"/>
  <c r="BA21" i="11"/>
  <c r="AP21" i="11"/>
  <c r="AE21" i="11"/>
  <c r="Q21" i="11"/>
  <c r="AG21" i="11" s="1"/>
  <c r="AR21" i="11" s="1"/>
  <c r="BC21" i="11" s="1"/>
  <c r="BN21" i="11" s="1"/>
  <c r="BZ21" i="11" s="1"/>
  <c r="CK21" i="11" s="1"/>
  <c r="CV21" i="11" s="1"/>
  <c r="DG21" i="11" s="1"/>
  <c r="N21" i="11"/>
  <c r="L21" i="11"/>
  <c r="H21" i="11"/>
  <c r="G21" i="11"/>
  <c r="DL20" i="11"/>
  <c r="DE20" i="11"/>
  <c r="CT20" i="11"/>
  <c r="CI20" i="11"/>
  <c r="BX20" i="11"/>
  <c r="BM20" i="11"/>
  <c r="BL20" i="11"/>
  <c r="BA20" i="11"/>
  <c r="AP20" i="11"/>
  <c r="AQ20" i="11" s="1"/>
  <c r="AG20" i="11"/>
  <c r="AR20" i="11" s="1"/>
  <c r="BC20" i="11" s="1"/>
  <c r="BN20" i="11" s="1"/>
  <c r="BZ20" i="11" s="1"/>
  <c r="AE20" i="11"/>
  <c r="Q20" i="11"/>
  <c r="N20" i="11"/>
  <c r="L20" i="11"/>
  <c r="H20" i="11"/>
  <c r="G20" i="11"/>
  <c r="DL19" i="11"/>
  <c r="DE19" i="11"/>
  <c r="DF19" i="11" s="1"/>
  <c r="CU19" i="11"/>
  <c r="CT19" i="11"/>
  <c r="CK19" i="11"/>
  <c r="CJ19" i="11"/>
  <c r="CH19" i="11"/>
  <c r="I19" i="11"/>
  <c r="DL18" i="11"/>
  <c r="DE18" i="11"/>
  <c r="DF18" i="11" s="1"/>
  <c r="CU18" i="11"/>
  <c r="CT18" i="11"/>
  <c r="CK18" i="11"/>
  <c r="CJ18" i="11"/>
  <c r="CH18" i="11"/>
  <c r="CH23" i="11" s="1"/>
  <c r="I18" i="11"/>
  <c r="DL17" i="11"/>
  <c r="DE17" i="11"/>
  <c r="CU17" i="11"/>
  <c r="CT17" i="11"/>
  <c r="CI17" i="11"/>
  <c r="BX17" i="11"/>
  <c r="BM17" i="11"/>
  <c r="BL17" i="11"/>
  <c r="BA17" i="11"/>
  <c r="AP17" i="11"/>
  <c r="AQ17" i="11" s="1"/>
  <c r="AG17" i="11"/>
  <c r="AR17" i="11" s="1"/>
  <c r="BC17" i="11" s="1"/>
  <c r="BN17" i="11" s="1"/>
  <c r="BZ17" i="11" s="1"/>
  <c r="AE17" i="11"/>
  <c r="Q17" i="11"/>
  <c r="O17" i="11"/>
  <c r="O23" i="11" s="1"/>
  <c r="N17" i="11"/>
  <c r="L17" i="11"/>
  <c r="I17" i="11"/>
  <c r="P17" i="11" s="1"/>
  <c r="T17" i="11" s="1"/>
  <c r="H17" i="11"/>
  <c r="DF17" i="11" s="1"/>
  <c r="DL16" i="11"/>
  <c r="DE16" i="11"/>
  <c r="DF16" i="11" s="1"/>
  <c r="CT16" i="11"/>
  <c r="CU16" i="11" s="1"/>
  <c r="CI16" i="11"/>
  <c r="CJ16" i="11" s="1"/>
  <c r="BX16" i="11"/>
  <c r="BY16" i="11" s="1"/>
  <c r="BN16" i="11"/>
  <c r="BZ16" i="11" s="1"/>
  <c r="BL16" i="11"/>
  <c r="BM16" i="11" s="1"/>
  <c r="BD16" i="11"/>
  <c r="BC16" i="11"/>
  <c r="BB16" i="11"/>
  <c r="AZ16" i="11"/>
  <c r="DL15" i="11"/>
  <c r="DE15" i="11"/>
  <c r="CT15" i="11"/>
  <c r="CU15" i="11" s="1"/>
  <c r="CI15" i="11"/>
  <c r="BX15" i="11"/>
  <c r="BL15" i="11"/>
  <c r="BC15" i="11"/>
  <c r="AZ15" i="11"/>
  <c r="H15" i="11"/>
  <c r="DL14" i="11"/>
  <c r="DE14" i="11"/>
  <c r="CT14" i="11"/>
  <c r="CI14" i="11"/>
  <c r="BX14" i="11"/>
  <c r="BL14" i="11"/>
  <c r="BA14" i="11"/>
  <c r="AR14" i="11"/>
  <c r="AO14" i="11"/>
  <c r="AO23" i="11" s="1"/>
  <c r="H14" i="11"/>
  <c r="DL13" i="11"/>
  <c r="DF13" i="11"/>
  <c r="DE13" i="11"/>
  <c r="CT13" i="11"/>
  <c r="CI13" i="11"/>
  <c r="CJ13" i="11" s="1"/>
  <c r="BX13" i="11"/>
  <c r="BY13" i="11" s="1"/>
  <c r="BL13" i="11"/>
  <c r="BB13" i="11"/>
  <c r="BA13" i="11"/>
  <c r="AR13" i="11"/>
  <c r="BC13" i="11" s="1"/>
  <c r="BN13" i="11" s="1"/>
  <c r="BZ13" i="11" s="1"/>
  <c r="AP13" i="11"/>
  <c r="AG13" i="11"/>
  <c r="AF13" i="11"/>
  <c r="AH13" i="11" s="1"/>
  <c r="AD13" i="11"/>
  <c r="AD23" i="11" s="1"/>
  <c r="I13" i="11"/>
  <c r="H13" i="11"/>
  <c r="DL12" i="11"/>
  <c r="DE12" i="11"/>
  <c r="CT12" i="11"/>
  <c r="CI12" i="11"/>
  <c r="BX12" i="11"/>
  <c r="BM12" i="11"/>
  <c r="BL12" i="11"/>
  <c r="BA12" i="11"/>
  <c r="AP12" i="11"/>
  <c r="AQ12" i="11" s="1"/>
  <c r="AG12" i="11"/>
  <c r="AR12" i="11" s="1"/>
  <c r="BC12" i="11" s="1"/>
  <c r="BN12" i="11" s="1"/>
  <c r="BZ12" i="11" s="1"/>
  <c r="AE12" i="11"/>
  <c r="Q12" i="11"/>
  <c r="N12" i="11"/>
  <c r="L12" i="11"/>
  <c r="H12" i="11"/>
  <c r="G12" i="11"/>
  <c r="DL11" i="11"/>
  <c r="DE11" i="11"/>
  <c r="CT11" i="11"/>
  <c r="CI11" i="11"/>
  <c r="BX11" i="11"/>
  <c r="BL11" i="11"/>
  <c r="BA11" i="11"/>
  <c r="AP11" i="11"/>
  <c r="AG11" i="11"/>
  <c r="AR11" i="11" s="1"/>
  <c r="BC11" i="11" s="1"/>
  <c r="BN11" i="11" s="1"/>
  <c r="BZ11" i="11" s="1"/>
  <c r="AE11" i="11"/>
  <c r="Q11" i="11"/>
  <c r="N11" i="11"/>
  <c r="L11" i="11"/>
  <c r="H11" i="11"/>
  <c r="G11" i="11"/>
  <c r="DL10" i="11"/>
  <c r="DE10" i="11"/>
  <c r="CT10" i="11"/>
  <c r="CI10" i="11"/>
  <c r="BX10" i="11"/>
  <c r="BM10" i="11"/>
  <c r="BL10" i="11"/>
  <c r="BA10" i="11"/>
  <c r="AP10" i="11"/>
  <c r="AQ10" i="11" s="1"/>
  <c r="AG10" i="11"/>
  <c r="AR10" i="11" s="1"/>
  <c r="BC10" i="11" s="1"/>
  <c r="BN10" i="11" s="1"/>
  <c r="BZ10" i="11" s="1"/>
  <c r="AE10" i="11"/>
  <c r="Q10" i="11"/>
  <c r="N10" i="11"/>
  <c r="L10" i="11"/>
  <c r="H10" i="11"/>
  <c r="G10" i="11"/>
  <c r="DL9" i="11"/>
  <c r="DE9" i="11"/>
  <c r="CT9" i="11"/>
  <c r="CI9" i="11"/>
  <c r="BX9" i="11"/>
  <c r="BL9" i="11"/>
  <c r="BA9" i="11"/>
  <c r="AP9" i="11"/>
  <c r="AG9" i="11"/>
  <c r="AR9" i="11" s="1"/>
  <c r="BC9" i="11" s="1"/>
  <c r="BN9" i="11" s="1"/>
  <c r="BZ9" i="11" s="1"/>
  <c r="AE9" i="11"/>
  <c r="Q9" i="11"/>
  <c r="N9" i="11"/>
  <c r="L9" i="11"/>
  <c r="H9" i="11"/>
  <c r="G9" i="11"/>
  <c r="DL8" i="11"/>
  <c r="DE8" i="11"/>
  <c r="DE23" i="11" s="1"/>
  <c r="CT8" i="11"/>
  <c r="CI8" i="11"/>
  <c r="CI23" i="11" s="1"/>
  <c r="BX8" i="11"/>
  <c r="BM8" i="11"/>
  <c r="BL8" i="11"/>
  <c r="BA8" i="11"/>
  <c r="AP8" i="11"/>
  <c r="AQ8" i="11" s="1"/>
  <c r="AG8" i="11"/>
  <c r="AE8" i="11"/>
  <c r="Q8" i="11"/>
  <c r="Q23" i="11" s="1"/>
  <c r="N8" i="11"/>
  <c r="N23" i="11" s="1"/>
  <c r="L8" i="11"/>
  <c r="L23" i="11" s="1"/>
  <c r="H8" i="11"/>
  <c r="G8" i="11"/>
  <c r="DD10" i="10"/>
  <c r="DC10" i="10"/>
  <c r="DB10" i="10"/>
  <c r="CZ10" i="10"/>
  <c r="CS10" i="10"/>
  <c r="CR10" i="10"/>
  <c r="CQ10" i="10"/>
  <c r="CO10" i="10"/>
  <c r="CH10" i="10"/>
  <c r="CG10" i="10"/>
  <c r="CF10" i="10"/>
  <c r="CE10" i="10"/>
  <c r="CD10" i="10"/>
  <c r="BW10" i="10"/>
  <c r="BV10" i="10"/>
  <c r="BU10" i="10"/>
  <c r="BT10" i="10"/>
  <c r="BR10" i="10"/>
  <c r="BK10" i="10"/>
  <c r="BJ10" i="10"/>
  <c r="BI10" i="10"/>
  <c r="BG10" i="10"/>
  <c r="AZ10" i="10"/>
  <c r="AY10" i="10"/>
  <c r="AX10" i="10"/>
  <c r="AV10" i="10"/>
  <c r="AO10" i="10"/>
  <c r="AN10" i="10"/>
  <c r="AM10" i="10"/>
  <c r="AK10" i="10"/>
  <c r="AD10" i="10"/>
  <c r="AC10" i="10"/>
  <c r="AB10" i="10"/>
  <c r="Z10" i="10"/>
  <c r="Y10" i="10"/>
  <c r="X10" i="10"/>
  <c r="W10" i="10"/>
  <c r="O10" i="10"/>
  <c r="M10" i="10"/>
  <c r="K10" i="10"/>
  <c r="J10" i="10"/>
  <c r="DL10" i="10" s="1"/>
  <c r="DE9" i="10"/>
  <c r="CT9" i="10"/>
  <c r="CI9" i="10"/>
  <c r="BX9" i="10"/>
  <c r="BL9" i="10"/>
  <c r="BA9" i="10"/>
  <c r="AP9" i="10"/>
  <c r="AE9" i="10"/>
  <c r="Q9" i="10"/>
  <c r="AG9" i="10" s="1"/>
  <c r="AR9" i="10" s="1"/>
  <c r="BC9" i="10" s="1"/>
  <c r="BN9" i="10" s="1"/>
  <c r="BZ9" i="10" s="1"/>
  <c r="N9" i="10"/>
  <c r="L9" i="10"/>
  <c r="H9" i="10"/>
  <c r="CU9" i="10" s="1"/>
  <c r="G9" i="10"/>
  <c r="DE8" i="10"/>
  <c r="DE10" i="10" s="1"/>
  <c r="CT8" i="10"/>
  <c r="CI8" i="10"/>
  <c r="CI10" i="10" s="1"/>
  <c r="BX8" i="10"/>
  <c r="BL8" i="10"/>
  <c r="BL10" i="10" s="1"/>
  <c r="BA8" i="10"/>
  <c r="AP8" i="10"/>
  <c r="AP10" i="10" s="1"/>
  <c r="AE8" i="10"/>
  <c r="Q8" i="10"/>
  <c r="N8" i="10"/>
  <c r="N10" i="10" s="1"/>
  <c r="L8" i="10"/>
  <c r="L10" i="10" s="1"/>
  <c r="H8" i="10"/>
  <c r="G8" i="10"/>
  <c r="DD10" i="9"/>
  <c r="DC10" i="9"/>
  <c r="DB10" i="9"/>
  <c r="CZ10" i="9"/>
  <c r="CS10" i="9"/>
  <c r="CR10" i="9"/>
  <c r="CQ10" i="9"/>
  <c r="CO10" i="9"/>
  <c r="CH10" i="9"/>
  <c r="CG10" i="9"/>
  <c r="CF10" i="9"/>
  <c r="CE10" i="9"/>
  <c r="CD10" i="9"/>
  <c r="BW10" i="9"/>
  <c r="BV10" i="9"/>
  <c r="BU10" i="9"/>
  <c r="BT10" i="9"/>
  <c r="BR10" i="9"/>
  <c r="BK10" i="9"/>
  <c r="BJ10" i="9"/>
  <c r="BI10" i="9"/>
  <c r="BG10" i="9"/>
  <c r="AZ10" i="9"/>
  <c r="AY10" i="9"/>
  <c r="AX10" i="9"/>
  <c r="AV10" i="9"/>
  <c r="AO10" i="9"/>
  <c r="AN10" i="9"/>
  <c r="AM10" i="9"/>
  <c r="AK10" i="9"/>
  <c r="AD10" i="9"/>
  <c r="AC10" i="9"/>
  <c r="AB10" i="9"/>
  <c r="Z10" i="9"/>
  <c r="Y10" i="9"/>
  <c r="X10" i="9"/>
  <c r="W10" i="9"/>
  <c r="O10" i="9"/>
  <c r="M10" i="9"/>
  <c r="K10" i="9"/>
  <c r="J10" i="9"/>
  <c r="DL10" i="9" s="1"/>
  <c r="DL9" i="9"/>
  <c r="DF9" i="9"/>
  <c r="DE9" i="9"/>
  <c r="CT9" i="9"/>
  <c r="CI9" i="9"/>
  <c r="CJ9" i="9" s="1"/>
  <c r="BX9" i="9"/>
  <c r="BY9" i="9" s="1"/>
  <c r="BL9" i="9"/>
  <c r="BB9" i="9"/>
  <c r="BA9" i="9"/>
  <c r="AP9" i="9"/>
  <c r="AE9" i="9"/>
  <c r="AF9" i="9" s="1"/>
  <c r="Q9" i="9"/>
  <c r="AG9" i="9" s="1"/>
  <c r="AR9" i="9" s="1"/>
  <c r="BC9" i="9" s="1"/>
  <c r="BN9" i="9" s="1"/>
  <c r="BZ9" i="9" s="1"/>
  <c r="N9" i="9"/>
  <c r="L9" i="9"/>
  <c r="H9" i="9"/>
  <c r="CU9" i="9" s="1"/>
  <c r="G9" i="9"/>
  <c r="I9" i="9" s="1"/>
  <c r="P9" i="9" s="1"/>
  <c r="T9" i="9" s="1"/>
  <c r="U9" i="9" s="1"/>
  <c r="DL8" i="9"/>
  <c r="DE8" i="9"/>
  <c r="DE10" i="9" s="1"/>
  <c r="CT8" i="9"/>
  <c r="CT10" i="9" s="1"/>
  <c r="CI8" i="9"/>
  <c r="BX8" i="9"/>
  <c r="BX10" i="9" s="1"/>
  <c r="BL8" i="9"/>
  <c r="BL10" i="9" s="1"/>
  <c r="BA8" i="9"/>
  <c r="BA10" i="9" s="1"/>
  <c r="AP8" i="9"/>
  <c r="AE8" i="9"/>
  <c r="AE10" i="9" s="1"/>
  <c r="Q8" i="9"/>
  <c r="N8" i="9"/>
  <c r="N10" i="9" s="1"/>
  <c r="L8" i="9"/>
  <c r="L10" i="9" s="1"/>
  <c r="H8" i="9"/>
  <c r="G8" i="9"/>
  <c r="DC48" i="8"/>
  <c r="DB48" i="8"/>
  <c r="CZ48" i="8"/>
  <c r="CS48" i="8"/>
  <c r="CR48" i="8"/>
  <c r="CQ48" i="8"/>
  <c r="CO48" i="8"/>
  <c r="CG48" i="8"/>
  <c r="CF48" i="8"/>
  <c r="CE48" i="8"/>
  <c r="CD48" i="8"/>
  <c r="BW48" i="8"/>
  <c r="BV48" i="8"/>
  <c r="BU48" i="8"/>
  <c r="BT48" i="8"/>
  <c r="BR48" i="8"/>
  <c r="BK48" i="8"/>
  <c r="BJ48" i="8"/>
  <c r="BI48" i="8"/>
  <c r="BG48" i="8"/>
  <c r="AZ48" i="8"/>
  <c r="AY48" i="8"/>
  <c r="AX48" i="8"/>
  <c r="AV48" i="8"/>
  <c r="AN48" i="8"/>
  <c r="AK48" i="8"/>
  <c r="AC48" i="8"/>
  <c r="AB48" i="8"/>
  <c r="Z48" i="8"/>
  <c r="Y48" i="8"/>
  <c r="X48" i="8"/>
  <c r="W48" i="8"/>
  <c r="O48" i="8"/>
  <c r="M48" i="8"/>
  <c r="K48" i="8"/>
  <c r="J48" i="8"/>
  <c r="DL47" i="8"/>
  <c r="DG47" i="8"/>
  <c r="DH47" i="8" s="1"/>
  <c r="DF47" i="8"/>
  <c r="DD47" i="8"/>
  <c r="I47" i="8"/>
  <c r="DL46" i="8"/>
  <c r="DH46" i="8"/>
  <c r="DI46" i="8" s="1"/>
  <c r="DG46" i="8"/>
  <c r="DF46" i="8"/>
  <c r="DD46" i="8"/>
  <c r="I46" i="8"/>
  <c r="DL45" i="8"/>
  <c r="DG45" i="8"/>
  <c r="DH45" i="8" s="1"/>
  <c r="DF45" i="8"/>
  <c r="DD45" i="8"/>
  <c r="I45" i="8"/>
  <c r="DL44" i="8"/>
  <c r="DE44" i="8"/>
  <c r="DF44" i="8" s="1"/>
  <c r="CT44" i="8"/>
  <c r="CU44" i="8" s="1"/>
  <c r="CL44" i="8"/>
  <c r="CM44" i="8" s="1"/>
  <c r="CK44" i="8"/>
  <c r="CV44" i="8" s="1"/>
  <c r="DG44" i="8" s="1"/>
  <c r="CJ44" i="8"/>
  <c r="CH44" i="8"/>
  <c r="I44" i="8"/>
  <c r="DL43" i="8"/>
  <c r="DE43" i="8"/>
  <c r="DF43" i="8" s="1"/>
  <c r="CT43" i="8"/>
  <c r="CU43" i="8" s="1"/>
  <c r="CK43" i="8"/>
  <c r="CV43" i="8" s="1"/>
  <c r="DG43" i="8" s="1"/>
  <c r="CJ43" i="8"/>
  <c r="CH43" i="8"/>
  <c r="CH48" i="8" s="1"/>
  <c r="I43" i="8"/>
  <c r="DL42" i="8"/>
  <c r="DE42" i="8"/>
  <c r="CT42" i="8"/>
  <c r="CI42" i="8"/>
  <c r="BX42" i="8"/>
  <c r="BL42" i="8"/>
  <c r="BA42" i="8"/>
  <c r="AP42" i="8"/>
  <c r="AE42" i="8"/>
  <c r="Q42" i="8"/>
  <c r="AG42" i="8" s="1"/>
  <c r="AR42" i="8" s="1"/>
  <c r="BC42" i="8" s="1"/>
  <c r="BN42" i="8" s="1"/>
  <c r="BZ42" i="8" s="1"/>
  <c r="N42" i="8"/>
  <c r="L42" i="8"/>
  <c r="H42" i="8"/>
  <c r="AF42" i="8" s="1"/>
  <c r="G42" i="8"/>
  <c r="DL41" i="8"/>
  <c r="DF41" i="8"/>
  <c r="DE41" i="8"/>
  <c r="CT41" i="8"/>
  <c r="CI41" i="8"/>
  <c r="CJ41" i="8" s="1"/>
  <c r="BX41" i="8"/>
  <c r="BY41" i="8" s="1"/>
  <c r="BL41" i="8"/>
  <c r="BB41" i="8"/>
  <c r="BA41" i="8"/>
  <c r="AP41" i="8"/>
  <c r="AE41" i="8"/>
  <c r="AF41" i="8" s="1"/>
  <c r="Q41" i="8"/>
  <c r="AG41" i="8" s="1"/>
  <c r="AR41" i="8" s="1"/>
  <c r="BC41" i="8" s="1"/>
  <c r="BN41" i="8" s="1"/>
  <c r="BZ41" i="8" s="1"/>
  <c r="N41" i="8"/>
  <c r="L41" i="8"/>
  <c r="H41" i="8"/>
  <c r="CU41" i="8" s="1"/>
  <c r="G41" i="8"/>
  <c r="I41" i="8" s="1"/>
  <c r="P41" i="8" s="1"/>
  <c r="T41" i="8" s="1"/>
  <c r="DL40" i="8"/>
  <c r="DE40" i="8"/>
  <c r="CT40" i="8"/>
  <c r="CI40" i="8"/>
  <c r="BX40" i="8"/>
  <c r="BL40" i="8"/>
  <c r="BA40" i="8"/>
  <c r="AP40" i="8"/>
  <c r="AG40" i="8"/>
  <c r="AR40" i="8" s="1"/>
  <c r="BC40" i="8" s="1"/>
  <c r="BN40" i="8" s="1"/>
  <c r="BZ40" i="8" s="1"/>
  <c r="AE40" i="8"/>
  <c r="Q40" i="8"/>
  <c r="N40" i="8"/>
  <c r="L40" i="8"/>
  <c r="H40" i="8"/>
  <c r="AQ40" i="8" s="1"/>
  <c r="G40" i="8"/>
  <c r="DL39" i="8"/>
  <c r="DE39" i="8"/>
  <c r="CT39" i="8"/>
  <c r="CI39" i="8"/>
  <c r="BX39" i="8"/>
  <c r="BL39" i="8"/>
  <c r="BA39" i="8"/>
  <c r="AP39" i="8"/>
  <c r="AG39" i="8"/>
  <c r="AE39" i="8"/>
  <c r="AD39" i="8"/>
  <c r="AD48" i="8" s="1"/>
  <c r="N39" i="8"/>
  <c r="U39" i="8" s="1"/>
  <c r="V39" i="8" s="1"/>
  <c r="AA39" i="8" s="1"/>
  <c r="L39" i="8"/>
  <c r="H39" i="8"/>
  <c r="G39" i="8"/>
  <c r="DL38" i="8"/>
  <c r="DE38" i="8"/>
  <c r="CT38" i="8"/>
  <c r="CI38" i="8"/>
  <c r="CJ38" i="8" s="1"/>
  <c r="BX38" i="8"/>
  <c r="BY38" i="8" s="1"/>
  <c r="BL38" i="8"/>
  <c r="BB38" i="8"/>
  <c r="BA38" i="8"/>
  <c r="AP38" i="8"/>
  <c r="AE38" i="8"/>
  <c r="AF38" i="8" s="1"/>
  <c r="Q38" i="8"/>
  <c r="AG38" i="8" s="1"/>
  <c r="AR38" i="8" s="1"/>
  <c r="BC38" i="8" s="1"/>
  <c r="BN38" i="8" s="1"/>
  <c r="BZ38" i="8" s="1"/>
  <c r="N38" i="8"/>
  <c r="L38" i="8"/>
  <c r="H38" i="8"/>
  <c r="CU38" i="8" s="1"/>
  <c r="G38" i="8"/>
  <c r="I38" i="8" s="1"/>
  <c r="P38" i="8" s="1"/>
  <c r="T38" i="8" s="1"/>
  <c r="DL37" i="8"/>
  <c r="DE37" i="8"/>
  <c r="CT37" i="8"/>
  <c r="CI37" i="8"/>
  <c r="BX37" i="8"/>
  <c r="BL37" i="8"/>
  <c r="BA37" i="8"/>
  <c r="AP37" i="8"/>
  <c r="AE37" i="8"/>
  <c r="Q37" i="8"/>
  <c r="AG37" i="8" s="1"/>
  <c r="AR37" i="8" s="1"/>
  <c r="BC37" i="8" s="1"/>
  <c r="BN37" i="8" s="1"/>
  <c r="BZ37" i="8" s="1"/>
  <c r="N37" i="8"/>
  <c r="L37" i="8"/>
  <c r="H37" i="8"/>
  <c r="CU37" i="8" s="1"/>
  <c r="G37" i="8"/>
  <c r="DL36" i="8"/>
  <c r="DE36" i="8"/>
  <c r="CT36" i="8"/>
  <c r="CI36" i="8"/>
  <c r="BX36" i="8"/>
  <c r="BL36" i="8"/>
  <c r="BA36" i="8"/>
  <c r="AP36" i="8"/>
  <c r="AG36" i="8"/>
  <c r="AR36" i="8" s="1"/>
  <c r="BC36" i="8" s="1"/>
  <c r="BN36" i="8" s="1"/>
  <c r="BZ36" i="8" s="1"/>
  <c r="AE36" i="8"/>
  <c r="Q36" i="8"/>
  <c r="N36" i="8"/>
  <c r="L36" i="8"/>
  <c r="H36" i="8"/>
  <c r="BM36" i="8" s="1"/>
  <c r="G36" i="8"/>
  <c r="DL35" i="8"/>
  <c r="DF35" i="8"/>
  <c r="DE35" i="8"/>
  <c r="CT35" i="8"/>
  <c r="CI35" i="8"/>
  <c r="CJ35" i="8" s="1"/>
  <c r="BX35" i="8"/>
  <c r="BY35" i="8" s="1"/>
  <c r="BL35" i="8"/>
  <c r="BB35" i="8"/>
  <c r="BA35" i="8"/>
  <c r="AP35" i="8"/>
  <c r="AE35" i="8"/>
  <c r="AF35" i="8" s="1"/>
  <c r="Q35" i="8"/>
  <c r="AG35" i="8" s="1"/>
  <c r="AR35" i="8" s="1"/>
  <c r="BC35" i="8" s="1"/>
  <c r="BN35" i="8" s="1"/>
  <c r="BZ35" i="8" s="1"/>
  <c r="N35" i="8"/>
  <c r="L35" i="8"/>
  <c r="H35" i="8"/>
  <c r="CU35" i="8" s="1"/>
  <c r="G35" i="8"/>
  <c r="I35" i="8" s="1"/>
  <c r="P35" i="8" s="1"/>
  <c r="T35" i="8" s="1"/>
  <c r="U35" i="8" s="1"/>
  <c r="DL34" i="8"/>
  <c r="DE34" i="8"/>
  <c r="CT34" i="8"/>
  <c r="CI34" i="8"/>
  <c r="BX34" i="8"/>
  <c r="BL34" i="8"/>
  <c r="BM34" i="8" s="1"/>
  <c r="BA34" i="8"/>
  <c r="AQ34" i="8"/>
  <c r="AP34" i="8"/>
  <c r="AG34" i="8"/>
  <c r="AR34" i="8" s="1"/>
  <c r="BC34" i="8" s="1"/>
  <c r="BN34" i="8" s="1"/>
  <c r="BZ34" i="8" s="1"/>
  <c r="AE34" i="8"/>
  <c r="Q34" i="8"/>
  <c r="N34" i="8"/>
  <c r="L34" i="8"/>
  <c r="H34" i="8"/>
  <c r="G34" i="8"/>
  <c r="DL33" i="8"/>
  <c r="DE33" i="8"/>
  <c r="CT33" i="8"/>
  <c r="CI33" i="8"/>
  <c r="BX33" i="8"/>
  <c r="BL33" i="8"/>
  <c r="BA33" i="8"/>
  <c r="AP33" i="8"/>
  <c r="AG33" i="8"/>
  <c r="AR33" i="8" s="1"/>
  <c r="BC33" i="8" s="1"/>
  <c r="BN33" i="8" s="1"/>
  <c r="BZ33" i="8" s="1"/>
  <c r="AE33" i="8"/>
  <c r="Q33" i="8"/>
  <c r="N33" i="8"/>
  <c r="L33" i="8"/>
  <c r="H33" i="8"/>
  <c r="CU33" i="8" s="1"/>
  <c r="G33" i="8"/>
  <c r="DL32" i="8"/>
  <c r="DE32" i="8"/>
  <c r="CT32" i="8"/>
  <c r="CI32" i="8"/>
  <c r="BX32" i="8"/>
  <c r="BP32" i="8"/>
  <c r="CB32" i="8" s="1"/>
  <c r="BL32" i="8"/>
  <c r="BA32" i="8"/>
  <c r="AP32" i="8"/>
  <c r="AG32" i="8"/>
  <c r="AR32" i="8" s="1"/>
  <c r="BC32" i="8" s="1"/>
  <c r="BN32" i="8" s="1"/>
  <c r="BZ32" i="8" s="1"/>
  <c r="AE32" i="8"/>
  <c r="Q32" i="8"/>
  <c r="N32" i="8"/>
  <c r="L32" i="8"/>
  <c r="H32" i="8"/>
  <c r="DF32" i="8" s="1"/>
  <c r="G32" i="8"/>
  <c r="DL31" i="8"/>
  <c r="DH31" i="8"/>
  <c r="DG31" i="8"/>
  <c r="DF31" i="8"/>
  <c r="DD31" i="8"/>
  <c r="DD48" i="8" s="1"/>
  <c r="I31" i="8"/>
  <c r="DE30" i="8"/>
  <c r="CT30" i="8"/>
  <c r="CU30" i="8" s="1"/>
  <c r="CI30" i="8"/>
  <c r="BX30" i="8"/>
  <c r="BL30" i="8"/>
  <c r="BM30" i="8" s="1"/>
  <c r="BA30" i="8"/>
  <c r="AQ30" i="8"/>
  <c r="AO30" i="8"/>
  <c r="AO48" i="8" s="1"/>
  <c r="AM30" i="8"/>
  <c r="AM48" i="8" s="1"/>
  <c r="AE30" i="8"/>
  <c r="I30" i="8"/>
  <c r="H30" i="8"/>
  <c r="DL29" i="8"/>
  <c r="DE29" i="8"/>
  <c r="DF29" i="8" s="1"/>
  <c r="CT29" i="8"/>
  <c r="CJ29" i="8"/>
  <c r="CI29" i="8"/>
  <c r="BY29" i="8"/>
  <c r="BX29" i="8"/>
  <c r="BL29" i="8"/>
  <c r="BA29" i="8"/>
  <c r="BB29" i="8" s="1"/>
  <c r="AP29" i="8"/>
  <c r="AF29" i="8"/>
  <c r="AE29" i="8"/>
  <c r="Q29" i="8"/>
  <c r="AG29" i="8" s="1"/>
  <c r="AR29" i="8" s="1"/>
  <c r="BC29" i="8" s="1"/>
  <c r="BN29" i="8" s="1"/>
  <c r="BZ29" i="8" s="1"/>
  <c r="N29" i="8"/>
  <c r="L29" i="8"/>
  <c r="H29" i="8"/>
  <c r="CU29" i="8" s="1"/>
  <c r="G29" i="8"/>
  <c r="I29" i="8" s="1"/>
  <c r="P29" i="8" s="1"/>
  <c r="T29" i="8" s="1"/>
  <c r="DL28" i="8"/>
  <c r="DE28" i="8"/>
  <c r="CT28" i="8"/>
  <c r="CI28" i="8"/>
  <c r="BX28" i="8"/>
  <c r="BL28" i="8"/>
  <c r="BA28" i="8"/>
  <c r="AP28" i="8"/>
  <c r="AG28" i="8"/>
  <c r="AR28" i="8" s="1"/>
  <c r="BC28" i="8" s="1"/>
  <c r="BN28" i="8" s="1"/>
  <c r="BZ28" i="8" s="1"/>
  <c r="AE28" i="8"/>
  <c r="Q28" i="8"/>
  <c r="N28" i="8"/>
  <c r="L28" i="8"/>
  <c r="H28" i="8"/>
  <c r="BM28" i="8" s="1"/>
  <c r="G28" i="8"/>
  <c r="DL27" i="8"/>
  <c r="DE27" i="8"/>
  <c r="DF27" i="8" s="1"/>
  <c r="CT27" i="8"/>
  <c r="CJ27" i="8"/>
  <c r="CI27" i="8"/>
  <c r="BY27" i="8"/>
  <c r="BX27" i="8"/>
  <c r="BL27" i="8"/>
  <c r="BA27" i="8"/>
  <c r="BB27" i="8" s="1"/>
  <c r="AP27" i="8"/>
  <c r="AF27" i="8"/>
  <c r="AE27" i="8"/>
  <c r="Q27" i="8"/>
  <c r="AG27" i="8" s="1"/>
  <c r="AR27" i="8" s="1"/>
  <c r="BC27" i="8" s="1"/>
  <c r="BN27" i="8" s="1"/>
  <c r="BZ27" i="8" s="1"/>
  <c r="N27" i="8"/>
  <c r="L27" i="8"/>
  <c r="H27" i="8"/>
  <c r="CU27" i="8" s="1"/>
  <c r="G27" i="8"/>
  <c r="I27" i="8" s="1"/>
  <c r="P27" i="8" s="1"/>
  <c r="T27" i="8" s="1"/>
  <c r="U27" i="8" s="1"/>
  <c r="DL26" i="8"/>
  <c r="DE26" i="8"/>
  <c r="CT26" i="8"/>
  <c r="CI26" i="8"/>
  <c r="BX26" i="8"/>
  <c r="BL26" i="8"/>
  <c r="BA26" i="8"/>
  <c r="AP26" i="8"/>
  <c r="AG26" i="8"/>
  <c r="AR26" i="8" s="1"/>
  <c r="BC26" i="8" s="1"/>
  <c r="BN26" i="8" s="1"/>
  <c r="BZ26" i="8" s="1"/>
  <c r="AE26" i="8"/>
  <c r="Q26" i="8"/>
  <c r="N26" i="8"/>
  <c r="L26" i="8"/>
  <c r="H26" i="8"/>
  <c r="G26" i="8"/>
  <c r="DL25" i="8"/>
  <c r="DE25" i="8"/>
  <c r="DF25" i="8" s="1"/>
  <c r="CT25" i="8"/>
  <c r="CJ25" i="8"/>
  <c r="CI25" i="8"/>
  <c r="BY25" i="8"/>
  <c r="BX25" i="8"/>
  <c r="BL25" i="8"/>
  <c r="BA25" i="8"/>
  <c r="BB25" i="8" s="1"/>
  <c r="AP25" i="8"/>
  <c r="AF25" i="8"/>
  <c r="AE25" i="8"/>
  <c r="Q25" i="8"/>
  <c r="AG25" i="8" s="1"/>
  <c r="AR25" i="8" s="1"/>
  <c r="BC25" i="8" s="1"/>
  <c r="BN25" i="8" s="1"/>
  <c r="BZ25" i="8" s="1"/>
  <c r="N25" i="8"/>
  <c r="L25" i="8"/>
  <c r="H25" i="8"/>
  <c r="CU25" i="8" s="1"/>
  <c r="G25" i="8"/>
  <c r="I25" i="8" s="1"/>
  <c r="P25" i="8" s="1"/>
  <c r="T25" i="8" s="1"/>
  <c r="U25" i="8" s="1"/>
  <c r="DL24" i="8"/>
  <c r="DE24" i="8"/>
  <c r="CT24" i="8"/>
  <c r="CI24" i="8"/>
  <c r="BX24" i="8"/>
  <c r="BL24" i="8"/>
  <c r="BA24" i="8"/>
  <c r="AP24" i="8"/>
  <c r="AG24" i="8"/>
  <c r="AR24" i="8" s="1"/>
  <c r="BC24" i="8" s="1"/>
  <c r="BN24" i="8" s="1"/>
  <c r="BZ24" i="8" s="1"/>
  <c r="AE24" i="8"/>
  <c r="Q24" i="8"/>
  <c r="N24" i="8"/>
  <c r="L24" i="8"/>
  <c r="H24" i="8"/>
  <c r="BM24" i="8" s="1"/>
  <c r="G24" i="8"/>
  <c r="DL23" i="8"/>
  <c r="DE23" i="8"/>
  <c r="DF23" i="8" s="1"/>
  <c r="CT23" i="8"/>
  <c r="CJ23" i="8"/>
  <c r="CI23" i="8"/>
  <c r="BY23" i="8"/>
  <c r="BX23" i="8"/>
  <c r="BL23" i="8"/>
  <c r="BA23" i="8"/>
  <c r="BB23" i="8" s="1"/>
  <c r="AP23" i="8"/>
  <c r="AF23" i="8"/>
  <c r="AE23" i="8"/>
  <c r="Q23" i="8"/>
  <c r="AG23" i="8" s="1"/>
  <c r="AR23" i="8" s="1"/>
  <c r="BC23" i="8" s="1"/>
  <c r="BN23" i="8" s="1"/>
  <c r="BZ23" i="8" s="1"/>
  <c r="N23" i="8"/>
  <c r="L23" i="8"/>
  <c r="H23" i="8"/>
  <c r="CU23" i="8" s="1"/>
  <c r="G23" i="8"/>
  <c r="I23" i="8" s="1"/>
  <c r="P23" i="8" s="1"/>
  <c r="T23" i="8" s="1"/>
  <c r="U23" i="8" s="1"/>
  <c r="DL22" i="8"/>
  <c r="DE22" i="8"/>
  <c r="CT22" i="8"/>
  <c r="CI22" i="8"/>
  <c r="BX22" i="8"/>
  <c r="BL22" i="8"/>
  <c r="BA22" i="8"/>
  <c r="AP22" i="8"/>
  <c r="AE22" i="8"/>
  <c r="Q22" i="8"/>
  <c r="AG22" i="8" s="1"/>
  <c r="AR22" i="8" s="1"/>
  <c r="BC22" i="8" s="1"/>
  <c r="BN22" i="8" s="1"/>
  <c r="BZ22" i="8" s="1"/>
  <c r="N22" i="8"/>
  <c r="L22" i="8"/>
  <c r="H22" i="8"/>
  <c r="G22" i="8"/>
  <c r="DL21" i="8"/>
  <c r="DE21" i="8"/>
  <c r="CT21" i="8"/>
  <c r="CI21" i="8"/>
  <c r="BX21" i="8"/>
  <c r="BL21" i="8"/>
  <c r="BA21" i="8"/>
  <c r="AP21" i="8"/>
  <c r="AE21" i="8"/>
  <c r="Q21" i="8"/>
  <c r="AG21" i="8" s="1"/>
  <c r="AR21" i="8" s="1"/>
  <c r="BC21" i="8" s="1"/>
  <c r="BN21" i="8" s="1"/>
  <c r="BZ21" i="8" s="1"/>
  <c r="N21" i="8"/>
  <c r="L21" i="8"/>
  <c r="H21" i="8"/>
  <c r="CU21" i="8" s="1"/>
  <c r="G21" i="8"/>
  <c r="DL20" i="8"/>
  <c r="DE20" i="8"/>
  <c r="CT20" i="8"/>
  <c r="CI20" i="8"/>
  <c r="BX20" i="8"/>
  <c r="BL20" i="8"/>
  <c r="BA20" i="8"/>
  <c r="AP20" i="8"/>
  <c r="AE20" i="8"/>
  <c r="Q20" i="8"/>
  <c r="AG20" i="8" s="1"/>
  <c r="AR20" i="8" s="1"/>
  <c r="BC20" i="8" s="1"/>
  <c r="BN20" i="8" s="1"/>
  <c r="BZ20" i="8" s="1"/>
  <c r="N20" i="8"/>
  <c r="L20" i="8"/>
  <c r="H20" i="8"/>
  <c r="G20" i="8"/>
  <c r="DL19" i="8"/>
  <c r="DE19" i="8"/>
  <c r="CT19" i="8"/>
  <c r="CI19" i="8"/>
  <c r="BX19" i="8"/>
  <c r="BL19" i="8"/>
  <c r="BA19" i="8"/>
  <c r="AP19" i="8"/>
  <c r="AG19" i="8"/>
  <c r="AR19" i="8" s="1"/>
  <c r="BC19" i="8" s="1"/>
  <c r="BN19" i="8" s="1"/>
  <c r="BZ19" i="8" s="1"/>
  <c r="AE19" i="8"/>
  <c r="Q19" i="8"/>
  <c r="N19" i="8"/>
  <c r="L19" i="8"/>
  <c r="H19" i="8"/>
  <c r="BB19" i="8" s="1"/>
  <c r="G19" i="8"/>
  <c r="DL18" i="8"/>
  <c r="DE18" i="8"/>
  <c r="CT18" i="8"/>
  <c r="CI18" i="8"/>
  <c r="BX18" i="8"/>
  <c r="BL18" i="8"/>
  <c r="BA18" i="8"/>
  <c r="AP18" i="8"/>
  <c r="AG18" i="8"/>
  <c r="AR18" i="8" s="1"/>
  <c r="BC18" i="8" s="1"/>
  <c r="BN18" i="8" s="1"/>
  <c r="BZ18" i="8" s="1"/>
  <c r="AE18" i="8"/>
  <c r="Q18" i="8"/>
  <c r="N18" i="8"/>
  <c r="L18" i="8"/>
  <c r="H18" i="8"/>
  <c r="G18" i="8"/>
  <c r="DL17" i="8"/>
  <c r="DE17" i="8"/>
  <c r="CT17" i="8"/>
  <c r="CI17" i="8"/>
  <c r="BX17" i="8"/>
  <c r="BL17" i="8"/>
  <c r="BA17" i="8"/>
  <c r="AP17" i="8"/>
  <c r="AG17" i="8"/>
  <c r="AR17" i="8" s="1"/>
  <c r="BC17" i="8" s="1"/>
  <c r="BN17" i="8" s="1"/>
  <c r="BZ17" i="8" s="1"/>
  <c r="AE17" i="8"/>
  <c r="Q17" i="8"/>
  <c r="N17" i="8"/>
  <c r="L17" i="8"/>
  <c r="H17" i="8"/>
  <c r="CU17" i="8" s="1"/>
  <c r="G17" i="8"/>
  <c r="DL16" i="8"/>
  <c r="DE16" i="8"/>
  <c r="DF16" i="8" s="1"/>
  <c r="CT16" i="8"/>
  <c r="CJ16" i="8"/>
  <c r="CI16" i="8"/>
  <c r="BY16" i="8"/>
  <c r="BX16" i="8"/>
  <c r="BL16" i="8"/>
  <c r="BA16" i="8"/>
  <c r="BB16" i="8" s="1"/>
  <c r="AP16" i="8"/>
  <c r="AF16" i="8"/>
  <c r="AE16" i="8"/>
  <c r="Q16" i="8"/>
  <c r="AG16" i="8" s="1"/>
  <c r="AR16" i="8" s="1"/>
  <c r="BC16" i="8" s="1"/>
  <c r="BN16" i="8" s="1"/>
  <c r="BZ16" i="8" s="1"/>
  <c r="N16" i="8"/>
  <c r="L16" i="8"/>
  <c r="H16" i="8"/>
  <c r="CU16" i="8" s="1"/>
  <c r="G16" i="8"/>
  <c r="I16" i="8" s="1"/>
  <c r="P16" i="8" s="1"/>
  <c r="T16" i="8" s="1"/>
  <c r="DL15" i="8"/>
  <c r="DE15" i="8"/>
  <c r="CT15" i="8"/>
  <c r="CI15" i="8"/>
  <c r="BX15" i="8"/>
  <c r="BL15" i="8"/>
  <c r="BA15" i="8"/>
  <c r="AP15" i="8"/>
  <c r="AG15" i="8"/>
  <c r="AR15" i="8" s="1"/>
  <c r="BC15" i="8" s="1"/>
  <c r="BN15" i="8" s="1"/>
  <c r="BZ15" i="8" s="1"/>
  <c r="AE15" i="8"/>
  <c r="Q15" i="8"/>
  <c r="N15" i="8"/>
  <c r="L15" i="8"/>
  <c r="H15" i="8"/>
  <c r="CU15" i="8" s="1"/>
  <c r="G15" i="8"/>
  <c r="DL14" i="8"/>
  <c r="DE14" i="8"/>
  <c r="DF14" i="8" s="1"/>
  <c r="CT14" i="8"/>
  <c r="CJ14" i="8"/>
  <c r="CI14" i="8"/>
  <c r="BY14" i="8"/>
  <c r="BX14" i="8"/>
  <c r="BL14" i="8"/>
  <c r="BA14" i="8"/>
  <c r="BB14" i="8" s="1"/>
  <c r="AP14" i="8"/>
  <c r="AF14" i="8"/>
  <c r="AE14" i="8"/>
  <c r="Q14" i="8"/>
  <c r="AG14" i="8" s="1"/>
  <c r="AR14" i="8" s="1"/>
  <c r="BC14" i="8" s="1"/>
  <c r="BN14" i="8" s="1"/>
  <c r="BZ14" i="8" s="1"/>
  <c r="N14" i="8"/>
  <c r="L14" i="8"/>
  <c r="H14" i="8"/>
  <c r="CU14" i="8" s="1"/>
  <c r="G14" i="8"/>
  <c r="I14" i="8" s="1"/>
  <c r="P14" i="8" s="1"/>
  <c r="T14" i="8" s="1"/>
  <c r="DL13" i="8"/>
  <c r="DE13" i="8"/>
  <c r="CT13" i="8"/>
  <c r="CI13" i="8"/>
  <c r="BX13" i="8"/>
  <c r="BL13" i="8"/>
  <c r="BA13" i="8"/>
  <c r="AP13" i="8"/>
  <c r="AG13" i="8"/>
  <c r="AR13" i="8" s="1"/>
  <c r="BC13" i="8" s="1"/>
  <c r="BN13" i="8" s="1"/>
  <c r="BZ13" i="8" s="1"/>
  <c r="AE13" i="8"/>
  <c r="Q13" i="8"/>
  <c r="N13" i="8"/>
  <c r="L13" i="8"/>
  <c r="H13" i="8"/>
  <c r="CU13" i="8" s="1"/>
  <c r="G13" i="8"/>
  <c r="DL12" i="8"/>
  <c r="DE12" i="8"/>
  <c r="CT12" i="8"/>
  <c r="CI12" i="8"/>
  <c r="BX12" i="8"/>
  <c r="BL12" i="8"/>
  <c r="BA12" i="8"/>
  <c r="AP12" i="8"/>
  <c r="AG12" i="8"/>
  <c r="AR12" i="8" s="1"/>
  <c r="BC12" i="8" s="1"/>
  <c r="BN12" i="8" s="1"/>
  <c r="BZ12" i="8" s="1"/>
  <c r="AE12" i="8"/>
  <c r="Q12" i="8"/>
  <c r="N12" i="8"/>
  <c r="L12" i="8"/>
  <c r="H12" i="8"/>
  <c r="DF12" i="8" s="1"/>
  <c r="G12" i="8"/>
  <c r="DL11" i="8"/>
  <c r="DF11" i="8"/>
  <c r="DE11" i="8"/>
  <c r="CT11" i="8"/>
  <c r="CI11" i="8"/>
  <c r="CJ11" i="8" s="1"/>
  <c r="BX11" i="8"/>
  <c r="BY11" i="8" s="1"/>
  <c r="BL11" i="8"/>
  <c r="BB11" i="8"/>
  <c r="BA11" i="8"/>
  <c r="AR11" i="8"/>
  <c r="BC11" i="8" s="1"/>
  <c r="BN11" i="8" s="1"/>
  <c r="BZ11" i="8" s="1"/>
  <c r="AP11" i="8"/>
  <c r="AF11" i="8"/>
  <c r="AE11" i="8"/>
  <c r="Q11" i="8"/>
  <c r="AG11" i="8" s="1"/>
  <c r="N11" i="8"/>
  <c r="L11" i="8"/>
  <c r="H11" i="8"/>
  <c r="G11" i="8"/>
  <c r="I11" i="8" s="1"/>
  <c r="P11" i="8" s="1"/>
  <c r="T11" i="8" s="1"/>
  <c r="DL10" i="8"/>
  <c r="DE10" i="8"/>
  <c r="CT10" i="8"/>
  <c r="CI10" i="8"/>
  <c r="BX10" i="8"/>
  <c r="BL10" i="8"/>
  <c r="BA10" i="8"/>
  <c r="AP10" i="8"/>
  <c r="AG10" i="8"/>
  <c r="AR10" i="8" s="1"/>
  <c r="BC10" i="8" s="1"/>
  <c r="BN10" i="8" s="1"/>
  <c r="BZ10" i="8" s="1"/>
  <c r="AE10" i="8"/>
  <c r="Q10" i="8"/>
  <c r="N10" i="8"/>
  <c r="L10" i="8"/>
  <c r="H10" i="8"/>
  <c r="G10" i="8"/>
  <c r="DL9" i="8"/>
  <c r="DE9" i="8"/>
  <c r="DF9" i="8" s="1"/>
  <c r="CT9" i="8"/>
  <c r="CJ9" i="8"/>
  <c r="CI9" i="8"/>
  <c r="BY9" i="8"/>
  <c r="BX9" i="8"/>
  <c r="BL9" i="8"/>
  <c r="BA9" i="8"/>
  <c r="BB9" i="8" s="1"/>
  <c r="AP9" i="8"/>
  <c r="AF9" i="8"/>
  <c r="AE9" i="8"/>
  <c r="Q9" i="8"/>
  <c r="AG9" i="8" s="1"/>
  <c r="AR9" i="8" s="1"/>
  <c r="BC9" i="8" s="1"/>
  <c r="BN9" i="8" s="1"/>
  <c r="BZ9" i="8" s="1"/>
  <c r="N9" i="8"/>
  <c r="L9" i="8"/>
  <c r="H9" i="8"/>
  <c r="CU9" i="8" s="1"/>
  <c r="G9" i="8"/>
  <c r="I9" i="8" s="1"/>
  <c r="P9" i="8" s="1"/>
  <c r="T9" i="8" s="1"/>
  <c r="U9" i="8" s="1"/>
  <c r="DL8" i="8"/>
  <c r="DE8" i="8"/>
  <c r="DE48" i="8" s="1"/>
  <c r="CT8" i="8"/>
  <c r="CI8" i="8"/>
  <c r="CI48" i="8" s="1"/>
  <c r="BX8" i="8"/>
  <c r="BM8" i="8"/>
  <c r="BL8" i="8"/>
  <c r="BA8" i="8"/>
  <c r="AP8" i="8"/>
  <c r="AQ8" i="8" s="1"/>
  <c r="AG8" i="8"/>
  <c r="AE8" i="8"/>
  <c r="Q8" i="8"/>
  <c r="N8" i="8"/>
  <c r="L8" i="8"/>
  <c r="L48" i="8" s="1"/>
  <c r="H8" i="8"/>
  <c r="G8" i="8"/>
  <c r="AH41" i="8" l="1"/>
  <c r="DI45" i="8"/>
  <c r="DJ45" i="8" s="1"/>
  <c r="CU11" i="8"/>
  <c r="AH14" i="8"/>
  <c r="AH16" i="8"/>
  <c r="CU18" i="8"/>
  <c r="DF20" i="8"/>
  <c r="AH29" i="8"/>
  <c r="DF30" i="8"/>
  <c r="DI31" i="8"/>
  <c r="DJ31" i="8" s="1"/>
  <c r="DI47" i="8"/>
  <c r="AP10" i="9"/>
  <c r="CI10" i="9"/>
  <c r="AE10" i="10"/>
  <c r="BA10" i="10"/>
  <c r="BX10" i="10"/>
  <c r="CT10" i="10"/>
  <c r="AZ23" i="11"/>
  <c r="CU22" i="11"/>
  <c r="CK10" i="11"/>
  <c r="CK12" i="11"/>
  <c r="AI13" i="11"/>
  <c r="AT13" i="11"/>
  <c r="BE13" i="11" s="1"/>
  <c r="BP13" i="11" s="1"/>
  <c r="CB13" i="11" s="1"/>
  <c r="CK9" i="11"/>
  <c r="CK11" i="11"/>
  <c r="CK13" i="11"/>
  <c r="CA13" i="11"/>
  <c r="AG23" i="11"/>
  <c r="AR8" i="11"/>
  <c r="DF9" i="11"/>
  <c r="CJ9" i="11"/>
  <c r="BY9" i="11"/>
  <c r="CA9" i="11" s="1"/>
  <c r="BB9" i="11"/>
  <c r="AF9" i="11"/>
  <c r="I9" i="11"/>
  <c r="P9" i="11" s="1"/>
  <c r="AH9" i="11"/>
  <c r="CU9" i="11"/>
  <c r="DF11" i="11"/>
  <c r="CJ11" i="11"/>
  <c r="BY11" i="11"/>
  <c r="CA11" i="11" s="1"/>
  <c r="BB11" i="11"/>
  <c r="AF11" i="11"/>
  <c r="I11" i="11"/>
  <c r="P11" i="11" s="1"/>
  <c r="AH11" i="11"/>
  <c r="CU11" i="11"/>
  <c r="CU14" i="11"/>
  <c r="BM14" i="11"/>
  <c r="AQ14" i="11"/>
  <c r="I14" i="11"/>
  <c r="DF14" i="11"/>
  <c r="CJ14" i="11"/>
  <c r="BY14" i="11"/>
  <c r="BC14" i="11"/>
  <c r="BN14" i="11" s="1"/>
  <c r="BZ14" i="11" s="1"/>
  <c r="AS14" i="11"/>
  <c r="AT14" i="11" s="1"/>
  <c r="BB14" i="11"/>
  <c r="CA16" i="11"/>
  <c r="CK16" i="11"/>
  <c r="CK17" i="11"/>
  <c r="CK20" i="11"/>
  <c r="DF8" i="11"/>
  <c r="CJ8" i="11"/>
  <c r="BY8" i="11"/>
  <c r="BB8" i="11"/>
  <c r="AF8" i="11"/>
  <c r="I8" i="11"/>
  <c r="P8" i="11" s="1"/>
  <c r="AE23" i="11"/>
  <c r="AP23" i="11"/>
  <c r="BA23" i="11"/>
  <c r="BX23" i="11"/>
  <c r="CU8" i="11"/>
  <c r="AQ9" i="11"/>
  <c r="BM9" i="11"/>
  <c r="DF10" i="11"/>
  <c r="CJ10" i="11"/>
  <c r="BY10" i="11"/>
  <c r="CA10" i="11" s="1"/>
  <c r="BB10" i="11"/>
  <c r="AF10" i="11"/>
  <c r="I10" i="11"/>
  <c r="P10" i="11" s="1"/>
  <c r="AH10" i="11"/>
  <c r="CU10" i="11"/>
  <c r="AQ11" i="11"/>
  <c r="BM11" i="11"/>
  <c r="DF12" i="11"/>
  <c r="CJ12" i="11"/>
  <c r="BY12" i="11"/>
  <c r="CA12" i="11" s="1"/>
  <c r="BB12" i="11"/>
  <c r="AF12" i="11"/>
  <c r="I12" i="11"/>
  <c r="P12" i="11" s="1"/>
  <c r="AH12" i="11"/>
  <c r="CU12" i="11"/>
  <c r="CU13" i="11"/>
  <c r="CK22" i="11"/>
  <c r="CA22" i="11"/>
  <c r="CV19" i="11"/>
  <c r="DG19" i="11" s="1"/>
  <c r="CL19" i="11"/>
  <c r="CM19" i="11" s="1"/>
  <c r="CU21" i="11"/>
  <c r="BM21" i="11"/>
  <c r="AQ21" i="11"/>
  <c r="DF21" i="11"/>
  <c r="CJ21" i="11"/>
  <c r="BY21" i="11"/>
  <c r="CA21" i="11" s="1"/>
  <c r="BB21" i="11"/>
  <c r="AF21" i="11"/>
  <c r="AH21" i="11" s="1"/>
  <c r="I21" i="11"/>
  <c r="P21" i="11" s="1"/>
  <c r="BL23" i="11"/>
  <c r="CT23" i="11"/>
  <c r="AQ13" i="11"/>
  <c r="AS13" i="11" s="1"/>
  <c r="BM13" i="11"/>
  <c r="DF15" i="11"/>
  <c r="CJ15" i="11"/>
  <c r="BY15" i="11"/>
  <c r="BB15" i="11"/>
  <c r="I15" i="11"/>
  <c r="BN15" i="11"/>
  <c r="BZ15" i="11" s="1"/>
  <c r="BD15" i="11"/>
  <c r="BM15" i="11"/>
  <c r="BE16" i="11"/>
  <c r="U17" i="11"/>
  <c r="R17" i="11"/>
  <c r="S17" i="11" s="1"/>
  <c r="CV18" i="11"/>
  <c r="DG18" i="11" s="1"/>
  <c r="CL18" i="11"/>
  <c r="CM18" i="11" s="1"/>
  <c r="DF20" i="11"/>
  <c r="CJ20" i="11"/>
  <c r="BY20" i="11"/>
  <c r="CA20" i="11" s="1"/>
  <c r="BB20" i="11"/>
  <c r="AF20" i="11"/>
  <c r="I20" i="11"/>
  <c r="P20" i="11" s="1"/>
  <c r="AH20" i="11"/>
  <c r="CU20" i="11"/>
  <c r="CL21" i="11"/>
  <c r="R22" i="11"/>
  <c r="S22" i="11" s="1"/>
  <c r="AH22" i="11"/>
  <c r="U22" i="11"/>
  <c r="V22" i="11" s="1"/>
  <c r="AA22" i="11" s="1"/>
  <c r="AF17" i="11"/>
  <c r="AH17" i="11" s="1"/>
  <c r="AI17" i="11" s="1"/>
  <c r="AT17" i="11" s="1"/>
  <c r="BE17" i="11" s="1"/>
  <c r="BP17" i="11" s="1"/>
  <c r="CB17" i="11" s="1"/>
  <c r="BB17" i="11"/>
  <c r="BY17" i="11"/>
  <c r="CA17" i="11" s="1"/>
  <c r="CJ17" i="11"/>
  <c r="DL23" i="11"/>
  <c r="AQ22" i="11"/>
  <c r="BM22" i="11"/>
  <c r="CU8" i="10"/>
  <c r="CU10" i="10" s="1"/>
  <c r="BM8" i="10"/>
  <c r="AQ8" i="10"/>
  <c r="CK9" i="10"/>
  <c r="I8" i="10"/>
  <c r="P8" i="10" s="1"/>
  <c r="Q10" i="10"/>
  <c r="AG8" i="10"/>
  <c r="AF8" i="10"/>
  <c r="BB8" i="10"/>
  <c r="BY8" i="10"/>
  <c r="CJ8" i="10"/>
  <c r="DF8" i="10"/>
  <c r="I9" i="10"/>
  <c r="P9" i="10" s="1"/>
  <c r="T9" i="10" s="1"/>
  <c r="U9" i="10" s="1"/>
  <c r="AF9" i="10"/>
  <c r="AH9" i="10" s="1"/>
  <c r="BB9" i="10"/>
  <c r="BY9" i="10"/>
  <c r="CA9" i="10" s="1"/>
  <c r="CJ9" i="10"/>
  <c r="DF9" i="10"/>
  <c r="AQ9" i="10"/>
  <c r="BM9" i="10"/>
  <c r="CK9" i="9"/>
  <c r="CA9" i="9"/>
  <c r="CU8" i="9"/>
  <c r="CU10" i="9" s="1"/>
  <c r="BM8" i="9"/>
  <c r="AQ8" i="9"/>
  <c r="R9" i="9"/>
  <c r="S9" i="9" s="1"/>
  <c r="I8" i="9"/>
  <c r="P8" i="9" s="1"/>
  <c r="Q10" i="9"/>
  <c r="AG8" i="9"/>
  <c r="AF8" i="9"/>
  <c r="AF10" i="9" s="1"/>
  <c r="BB8" i="9"/>
  <c r="BB10" i="9" s="1"/>
  <c r="BY8" i="9"/>
  <c r="BY10" i="9" s="1"/>
  <c r="CJ8" i="9"/>
  <c r="CJ10" i="9" s="1"/>
  <c r="DF8" i="9"/>
  <c r="DF10" i="9" s="1"/>
  <c r="AH9" i="9"/>
  <c r="AQ9" i="9"/>
  <c r="BM9" i="9"/>
  <c r="CA10" i="8"/>
  <c r="CK10" i="8"/>
  <c r="CK9" i="8"/>
  <c r="CA9" i="8"/>
  <c r="CK11" i="8"/>
  <c r="CA11" i="8"/>
  <c r="AG48" i="8"/>
  <c r="AR8" i="8"/>
  <c r="AH9" i="8"/>
  <c r="DF10" i="8"/>
  <c r="CJ10" i="8"/>
  <c r="BY10" i="8"/>
  <c r="BB10" i="8"/>
  <c r="AF10" i="8"/>
  <c r="I10" i="8"/>
  <c r="P10" i="8" s="1"/>
  <c r="AH10" i="8"/>
  <c r="CU10" i="8"/>
  <c r="R11" i="8"/>
  <c r="S11" i="8" s="1"/>
  <c r="CA12" i="8"/>
  <c r="CK12" i="8"/>
  <c r="CK13" i="8"/>
  <c r="CA13" i="8"/>
  <c r="CK15" i="8"/>
  <c r="CA15" i="8"/>
  <c r="CK17" i="8"/>
  <c r="CK19" i="8"/>
  <c r="DF8" i="8"/>
  <c r="CJ8" i="8"/>
  <c r="BY8" i="8"/>
  <c r="BB8" i="8"/>
  <c r="AF8" i="8"/>
  <c r="I8" i="8"/>
  <c r="P8" i="8" s="1"/>
  <c r="AE48" i="8"/>
  <c r="BA48" i="8"/>
  <c r="BX48" i="8"/>
  <c r="CU8" i="8"/>
  <c r="R9" i="8"/>
  <c r="S9" i="8" s="1"/>
  <c r="AQ10" i="8"/>
  <c r="BM10" i="8"/>
  <c r="U11" i="8"/>
  <c r="V11" i="8" s="1"/>
  <c r="AA11" i="8" s="1"/>
  <c r="AH11" i="8"/>
  <c r="CA14" i="8"/>
  <c r="CK14" i="8"/>
  <c r="CA16" i="8"/>
  <c r="CK16" i="8"/>
  <c r="CK18" i="8"/>
  <c r="CA18" i="8"/>
  <c r="AQ12" i="8"/>
  <c r="BM12" i="8"/>
  <c r="CU12" i="8"/>
  <c r="I13" i="8"/>
  <c r="P13" i="8" s="1"/>
  <c r="AF13" i="8"/>
  <c r="AH13" i="8" s="1"/>
  <c r="BB13" i="8"/>
  <c r="BY13" i="8"/>
  <c r="CJ13" i="8"/>
  <c r="DF13" i="8"/>
  <c r="R14" i="8"/>
  <c r="S14" i="8" s="1"/>
  <c r="AQ14" i="8"/>
  <c r="BM14" i="8"/>
  <c r="I15" i="8"/>
  <c r="P15" i="8" s="1"/>
  <c r="AF15" i="8"/>
  <c r="AH15" i="8" s="1"/>
  <c r="BB15" i="8"/>
  <c r="BY15" i="8"/>
  <c r="CJ15" i="8"/>
  <c r="DF15" i="8"/>
  <c r="R16" i="8"/>
  <c r="S16" i="8" s="1"/>
  <c r="AQ16" i="8"/>
  <c r="BM16" i="8"/>
  <c r="I17" i="8"/>
  <c r="P17" i="8" s="1"/>
  <c r="AF17" i="8"/>
  <c r="AH17" i="8" s="1"/>
  <c r="BB17" i="8"/>
  <c r="BY17" i="8"/>
  <c r="CA17" i="8" s="1"/>
  <c r="CJ17" i="8"/>
  <c r="DF17" i="8"/>
  <c r="I18" i="8"/>
  <c r="P18" i="8" s="1"/>
  <c r="AF18" i="8"/>
  <c r="AH18" i="8" s="1"/>
  <c r="BB18" i="8"/>
  <c r="BY18" i="8"/>
  <c r="CJ18" i="8"/>
  <c r="DF18" i="8"/>
  <c r="I19" i="8"/>
  <c r="P19" i="8" s="1"/>
  <c r="AF19" i="8"/>
  <c r="AH19" i="8" s="1"/>
  <c r="CK24" i="8"/>
  <c r="CK26" i="8"/>
  <c r="CK28" i="8"/>
  <c r="N48" i="8"/>
  <c r="Q48" i="8"/>
  <c r="AH8" i="8"/>
  <c r="AP48" i="8"/>
  <c r="BL48" i="8"/>
  <c r="CT48" i="8"/>
  <c r="AQ9" i="8"/>
  <c r="BM9" i="8"/>
  <c r="AQ11" i="8"/>
  <c r="BM11" i="8"/>
  <c r="I12" i="8"/>
  <c r="P12" i="8" s="1"/>
  <c r="AF12" i="8"/>
  <c r="AH12" i="8" s="1"/>
  <c r="BB12" i="8"/>
  <c r="BY12" i="8"/>
  <c r="CJ12" i="8"/>
  <c r="AQ13" i="8"/>
  <c r="BM13" i="8"/>
  <c r="U14" i="8"/>
  <c r="V14" i="8" s="1"/>
  <c r="AA14" i="8" s="1"/>
  <c r="AQ15" i="8"/>
  <c r="BM15" i="8"/>
  <c r="U16" i="8"/>
  <c r="V16" i="8" s="1"/>
  <c r="AA16" i="8" s="1"/>
  <c r="AQ17" i="8"/>
  <c r="BM17" i="8"/>
  <c r="AQ18" i="8"/>
  <c r="BM18" i="8"/>
  <c r="CU19" i="8"/>
  <c r="BM19" i="8"/>
  <c r="AQ19" i="8"/>
  <c r="BY19" i="8"/>
  <c r="CA19" i="8" s="1"/>
  <c r="CJ19" i="8"/>
  <c r="DF19" i="8"/>
  <c r="CK20" i="8"/>
  <c r="CK21" i="8"/>
  <c r="CK22" i="8"/>
  <c r="CK23" i="8"/>
  <c r="CA23" i="8"/>
  <c r="CK25" i="8"/>
  <c r="CA25" i="8"/>
  <c r="CK27" i="8"/>
  <c r="CA27" i="8"/>
  <c r="AQ20" i="8"/>
  <c r="BM20" i="8"/>
  <c r="CU20" i="8"/>
  <c r="I21" i="8"/>
  <c r="P21" i="8" s="1"/>
  <c r="T21" i="8" s="1"/>
  <c r="U21" i="8" s="1"/>
  <c r="AF21" i="8"/>
  <c r="AH21" i="8" s="1"/>
  <c r="BB21" i="8"/>
  <c r="BY21" i="8"/>
  <c r="CA21" i="8" s="1"/>
  <c r="CJ21" i="8"/>
  <c r="DF21" i="8"/>
  <c r="DF22" i="8"/>
  <c r="CJ22" i="8"/>
  <c r="BY22" i="8"/>
  <c r="CA22" i="8" s="1"/>
  <c r="AQ22" i="8"/>
  <c r="BM22" i="8"/>
  <c r="CU22" i="8"/>
  <c r="R23" i="8"/>
  <c r="S23" i="8" s="1"/>
  <c r="AQ24" i="8"/>
  <c r="AH25" i="8"/>
  <c r="DF26" i="8"/>
  <c r="CJ26" i="8"/>
  <c r="BY26" i="8"/>
  <c r="CA26" i="8" s="1"/>
  <c r="BB26" i="8"/>
  <c r="AF26" i="8"/>
  <c r="I26" i="8"/>
  <c r="P26" i="8" s="1"/>
  <c r="AH26" i="8"/>
  <c r="CU26" i="8"/>
  <c r="R27" i="8"/>
  <c r="S27" i="8" s="1"/>
  <c r="AQ28" i="8"/>
  <c r="DM31" i="8"/>
  <c r="CA32" i="8"/>
  <c r="CK32" i="8"/>
  <c r="CC32" i="8"/>
  <c r="CM32" i="8"/>
  <c r="CK33" i="8"/>
  <c r="CK35" i="8"/>
  <c r="CA35" i="8"/>
  <c r="I20" i="8"/>
  <c r="P20" i="8" s="1"/>
  <c r="T20" i="8" s="1"/>
  <c r="U20" i="8" s="1"/>
  <c r="AF20" i="8"/>
  <c r="AH20" i="8" s="1"/>
  <c r="BB20" i="8"/>
  <c r="BY20" i="8"/>
  <c r="CA20" i="8" s="1"/>
  <c r="CJ20" i="8"/>
  <c r="AQ21" i="8"/>
  <c r="BM21" i="8"/>
  <c r="I22" i="8"/>
  <c r="P22" i="8" s="1"/>
  <c r="T22" i="8" s="1"/>
  <c r="U22" i="8" s="1"/>
  <c r="AF22" i="8"/>
  <c r="AH22" i="8" s="1"/>
  <c r="BB22" i="8"/>
  <c r="AH23" i="8"/>
  <c r="DF24" i="8"/>
  <c r="CJ24" i="8"/>
  <c r="BY24" i="8"/>
  <c r="CA24" i="8" s="1"/>
  <c r="BB24" i="8"/>
  <c r="AF24" i="8"/>
  <c r="I24" i="8"/>
  <c r="P24" i="8" s="1"/>
  <c r="AH24" i="8"/>
  <c r="CU24" i="8"/>
  <c r="R25" i="8"/>
  <c r="S25" i="8" s="1"/>
  <c r="AQ26" i="8"/>
  <c r="BM26" i="8"/>
  <c r="AH27" i="8"/>
  <c r="CU28" i="8"/>
  <c r="DF28" i="8"/>
  <c r="CJ28" i="8"/>
  <c r="BY28" i="8"/>
  <c r="CA28" i="8" s="1"/>
  <c r="BB28" i="8"/>
  <c r="AF28" i="8"/>
  <c r="I28" i="8"/>
  <c r="P28" i="8" s="1"/>
  <c r="AH28" i="8"/>
  <c r="CA29" i="8"/>
  <c r="CK29" i="8"/>
  <c r="DN31" i="8"/>
  <c r="CK34" i="8"/>
  <c r="CK36" i="8"/>
  <c r="AQ23" i="8"/>
  <c r="BM23" i="8"/>
  <c r="AQ25" i="8"/>
  <c r="BM25" i="8"/>
  <c r="AQ27" i="8"/>
  <c r="BM27" i="8"/>
  <c r="R29" i="8"/>
  <c r="S29" i="8" s="1"/>
  <c r="AQ29" i="8"/>
  <c r="BM29" i="8"/>
  <c r="AR30" i="8"/>
  <c r="BC30" i="8" s="1"/>
  <c r="BN30" i="8" s="1"/>
  <c r="BZ30" i="8" s="1"/>
  <c r="BB30" i="8"/>
  <c r="BY30" i="8"/>
  <c r="CJ30" i="8"/>
  <c r="I32" i="8"/>
  <c r="P32" i="8" s="1"/>
  <c r="AF32" i="8"/>
  <c r="AH32" i="8" s="1"/>
  <c r="BB32" i="8"/>
  <c r="BM32" i="8"/>
  <c r="CU32" i="8"/>
  <c r="I33" i="8"/>
  <c r="P33" i="8" s="1"/>
  <c r="AF33" i="8"/>
  <c r="AH33" i="8" s="1"/>
  <c r="BB33" i="8"/>
  <c r="BY33" i="8"/>
  <c r="CA33" i="8" s="1"/>
  <c r="CJ33" i="8"/>
  <c r="DF33" i="8"/>
  <c r="DF34" i="8"/>
  <c r="CJ34" i="8"/>
  <c r="BY34" i="8"/>
  <c r="CA34" i="8" s="1"/>
  <c r="BB34" i="8"/>
  <c r="AF34" i="8"/>
  <c r="I34" i="8"/>
  <c r="P34" i="8" s="1"/>
  <c r="AH34" i="8"/>
  <c r="CU34" i="8"/>
  <c r="R35" i="8"/>
  <c r="S35" i="8" s="1"/>
  <c r="AQ36" i="8"/>
  <c r="CK37" i="8"/>
  <c r="CA37" i="8"/>
  <c r="CK38" i="8"/>
  <c r="CA38" i="8"/>
  <c r="U29" i="8"/>
  <c r="V29" i="8" s="1"/>
  <c r="AA29" i="8" s="1"/>
  <c r="DL30" i="8"/>
  <c r="AQ32" i="8"/>
  <c r="BY32" i="8"/>
  <c r="CJ32" i="8"/>
  <c r="AQ33" i="8"/>
  <c r="BM33" i="8"/>
  <c r="AH35" i="8"/>
  <c r="DF36" i="8"/>
  <c r="CJ36" i="8"/>
  <c r="BY36" i="8"/>
  <c r="CA36" i="8" s="1"/>
  <c r="BB36" i="8"/>
  <c r="AF36" i="8"/>
  <c r="I36" i="8"/>
  <c r="P36" i="8" s="1"/>
  <c r="AH36" i="8"/>
  <c r="CU36" i="8"/>
  <c r="R38" i="8"/>
  <c r="S38" i="8" s="1"/>
  <c r="AQ35" i="8"/>
  <c r="BM35" i="8"/>
  <c r="I37" i="8"/>
  <c r="P37" i="8" s="1"/>
  <c r="T37" i="8" s="1"/>
  <c r="U37" i="8" s="1"/>
  <c r="AF37" i="8"/>
  <c r="AH37" i="8" s="1"/>
  <c r="BB37" i="8"/>
  <c r="BY37" i="8"/>
  <c r="CJ37" i="8"/>
  <c r="DF37" i="8"/>
  <c r="U38" i="8"/>
  <c r="V38" i="8" s="1"/>
  <c r="AA38" i="8" s="1"/>
  <c r="AH38" i="8"/>
  <c r="DF38" i="8"/>
  <c r="CU39" i="8"/>
  <c r="BM39" i="8"/>
  <c r="R39" i="8"/>
  <c r="AF39" i="8"/>
  <c r="AH39" i="8" s="1"/>
  <c r="AR39" i="8"/>
  <c r="BC39" i="8" s="1"/>
  <c r="BN39" i="8" s="1"/>
  <c r="BZ39" i="8" s="1"/>
  <c r="BB39" i="8"/>
  <c r="BY39" i="8"/>
  <c r="CJ39" i="8"/>
  <c r="DF39" i="8"/>
  <c r="CK40" i="8"/>
  <c r="CA41" i="8"/>
  <c r="CK41" i="8"/>
  <c r="AQ37" i="8"/>
  <c r="BM37" i="8"/>
  <c r="AQ38" i="8"/>
  <c r="BM38" i="8"/>
  <c r="I39" i="8"/>
  <c r="AQ39" i="8"/>
  <c r="AS39" i="8" s="1"/>
  <c r="CU40" i="8"/>
  <c r="BM40" i="8"/>
  <c r="DF40" i="8"/>
  <c r="CJ40" i="8"/>
  <c r="BY40" i="8"/>
  <c r="CA40" i="8" s="1"/>
  <c r="BB40" i="8"/>
  <c r="AF40" i="8"/>
  <c r="I40" i="8"/>
  <c r="P40" i="8" s="1"/>
  <c r="AH40" i="8"/>
  <c r="CK42" i="8"/>
  <c r="R41" i="8"/>
  <c r="S41" i="8" s="1"/>
  <c r="AQ41" i="8"/>
  <c r="BM41" i="8"/>
  <c r="I42" i="8"/>
  <c r="P42" i="8" s="1"/>
  <c r="T42" i="8" s="1"/>
  <c r="U42" i="8" s="1"/>
  <c r="AH42" i="8"/>
  <c r="DM47" i="8"/>
  <c r="DJ47" i="8"/>
  <c r="DL48" i="8"/>
  <c r="U41" i="8"/>
  <c r="V41" i="8" s="1"/>
  <c r="AA41" i="8" s="1"/>
  <c r="CU42" i="8"/>
  <c r="BM42" i="8"/>
  <c r="AQ42" i="8"/>
  <c r="DF42" i="8"/>
  <c r="CJ42" i="8"/>
  <c r="BY42" i="8"/>
  <c r="CA42" i="8" s="1"/>
  <c r="BB42" i="8"/>
  <c r="CN44" i="8"/>
  <c r="CP44" i="8" s="1"/>
  <c r="DM45" i="8"/>
  <c r="DN45" i="8" s="1"/>
  <c r="DM46" i="8"/>
  <c r="DN46" i="8" s="1"/>
  <c r="DJ46" i="8"/>
  <c r="DN47" i="8"/>
  <c r="CL43" i="8"/>
  <c r="CM43" i="8" s="1"/>
  <c r="D24" i="7"/>
  <c r="BM23" i="11" l="1"/>
  <c r="AQ48" i="8"/>
  <c r="BM48" i="8"/>
  <c r="R9" i="10"/>
  <c r="S9" i="10" s="1"/>
  <c r="AI9" i="10" s="1"/>
  <c r="AT9" i="10" s="1"/>
  <c r="BE9" i="10" s="1"/>
  <c r="BP9" i="10" s="1"/>
  <c r="CB9" i="10" s="1"/>
  <c r="AQ23" i="11"/>
  <c r="CC17" i="11"/>
  <c r="CM17" i="11"/>
  <c r="T20" i="11"/>
  <c r="U20" i="11" s="1"/>
  <c r="R20" i="11"/>
  <c r="S20" i="11" s="1"/>
  <c r="CN18" i="11"/>
  <c r="CP18" i="11" s="1"/>
  <c r="CA15" i="11"/>
  <c r="CK15" i="11"/>
  <c r="CN19" i="11"/>
  <c r="CP19" i="11" s="1"/>
  <c r="T12" i="11"/>
  <c r="U12" i="11" s="1"/>
  <c r="R12" i="11"/>
  <c r="S12" i="11" s="1"/>
  <c r="T10" i="11"/>
  <c r="U10" i="11" s="1"/>
  <c r="R10" i="11"/>
  <c r="S10" i="11" s="1"/>
  <c r="CU23" i="11"/>
  <c r="AF23" i="11"/>
  <c r="BY23" i="11"/>
  <c r="DF23" i="11"/>
  <c r="CV16" i="11"/>
  <c r="DG16" i="11" s="1"/>
  <c r="CL16" i="11"/>
  <c r="AU14" i="11"/>
  <c r="AW14" i="11" s="1"/>
  <c r="R11" i="11"/>
  <c r="S11" i="11" s="1"/>
  <c r="T11" i="11"/>
  <c r="U11" i="11" s="1"/>
  <c r="R9" i="11"/>
  <c r="S9" i="11" s="1"/>
  <c r="T9" i="11"/>
  <c r="U9" i="11" s="1"/>
  <c r="AR23" i="11"/>
  <c r="BC8" i="11"/>
  <c r="CV9" i="11"/>
  <c r="DG9" i="11" s="1"/>
  <c r="CL9" i="11"/>
  <c r="CM13" i="11"/>
  <c r="CC13" i="11"/>
  <c r="CV12" i="11"/>
  <c r="DG12" i="11" s="1"/>
  <c r="CL12" i="11"/>
  <c r="CV10" i="11"/>
  <c r="DG10" i="11" s="1"/>
  <c r="CL10" i="11"/>
  <c r="AS22" i="11"/>
  <c r="AI22" i="11"/>
  <c r="AT22" i="11" s="1"/>
  <c r="BE22" i="11" s="1"/>
  <c r="BP22" i="11" s="1"/>
  <c r="CB22" i="11" s="1"/>
  <c r="V17" i="11"/>
  <c r="AA17" i="11" s="1"/>
  <c r="BF16" i="11"/>
  <c r="BH16" i="11" s="1"/>
  <c r="BE15" i="11"/>
  <c r="AH8" i="11"/>
  <c r="AH23" i="11" s="1"/>
  <c r="R21" i="11"/>
  <c r="S21" i="11" s="1"/>
  <c r="T21" i="11"/>
  <c r="U21" i="11" s="1"/>
  <c r="CL22" i="11"/>
  <c r="CV22" i="11"/>
  <c r="DG22" i="11" s="1"/>
  <c r="P23" i="11"/>
  <c r="T8" i="11"/>
  <c r="R8" i="11"/>
  <c r="BB23" i="11"/>
  <c r="CJ23" i="11"/>
  <c r="CV20" i="11"/>
  <c r="DG20" i="11" s="1"/>
  <c r="CL20" i="11"/>
  <c r="CV17" i="11"/>
  <c r="DG17" i="11" s="1"/>
  <c r="CL17" i="11"/>
  <c r="CK14" i="11"/>
  <c r="CA14" i="11"/>
  <c r="CV13" i="11"/>
  <c r="DG13" i="11" s="1"/>
  <c r="CL13" i="11"/>
  <c r="CV11" i="11"/>
  <c r="DG11" i="11" s="1"/>
  <c r="CL11" i="11"/>
  <c r="AJ13" i="11"/>
  <c r="AL13" i="11" s="1"/>
  <c r="DF10" i="10"/>
  <c r="BY10" i="10"/>
  <c r="AF10" i="10"/>
  <c r="AH8" i="10"/>
  <c r="AH10" i="10" s="1"/>
  <c r="BM10" i="10"/>
  <c r="CM9" i="10"/>
  <c r="CC9" i="10"/>
  <c r="CJ10" i="10"/>
  <c r="BB10" i="10"/>
  <c r="AG10" i="10"/>
  <c r="AR8" i="10"/>
  <c r="P10" i="10"/>
  <c r="T8" i="10"/>
  <c r="R8" i="10"/>
  <c r="CV9" i="10"/>
  <c r="DG9" i="10" s="1"/>
  <c r="CL9" i="10"/>
  <c r="AQ10" i="10"/>
  <c r="AG10" i="9"/>
  <c r="AR8" i="9"/>
  <c r="T8" i="9"/>
  <c r="P10" i="9"/>
  <c r="AQ10" i="9"/>
  <c r="CL9" i="9"/>
  <c r="CV9" i="9"/>
  <c r="DG9" i="9" s="1"/>
  <c r="AI9" i="9"/>
  <c r="AT9" i="9" s="1"/>
  <c r="BE9" i="9" s="1"/>
  <c r="BP9" i="9" s="1"/>
  <c r="CB9" i="9" s="1"/>
  <c r="AH8" i="9"/>
  <c r="AH10" i="9" s="1"/>
  <c r="R8" i="9"/>
  <c r="BM10" i="9"/>
  <c r="V9" i="9"/>
  <c r="AA9" i="9" s="1"/>
  <c r="AI39" i="8"/>
  <c r="AT39" i="8"/>
  <c r="BE39" i="8" s="1"/>
  <c r="BP39" i="8" s="1"/>
  <c r="CB39" i="8" s="1"/>
  <c r="CW44" i="8"/>
  <c r="CX44" i="8" s="1"/>
  <c r="CY44" i="8" s="1"/>
  <c r="DA44" i="8" s="1"/>
  <c r="DO47" i="8"/>
  <c r="CV42" i="8"/>
  <c r="DG42" i="8" s="1"/>
  <c r="CL42" i="8"/>
  <c r="R42" i="8"/>
  <c r="S42" i="8" s="1"/>
  <c r="CV41" i="8"/>
  <c r="DG41" i="8" s="1"/>
  <c r="CL41" i="8"/>
  <c r="CK39" i="8"/>
  <c r="CA39" i="8"/>
  <c r="AS38" i="8"/>
  <c r="AI38" i="8"/>
  <c r="AT38" i="8" s="1"/>
  <c r="BE38" i="8" s="1"/>
  <c r="BP38" i="8" s="1"/>
  <c r="CB38" i="8" s="1"/>
  <c r="R37" i="8"/>
  <c r="S37" i="8" s="1"/>
  <c r="T36" i="8"/>
  <c r="U36" i="8" s="1"/>
  <c r="R36" i="8"/>
  <c r="S36" i="8" s="1"/>
  <c r="AS29" i="8"/>
  <c r="R34" i="8"/>
  <c r="S34" i="8" s="1"/>
  <c r="T34" i="8"/>
  <c r="U34" i="8" s="1"/>
  <c r="V34" i="8" s="1"/>
  <c r="AA34" i="8" s="1"/>
  <c r="T33" i="8"/>
  <c r="U33" i="8" s="1"/>
  <c r="R33" i="8"/>
  <c r="S33" i="8" s="1"/>
  <c r="T32" i="8"/>
  <c r="U32" i="8" s="1"/>
  <c r="R32" i="8"/>
  <c r="S32" i="8" s="1"/>
  <c r="CK30" i="8"/>
  <c r="CA30" i="8"/>
  <c r="CV29" i="8"/>
  <c r="DG29" i="8" s="1"/>
  <c r="CL29" i="8"/>
  <c r="AI25" i="8"/>
  <c r="AT25" i="8" s="1"/>
  <c r="BE25" i="8" s="1"/>
  <c r="BP25" i="8" s="1"/>
  <c r="CB25" i="8" s="1"/>
  <c r="CL35" i="8"/>
  <c r="CV35" i="8"/>
  <c r="DG35" i="8" s="1"/>
  <c r="CV33" i="8"/>
  <c r="DG33" i="8" s="1"/>
  <c r="CL33" i="8"/>
  <c r="R26" i="8"/>
  <c r="S26" i="8" s="1"/>
  <c r="T26" i="8"/>
  <c r="U26" i="8" s="1"/>
  <c r="R20" i="8"/>
  <c r="S20" i="8" s="1"/>
  <c r="V20" i="8" s="1"/>
  <c r="AA20" i="8" s="1"/>
  <c r="CL27" i="8"/>
  <c r="CV27" i="8"/>
  <c r="DG27" i="8" s="1"/>
  <c r="V25" i="8"/>
  <c r="AA25" i="8" s="1"/>
  <c r="CL23" i="8"/>
  <c r="CV23" i="8"/>
  <c r="DG23" i="8" s="1"/>
  <c r="CV22" i="8"/>
  <c r="DG22" i="8" s="1"/>
  <c r="CL22" i="8"/>
  <c r="CV20" i="8"/>
  <c r="DG20" i="8" s="1"/>
  <c r="CL20" i="8"/>
  <c r="AS16" i="8"/>
  <c r="AH48" i="8"/>
  <c r="CV26" i="8"/>
  <c r="DG26" i="8" s="1"/>
  <c r="CL26" i="8"/>
  <c r="CV24" i="8"/>
  <c r="DG24" i="8" s="1"/>
  <c r="CL24" i="8"/>
  <c r="R21" i="8"/>
  <c r="S21" i="8" s="1"/>
  <c r="T19" i="8"/>
  <c r="U19" i="8" s="1"/>
  <c r="R19" i="8"/>
  <c r="S19" i="8" s="1"/>
  <c r="T17" i="8"/>
  <c r="U17" i="8" s="1"/>
  <c r="R17" i="8"/>
  <c r="S17" i="8" s="1"/>
  <c r="T15" i="8"/>
  <c r="U15" i="8" s="1"/>
  <c r="R15" i="8"/>
  <c r="S15" i="8" s="1"/>
  <c r="T13" i="8"/>
  <c r="U13" i="8" s="1"/>
  <c r="R13" i="8"/>
  <c r="S13" i="8" s="1"/>
  <c r="CV16" i="8"/>
  <c r="DG16" i="8" s="1"/>
  <c r="CL16" i="8"/>
  <c r="CV14" i="8"/>
  <c r="DG14" i="8" s="1"/>
  <c r="CL14" i="8"/>
  <c r="AI9" i="8"/>
  <c r="AT9" i="8" s="1"/>
  <c r="BE9" i="8" s="1"/>
  <c r="BP9" i="8" s="1"/>
  <c r="CB9" i="8" s="1"/>
  <c r="AF48" i="8"/>
  <c r="BY48" i="8"/>
  <c r="DF48" i="8"/>
  <c r="CV19" i="8"/>
  <c r="DG19" i="8" s="1"/>
  <c r="CL19" i="8"/>
  <c r="CV17" i="8"/>
  <c r="DG17" i="8" s="1"/>
  <c r="CL17" i="8"/>
  <c r="CV13" i="8"/>
  <c r="DG13" i="8" s="1"/>
  <c r="CL13" i="8"/>
  <c r="R10" i="8"/>
  <c r="S10" i="8" s="1"/>
  <c r="T10" i="8"/>
  <c r="U10" i="8" s="1"/>
  <c r="AR48" i="8"/>
  <c r="BC8" i="8"/>
  <c r="V9" i="8"/>
  <c r="AA9" i="8" s="1"/>
  <c r="CV10" i="8"/>
  <c r="DG10" i="8" s="1"/>
  <c r="CL10" i="8"/>
  <c r="CN43" i="8"/>
  <c r="CP43" i="8" s="1"/>
  <c r="DO46" i="8"/>
  <c r="DO45" i="8"/>
  <c r="AS41" i="8"/>
  <c r="AI41" i="8"/>
  <c r="AT41" i="8" s="1"/>
  <c r="BE41" i="8" s="1"/>
  <c r="BP41" i="8" s="1"/>
  <c r="CB41" i="8" s="1"/>
  <c r="T40" i="8"/>
  <c r="U40" i="8" s="1"/>
  <c r="R40" i="8"/>
  <c r="S40" i="8" s="1"/>
  <c r="CV40" i="8"/>
  <c r="DG40" i="8" s="1"/>
  <c r="CL40" i="8"/>
  <c r="AS30" i="8"/>
  <c r="AT30" i="8" s="1"/>
  <c r="CV38" i="8"/>
  <c r="DG38" i="8" s="1"/>
  <c r="CL38" i="8"/>
  <c r="CV37" i="8"/>
  <c r="DG37" i="8" s="1"/>
  <c r="CL37" i="8"/>
  <c r="AI35" i="8"/>
  <c r="AT35" i="8" s="1"/>
  <c r="BE35" i="8" s="1"/>
  <c r="BP35" i="8" s="1"/>
  <c r="CB35" i="8" s="1"/>
  <c r="AI29" i="8"/>
  <c r="AT29" i="8" s="1"/>
  <c r="BE29" i="8" s="1"/>
  <c r="BP29" i="8" s="1"/>
  <c r="CB29" i="8" s="1"/>
  <c r="CV36" i="8"/>
  <c r="DG36" i="8" s="1"/>
  <c r="CL36" i="8"/>
  <c r="CV34" i="8"/>
  <c r="DG34" i="8" s="1"/>
  <c r="CL34" i="8"/>
  <c r="T28" i="8"/>
  <c r="U28" i="8" s="1"/>
  <c r="V28" i="8" s="1"/>
  <c r="AA28" i="8" s="1"/>
  <c r="R28" i="8"/>
  <c r="S28" i="8" s="1"/>
  <c r="T24" i="8"/>
  <c r="U24" i="8" s="1"/>
  <c r="V24" i="8" s="1"/>
  <c r="AA24" i="8" s="1"/>
  <c r="R24" i="8"/>
  <c r="S24" i="8" s="1"/>
  <c r="V35" i="8"/>
  <c r="AA35" i="8" s="1"/>
  <c r="CX32" i="8"/>
  <c r="DI32" i="8" s="1"/>
  <c r="CN32" i="8"/>
  <c r="CP32" i="8" s="1"/>
  <c r="CV32" i="8"/>
  <c r="DG32" i="8" s="1"/>
  <c r="CL32" i="8"/>
  <c r="DO31" i="8"/>
  <c r="AI27" i="8"/>
  <c r="AT27" i="8" s="1"/>
  <c r="BE27" i="8" s="1"/>
  <c r="BP27" i="8" s="1"/>
  <c r="CB27" i="8" s="1"/>
  <c r="AI23" i="8"/>
  <c r="AT23" i="8" s="1"/>
  <c r="BE23" i="8" s="1"/>
  <c r="BP23" i="8" s="1"/>
  <c r="CB23" i="8" s="1"/>
  <c r="R22" i="8"/>
  <c r="S22" i="8" s="1"/>
  <c r="V27" i="8"/>
  <c r="AA27" i="8" s="1"/>
  <c r="CV25" i="8"/>
  <c r="DG25" i="8" s="1"/>
  <c r="CL25" i="8"/>
  <c r="V23" i="8"/>
  <c r="AA23" i="8" s="1"/>
  <c r="CV21" i="8"/>
  <c r="DG21" i="8" s="1"/>
  <c r="CL21" i="8"/>
  <c r="AS14" i="8"/>
  <c r="T12" i="8"/>
  <c r="U12" i="8" s="1"/>
  <c r="R12" i="8"/>
  <c r="S12" i="8" s="1"/>
  <c r="CV28" i="8"/>
  <c r="DG28" i="8" s="1"/>
  <c r="CL28" i="8"/>
  <c r="T18" i="8"/>
  <c r="U18" i="8" s="1"/>
  <c r="R18" i="8"/>
  <c r="S18" i="8" s="1"/>
  <c r="AI16" i="8"/>
  <c r="AT16" i="8" s="1"/>
  <c r="BE16" i="8" s="1"/>
  <c r="BP16" i="8" s="1"/>
  <c r="CB16" i="8" s="1"/>
  <c r="AI14" i="8"/>
  <c r="AT14" i="8" s="1"/>
  <c r="BE14" i="8" s="1"/>
  <c r="BP14" i="8" s="1"/>
  <c r="CB14" i="8" s="1"/>
  <c r="CV18" i="8"/>
  <c r="DG18" i="8" s="1"/>
  <c r="CL18" i="8"/>
  <c r="AS11" i="8"/>
  <c r="CU48" i="8"/>
  <c r="P48" i="8"/>
  <c r="T8" i="8"/>
  <c r="R8" i="8"/>
  <c r="BB48" i="8"/>
  <c r="CJ48" i="8"/>
  <c r="CV15" i="8"/>
  <c r="DG15" i="8" s="1"/>
  <c r="CL15" i="8"/>
  <c r="CV12" i="8"/>
  <c r="DG12" i="8" s="1"/>
  <c r="CL12" i="8"/>
  <c r="AI11" i="8"/>
  <c r="AT11" i="8" s="1"/>
  <c r="BE11" i="8" s="1"/>
  <c r="BP11" i="8" s="1"/>
  <c r="CB11" i="8" s="1"/>
  <c r="CL11" i="8"/>
  <c r="CV11" i="8"/>
  <c r="DG11" i="8" s="1"/>
  <c r="CV9" i="8"/>
  <c r="DG9" i="8" s="1"/>
  <c r="CL9" i="8"/>
  <c r="AJ11" i="8" l="1"/>
  <c r="AL11" i="8" s="1"/>
  <c r="V40" i="8"/>
  <c r="AA40" i="8" s="1"/>
  <c r="AS40" i="8" s="1"/>
  <c r="V26" i="8"/>
  <c r="AA26" i="8" s="1"/>
  <c r="AJ22" i="11"/>
  <c r="AL22" i="11" s="1"/>
  <c r="AU22" i="11" s="1"/>
  <c r="AW22" i="11" s="1"/>
  <c r="BF22" i="11" s="1"/>
  <c r="BH22" i="11" s="1"/>
  <c r="V9" i="11"/>
  <c r="AA9" i="11" s="1"/>
  <c r="V11" i="11"/>
  <c r="AA11" i="11" s="1"/>
  <c r="V20" i="11"/>
  <c r="AA20" i="11" s="1"/>
  <c r="V9" i="10"/>
  <c r="AA9" i="10" s="1"/>
  <c r="AU13" i="11"/>
  <c r="AW13" i="11" s="1"/>
  <c r="BF13" i="11" s="1"/>
  <c r="BH13" i="11" s="1"/>
  <c r="BD13" i="11"/>
  <c r="R23" i="11"/>
  <c r="S8" i="11"/>
  <c r="AI21" i="11"/>
  <c r="AT21" i="11" s="1"/>
  <c r="BE21" i="11" s="1"/>
  <c r="BP21" i="11" s="1"/>
  <c r="CB21" i="11" s="1"/>
  <c r="BF15" i="11"/>
  <c r="BH15" i="11" s="1"/>
  <c r="BD22" i="11"/>
  <c r="BC23" i="11"/>
  <c r="BN8" i="11"/>
  <c r="AS9" i="11"/>
  <c r="AS11" i="11"/>
  <c r="AI10" i="11"/>
  <c r="AT10" i="11" s="1"/>
  <c r="BE10" i="11" s="1"/>
  <c r="BP10" i="11" s="1"/>
  <c r="CB10" i="11" s="1"/>
  <c r="AI12" i="11"/>
  <c r="AT12" i="11" s="1"/>
  <c r="BE12" i="11" s="1"/>
  <c r="BP12" i="11" s="1"/>
  <c r="CB12" i="11" s="1"/>
  <c r="CW19" i="11"/>
  <c r="CX19" i="11" s="1"/>
  <c r="CY19" i="11"/>
  <c r="DA19" i="11" s="1"/>
  <c r="CV15" i="11"/>
  <c r="DG15" i="11" s="1"/>
  <c r="CL15" i="11"/>
  <c r="AS20" i="11"/>
  <c r="CX17" i="11"/>
  <c r="CN17" i="11"/>
  <c r="CP17" i="11" s="1"/>
  <c r="CV14" i="11"/>
  <c r="DG14" i="11" s="1"/>
  <c r="CL14" i="11"/>
  <c r="T23" i="11"/>
  <c r="U8" i="11"/>
  <c r="V21" i="11"/>
  <c r="AA21" i="11" s="1"/>
  <c r="BO16" i="11"/>
  <c r="BP16" i="11" s="1"/>
  <c r="BQ16" i="11" s="1"/>
  <c r="AJ17" i="11"/>
  <c r="AL17" i="11" s="1"/>
  <c r="AS17" i="11"/>
  <c r="CM22" i="11"/>
  <c r="CC22" i="11"/>
  <c r="CN13" i="11"/>
  <c r="CP13" i="11" s="1"/>
  <c r="CX13" i="11"/>
  <c r="AI9" i="11"/>
  <c r="AT9" i="11" s="1"/>
  <c r="BE9" i="11" s="1"/>
  <c r="BP9" i="11" s="1"/>
  <c r="CB9" i="11" s="1"/>
  <c r="AI11" i="11"/>
  <c r="AT11" i="11" s="1"/>
  <c r="BE11" i="11" s="1"/>
  <c r="BP11" i="11" s="1"/>
  <c r="CB11" i="11" s="1"/>
  <c r="BD14" i="11"/>
  <c r="BE14" i="11" s="1"/>
  <c r="BF14" i="11" s="1"/>
  <c r="BH14" i="11" s="1"/>
  <c r="V10" i="11"/>
  <c r="AA10" i="11" s="1"/>
  <c r="V12" i="11"/>
  <c r="AA12" i="11" s="1"/>
  <c r="CW18" i="11"/>
  <c r="CX18" i="11" s="1"/>
  <c r="CY18" i="11" s="1"/>
  <c r="DA18" i="11" s="1"/>
  <c r="AI20" i="11"/>
  <c r="AT20" i="11" s="1"/>
  <c r="BE20" i="11" s="1"/>
  <c r="BP20" i="11" s="1"/>
  <c r="CB20" i="11" s="1"/>
  <c r="R10" i="10"/>
  <c r="S8" i="10"/>
  <c r="CX9" i="10"/>
  <c r="DI9" i="10" s="1"/>
  <c r="CN9" i="10"/>
  <c r="CP9" i="10" s="1"/>
  <c r="T10" i="10"/>
  <c r="U8" i="10"/>
  <c r="AR10" i="10"/>
  <c r="BC8" i="10"/>
  <c r="CM9" i="9"/>
  <c r="CC9" i="9"/>
  <c r="BC8" i="9"/>
  <c r="AR10" i="9"/>
  <c r="AS9" i="9"/>
  <c r="AJ9" i="9"/>
  <c r="AL9" i="9" s="1"/>
  <c r="S8" i="9"/>
  <c r="R10" i="9"/>
  <c r="T10" i="9"/>
  <c r="U8" i="9"/>
  <c r="R48" i="8"/>
  <c r="S8" i="8"/>
  <c r="AU11" i="8"/>
  <c r="AW11" i="8" s="1"/>
  <c r="BF11" i="8" s="1"/>
  <c r="BH11" i="8" s="1"/>
  <c r="BD11" i="8"/>
  <c r="CC14" i="8"/>
  <c r="CM14" i="8"/>
  <c r="CC16" i="8"/>
  <c r="CM16" i="8"/>
  <c r="AI18" i="8"/>
  <c r="AT18" i="8" s="1"/>
  <c r="BE18" i="8" s="1"/>
  <c r="BP18" i="8" s="1"/>
  <c r="CB18" i="8" s="1"/>
  <c r="AI12" i="8"/>
  <c r="AT12" i="8" s="1"/>
  <c r="BE12" i="8" s="1"/>
  <c r="BP12" i="8" s="1"/>
  <c r="CB12" i="8" s="1"/>
  <c r="AS23" i="8"/>
  <c r="AJ23" i="8"/>
  <c r="AL23" i="8" s="1"/>
  <c r="AI22" i="8"/>
  <c r="AT22" i="8" s="1"/>
  <c r="BE22" i="8" s="1"/>
  <c r="BP22" i="8" s="1"/>
  <c r="CB22" i="8" s="1"/>
  <c r="CM23" i="8"/>
  <c r="CC23" i="8"/>
  <c r="CM27" i="8"/>
  <c r="CC27" i="8"/>
  <c r="CY32" i="8"/>
  <c r="DA32" i="8" s="1"/>
  <c r="CW32" i="8"/>
  <c r="AS35" i="8"/>
  <c r="AJ35" i="8"/>
  <c r="AL35" i="8" s="1"/>
  <c r="AS24" i="8"/>
  <c r="AS28" i="8"/>
  <c r="CM35" i="8"/>
  <c r="CC35" i="8"/>
  <c r="CW43" i="8"/>
  <c r="CX43" i="8" s="1"/>
  <c r="AS9" i="8"/>
  <c r="AJ9" i="8"/>
  <c r="AL9" i="8" s="1"/>
  <c r="AI10" i="8"/>
  <c r="AT10" i="8" s="1"/>
  <c r="BE10" i="8" s="1"/>
  <c r="BP10" i="8" s="1"/>
  <c r="CB10" i="8" s="1"/>
  <c r="AI13" i="8"/>
  <c r="AT13" i="8" s="1"/>
  <c r="BE13" i="8" s="1"/>
  <c r="BP13" i="8" s="1"/>
  <c r="CB13" i="8" s="1"/>
  <c r="AI15" i="8"/>
  <c r="AT15" i="8" s="1"/>
  <c r="BE15" i="8" s="1"/>
  <c r="BP15" i="8" s="1"/>
  <c r="CB15" i="8" s="1"/>
  <c r="AI17" i="8"/>
  <c r="AT17" i="8" s="1"/>
  <c r="BE17" i="8" s="1"/>
  <c r="BP17" i="8" s="1"/>
  <c r="CB17" i="8" s="1"/>
  <c r="AI19" i="8"/>
  <c r="AT19" i="8" s="1"/>
  <c r="BE19" i="8" s="1"/>
  <c r="BP19" i="8" s="1"/>
  <c r="CB19" i="8" s="1"/>
  <c r="AI21" i="8"/>
  <c r="AT21" i="8" s="1"/>
  <c r="BE21" i="8" s="1"/>
  <c r="BP21" i="8" s="1"/>
  <c r="CB21" i="8" s="1"/>
  <c r="AS25" i="8"/>
  <c r="AJ25" i="8"/>
  <c r="AL25" i="8" s="1"/>
  <c r="AS26" i="8"/>
  <c r="AI32" i="8"/>
  <c r="AT32" i="8" s="1"/>
  <c r="AI33" i="8"/>
  <c r="AT33" i="8" s="1"/>
  <c r="BE33" i="8" s="1"/>
  <c r="BP33" i="8" s="1"/>
  <c r="CB33" i="8" s="1"/>
  <c r="AS34" i="8"/>
  <c r="AI36" i="8"/>
  <c r="AT36" i="8" s="1"/>
  <c r="BE36" i="8" s="1"/>
  <c r="BP36" i="8" s="1"/>
  <c r="CB36" i="8" s="1"/>
  <c r="AI37" i="8"/>
  <c r="AT37" i="8" s="1"/>
  <c r="BE37" i="8" s="1"/>
  <c r="BP37" i="8" s="1"/>
  <c r="CB37" i="8" s="1"/>
  <c r="CM38" i="8"/>
  <c r="CC38" i="8"/>
  <c r="CL39" i="8"/>
  <c r="CV39" i="8"/>
  <c r="DG39" i="8" s="1"/>
  <c r="DH44" i="8"/>
  <c r="AS20" i="8"/>
  <c r="V37" i="8"/>
  <c r="AA37" i="8" s="1"/>
  <c r="AJ39" i="8"/>
  <c r="AL39" i="8" s="1"/>
  <c r="CM11" i="8"/>
  <c r="CC11" i="8"/>
  <c r="T48" i="8"/>
  <c r="U8" i="8"/>
  <c r="V18" i="8"/>
  <c r="AA18" i="8" s="1"/>
  <c r="V12" i="8"/>
  <c r="AA12" i="8" s="1"/>
  <c r="AJ14" i="8"/>
  <c r="AL14" i="8" s="1"/>
  <c r="AS27" i="8"/>
  <c r="AJ27" i="8"/>
  <c r="AL27" i="8" s="1"/>
  <c r="AI24" i="8"/>
  <c r="AT24" i="8" s="1"/>
  <c r="BE24" i="8" s="1"/>
  <c r="BP24" i="8" s="1"/>
  <c r="CB24" i="8" s="1"/>
  <c r="AI28" i="8"/>
  <c r="AT28" i="8" s="1"/>
  <c r="BE28" i="8" s="1"/>
  <c r="BP28" i="8" s="1"/>
  <c r="CB28" i="8" s="1"/>
  <c r="CC29" i="8"/>
  <c r="CM29" i="8"/>
  <c r="AU30" i="8"/>
  <c r="AW30" i="8" s="1"/>
  <c r="AI40" i="8"/>
  <c r="AT40" i="8" s="1"/>
  <c r="BE40" i="8" s="1"/>
  <c r="BP40" i="8" s="1"/>
  <c r="CB40" i="8" s="1"/>
  <c r="CC41" i="8"/>
  <c r="CM41" i="8"/>
  <c r="AJ41" i="8"/>
  <c r="AL41" i="8" s="1"/>
  <c r="BC48" i="8"/>
  <c r="BN8" i="8"/>
  <c r="V10" i="8"/>
  <c r="AA10" i="8" s="1"/>
  <c r="CM9" i="8"/>
  <c r="CC9" i="8"/>
  <c r="V13" i="8"/>
  <c r="AA13" i="8" s="1"/>
  <c r="V15" i="8"/>
  <c r="AA15" i="8" s="1"/>
  <c r="V17" i="8"/>
  <c r="AA17" i="8" s="1"/>
  <c r="V19" i="8"/>
  <c r="AA19" i="8" s="1"/>
  <c r="AJ16" i="8"/>
  <c r="AL16" i="8" s="1"/>
  <c r="AI20" i="8"/>
  <c r="AT20" i="8" s="1"/>
  <c r="BE20" i="8" s="1"/>
  <c r="BP20" i="8" s="1"/>
  <c r="CB20" i="8" s="1"/>
  <c r="AI26" i="8"/>
  <c r="AT26" i="8" s="1"/>
  <c r="BE26" i="8" s="1"/>
  <c r="BP26" i="8" s="1"/>
  <c r="CB26" i="8" s="1"/>
  <c r="CM25" i="8"/>
  <c r="CC25" i="8"/>
  <c r="CV30" i="8"/>
  <c r="DG30" i="8" s="1"/>
  <c r="CL30" i="8"/>
  <c r="V32" i="8"/>
  <c r="AA32" i="8" s="1"/>
  <c r="V33" i="8"/>
  <c r="AA33" i="8" s="1"/>
  <c r="AI34" i="8"/>
  <c r="AT34" i="8" s="1"/>
  <c r="BE34" i="8" s="1"/>
  <c r="BP34" i="8" s="1"/>
  <c r="CB34" i="8" s="1"/>
  <c r="AJ29" i="8"/>
  <c r="AL29" i="8" s="1"/>
  <c r="V36" i="8"/>
  <c r="AA36" i="8" s="1"/>
  <c r="AJ38" i="8"/>
  <c r="AL38" i="8" s="1"/>
  <c r="AI42" i="8"/>
  <c r="AT42" i="8" s="1"/>
  <c r="BE42" i="8" s="1"/>
  <c r="BP42" i="8" s="1"/>
  <c r="CB42" i="8" s="1"/>
  <c r="DI44" i="8"/>
  <c r="DJ44" i="8" s="1"/>
  <c r="V21" i="8"/>
  <c r="AA21" i="8" s="1"/>
  <c r="V22" i="8"/>
  <c r="AA22" i="8" s="1"/>
  <c r="CM39" i="8"/>
  <c r="CC39" i="8"/>
  <c r="V42" i="8"/>
  <c r="AA42" i="8" s="1"/>
  <c r="DH31" i="4"/>
  <c r="DI7" i="6"/>
  <c r="DJ7" i="6" s="1"/>
  <c r="DI8" i="6"/>
  <c r="DJ8" i="6" s="1"/>
  <c r="DI9" i="6"/>
  <c r="DJ9" i="6" s="1"/>
  <c r="DI10" i="6"/>
  <c r="DJ10" i="6" s="1"/>
  <c r="DI11" i="6"/>
  <c r="DJ11" i="6" s="1"/>
  <c r="DI12" i="6"/>
  <c r="DJ12" i="6" s="1"/>
  <c r="DI13" i="6"/>
  <c r="DJ13" i="6" s="1"/>
  <c r="DI14" i="6"/>
  <c r="DJ14" i="6" s="1"/>
  <c r="DI15" i="6"/>
  <c r="DJ15" i="6" s="1"/>
  <c r="DI16" i="6"/>
  <c r="DJ16" i="6" s="1"/>
  <c r="DI17" i="6"/>
  <c r="DJ17" i="6" s="1"/>
  <c r="DI18" i="6"/>
  <c r="DJ18" i="6" s="1"/>
  <c r="DI7" i="5"/>
  <c r="DJ7" i="5" s="1"/>
  <c r="DI8" i="5"/>
  <c r="DJ8" i="5" s="1"/>
  <c r="DI9" i="5"/>
  <c r="DJ9" i="5" s="1"/>
  <c r="DI10" i="5"/>
  <c r="DJ10" i="5" s="1"/>
  <c r="DI11" i="5"/>
  <c r="DJ11" i="5" s="1"/>
  <c r="DI12" i="5"/>
  <c r="DJ12" i="5" s="1"/>
  <c r="DI13" i="5"/>
  <c r="DJ13" i="5" s="1"/>
  <c r="DI7" i="4"/>
  <c r="DJ7" i="4" s="1"/>
  <c r="DI8" i="4"/>
  <c r="DJ8" i="4" s="1"/>
  <c r="DI9" i="4"/>
  <c r="DJ9" i="4" s="1"/>
  <c r="DI10" i="4"/>
  <c r="DJ10" i="4" s="1"/>
  <c r="DI11" i="4"/>
  <c r="DJ11" i="4" s="1"/>
  <c r="DI12" i="4"/>
  <c r="DJ12" i="4" s="1"/>
  <c r="DI13" i="4"/>
  <c r="DJ13" i="4" s="1"/>
  <c r="DI14" i="4"/>
  <c r="DJ14" i="4" s="1"/>
  <c r="DI15" i="4"/>
  <c r="DJ15" i="4" s="1"/>
  <c r="DI16" i="4"/>
  <c r="DJ16" i="4" s="1"/>
  <c r="DI17" i="4"/>
  <c r="DJ17" i="4" s="1"/>
  <c r="DI18" i="4"/>
  <c r="DJ18" i="4" s="1"/>
  <c r="DI19" i="4"/>
  <c r="DJ19" i="4" s="1"/>
  <c r="DI20" i="4"/>
  <c r="DJ20" i="4" s="1"/>
  <c r="DI21" i="4"/>
  <c r="DJ21" i="4" s="1"/>
  <c r="DI22" i="4"/>
  <c r="DJ22" i="4" s="1"/>
  <c r="DI23" i="4"/>
  <c r="DJ23" i="4" s="1"/>
  <c r="DI24" i="4"/>
  <c r="DJ24" i="4" s="1"/>
  <c r="DI25" i="4"/>
  <c r="DJ25" i="4" s="1"/>
  <c r="DI26" i="4"/>
  <c r="DJ26" i="4" s="1"/>
  <c r="DI27" i="4"/>
  <c r="DJ27" i="4" s="1"/>
  <c r="DI28" i="4"/>
  <c r="DJ28" i="4" s="1"/>
  <c r="DI30" i="4"/>
  <c r="DJ30" i="4" s="1"/>
  <c r="E11" i="7"/>
  <c r="D11" i="7"/>
  <c r="F11" i="7" s="1"/>
  <c r="DI19" i="6"/>
  <c r="DH19" i="6"/>
  <c r="DG19" i="6"/>
  <c r="E10" i="7"/>
  <c r="D10" i="7"/>
  <c r="F10" i="7" s="1"/>
  <c r="DI14" i="5"/>
  <c r="DH14" i="5"/>
  <c r="DG14" i="5"/>
  <c r="E8" i="7"/>
  <c r="D8" i="7"/>
  <c r="F8" i="7" s="1"/>
  <c r="AJ9" i="10" l="1"/>
  <c r="AL9" i="10" s="1"/>
  <c r="AS9" i="10"/>
  <c r="DM44" i="8"/>
  <c r="DN44" i="8" s="1"/>
  <c r="DO44" i="8" s="1"/>
  <c r="DH18" i="11"/>
  <c r="AJ10" i="11"/>
  <c r="AL10" i="11" s="1"/>
  <c r="AS10" i="11"/>
  <c r="BO14" i="11"/>
  <c r="CY13" i="11"/>
  <c r="DA13" i="11" s="1"/>
  <c r="CW13" i="11"/>
  <c r="CX22" i="11"/>
  <c r="DI22" i="11" s="1"/>
  <c r="CN22" i="11"/>
  <c r="CP22" i="11" s="1"/>
  <c r="DM22" i="11"/>
  <c r="DN22" i="11" s="1"/>
  <c r="BD17" i="11"/>
  <c r="AU17" i="11"/>
  <c r="AW17" i="11" s="1"/>
  <c r="BF17" i="11" s="1"/>
  <c r="BH17" i="11" s="1"/>
  <c r="U23" i="11"/>
  <c r="V8" i="11"/>
  <c r="CW17" i="11"/>
  <c r="CY17" i="11"/>
  <c r="DA17" i="11" s="1"/>
  <c r="DH19" i="11"/>
  <c r="CC12" i="11"/>
  <c r="CM12" i="11"/>
  <c r="CC10" i="11"/>
  <c r="CM10" i="11"/>
  <c r="BN23" i="11"/>
  <c r="BZ8" i="11"/>
  <c r="BO15" i="11"/>
  <c r="BP15" i="11" s="1"/>
  <c r="BQ15" i="11" s="1"/>
  <c r="BS15" i="11" s="1"/>
  <c r="S23" i="11"/>
  <c r="AI8" i="11"/>
  <c r="CC20" i="11"/>
  <c r="CM20" i="11"/>
  <c r="DI18" i="11"/>
  <c r="DJ18" i="11" s="1"/>
  <c r="DM18" i="11"/>
  <c r="DN18" i="11" s="1"/>
  <c r="AJ12" i="11"/>
  <c r="AL12" i="11" s="1"/>
  <c r="AS12" i="11"/>
  <c r="BP14" i="11"/>
  <c r="CB14" i="11" s="1"/>
  <c r="CC11" i="11"/>
  <c r="CM11" i="11"/>
  <c r="CC9" i="11"/>
  <c r="CM9" i="11"/>
  <c r="DI13" i="11"/>
  <c r="DM13" i="11"/>
  <c r="DN13" i="11" s="1"/>
  <c r="CB16" i="11"/>
  <c r="AS21" i="11"/>
  <c r="AJ21" i="11"/>
  <c r="AL21" i="11" s="1"/>
  <c r="DI17" i="11"/>
  <c r="DM17" i="11"/>
  <c r="DN17" i="11" s="1"/>
  <c r="AJ20" i="11"/>
  <c r="AL20" i="11" s="1"/>
  <c r="DI19" i="11"/>
  <c r="DM19" i="11" s="1"/>
  <c r="DN19" i="11" s="1"/>
  <c r="AJ11" i="11"/>
  <c r="AL11" i="11" s="1"/>
  <c r="AJ9" i="11"/>
  <c r="AL9" i="11" s="1"/>
  <c r="BQ22" i="11"/>
  <c r="BS22" i="11" s="1"/>
  <c r="BO22" i="11"/>
  <c r="CM21" i="11"/>
  <c r="CC21" i="11"/>
  <c r="BQ13" i="11"/>
  <c r="BS13" i="11" s="1"/>
  <c r="BO13" i="11"/>
  <c r="BC10" i="10"/>
  <c r="BN8" i="10"/>
  <c r="U10" i="10"/>
  <c r="V8" i="10"/>
  <c r="CY9" i="10"/>
  <c r="DA9" i="10" s="1"/>
  <c r="CW9" i="10"/>
  <c r="S10" i="10"/>
  <c r="AI8" i="10"/>
  <c r="AU9" i="9"/>
  <c r="AW9" i="9" s="1"/>
  <c r="BF9" i="9" s="1"/>
  <c r="BH9" i="9" s="1"/>
  <c r="BD9" i="9"/>
  <c r="U10" i="9"/>
  <c r="V8" i="9"/>
  <c r="S10" i="9"/>
  <c r="AI8" i="9"/>
  <c r="BC10" i="9"/>
  <c r="BN8" i="9"/>
  <c r="CX9" i="9"/>
  <c r="CN9" i="9"/>
  <c r="CP9" i="9" s="1"/>
  <c r="AJ22" i="8"/>
  <c r="AL22" i="8" s="1"/>
  <c r="AS22" i="8"/>
  <c r="CM42" i="8"/>
  <c r="CC42" i="8"/>
  <c r="AU38" i="8"/>
  <c r="AW38" i="8" s="1"/>
  <c r="BF38" i="8" s="1"/>
  <c r="BH38" i="8" s="1"/>
  <c r="BD38" i="8"/>
  <c r="AJ36" i="8"/>
  <c r="AL36" i="8" s="1"/>
  <c r="AS36" i="8"/>
  <c r="CC34" i="8"/>
  <c r="CM34" i="8"/>
  <c r="AS33" i="8"/>
  <c r="AJ33" i="8"/>
  <c r="AL33" i="8" s="1"/>
  <c r="CC26" i="8"/>
  <c r="CM26" i="8"/>
  <c r="CC20" i="8"/>
  <c r="CM20" i="8"/>
  <c r="BD16" i="8"/>
  <c r="AU16" i="8"/>
  <c r="AW16" i="8" s="1"/>
  <c r="BF16" i="8" s="1"/>
  <c r="BH16" i="8" s="1"/>
  <c r="AS17" i="8"/>
  <c r="AJ17" i="8"/>
  <c r="AL17" i="8" s="1"/>
  <c r="AS13" i="8"/>
  <c r="AJ13" i="8"/>
  <c r="AL13" i="8" s="1"/>
  <c r="CN9" i="8"/>
  <c r="CP9" i="8" s="1"/>
  <c r="CX9" i="8"/>
  <c r="DI9" i="8" s="1"/>
  <c r="BN48" i="8"/>
  <c r="BZ8" i="8"/>
  <c r="BD41" i="8"/>
  <c r="AU41" i="8"/>
  <c r="AW41" i="8" s="1"/>
  <c r="BF41" i="8" s="1"/>
  <c r="BH41" i="8" s="1"/>
  <c r="CX29" i="8"/>
  <c r="DI29" i="8" s="1"/>
  <c r="CN29" i="8"/>
  <c r="CP29" i="8" s="1"/>
  <c r="DM29" i="8"/>
  <c r="DN29" i="8" s="1"/>
  <c r="CM28" i="8"/>
  <c r="CC28" i="8"/>
  <c r="CC24" i="8"/>
  <c r="CM24" i="8"/>
  <c r="AU27" i="8"/>
  <c r="AW27" i="8" s="1"/>
  <c r="BF27" i="8" s="1"/>
  <c r="BH27" i="8" s="1"/>
  <c r="BD27" i="8"/>
  <c r="BD14" i="8"/>
  <c r="AU14" i="8"/>
  <c r="AW14" i="8" s="1"/>
  <c r="BF14" i="8" s="1"/>
  <c r="BH14" i="8" s="1"/>
  <c r="AS18" i="8"/>
  <c r="AJ18" i="8"/>
  <c r="AL18" i="8" s="1"/>
  <c r="CX11" i="8"/>
  <c r="DI11" i="8" s="1"/>
  <c r="CN11" i="8"/>
  <c r="CP11" i="8" s="1"/>
  <c r="DM11" i="8"/>
  <c r="DN11" i="8" s="1"/>
  <c r="CM37" i="8"/>
  <c r="CC37" i="8"/>
  <c r="AU25" i="8"/>
  <c r="AW25" i="8" s="1"/>
  <c r="BF25" i="8" s="1"/>
  <c r="BH25" i="8" s="1"/>
  <c r="BD25" i="8"/>
  <c r="CM19" i="8"/>
  <c r="CC19" i="8"/>
  <c r="CM17" i="8"/>
  <c r="CC17" i="8"/>
  <c r="CC10" i="8"/>
  <c r="CM10" i="8"/>
  <c r="AU9" i="8"/>
  <c r="AW9" i="8" s="1"/>
  <c r="BF9" i="8" s="1"/>
  <c r="BH9" i="8" s="1"/>
  <c r="BD9" i="8"/>
  <c r="DI43" i="8"/>
  <c r="DM43" i="8" s="1"/>
  <c r="DN43" i="8" s="1"/>
  <c r="AU35" i="8"/>
  <c r="AW35" i="8" s="1"/>
  <c r="BF35" i="8" s="1"/>
  <c r="BH35" i="8" s="1"/>
  <c r="BD35" i="8"/>
  <c r="CC22" i="8"/>
  <c r="CM22" i="8"/>
  <c r="AU23" i="8"/>
  <c r="AW23" i="8" s="1"/>
  <c r="BF23" i="8" s="1"/>
  <c r="BH23" i="8" s="1"/>
  <c r="BD23" i="8"/>
  <c r="CC12" i="8"/>
  <c r="CM12" i="8"/>
  <c r="CM18" i="8"/>
  <c r="CC18" i="8"/>
  <c r="CX16" i="8"/>
  <c r="DI16" i="8" s="1"/>
  <c r="CN16" i="8"/>
  <c r="CP16" i="8" s="1"/>
  <c r="CX14" i="8"/>
  <c r="CN14" i="8"/>
  <c r="CP14" i="8" s="1"/>
  <c r="S48" i="8"/>
  <c r="AI8" i="8"/>
  <c r="AS42" i="8"/>
  <c r="AJ42" i="8"/>
  <c r="AL42" i="8" s="1"/>
  <c r="CX39" i="8"/>
  <c r="CN39" i="8"/>
  <c r="CP39" i="8" s="1"/>
  <c r="AS21" i="8"/>
  <c r="AJ21" i="8"/>
  <c r="AL21" i="8" s="1"/>
  <c r="BD29" i="8"/>
  <c r="AU29" i="8"/>
  <c r="AW29" i="8" s="1"/>
  <c r="BF29" i="8" s="1"/>
  <c r="BH29" i="8" s="1"/>
  <c r="AS32" i="8"/>
  <c r="AJ32" i="8"/>
  <c r="AL32" i="8" s="1"/>
  <c r="CN25" i="8"/>
  <c r="CP25" i="8" s="1"/>
  <c r="CX25" i="8"/>
  <c r="DI25" i="8" s="1"/>
  <c r="AS19" i="8"/>
  <c r="AJ19" i="8"/>
  <c r="AL19" i="8" s="1"/>
  <c r="AS15" i="8"/>
  <c r="AJ15" i="8"/>
  <c r="AL15" i="8" s="1"/>
  <c r="AJ10" i="8"/>
  <c r="AL10" i="8" s="1"/>
  <c r="AS10" i="8"/>
  <c r="CX41" i="8"/>
  <c r="DI41" i="8" s="1"/>
  <c r="CN41" i="8"/>
  <c r="CP41" i="8" s="1"/>
  <c r="DM41" i="8"/>
  <c r="DN41" i="8" s="1"/>
  <c r="CM40" i="8"/>
  <c r="CC40" i="8"/>
  <c r="BD30" i="8"/>
  <c r="BE30" i="8" s="1"/>
  <c r="AJ12" i="8"/>
  <c r="AL12" i="8" s="1"/>
  <c r="AS12" i="8"/>
  <c r="U48" i="8"/>
  <c r="V8" i="8"/>
  <c r="AU39" i="8"/>
  <c r="AW39" i="8" s="1"/>
  <c r="BF39" i="8" s="1"/>
  <c r="BH39" i="8" s="1"/>
  <c r="BD39" i="8"/>
  <c r="AS37" i="8"/>
  <c r="AJ37" i="8"/>
  <c r="AL37" i="8" s="1"/>
  <c r="AJ20" i="8"/>
  <c r="AL20" i="8" s="1"/>
  <c r="CX38" i="8"/>
  <c r="CN38" i="8"/>
  <c r="CP38" i="8" s="1"/>
  <c r="CC36" i="8"/>
  <c r="CM36" i="8"/>
  <c r="AJ34" i="8"/>
  <c r="AL34" i="8" s="1"/>
  <c r="CM33" i="8"/>
  <c r="CC33" i="8"/>
  <c r="DM32" i="8"/>
  <c r="DN32" i="8" s="1"/>
  <c r="AJ26" i="8"/>
  <c r="AL26" i="8" s="1"/>
  <c r="CM21" i="8"/>
  <c r="CC21" i="8"/>
  <c r="CM15" i="8"/>
  <c r="CC15" i="8"/>
  <c r="CM13" i="8"/>
  <c r="CC13" i="8"/>
  <c r="CY43" i="8"/>
  <c r="DA43" i="8" s="1"/>
  <c r="AJ40" i="8"/>
  <c r="AL40" i="8" s="1"/>
  <c r="CX35" i="8"/>
  <c r="CN35" i="8"/>
  <c r="CP35" i="8" s="1"/>
  <c r="AJ28" i="8"/>
  <c r="AL28" i="8" s="1"/>
  <c r="AJ24" i="8"/>
  <c r="AL24" i="8" s="1"/>
  <c r="DJ32" i="8"/>
  <c r="DO32" i="8" s="1"/>
  <c r="DH32" i="8"/>
  <c r="CX27" i="8"/>
  <c r="CN27" i="8"/>
  <c r="CP27" i="8" s="1"/>
  <c r="CX23" i="8"/>
  <c r="CN23" i="8"/>
  <c r="CP23" i="8" s="1"/>
  <c r="BQ11" i="8"/>
  <c r="BS11" i="8" s="1"/>
  <c r="BO11" i="8"/>
  <c r="CW10" i="6"/>
  <c r="DE10" i="6"/>
  <c r="DE125" i="3"/>
  <c r="DE124" i="3"/>
  <c r="CS125" i="3"/>
  <c r="CS124" i="3"/>
  <c r="BD9" i="10" l="1"/>
  <c r="AU9" i="10"/>
  <c r="AW9" i="10" s="1"/>
  <c r="BF9" i="10" s="1"/>
  <c r="BH9" i="10" s="1"/>
  <c r="CN21" i="11"/>
  <c r="CP21" i="11" s="1"/>
  <c r="CX21" i="11"/>
  <c r="DI21" i="11" s="1"/>
  <c r="BD11" i="11"/>
  <c r="AU11" i="11"/>
  <c r="AW11" i="11" s="1"/>
  <c r="BF11" i="11" s="1"/>
  <c r="BH11" i="11" s="1"/>
  <c r="AU21" i="11"/>
  <c r="AW21" i="11" s="1"/>
  <c r="BF21" i="11" s="1"/>
  <c r="BH21" i="11" s="1"/>
  <c r="BD21" i="11"/>
  <c r="CX9" i="11"/>
  <c r="DI9" i="11" s="1"/>
  <c r="CN9" i="11"/>
  <c r="CP9" i="11" s="1"/>
  <c r="DM9" i="11"/>
  <c r="DN9" i="11" s="1"/>
  <c r="CX11" i="11"/>
  <c r="DI11" i="11" s="1"/>
  <c r="CN11" i="11"/>
  <c r="CP11" i="11" s="1"/>
  <c r="DM11" i="11"/>
  <c r="DN11" i="11" s="1"/>
  <c r="CX20" i="11"/>
  <c r="DI20" i="11" s="1"/>
  <c r="CN20" i="11"/>
  <c r="CP20" i="11" s="1"/>
  <c r="DM20" i="11"/>
  <c r="DN20" i="11" s="1"/>
  <c r="AI23" i="11"/>
  <c r="AT8" i="11"/>
  <c r="DJ19" i="11"/>
  <c r="CY22" i="11"/>
  <c r="DA22" i="11" s="1"/>
  <c r="CW22" i="11"/>
  <c r="BD9" i="11"/>
  <c r="AU9" i="11"/>
  <c r="AW9" i="11" s="1"/>
  <c r="BF9" i="11" s="1"/>
  <c r="BH9" i="11" s="1"/>
  <c r="BD20" i="11"/>
  <c r="AU20" i="11"/>
  <c r="AW20" i="11" s="1"/>
  <c r="BF20" i="11" s="1"/>
  <c r="BH20" i="11" s="1"/>
  <c r="CC16" i="11"/>
  <c r="CM16" i="11"/>
  <c r="CM14" i="11"/>
  <c r="CC14" i="11"/>
  <c r="BD12" i="11"/>
  <c r="AU12" i="11"/>
  <c r="AW12" i="11" s="1"/>
  <c r="BF12" i="11" s="1"/>
  <c r="BH12" i="11" s="1"/>
  <c r="CB15" i="11"/>
  <c r="CA8" i="11"/>
  <c r="CA23" i="11" s="1"/>
  <c r="BZ23" i="11"/>
  <c r="CK8" i="11"/>
  <c r="CX10" i="11"/>
  <c r="CN10" i="11"/>
  <c r="CP10" i="11" s="1"/>
  <c r="CX12" i="11"/>
  <c r="CN12" i="11"/>
  <c r="CP12" i="11" s="1"/>
  <c r="DJ17" i="11"/>
  <c r="DH17" i="11"/>
  <c r="V23" i="11"/>
  <c r="AA8" i="11"/>
  <c r="BQ17" i="11"/>
  <c r="BS17" i="11" s="1"/>
  <c r="BO17" i="11"/>
  <c r="DJ13" i="11"/>
  <c r="DH13" i="11"/>
  <c r="BQ14" i="11"/>
  <c r="BS14" i="11" s="1"/>
  <c r="BD10" i="11"/>
  <c r="AU10" i="11"/>
  <c r="AW10" i="11" s="1"/>
  <c r="BF10" i="11" s="1"/>
  <c r="BH10" i="11" s="1"/>
  <c r="AI10" i="10"/>
  <c r="AT8" i="10"/>
  <c r="V10" i="10"/>
  <c r="AA8" i="10"/>
  <c r="BN10" i="10"/>
  <c r="BZ8" i="10"/>
  <c r="DJ9" i="10"/>
  <c r="DH9" i="10"/>
  <c r="DI9" i="9"/>
  <c r="DM9" i="9" s="1"/>
  <c r="DN9" i="9" s="1"/>
  <c r="AI10" i="9"/>
  <c r="AT8" i="9"/>
  <c r="AA8" i="9"/>
  <c r="V10" i="9"/>
  <c r="CY9" i="9"/>
  <c r="DA9" i="9" s="1"/>
  <c r="CW9" i="9"/>
  <c r="BZ8" i="9"/>
  <c r="BN10" i="9"/>
  <c r="BQ9" i="9"/>
  <c r="BS9" i="9" s="1"/>
  <c r="BO9" i="9"/>
  <c r="DI23" i="8"/>
  <c r="DM23" i="8"/>
  <c r="DN23" i="8" s="1"/>
  <c r="DI27" i="8"/>
  <c r="DM27" i="8"/>
  <c r="DN27" i="8" s="1"/>
  <c r="BD28" i="8"/>
  <c r="AU28" i="8"/>
  <c r="AW28" i="8" s="1"/>
  <c r="BF28" i="8" s="1"/>
  <c r="BH28" i="8" s="1"/>
  <c r="DI35" i="8"/>
  <c r="DM35" i="8"/>
  <c r="DN35" i="8" s="1"/>
  <c r="DJ43" i="8"/>
  <c r="DO43" i="8" s="1"/>
  <c r="DH43" i="8"/>
  <c r="BD26" i="8"/>
  <c r="AU26" i="8"/>
  <c r="AW26" i="8" s="1"/>
  <c r="BF26" i="8" s="1"/>
  <c r="BH26" i="8" s="1"/>
  <c r="BD34" i="8"/>
  <c r="AU34" i="8"/>
  <c r="AW34" i="8" s="1"/>
  <c r="BF34" i="8" s="1"/>
  <c r="BH34" i="8" s="1"/>
  <c r="CY38" i="8"/>
  <c r="DA38" i="8" s="1"/>
  <c r="CW38" i="8"/>
  <c r="BD20" i="8"/>
  <c r="AU20" i="8"/>
  <c r="AW20" i="8" s="1"/>
  <c r="BF20" i="8" s="1"/>
  <c r="BH20" i="8" s="1"/>
  <c r="BQ39" i="8"/>
  <c r="BS39" i="8" s="1"/>
  <c r="BO39" i="8"/>
  <c r="BP30" i="8"/>
  <c r="CB30" i="8" s="1"/>
  <c r="BD10" i="8"/>
  <c r="AU10" i="8"/>
  <c r="AW10" i="8" s="1"/>
  <c r="BF10" i="8" s="1"/>
  <c r="BH10" i="8" s="1"/>
  <c r="AU32" i="8"/>
  <c r="AW32" i="8" s="1"/>
  <c r="BF32" i="8" s="1"/>
  <c r="BH32" i="8" s="1"/>
  <c r="BD32" i="8"/>
  <c r="AU21" i="8"/>
  <c r="AW21" i="8" s="1"/>
  <c r="BF21" i="8" s="1"/>
  <c r="BH21" i="8" s="1"/>
  <c r="BD21" i="8"/>
  <c r="CY39" i="8"/>
  <c r="DA39" i="8" s="1"/>
  <c r="CW39" i="8"/>
  <c r="AU42" i="8"/>
  <c r="AW42" i="8" s="1"/>
  <c r="BF42" i="8" s="1"/>
  <c r="BH42" i="8" s="1"/>
  <c r="BD42" i="8"/>
  <c r="AI48" i="8"/>
  <c r="AT8" i="8"/>
  <c r="DI14" i="8"/>
  <c r="DM14" i="8" s="1"/>
  <c r="DN14" i="8" s="1"/>
  <c r="CX18" i="8"/>
  <c r="DM18" i="8" s="1"/>
  <c r="DN18" i="8" s="1"/>
  <c r="CN18" i="8"/>
  <c r="CP18" i="8" s="1"/>
  <c r="BQ23" i="8"/>
  <c r="BS23" i="8" s="1"/>
  <c r="BO23" i="8"/>
  <c r="BQ35" i="8"/>
  <c r="BS35" i="8" s="1"/>
  <c r="BO35" i="8"/>
  <c r="BQ9" i="8"/>
  <c r="BS9" i="8" s="1"/>
  <c r="BO9" i="8"/>
  <c r="CX17" i="8"/>
  <c r="DM17" i="8" s="1"/>
  <c r="DN17" i="8" s="1"/>
  <c r="CN17" i="8"/>
  <c r="CP17" i="8" s="1"/>
  <c r="CN19" i="8"/>
  <c r="CP19" i="8" s="1"/>
  <c r="CX19" i="8"/>
  <c r="DI19" i="8" s="1"/>
  <c r="BQ25" i="8"/>
  <c r="BS25" i="8" s="1"/>
  <c r="BO25" i="8"/>
  <c r="CX37" i="8"/>
  <c r="CN37" i="8"/>
  <c r="CP37" i="8" s="1"/>
  <c r="CY11" i="8"/>
  <c r="DA11" i="8" s="1"/>
  <c r="CW11" i="8"/>
  <c r="AU18" i="8"/>
  <c r="AW18" i="8" s="1"/>
  <c r="BF18" i="8" s="1"/>
  <c r="BH18" i="8" s="1"/>
  <c r="BD18" i="8"/>
  <c r="BQ14" i="8"/>
  <c r="BS14" i="8" s="1"/>
  <c r="BO14" i="8"/>
  <c r="CX24" i="8"/>
  <c r="CN24" i="8"/>
  <c r="CP24" i="8" s="1"/>
  <c r="AU13" i="8"/>
  <c r="AW13" i="8" s="1"/>
  <c r="BF13" i="8" s="1"/>
  <c r="BH13" i="8" s="1"/>
  <c r="BD13" i="8"/>
  <c r="AU17" i="8"/>
  <c r="AW17" i="8" s="1"/>
  <c r="BF17" i="8" s="1"/>
  <c r="BH17" i="8" s="1"/>
  <c r="BD17" i="8"/>
  <c r="BQ16" i="8"/>
  <c r="BS16" i="8" s="1"/>
  <c r="BO16" i="8"/>
  <c r="CX20" i="8"/>
  <c r="DI20" i="8" s="1"/>
  <c r="CN20" i="8"/>
  <c r="CP20" i="8" s="1"/>
  <c r="CX26" i="8"/>
  <c r="CN26" i="8"/>
  <c r="CP26" i="8" s="1"/>
  <c r="AU33" i="8"/>
  <c r="AW33" i="8" s="1"/>
  <c r="BF33" i="8" s="1"/>
  <c r="BH33" i="8" s="1"/>
  <c r="BD33" i="8"/>
  <c r="CX34" i="8"/>
  <c r="CN34" i="8"/>
  <c r="CP34" i="8" s="1"/>
  <c r="CY23" i="8"/>
  <c r="DA23" i="8" s="1"/>
  <c r="CW23" i="8"/>
  <c r="CY27" i="8"/>
  <c r="DA27" i="8" s="1"/>
  <c r="CW27" i="8"/>
  <c r="BD24" i="8"/>
  <c r="AU24" i="8"/>
  <c r="AW24" i="8" s="1"/>
  <c r="BF24" i="8" s="1"/>
  <c r="BH24" i="8" s="1"/>
  <c r="CY35" i="8"/>
  <c r="DA35" i="8" s="1"/>
  <c r="CW35" i="8"/>
  <c r="BD40" i="8"/>
  <c r="AU40" i="8"/>
  <c r="AW40" i="8" s="1"/>
  <c r="BF40" i="8" s="1"/>
  <c r="BH40" i="8" s="1"/>
  <c r="CX13" i="8"/>
  <c r="DI13" i="8" s="1"/>
  <c r="CN13" i="8"/>
  <c r="CP13" i="8" s="1"/>
  <c r="DM13" i="8"/>
  <c r="DN13" i="8" s="1"/>
  <c r="CX15" i="8"/>
  <c r="DI15" i="8" s="1"/>
  <c r="CN15" i="8"/>
  <c r="CP15" i="8" s="1"/>
  <c r="DM15" i="8"/>
  <c r="DN15" i="8" s="1"/>
  <c r="CX21" i="8"/>
  <c r="DI21" i="8" s="1"/>
  <c r="CN21" i="8"/>
  <c r="CP21" i="8" s="1"/>
  <c r="DM21" i="8"/>
  <c r="DN21" i="8" s="1"/>
  <c r="CX33" i="8"/>
  <c r="DI33" i="8" s="1"/>
  <c r="CN33" i="8"/>
  <c r="CP33" i="8" s="1"/>
  <c r="DM33" i="8"/>
  <c r="DN33" i="8" s="1"/>
  <c r="CX36" i="8"/>
  <c r="CN36" i="8"/>
  <c r="CP36" i="8" s="1"/>
  <c r="DM36" i="8"/>
  <c r="DN36" i="8" s="1"/>
  <c r="DM37" i="8"/>
  <c r="DN37" i="8" s="1"/>
  <c r="DI38" i="8"/>
  <c r="DM38" i="8" s="1"/>
  <c r="DN38" i="8" s="1"/>
  <c r="AU37" i="8"/>
  <c r="AW37" i="8" s="1"/>
  <c r="BF37" i="8" s="1"/>
  <c r="BH37" i="8" s="1"/>
  <c r="BD37" i="8"/>
  <c r="V48" i="8"/>
  <c r="AA8" i="8"/>
  <c r="DM16" i="8"/>
  <c r="DN16" i="8" s="1"/>
  <c r="BD12" i="8"/>
  <c r="AU12" i="8"/>
  <c r="AW12" i="8" s="1"/>
  <c r="BF12" i="8" s="1"/>
  <c r="BH12" i="8" s="1"/>
  <c r="BF30" i="8"/>
  <c r="BH30" i="8" s="1"/>
  <c r="CX40" i="8"/>
  <c r="DI40" i="8" s="1"/>
  <c r="CN40" i="8"/>
  <c r="CP40" i="8" s="1"/>
  <c r="DM40" i="8"/>
  <c r="DN40" i="8" s="1"/>
  <c r="CY41" i="8"/>
  <c r="DA41" i="8" s="1"/>
  <c r="CW41" i="8"/>
  <c r="AU15" i="8"/>
  <c r="AW15" i="8" s="1"/>
  <c r="BF15" i="8" s="1"/>
  <c r="BH15" i="8" s="1"/>
  <c r="BD15" i="8"/>
  <c r="AU19" i="8"/>
  <c r="AW19" i="8" s="1"/>
  <c r="BF19" i="8" s="1"/>
  <c r="BH19" i="8" s="1"/>
  <c r="BD19" i="8"/>
  <c r="DM20" i="8"/>
  <c r="DN20" i="8" s="1"/>
  <c r="DM25" i="8"/>
  <c r="DN25" i="8" s="1"/>
  <c r="CY25" i="8"/>
  <c r="DA25" i="8" s="1"/>
  <c r="CW25" i="8"/>
  <c r="BQ29" i="8"/>
  <c r="BS29" i="8" s="1"/>
  <c r="BO29" i="8"/>
  <c r="DI39" i="8"/>
  <c r="DM39" i="8" s="1"/>
  <c r="DN39" i="8" s="1"/>
  <c r="CY14" i="8"/>
  <c r="DA14" i="8" s="1"/>
  <c r="CW14" i="8"/>
  <c r="CY16" i="8"/>
  <c r="DA16" i="8" s="1"/>
  <c r="CW16" i="8"/>
  <c r="CX12" i="8"/>
  <c r="CN12" i="8"/>
  <c r="CP12" i="8" s="1"/>
  <c r="CX22" i="8"/>
  <c r="CN22" i="8"/>
  <c r="CP22" i="8" s="1"/>
  <c r="CX10" i="8"/>
  <c r="CN10" i="8"/>
  <c r="CP10" i="8" s="1"/>
  <c r="BQ27" i="8"/>
  <c r="BS27" i="8" s="1"/>
  <c r="BO27" i="8"/>
  <c r="CX28" i="8"/>
  <c r="CN28" i="8"/>
  <c r="CP28" i="8" s="1"/>
  <c r="CY29" i="8"/>
  <c r="DA29" i="8" s="1"/>
  <c r="CW29" i="8"/>
  <c r="BQ41" i="8"/>
  <c r="BS41" i="8" s="1"/>
  <c r="BO41" i="8"/>
  <c r="BZ48" i="8"/>
  <c r="CA8" i="8"/>
  <c r="CA48" i="8" s="1"/>
  <c r="CK8" i="8"/>
  <c r="DM9" i="8"/>
  <c r="DN9" i="8" s="1"/>
  <c r="CY9" i="8"/>
  <c r="DA9" i="8" s="1"/>
  <c r="CW9" i="8"/>
  <c r="BD36" i="8"/>
  <c r="AU36" i="8"/>
  <c r="AW36" i="8" s="1"/>
  <c r="BF36" i="8" s="1"/>
  <c r="BH36" i="8" s="1"/>
  <c r="BQ38" i="8"/>
  <c r="BS38" i="8" s="1"/>
  <c r="BO38" i="8"/>
  <c r="CX42" i="8"/>
  <c r="CN42" i="8"/>
  <c r="CP42" i="8" s="1"/>
  <c r="BD22" i="8"/>
  <c r="AU22" i="8"/>
  <c r="AW22" i="8" s="1"/>
  <c r="BF22" i="8" s="1"/>
  <c r="BH22" i="8" s="1"/>
  <c r="DI124" i="3"/>
  <c r="DI8" i="3"/>
  <c r="DI9" i="3"/>
  <c r="DI10" i="3"/>
  <c r="DK10" i="3" s="1"/>
  <c r="DI11" i="3"/>
  <c r="DI12" i="3"/>
  <c r="DI13" i="3"/>
  <c r="DI14" i="3"/>
  <c r="DK14" i="3" s="1"/>
  <c r="DI15" i="3"/>
  <c r="DI16" i="3"/>
  <c r="DI17" i="3"/>
  <c r="DI18" i="3"/>
  <c r="DK18" i="3" s="1"/>
  <c r="DI19" i="3"/>
  <c r="DI20" i="3"/>
  <c r="DI21" i="3"/>
  <c r="DI22" i="3"/>
  <c r="DK22" i="3" s="1"/>
  <c r="DI23" i="3"/>
  <c r="DI24" i="3"/>
  <c r="DI25" i="3"/>
  <c r="DI26" i="3"/>
  <c r="DK26" i="3" s="1"/>
  <c r="DI27" i="3"/>
  <c r="DI28" i="3"/>
  <c r="DI29" i="3"/>
  <c r="DI30" i="3"/>
  <c r="DK30" i="3" s="1"/>
  <c r="DI31" i="3"/>
  <c r="DI32" i="3"/>
  <c r="DI33" i="3"/>
  <c r="DI34" i="3"/>
  <c r="DK34" i="3" s="1"/>
  <c r="DI35" i="3"/>
  <c r="DI36" i="3"/>
  <c r="DI37" i="3"/>
  <c r="DI38" i="3"/>
  <c r="DK38" i="3" s="1"/>
  <c r="DI39" i="3"/>
  <c r="DI40" i="3"/>
  <c r="DI41" i="3"/>
  <c r="DI42" i="3"/>
  <c r="DK42" i="3" s="1"/>
  <c r="DI43" i="3"/>
  <c r="DI44" i="3"/>
  <c r="DI45" i="3"/>
  <c r="DI46" i="3"/>
  <c r="DK46" i="3" s="1"/>
  <c r="DI47" i="3"/>
  <c r="DI48" i="3"/>
  <c r="DI49" i="3"/>
  <c r="DI50" i="3"/>
  <c r="DK50" i="3" s="1"/>
  <c r="DI51" i="3"/>
  <c r="DI52" i="3"/>
  <c r="DI53" i="3"/>
  <c r="DI54" i="3"/>
  <c r="DK54" i="3" s="1"/>
  <c r="DI55" i="3"/>
  <c r="DI56" i="3"/>
  <c r="DK56" i="3" s="1"/>
  <c r="DI57" i="3"/>
  <c r="DI58" i="3"/>
  <c r="DK58" i="3" s="1"/>
  <c r="DI59" i="3"/>
  <c r="DI60" i="3"/>
  <c r="DK60" i="3" s="1"/>
  <c r="DI61" i="3"/>
  <c r="DI62" i="3"/>
  <c r="DK62" i="3" s="1"/>
  <c r="DI63" i="3"/>
  <c r="DI64" i="3"/>
  <c r="DK64" i="3" s="1"/>
  <c r="DI65" i="3"/>
  <c r="DI66" i="3"/>
  <c r="DK66" i="3" s="1"/>
  <c r="DI67" i="3"/>
  <c r="DI68" i="3"/>
  <c r="DK68" i="3" s="1"/>
  <c r="DI69" i="3"/>
  <c r="DI70" i="3"/>
  <c r="DK70" i="3" s="1"/>
  <c r="DI71" i="3"/>
  <c r="DI72" i="3"/>
  <c r="DK72" i="3" s="1"/>
  <c r="DI73" i="3"/>
  <c r="DI74" i="3"/>
  <c r="DK74" i="3" s="1"/>
  <c r="DI75" i="3"/>
  <c r="DI76" i="3"/>
  <c r="DK76" i="3" s="1"/>
  <c r="DI77" i="3"/>
  <c r="DI78" i="3"/>
  <c r="DK78" i="3" s="1"/>
  <c r="DI79" i="3"/>
  <c r="DI80" i="3"/>
  <c r="DK80" i="3" s="1"/>
  <c r="DI81" i="3"/>
  <c r="DI82" i="3"/>
  <c r="DK82" i="3" s="1"/>
  <c r="DI83" i="3"/>
  <c r="DI84" i="3"/>
  <c r="DK84" i="3" s="1"/>
  <c r="DI85" i="3"/>
  <c r="DI86" i="3"/>
  <c r="DK86" i="3" s="1"/>
  <c r="DI87" i="3"/>
  <c r="DI88" i="3"/>
  <c r="DK88" i="3" s="1"/>
  <c r="DI89" i="3"/>
  <c r="DI90" i="3"/>
  <c r="DK90" i="3" s="1"/>
  <c r="DI91" i="3"/>
  <c r="DI92" i="3"/>
  <c r="DK92" i="3" s="1"/>
  <c r="DI93" i="3"/>
  <c r="DI94" i="3"/>
  <c r="DK94" i="3" s="1"/>
  <c r="DI95" i="3"/>
  <c r="DI96" i="3"/>
  <c r="DK96" i="3" s="1"/>
  <c r="DI97" i="3"/>
  <c r="DI98" i="3"/>
  <c r="DK98" i="3" s="1"/>
  <c r="DI99" i="3"/>
  <c r="DI100" i="3"/>
  <c r="DK100" i="3" s="1"/>
  <c r="DI101" i="3"/>
  <c r="DI102" i="3"/>
  <c r="DK102" i="3" s="1"/>
  <c r="DI103" i="3"/>
  <c r="DI104" i="3"/>
  <c r="DK104" i="3" s="1"/>
  <c r="DI105" i="3"/>
  <c r="DI106" i="3"/>
  <c r="DK106" i="3" s="1"/>
  <c r="DI107" i="3"/>
  <c r="DI108" i="3"/>
  <c r="DK108" i="3" s="1"/>
  <c r="DI109" i="3"/>
  <c r="DI110" i="3"/>
  <c r="DK110" i="3" s="1"/>
  <c r="DI111" i="3"/>
  <c r="DI112" i="3"/>
  <c r="DK112" i="3" s="1"/>
  <c r="DI113" i="3"/>
  <c r="DI114" i="3"/>
  <c r="DK114" i="3" s="1"/>
  <c r="DI115" i="3"/>
  <c r="DI116" i="3"/>
  <c r="DK116" i="3" s="1"/>
  <c r="DI117" i="3"/>
  <c r="DI118" i="3"/>
  <c r="DK118" i="3" s="1"/>
  <c r="DI119" i="3"/>
  <c r="DI120" i="3"/>
  <c r="DK120" i="3" s="1"/>
  <c r="DI121" i="3"/>
  <c r="DI122" i="3"/>
  <c r="DK122" i="3" s="1"/>
  <c r="DI123" i="3"/>
  <c r="DI126" i="3"/>
  <c r="DK126" i="3" s="1"/>
  <c r="DI127" i="3"/>
  <c r="DI128" i="3"/>
  <c r="DK128" i="3" s="1"/>
  <c r="DI129" i="3"/>
  <c r="DI130" i="3"/>
  <c r="DK130" i="3" s="1"/>
  <c r="DI131" i="3"/>
  <c r="DI7" i="3"/>
  <c r="DK7" i="3" s="1"/>
  <c r="DL11" i="3"/>
  <c r="DL15" i="3"/>
  <c r="DL19" i="3"/>
  <c r="DL23" i="3"/>
  <c r="DL27" i="3"/>
  <c r="DL31" i="3"/>
  <c r="DL35" i="3"/>
  <c r="DL39" i="3"/>
  <c r="DL43" i="3"/>
  <c r="DL47" i="3"/>
  <c r="DL51" i="3"/>
  <c r="DL55" i="3"/>
  <c r="DL59" i="3"/>
  <c r="DL63" i="3"/>
  <c r="DL67" i="3"/>
  <c r="DL71" i="3"/>
  <c r="DL75" i="3"/>
  <c r="DL79" i="3"/>
  <c r="DL83" i="3"/>
  <c r="DL87" i="3"/>
  <c r="DL91" i="3"/>
  <c r="DL95" i="3"/>
  <c r="DL99" i="3"/>
  <c r="DL103" i="3"/>
  <c r="DL107" i="3"/>
  <c r="DL111" i="3"/>
  <c r="DL115" i="3"/>
  <c r="DL119" i="3"/>
  <c r="DL123" i="3"/>
  <c r="DK55" i="3"/>
  <c r="DK57" i="3"/>
  <c r="DK59" i="3"/>
  <c r="DK61" i="3"/>
  <c r="DK63" i="3"/>
  <c r="DK65" i="3"/>
  <c r="DK67" i="3"/>
  <c r="DK69" i="3"/>
  <c r="DK71" i="3"/>
  <c r="DK73" i="3"/>
  <c r="DK75" i="3"/>
  <c r="DK77" i="3"/>
  <c r="DK79" i="3"/>
  <c r="DK81" i="3"/>
  <c r="DK83" i="3"/>
  <c r="DK85" i="3"/>
  <c r="DK87" i="3"/>
  <c r="DK89" i="3"/>
  <c r="DK91" i="3"/>
  <c r="DK93" i="3"/>
  <c r="DK95" i="3"/>
  <c r="DK97" i="3"/>
  <c r="DK99" i="3"/>
  <c r="DK101" i="3"/>
  <c r="DK103" i="3"/>
  <c r="DK105" i="3"/>
  <c r="DK107" i="3"/>
  <c r="DK109" i="3"/>
  <c r="DK111" i="3"/>
  <c r="DK113" i="3"/>
  <c r="DK115" i="3"/>
  <c r="DK117" i="3"/>
  <c r="DK119" i="3"/>
  <c r="DK121" i="3"/>
  <c r="DK123" i="3"/>
  <c r="DJ8" i="3"/>
  <c r="DL8" i="3" s="1"/>
  <c r="DJ9" i="3"/>
  <c r="DK9" i="3" s="1"/>
  <c r="DJ10" i="3"/>
  <c r="DL10" i="3" s="1"/>
  <c r="DJ11" i="3"/>
  <c r="DK11" i="3" s="1"/>
  <c r="DJ12" i="3"/>
  <c r="DL12" i="3" s="1"/>
  <c r="DJ13" i="3"/>
  <c r="DK13" i="3" s="1"/>
  <c r="DJ14" i="3"/>
  <c r="DL14" i="3" s="1"/>
  <c r="DJ15" i="3"/>
  <c r="DK15" i="3" s="1"/>
  <c r="DJ16" i="3"/>
  <c r="DL16" i="3" s="1"/>
  <c r="DJ17" i="3"/>
  <c r="DK17" i="3" s="1"/>
  <c r="DJ18" i="3"/>
  <c r="DL18" i="3" s="1"/>
  <c r="DJ19" i="3"/>
  <c r="DK19" i="3" s="1"/>
  <c r="DJ20" i="3"/>
  <c r="DL20" i="3" s="1"/>
  <c r="DJ21" i="3"/>
  <c r="DK21" i="3" s="1"/>
  <c r="DJ22" i="3"/>
  <c r="DL22" i="3" s="1"/>
  <c r="DJ23" i="3"/>
  <c r="DK23" i="3" s="1"/>
  <c r="DJ24" i="3"/>
  <c r="DL24" i="3" s="1"/>
  <c r="DJ25" i="3"/>
  <c r="DK25" i="3" s="1"/>
  <c r="DJ26" i="3"/>
  <c r="DL26" i="3" s="1"/>
  <c r="DJ27" i="3"/>
  <c r="DK27" i="3" s="1"/>
  <c r="DJ28" i="3"/>
  <c r="DL28" i="3" s="1"/>
  <c r="DJ29" i="3"/>
  <c r="DK29" i="3" s="1"/>
  <c r="DJ30" i="3"/>
  <c r="DL30" i="3" s="1"/>
  <c r="DJ31" i="3"/>
  <c r="DK31" i="3" s="1"/>
  <c r="DJ32" i="3"/>
  <c r="DL32" i="3" s="1"/>
  <c r="DJ33" i="3"/>
  <c r="DK33" i="3" s="1"/>
  <c r="DJ34" i="3"/>
  <c r="DL34" i="3" s="1"/>
  <c r="DJ35" i="3"/>
  <c r="DK35" i="3" s="1"/>
  <c r="DJ36" i="3"/>
  <c r="DL36" i="3" s="1"/>
  <c r="DJ37" i="3"/>
  <c r="DK37" i="3" s="1"/>
  <c r="DJ38" i="3"/>
  <c r="DL38" i="3" s="1"/>
  <c r="DJ39" i="3"/>
  <c r="DK39" i="3" s="1"/>
  <c r="DJ40" i="3"/>
  <c r="DL40" i="3" s="1"/>
  <c r="DJ41" i="3"/>
  <c r="DK41" i="3" s="1"/>
  <c r="DJ42" i="3"/>
  <c r="DL42" i="3" s="1"/>
  <c r="DJ43" i="3"/>
  <c r="DK43" i="3" s="1"/>
  <c r="DJ44" i="3"/>
  <c r="DL44" i="3" s="1"/>
  <c r="DJ45" i="3"/>
  <c r="DK45" i="3" s="1"/>
  <c r="DJ46" i="3"/>
  <c r="DL46" i="3" s="1"/>
  <c r="DJ47" i="3"/>
  <c r="DK47" i="3" s="1"/>
  <c r="DJ48" i="3"/>
  <c r="DL48" i="3" s="1"/>
  <c r="DJ49" i="3"/>
  <c r="DK49" i="3" s="1"/>
  <c r="DJ50" i="3"/>
  <c r="DL50" i="3" s="1"/>
  <c r="DJ51" i="3"/>
  <c r="DK51" i="3" s="1"/>
  <c r="DJ52" i="3"/>
  <c r="DL52" i="3" s="1"/>
  <c r="DJ53" i="3"/>
  <c r="DK53" i="3" s="1"/>
  <c r="DJ54" i="3"/>
  <c r="DL54" i="3" s="1"/>
  <c r="DJ55" i="3"/>
  <c r="DJ56" i="3"/>
  <c r="DL56" i="3" s="1"/>
  <c r="DJ57" i="3"/>
  <c r="DL57" i="3" s="1"/>
  <c r="DJ58" i="3"/>
  <c r="DL58" i="3" s="1"/>
  <c r="DJ59" i="3"/>
  <c r="DJ60" i="3"/>
  <c r="DL60" i="3" s="1"/>
  <c r="DJ61" i="3"/>
  <c r="DL61" i="3" s="1"/>
  <c r="DJ62" i="3"/>
  <c r="DL62" i="3" s="1"/>
  <c r="DJ63" i="3"/>
  <c r="DJ64" i="3"/>
  <c r="DL64" i="3" s="1"/>
  <c r="DJ65" i="3"/>
  <c r="DL65" i="3" s="1"/>
  <c r="DJ66" i="3"/>
  <c r="DL66" i="3" s="1"/>
  <c r="DJ67" i="3"/>
  <c r="DJ68" i="3"/>
  <c r="DL68" i="3" s="1"/>
  <c r="DJ69" i="3"/>
  <c r="DL69" i="3" s="1"/>
  <c r="DJ70" i="3"/>
  <c r="DL70" i="3" s="1"/>
  <c r="DJ71" i="3"/>
  <c r="DJ72" i="3"/>
  <c r="DL72" i="3" s="1"/>
  <c r="DJ73" i="3"/>
  <c r="DL73" i="3" s="1"/>
  <c r="DJ74" i="3"/>
  <c r="DL74" i="3" s="1"/>
  <c r="DJ75" i="3"/>
  <c r="DJ76" i="3"/>
  <c r="DL76" i="3" s="1"/>
  <c r="DJ77" i="3"/>
  <c r="DL77" i="3" s="1"/>
  <c r="DJ78" i="3"/>
  <c r="DL78" i="3" s="1"/>
  <c r="DJ79" i="3"/>
  <c r="DJ80" i="3"/>
  <c r="DL80" i="3" s="1"/>
  <c r="DJ81" i="3"/>
  <c r="DL81" i="3" s="1"/>
  <c r="DJ82" i="3"/>
  <c r="DL82" i="3" s="1"/>
  <c r="DJ83" i="3"/>
  <c r="DJ84" i="3"/>
  <c r="DL84" i="3" s="1"/>
  <c r="DJ85" i="3"/>
  <c r="DL85" i="3" s="1"/>
  <c r="DJ86" i="3"/>
  <c r="DL86" i="3" s="1"/>
  <c r="DJ87" i="3"/>
  <c r="DJ88" i="3"/>
  <c r="DL88" i="3" s="1"/>
  <c r="DJ89" i="3"/>
  <c r="DL89" i="3" s="1"/>
  <c r="DJ90" i="3"/>
  <c r="DL90" i="3" s="1"/>
  <c r="DJ91" i="3"/>
  <c r="DJ92" i="3"/>
  <c r="DL92" i="3" s="1"/>
  <c r="DJ93" i="3"/>
  <c r="DL93" i="3" s="1"/>
  <c r="DJ94" i="3"/>
  <c r="DL94" i="3" s="1"/>
  <c r="DJ95" i="3"/>
  <c r="DJ96" i="3"/>
  <c r="DL96" i="3" s="1"/>
  <c r="DJ97" i="3"/>
  <c r="DL97" i="3" s="1"/>
  <c r="DJ98" i="3"/>
  <c r="DL98" i="3" s="1"/>
  <c r="DJ99" i="3"/>
  <c r="DJ100" i="3"/>
  <c r="DL100" i="3" s="1"/>
  <c r="DJ101" i="3"/>
  <c r="DL101" i="3" s="1"/>
  <c r="DJ102" i="3"/>
  <c r="DL102" i="3" s="1"/>
  <c r="DJ103" i="3"/>
  <c r="DJ104" i="3"/>
  <c r="DL104" i="3" s="1"/>
  <c r="DJ105" i="3"/>
  <c r="DL105" i="3" s="1"/>
  <c r="DJ106" i="3"/>
  <c r="DL106" i="3" s="1"/>
  <c r="DJ107" i="3"/>
  <c r="DJ108" i="3"/>
  <c r="DL108" i="3" s="1"/>
  <c r="DJ109" i="3"/>
  <c r="DL109" i="3" s="1"/>
  <c r="DJ110" i="3"/>
  <c r="DL110" i="3" s="1"/>
  <c r="DJ111" i="3"/>
  <c r="DJ112" i="3"/>
  <c r="DL112" i="3" s="1"/>
  <c r="DJ113" i="3"/>
  <c r="DL113" i="3" s="1"/>
  <c r="DJ114" i="3"/>
  <c r="DL114" i="3" s="1"/>
  <c r="DJ115" i="3"/>
  <c r="DJ116" i="3"/>
  <c r="DL116" i="3" s="1"/>
  <c r="DJ117" i="3"/>
  <c r="DL117" i="3" s="1"/>
  <c r="DJ118" i="3"/>
  <c r="DL118" i="3" s="1"/>
  <c r="DJ119" i="3"/>
  <c r="DJ120" i="3"/>
  <c r="DL120" i="3" s="1"/>
  <c r="DJ121" i="3"/>
  <c r="DL121" i="3" s="1"/>
  <c r="DJ122" i="3"/>
  <c r="DL122" i="3" s="1"/>
  <c r="DJ123" i="3"/>
  <c r="DJ124" i="3"/>
  <c r="DL124" i="3" s="1"/>
  <c r="DJ126" i="3"/>
  <c r="DL126" i="3" s="1"/>
  <c r="DJ127" i="3"/>
  <c r="DL127" i="3" s="1"/>
  <c r="DJ128" i="3"/>
  <c r="DL128" i="3" s="1"/>
  <c r="DJ129" i="3"/>
  <c r="DL129" i="3" s="1"/>
  <c r="DJ130" i="3"/>
  <c r="DL130" i="3" s="1"/>
  <c r="DJ131" i="3"/>
  <c r="DL131" i="3" s="1"/>
  <c r="DJ7" i="3"/>
  <c r="DL7" i="3" s="1"/>
  <c r="DI132" i="3"/>
  <c r="DH132" i="3"/>
  <c r="DG132" i="3"/>
  <c r="DG133" i="3"/>
  <c r="DE133" i="3"/>
  <c r="DI133" i="3" s="1"/>
  <c r="DD133" i="3"/>
  <c r="DC133" i="3"/>
  <c r="DB133" i="3"/>
  <c r="CX133" i="3"/>
  <c r="CW133" i="3"/>
  <c r="CV133" i="3"/>
  <c r="CU133" i="3"/>
  <c r="CT133" i="3"/>
  <c r="CS133" i="3"/>
  <c r="DH133" i="3" s="1"/>
  <c r="DI135" i="3" s="1"/>
  <c r="CR133" i="3"/>
  <c r="CQ133" i="3"/>
  <c r="CM133" i="3"/>
  <c r="CL133" i="3"/>
  <c r="CK133" i="3"/>
  <c r="CJ133" i="3"/>
  <c r="CI133" i="3"/>
  <c r="CH133" i="3"/>
  <c r="CG133" i="3"/>
  <c r="CF133" i="3"/>
  <c r="CB133" i="3"/>
  <c r="CA133" i="3"/>
  <c r="BY133" i="3"/>
  <c r="BX133" i="3"/>
  <c r="BW133" i="3"/>
  <c r="BV133" i="3"/>
  <c r="BR133" i="3"/>
  <c r="BQ133" i="3"/>
  <c r="BO133" i="3"/>
  <c r="BN133" i="3"/>
  <c r="BM133" i="3"/>
  <c r="BL133" i="3"/>
  <c r="BH133" i="3"/>
  <c r="BG133" i="3"/>
  <c r="BE133" i="3"/>
  <c r="BD133" i="3"/>
  <c r="BC133" i="3"/>
  <c r="BB133" i="3"/>
  <c r="AX133" i="3"/>
  <c r="AW133" i="3"/>
  <c r="AU133" i="3"/>
  <c r="AT133" i="3"/>
  <c r="AS133" i="3"/>
  <c r="AR133" i="3"/>
  <c r="AN133" i="3"/>
  <c r="AM133" i="3"/>
  <c r="AK133" i="3"/>
  <c r="AJ133" i="3"/>
  <c r="AI133" i="3"/>
  <c r="AH133" i="3"/>
  <c r="AB133" i="3"/>
  <c r="AC133" i="3"/>
  <c r="AD133" i="3"/>
  <c r="Y133" i="3"/>
  <c r="Z133" i="3"/>
  <c r="AA133" i="3"/>
  <c r="U133" i="3"/>
  <c r="V133" i="3"/>
  <c r="W133" i="3"/>
  <c r="X133" i="3"/>
  <c r="T133" i="3"/>
  <c r="S133" i="3"/>
  <c r="R133" i="3"/>
  <c r="N133" i="3"/>
  <c r="O133" i="3"/>
  <c r="M133" i="3"/>
  <c r="BQ9" i="10" l="1"/>
  <c r="BS9" i="10" s="1"/>
  <c r="BO9" i="10"/>
  <c r="DM19" i="8"/>
  <c r="DN19" i="8" s="1"/>
  <c r="AA23" i="11"/>
  <c r="AJ8" i="11"/>
  <c r="AS8" i="11"/>
  <c r="AS23" i="11" s="1"/>
  <c r="CY12" i="11"/>
  <c r="DA12" i="11" s="1"/>
  <c r="CW12" i="11"/>
  <c r="CY10" i="11"/>
  <c r="DA10" i="11" s="1"/>
  <c r="CW10" i="11"/>
  <c r="CK23" i="11"/>
  <c r="CV8" i="11"/>
  <c r="CL8" i="11"/>
  <c r="CL23" i="11" s="1"/>
  <c r="CC15" i="11"/>
  <c r="CM15" i="11"/>
  <c r="BO12" i="11"/>
  <c r="BQ12" i="11"/>
  <c r="BS12" i="11" s="1"/>
  <c r="CX16" i="11"/>
  <c r="DI16" i="11" s="1"/>
  <c r="CN16" i="11"/>
  <c r="CP16" i="11" s="1"/>
  <c r="DM16" i="11"/>
  <c r="DN16" i="11" s="1"/>
  <c r="BO20" i="11"/>
  <c r="BQ20" i="11"/>
  <c r="BS20" i="11" s="1"/>
  <c r="BQ9" i="11"/>
  <c r="BS9" i="11" s="1"/>
  <c r="BO9" i="11"/>
  <c r="AT23" i="11"/>
  <c r="BE8" i="11"/>
  <c r="CW11" i="11"/>
  <c r="CY11" i="11"/>
  <c r="DA11" i="11" s="1"/>
  <c r="BQ21" i="11"/>
  <c r="BS21" i="11" s="1"/>
  <c r="BO21" i="11"/>
  <c r="BO10" i="11"/>
  <c r="BQ10" i="11"/>
  <c r="BS10" i="11" s="1"/>
  <c r="DI12" i="11"/>
  <c r="DM12" i="11" s="1"/>
  <c r="DN12" i="11" s="1"/>
  <c r="DI10" i="11"/>
  <c r="DM10" i="11" s="1"/>
  <c r="DN10" i="11" s="1"/>
  <c r="CX14" i="11"/>
  <c r="DI14" i="11" s="1"/>
  <c r="CN14" i="11"/>
  <c r="CP14" i="11" s="1"/>
  <c r="DM14" i="11"/>
  <c r="DN14" i="11" s="1"/>
  <c r="DH22" i="11"/>
  <c r="DJ22" i="11"/>
  <c r="CY20" i="11"/>
  <c r="DA20" i="11" s="1"/>
  <c r="CW20" i="11"/>
  <c r="CW9" i="11"/>
  <c r="CY9" i="11"/>
  <c r="DA9" i="11" s="1"/>
  <c r="BQ11" i="11"/>
  <c r="BS11" i="11" s="1"/>
  <c r="BO11" i="11"/>
  <c r="DM21" i="11"/>
  <c r="DN21" i="11" s="1"/>
  <c r="CY21" i="11"/>
  <c r="DA21" i="11" s="1"/>
  <c r="CW21" i="11"/>
  <c r="BZ10" i="10"/>
  <c r="CK8" i="10"/>
  <c r="CA8" i="10"/>
  <c r="CA10" i="10" s="1"/>
  <c r="AA10" i="10"/>
  <c r="AS8" i="10"/>
  <c r="AS10" i="10" s="1"/>
  <c r="AJ8" i="10"/>
  <c r="AT10" i="10"/>
  <c r="BE8" i="10"/>
  <c r="BE8" i="9"/>
  <c r="AT10" i="9"/>
  <c r="CK8" i="9"/>
  <c r="BZ10" i="9"/>
  <c r="CA8" i="9"/>
  <c r="CA10" i="9" s="1"/>
  <c r="DH9" i="9"/>
  <c r="DJ9" i="9"/>
  <c r="AA10" i="9"/>
  <c r="AS8" i="9"/>
  <c r="AS10" i="9" s="1"/>
  <c r="AJ8" i="9"/>
  <c r="BQ22" i="8"/>
  <c r="BS22" i="8" s="1"/>
  <c r="BO22" i="8"/>
  <c r="CY42" i="8"/>
  <c r="DA42" i="8" s="1"/>
  <c r="CW42" i="8"/>
  <c r="BO36" i="8"/>
  <c r="BQ36" i="8"/>
  <c r="BS36" i="8" s="1"/>
  <c r="CY28" i="8"/>
  <c r="DA28" i="8" s="1"/>
  <c r="CW28" i="8"/>
  <c r="CW10" i="8"/>
  <c r="CY10" i="8"/>
  <c r="DA10" i="8" s="1"/>
  <c r="CW22" i="8"/>
  <c r="CY22" i="8"/>
  <c r="DA22" i="8" s="1"/>
  <c r="CY12" i="8"/>
  <c r="DA12" i="8" s="1"/>
  <c r="CW12" i="8"/>
  <c r="DJ25" i="8"/>
  <c r="DO25" i="8" s="1"/>
  <c r="DH25" i="8"/>
  <c r="BQ19" i="8"/>
  <c r="BS19" i="8" s="1"/>
  <c r="BO19" i="8"/>
  <c r="BQ15" i="8"/>
  <c r="BS15" i="8" s="1"/>
  <c r="BO15" i="8"/>
  <c r="DJ41" i="8"/>
  <c r="DO41" i="8" s="1"/>
  <c r="DH41" i="8"/>
  <c r="CY40" i="8"/>
  <c r="DA40" i="8" s="1"/>
  <c r="CW40" i="8"/>
  <c r="BQ30" i="8"/>
  <c r="BS30" i="8" s="1"/>
  <c r="BO30" i="8"/>
  <c r="AA48" i="8"/>
  <c r="AJ8" i="8"/>
  <c r="AS8" i="8"/>
  <c r="AS48" i="8" s="1"/>
  <c r="CY36" i="8"/>
  <c r="DA36" i="8" s="1"/>
  <c r="CW36" i="8"/>
  <c r="CY21" i="8"/>
  <c r="DA21" i="8" s="1"/>
  <c r="CW21" i="8"/>
  <c r="CY15" i="8"/>
  <c r="DA15" i="8" s="1"/>
  <c r="CW15" i="8"/>
  <c r="DH35" i="8"/>
  <c r="DJ35" i="8"/>
  <c r="DO35" i="8" s="1"/>
  <c r="DH27" i="8"/>
  <c r="DJ27" i="8"/>
  <c r="DO27" i="8" s="1"/>
  <c r="DH23" i="8"/>
  <c r="DJ23" i="8"/>
  <c r="DO23" i="8" s="1"/>
  <c r="DI34" i="8"/>
  <c r="DM34" i="8" s="1"/>
  <c r="DN34" i="8" s="1"/>
  <c r="BQ33" i="8"/>
  <c r="BS33" i="8" s="1"/>
  <c r="BO33" i="8"/>
  <c r="DI26" i="8"/>
  <c r="DM26" i="8" s="1"/>
  <c r="DN26" i="8" s="1"/>
  <c r="BQ17" i="8"/>
  <c r="BS17" i="8" s="1"/>
  <c r="BO17" i="8"/>
  <c r="BQ13" i="8"/>
  <c r="BS13" i="8" s="1"/>
  <c r="BO13" i="8"/>
  <c r="DI24" i="8"/>
  <c r="DM24" i="8" s="1"/>
  <c r="DN24" i="8" s="1"/>
  <c r="BQ18" i="8"/>
  <c r="BS18" i="8" s="1"/>
  <c r="BO18" i="8"/>
  <c r="DJ11" i="8"/>
  <c r="DO11" i="8" s="1"/>
  <c r="DH11" i="8"/>
  <c r="CY19" i="8"/>
  <c r="DA19" i="8" s="1"/>
  <c r="CW19" i="8"/>
  <c r="AT48" i="8"/>
  <c r="BE8" i="8"/>
  <c r="BQ10" i="8"/>
  <c r="BS10" i="8" s="1"/>
  <c r="BO10" i="8"/>
  <c r="BQ20" i="8"/>
  <c r="BS20" i="8" s="1"/>
  <c r="BO20" i="8"/>
  <c r="BQ34" i="8"/>
  <c r="BS34" i="8" s="1"/>
  <c r="BO34" i="8"/>
  <c r="BQ26" i="8"/>
  <c r="BS26" i="8" s="1"/>
  <c r="BO26" i="8"/>
  <c r="BQ28" i="8"/>
  <c r="BS28" i="8" s="1"/>
  <c r="BO28" i="8"/>
  <c r="DI42" i="8"/>
  <c r="DM42" i="8" s="1"/>
  <c r="DN42" i="8" s="1"/>
  <c r="DJ9" i="8"/>
  <c r="DO9" i="8" s="1"/>
  <c r="DH9" i="8"/>
  <c r="CK48" i="8"/>
  <c r="CV8" i="8"/>
  <c r="CL8" i="8"/>
  <c r="CL48" i="8" s="1"/>
  <c r="DJ29" i="8"/>
  <c r="DO29" i="8" s="1"/>
  <c r="DH29" i="8"/>
  <c r="DI28" i="8"/>
  <c r="DM28" i="8"/>
  <c r="DN28" i="8" s="1"/>
  <c r="DI10" i="8"/>
  <c r="DM10" i="8"/>
  <c r="DN10" i="8" s="1"/>
  <c r="DI22" i="8"/>
  <c r="DM22" i="8"/>
  <c r="DN22" i="8" s="1"/>
  <c r="DI12" i="8"/>
  <c r="DM12" i="8"/>
  <c r="DN12" i="8" s="1"/>
  <c r="DJ16" i="8"/>
  <c r="DO16" i="8" s="1"/>
  <c r="DH16" i="8"/>
  <c r="DJ14" i="8"/>
  <c r="DO14" i="8" s="1"/>
  <c r="DH14" i="8"/>
  <c r="BQ12" i="8"/>
  <c r="BS12" i="8" s="1"/>
  <c r="BO12" i="8"/>
  <c r="BQ37" i="8"/>
  <c r="BS37" i="8" s="1"/>
  <c r="BO37" i="8"/>
  <c r="CY33" i="8"/>
  <c r="DA33" i="8" s="1"/>
  <c r="CW33" i="8"/>
  <c r="CY13" i="8"/>
  <c r="DA13" i="8" s="1"/>
  <c r="CW13" i="8"/>
  <c r="BQ40" i="8"/>
  <c r="BS40" i="8" s="1"/>
  <c r="BO40" i="8"/>
  <c r="BO24" i="8"/>
  <c r="BQ24" i="8"/>
  <c r="BS24" i="8" s="1"/>
  <c r="CW34" i="8"/>
  <c r="CY34" i="8"/>
  <c r="DA34" i="8" s="1"/>
  <c r="CW26" i="8"/>
  <c r="CY26" i="8"/>
  <c r="DA26" i="8" s="1"/>
  <c r="CY20" i="8"/>
  <c r="DA20" i="8" s="1"/>
  <c r="CW20" i="8"/>
  <c r="CY24" i="8"/>
  <c r="DA24" i="8" s="1"/>
  <c r="CW24" i="8"/>
  <c r="CY37" i="8"/>
  <c r="DA37" i="8" s="1"/>
  <c r="CW37" i="8"/>
  <c r="CY17" i="8"/>
  <c r="DA17" i="8" s="1"/>
  <c r="CW17" i="8"/>
  <c r="CY18" i="8"/>
  <c r="DA18" i="8" s="1"/>
  <c r="CW18" i="8"/>
  <c r="BQ42" i="8"/>
  <c r="BS42" i="8" s="1"/>
  <c r="BO42" i="8"/>
  <c r="DH39" i="8"/>
  <c r="DJ39" i="8"/>
  <c r="DO39" i="8" s="1"/>
  <c r="BQ21" i="8"/>
  <c r="BS21" i="8" s="1"/>
  <c r="BO21" i="8"/>
  <c r="BQ32" i="8"/>
  <c r="BS32" i="8" s="1"/>
  <c r="BO32" i="8"/>
  <c r="CM30" i="8"/>
  <c r="CC30" i="8"/>
  <c r="DJ38" i="8"/>
  <c r="DO38" i="8" s="1"/>
  <c r="DH38" i="8"/>
  <c r="DK131" i="3"/>
  <c r="DK129" i="3"/>
  <c r="DK127" i="3"/>
  <c r="DK52" i="3"/>
  <c r="DK48" i="3"/>
  <c r="DK44" i="3"/>
  <c r="DK40" i="3"/>
  <c r="DK36" i="3"/>
  <c r="DK32" i="3"/>
  <c r="DK28" i="3"/>
  <c r="DK24" i="3"/>
  <c r="DK20" i="3"/>
  <c r="DK16" i="3"/>
  <c r="DK12" i="3"/>
  <c r="DK8" i="3"/>
  <c r="DL53" i="3"/>
  <c r="DL49" i="3"/>
  <c r="DL45" i="3"/>
  <c r="DL41" i="3"/>
  <c r="DL37" i="3"/>
  <c r="DL33" i="3"/>
  <c r="DL29" i="3"/>
  <c r="DL25" i="3"/>
  <c r="DL21" i="3"/>
  <c r="DL17" i="3"/>
  <c r="DL13" i="3"/>
  <c r="DL9" i="3"/>
  <c r="DI137" i="3"/>
  <c r="DJ125" i="3"/>
  <c r="DL125" i="3" s="1"/>
  <c r="DI125" i="3"/>
  <c r="DK125" i="3" s="1"/>
  <c r="DK124" i="3"/>
  <c r="DE21" i="6"/>
  <c r="DJ21" i="11" l="1"/>
  <c r="DH21" i="11"/>
  <c r="DJ9" i="11"/>
  <c r="DH9" i="11"/>
  <c r="CW16" i="11"/>
  <c r="CY16" i="11"/>
  <c r="DA16" i="11" s="1"/>
  <c r="CX15" i="11"/>
  <c r="CN15" i="11"/>
  <c r="CP15" i="11" s="1"/>
  <c r="DJ10" i="11"/>
  <c r="DH10" i="11"/>
  <c r="DJ12" i="11"/>
  <c r="DH12" i="11"/>
  <c r="AJ23" i="11"/>
  <c r="AL8" i="11"/>
  <c r="DJ20" i="11"/>
  <c r="DH20" i="11"/>
  <c r="CY14" i="11"/>
  <c r="DA14" i="11" s="1"/>
  <c r="CW14" i="11"/>
  <c r="DJ11" i="11"/>
  <c r="DH11" i="11"/>
  <c r="BE23" i="11"/>
  <c r="BP8" i="11"/>
  <c r="CV23" i="11"/>
  <c r="DG8" i="11"/>
  <c r="DG23" i="11" s="1"/>
  <c r="BE10" i="10"/>
  <c r="BP8" i="10"/>
  <c r="AJ10" i="10"/>
  <c r="AL8" i="10"/>
  <c r="CK10" i="10"/>
  <c r="CV8" i="10"/>
  <c r="CL8" i="10"/>
  <c r="CL10" i="10" s="1"/>
  <c r="CK10" i="9"/>
  <c r="CV8" i="9"/>
  <c r="CL8" i="9"/>
  <c r="CL10" i="9" s="1"/>
  <c r="AL8" i="9"/>
  <c r="AJ10" i="9"/>
  <c r="BE10" i="9"/>
  <c r="BP8" i="9"/>
  <c r="DJ26" i="8"/>
  <c r="DO26" i="8" s="1"/>
  <c r="DH26" i="8"/>
  <c r="DJ34" i="8"/>
  <c r="DO34" i="8" s="1"/>
  <c r="DH34" i="8"/>
  <c r="DJ19" i="8"/>
  <c r="DO19" i="8" s="1"/>
  <c r="DH19" i="8"/>
  <c r="DJ15" i="8"/>
  <c r="DO15" i="8" s="1"/>
  <c r="DH15" i="8"/>
  <c r="DJ21" i="8"/>
  <c r="DO21" i="8" s="1"/>
  <c r="DH21" i="8"/>
  <c r="DH36" i="8"/>
  <c r="DJ36" i="8"/>
  <c r="DO36" i="8" s="1"/>
  <c r="AJ48" i="8"/>
  <c r="AL8" i="8"/>
  <c r="DJ22" i="8"/>
  <c r="DO22" i="8" s="1"/>
  <c r="DH22" i="8"/>
  <c r="DJ10" i="8"/>
  <c r="DO10" i="8" s="1"/>
  <c r="DH10" i="8"/>
  <c r="CX30" i="8"/>
  <c r="DI30" i="8" s="1"/>
  <c r="CN30" i="8"/>
  <c r="CP30" i="8" s="1"/>
  <c r="DM30" i="8"/>
  <c r="DN30" i="8" s="1"/>
  <c r="DJ18" i="8"/>
  <c r="DO18" i="8" s="1"/>
  <c r="DH18" i="8"/>
  <c r="DJ17" i="8"/>
  <c r="DO17" i="8" s="1"/>
  <c r="DH17" i="8"/>
  <c r="DJ37" i="8"/>
  <c r="DO37" i="8" s="1"/>
  <c r="DH37" i="8"/>
  <c r="DJ24" i="8"/>
  <c r="DO24" i="8" s="1"/>
  <c r="DH24" i="8"/>
  <c r="DJ20" i="8"/>
  <c r="DO20" i="8" s="1"/>
  <c r="DH20" i="8"/>
  <c r="DJ13" i="8"/>
  <c r="DO13" i="8" s="1"/>
  <c r="DH13" i="8"/>
  <c r="DJ33" i="8"/>
  <c r="DO33" i="8" s="1"/>
  <c r="DH33" i="8"/>
  <c r="CV48" i="8"/>
  <c r="DG8" i="8"/>
  <c r="DG48" i="8" s="1"/>
  <c r="BE48" i="8"/>
  <c r="BP8" i="8"/>
  <c r="DJ40" i="8"/>
  <c r="DO40" i="8" s="1"/>
  <c r="DH40" i="8"/>
  <c r="DJ12" i="8"/>
  <c r="DO12" i="8" s="1"/>
  <c r="DH12" i="8"/>
  <c r="DJ28" i="8"/>
  <c r="DO28" i="8" s="1"/>
  <c r="DH28" i="8"/>
  <c r="DJ42" i="8"/>
  <c r="DO42" i="8" s="1"/>
  <c r="DH42" i="8"/>
  <c r="DD19" i="6"/>
  <c r="DC19" i="6"/>
  <c r="DB19" i="6"/>
  <c r="CX19" i="6"/>
  <c r="CW19" i="6"/>
  <c r="CV19" i="6"/>
  <c r="CU19" i="6"/>
  <c r="CT19" i="6"/>
  <c r="CS19" i="6"/>
  <c r="CR19" i="6"/>
  <c r="CQ19" i="6"/>
  <c r="CM19" i="6"/>
  <c r="CL19" i="6"/>
  <c r="CK19" i="6"/>
  <c r="CJ19" i="6"/>
  <c r="CI19" i="6"/>
  <c r="CH19" i="6"/>
  <c r="CG19" i="6"/>
  <c r="CF19" i="6"/>
  <c r="CB19" i="6"/>
  <c r="CA19" i="6"/>
  <c r="BZ19" i="6"/>
  <c r="BY19" i="6"/>
  <c r="BX19" i="6"/>
  <c r="BW19" i="6"/>
  <c r="BV19" i="6"/>
  <c r="BR19" i="6"/>
  <c r="BQ19" i="6"/>
  <c r="BP19" i="6"/>
  <c r="BO19" i="6"/>
  <c r="BN19" i="6"/>
  <c r="BM19" i="6"/>
  <c r="BL19" i="6"/>
  <c r="BH19" i="6"/>
  <c r="BG19" i="6"/>
  <c r="BF19" i="6"/>
  <c r="BE19" i="6"/>
  <c r="BD19" i="6"/>
  <c r="BC19" i="6"/>
  <c r="BB19" i="6"/>
  <c r="BA19" i="6"/>
  <c r="AZ19" i="6"/>
  <c r="AY19" i="6"/>
  <c r="AX19" i="6"/>
  <c r="AW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M31" i="4"/>
  <c r="DG31" i="4" s="1"/>
  <c r="N31" i="4"/>
  <c r="O31" i="4"/>
  <c r="R31" i="4"/>
  <c r="S31" i="4"/>
  <c r="T31" i="4"/>
  <c r="U31" i="4"/>
  <c r="V31" i="4"/>
  <c r="Y31" i="4"/>
  <c r="Z31" i="4"/>
  <c r="AB31" i="4"/>
  <c r="AD31" i="4"/>
  <c r="AE31" i="4"/>
  <c r="AH31" i="4"/>
  <c r="AI31" i="4"/>
  <c r="AJ31" i="4"/>
  <c r="AL31" i="4"/>
  <c r="AN31" i="4"/>
  <c r="AO31" i="4"/>
  <c r="AR31" i="4"/>
  <c r="AT31" i="4"/>
  <c r="AV31" i="4"/>
  <c r="AX31" i="4"/>
  <c r="AY31" i="4"/>
  <c r="BB31" i="4"/>
  <c r="BD31" i="4"/>
  <c r="BF31" i="4"/>
  <c r="BH31" i="4"/>
  <c r="BI31" i="4"/>
  <c r="BJ31" i="4"/>
  <c r="BK31" i="4"/>
  <c r="BL31" i="4"/>
  <c r="BN31" i="4"/>
  <c r="BP31" i="4"/>
  <c r="BQ31" i="4"/>
  <c r="BR31" i="4"/>
  <c r="BS31" i="4"/>
  <c r="BV31" i="4"/>
  <c r="BW31" i="4"/>
  <c r="BX31" i="4"/>
  <c r="BY31" i="4"/>
  <c r="BZ31" i="4"/>
  <c r="CA31" i="4"/>
  <c r="CB31" i="4"/>
  <c r="CC31" i="4"/>
  <c r="CF31" i="4"/>
  <c r="CG31" i="4"/>
  <c r="CH31" i="4"/>
  <c r="CJ31" i="4"/>
  <c r="CM31" i="4"/>
  <c r="CN31" i="4"/>
  <c r="CQ31" i="4"/>
  <c r="CU31" i="4"/>
  <c r="CX31" i="4"/>
  <c r="CY31" i="4"/>
  <c r="DB31" i="4"/>
  <c r="DD14" i="5"/>
  <c r="DC14" i="5"/>
  <c r="DB14" i="5"/>
  <c r="CX14" i="5"/>
  <c r="CW14" i="5"/>
  <c r="CV14" i="5"/>
  <c r="CU14" i="5"/>
  <c r="CT14" i="5"/>
  <c r="CS14" i="5"/>
  <c r="CR14" i="5"/>
  <c r="CQ14" i="5"/>
  <c r="CM14" i="5"/>
  <c r="CL14" i="5"/>
  <c r="CK14" i="5"/>
  <c r="CJ14" i="5"/>
  <c r="CI14" i="5"/>
  <c r="CH14" i="5"/>
  <c r="CG14" i="5"/>
  <c r="CF14" i="5"/>
  <c r="CC14" i="5"/>
  <c r="CB14" i="5"/>
  <c r="CA14" i="5"/>
  <c r="BZ14" i="5"/>
  <c r="BY14" i="5"/>
  <c r="BX14" i="5"/>
  <c r="BW14" i="5"/>
  <c r="BV14" i="5"/>
  <c r="BS14" i="5"/>
  <c r="BR14" i="5"/>
  <c r="BQ14" i="5"/>
  <c r="BP14" i="5"/>
  <c r="BO14" i="5"/>
  <c r="BN14" i="5"/>
  <c r="BM14" i="5"/>
  <c r="BL14" i="5"/>
  <c r="BH14" i="5"/>
  <c r="BG14" i="5"/>
  <c r="BF14" i="5"/>
  <c r="BE14" i="5"/>
  <c r="BD14" i="5"/>
  <c r="BC14" i="5"/>
  <c r="BB14" i="5"/>
  <c r="AY14" i="5"/>
  <c r="AX14" i="5"/>
  <c r="AW14" i="5"/>
  <c r="AV14" i="5"/>
  <c r="AU14" i="5"/>
  <c r="AT14" i="5"/>
  <c r="AS14" i="5"/>
  <c r="AR14" i="5"/>
  <c r="AN14" i="5"/>
  <c r="AM14" i="5"/>
  <c r="AH14" i="5"/>
  <c r="U14" i="5"/>
  <c r="V14" i="5"/>
  <c r="W14" i="5"/>
  <c r="X14" i="5"/>
  <c r="Y14" i="5"/>
  <c r="Z14" i="5"/>
  <c r="AA14" i="5"/>
  <c r="AB14" i="5"/>
  <c r="AC14" i="5"/>
  <c r="AD14" i="5"/>
  <c r="AI14" i="5"/>
  <c r="AJ14" i="5"/>
  <c r="AK14" i="5"/>
  <c r="AL14" i="5"/>
  <c r="N14" i="5"/>
  <c r="O14" i="5"/>
  <c r="P14" i="5"/>
  <c r="Q14" i="5"/>
  <c r="R14" i="5"/>
  <c r="S14" i="5"/>
  <c r="T14" i="5"/>
  <c r="M14" i="5"/>
  <c r="DE19" i="6"/>
  <c r="DE14" i="5"/>
  <c r="BZ133" i="3"/>
  <c r="BP133" i="3"/>
  <c r="BF133" i="3"/>
  <c r="AV133" i="3"/>
  <c r="AL133" i="3"/>
  <c r="DH14" i="11" l="1"/>
  <c r="DJ14" i="11"/>
  <c r="DI15" i="11"/>
  <c r="DM15" i="11" s="1"/>
  <c r="DN15" i="11" s="1"/>
  <c r="BP23" i="11"/>
  <c r="CB8" i="11"/>
  <c r="AL23" i="11"/>
  <c r="BD8" i="11"/>
  <c r="BD23" i="11" s="1"/>
  <c r="AU8" i="11"/>
  <c r="CW15" i="11"/>
  <c r="CY15" i="11"/>
  <c r="DA15" i="11" s="1"/>
  <c r="DJ16" i="11"/>
  <c r="DH16" i="11"/>
  <c r="CV10" i="10"/>
  <c r="DG8" i="10"/>
  <c r="DG10" i="10" s="1"/>
  <c r="AL10" i="10"/>
  <c r="AU8" i="10"/>
  <c r="BD8" i="10"/>
  <c r="BD10" i="10" s="1"/>
  <c r="BP10" i="10"/>
  <c r="CB8" i="10"/>
  <c r="CB8" i="9"/>
  <c r="BP10" i="9"/>
  <c r="DG8" i="9"/>
  <c r="DG10" i="9" s="1"/>
  <c r="CV10" i="9"/>
  <c r="AU8" i="9"/>
  <c r="AL10" i="9"/>
  <c r="BD8" i="9"/>
  <c r="BD10" i="9" s="1"/>
  <c r="CY30" i="8"/>
  <c r="DA30" i="8" s="1"/>
  <c r="CW30" i="8"/>
  <c r="AL48" i="8"/>
  <c r="BD8" i="8"/>
  <c r="BD48" i="8" s="1"/>
  <c r="AU8" i="8"/>
  <c r="BP48" i="8"/>
  <c r="CB8" i="8"/>
  <c r="W31" i="4"/>
  <c r="D9" i="7"/>
  <c r="DJ15" i="11" l="1"/>
  <c r="DH15" i="11"/>
  <c r="AU23" i="11"/>
  <c r="AW8" i="11"/>
  <c r="CB23" i="11"/>
  <c r="CC8" i="11"/>
  <c r="CC23" i="11" s="1"/>
  <c r="CM8" i="11"/>
  <c r="AU10" i="10"/>
  <c r="AW8" i="10"/>
  <c r="CB10" i="10"/>
  <c r="CM8" i="10"/>
  <c r="CC8" i="10"/>
  <c r="CC10" i="10" s="1"/>
  <c r="CM8" i="9"/>
  <c r="CB10" i="9"/>
  <c r="CC8" i="9"/>
  <c r="CC10" i="9" s="1"/>
  <c r="AU10" i="9"/>
  <c r="AW8" i="9"/>
  <c r="CB48" i="8"/>
  <c r="CC8" i="8"/>
  <c r="CC48" i="8" s="1"/>
  <c r="CM8" i="8"/>
  <c r="AU48" i="8"/>
  <c r="AW8" i="8"/>
  <c r="DJ30" i="8"/>
  <c r="DO30" i="8" s="1"/>
  <c r="DH30" i="8"/>
  <c r="CS31" i="4"/>
  <c r="D13" i="7"/>
  <c r="CK31" i="4"/>
  <c r="CI31" i="4"/>
  <c r="X31" i="4"/>
  <c r="CM23" i="11" l="1"/>
  <c r="CX8" i="11"/>
  <c r="CN8" i="11"/>
  <c r="AW23" i="11"/>
  <c r="BF8" i="11"/>
  <c r="CM10" i="10"/>
  <c r="CN8" i="10"/>
  <c r="CX8" i="10"/>
  <c r="AW10" i="10"/>
  <c r="BF8" i="10"/>
  <c r="AW10" i="9"/>
  <c r="BF8" i="9"/>
  <c r="CM10" i="9"/>
  <c r="CN8" i="9"/>
  <c r="CX8" i="9"/>
  <c r="CM48" i="8"/>
  <c r="CX8" i="8"/>
  <c r="CN8" i="8"/>
  <c r="AW48" i="8"/>
  <c r="BF8" i="8"/>
  <c r="AA31" i="4"/>
  <c r="CR31" i="4"/>
  <c r="CL31" i="4"/>
  <c r="CN23" i="11" l="1"/>
  <c r="CP8" i="11"/>
  <c r="BF23" i="11"/>
  <c r="BH8" i="11"/>
  <c r="CX23" i="11"/>
  <c r="DI8" i="11"/>
  <c r="BF10" i="10"/>
  <c r="BH8" i="10"/>
  <c r="CX10" i="10"/>
  <c r="DM10" i="10" s="1"/>
  <c r="DI8" i="10"/>
  <c r="DI10" i="10" s="1"/>
  <c r="CN10" i="10"/>
  <c r="CP8" i="10"/>
  <c r="DI8" i="9"/>
  <c r="CX10" i="9"/>
  <c r="CP8" i="9"/>
  <c r="CN10" i="9"/>
  <c r="BH8" i="9"/>
  <c r="BF10" i="9"/>
  <c r="BF48" i="8"/>
  <c r="BH8" i="8"/>
  <c r="CN48" i="8"/>
  <c r="CP8" i="8"/>
  <c r="CX48" i="8"/>
  <c r="DI8" i="8"/>
  <c r="CV31" i="4"/>
  <c r="CT31" i="4"/>
  <c r="AS31" i="4"/>
  <c r="AC31" i="4"/>
  <c r="DN10" i="10" l="1"/>
  <c r="E21" i="7"/>
  <c r="F21" i="7" s="1"/>
  <c r="DI23" i="11"/>
  <c r="DM23" i="11" s="1"/>
  <c r="DM8" i="11"/>
  <c r="DN8" i="11" s="1"/>
  <c r="BH23" i="11"/>
  <c r="BO8" i="11"/>
  <c r="BO23" i="11" s="1"/>
  <c r="BQ8" i="11"/>
  <c r="CP23" i="11"/>
  <c r="CY8" i="11"/>
  <c r="CW8" i="11"/>
  <c r="CW23" i="11" s="1"/>
  <c r="CP10" i="10"/>
  <c r="CY8" i="10"/>
  <c r="CW8" i="10"/>
  <c r="CW10" i="10" s="1"/>
  <c r="BH10" i="10"/>
  <c r="BQ8" i="10"/>
  <c r="BO8" i="10"/>
  <c r="BO10" i="10" s="1"/>
  <c r="BQ8" i="9"/>
  <c r="BO8" i="9"/>
  <c r="BO10" i="9" s="1"/>
  <c r="BH10" i="9"/>
  <c r="CY8" i="9"/>
  <c r="CW8" i="9"/>
  <c r="CW10" i="9" s="1"/>
  <c r="CP10" i="9"/>
  <c r="DI10" i="9"/>
  <c r="DM10" i="9" s="1"/>
  <c r="DM8" i="9"/>
  <c r="DN8" i="9" s="1"/>
  <c r="DI48" i="8"/>
  <c r="DM48" i="8" s="1"/>
  <c r="DM8" i="8"/>
  <c r="DN8" i="8" s="1"/>
  <c r="CP48" i="8"/>
  <c r="CY8" i="8"/>
  <c r="CW8" i="8"/>
  <c r="CW48" i="8" s="1"/>
  <c r="BH48" i="8"/>
  <c r="BO8" i="8"/>
  <c r="BO48" i="8" s="1"/>
  <c r="BQ8" i="8"/>
  <c r="AK31" i="4"/>
  <c r="CW31" i="4"/>
  <c r="DN48" i="8" l="1"/>
  <c r="E19" i="7"/>
  <c r="DN10" i="9"/>
  <c r="E20" i="7"/>
  <c r="F20" i="7" s="1"/>
  <c r="DN23" i="11"/>
  <c r="E22" i="7"/>
  <c r="F22" i="7" s="1"/>
  <c r="CY23" i="11"/>
  <c r="DA8" i="11"/>
  <c r="BQ23" i="11"/>
  <c r="BS8" i="11"/>
  <c r="BS23" i="11" s="1"/>
  <c r="CY10" i="10"/>
  <c r="DA8" i="10"/>
  <c r="BQ10" i="10"/>
  <c r="BS8" i="10"/>
  <c r="BS10" i="10" s="1"/>
  <c r="BQ10" i="9"/>
  <c r="BS8" i="9"/>
  <c r="BS10" i="9" s="1"/>
  <c r="CY10" i="9"/>
  <c r="DA8" i="9"/>
  <c r="BQ48" i="8"/>
  <c r="BS8" i="8"/>
  <c r="BS48" i="8" s="1"/>
  <c r="CY48" i="8"/>
  <c r="DA8" i="8"/>
  <c r="DC31" i="4"/>
  <c r="BC31" i="4"/>
  <c r="AM31" i="4"/>
  <c r="E24" i="7" l="1"/>
  <c r="E27" i="7" s="1"/>
  <c r="F19" i="7"/>
  <c r="F24" i="7" s="1"/>
  <c r="F27" i="7" s="1"/>
  <c r="DA23" i="11"/>
  <c r="DJ8" i="11"/>
  <c r="DJ23" i="11" s="1"/>
  <c r="DH8" i="11"/>
  <c r="DH23" i="11" s="1"/>
  <c r="DA10" i="10"/>
  <c r="DJ8" i="10"/>
  <c r="DJ10" i="10" s="1"/>
  <c r="DN12" i="10" s="1"/>
  <c r="DH8" i="10"/>
  <c r="DH10" i="10" s="1"/>
  <c r="DA10" i="9"/>
  <c r="DJ8" i="9"/>
  <c r="DJ10" i="9" s="1"/>
  <c r="DH8" i="9"/>
  <c r="DH10" i="9" s="1"/>
  <c r="DA48" i="8"/>
  <c r="DJ8" i="8"/>
  <c r="DH8" i="8"/>
  <c r="DH48" i="8" s="1"/>
  <c r="AU31" i="4"/>
  <c r="DD31" i="4"/>
  <c r="DI29" i="4"/>
  <c r="DJ48" i="8" l="1"/>
  <c r="DN50" i="8" s="1"/>
  <c r="DO8" i="8"/>
  <c r="DO48" i="8" s="1"/>
  <c r="DJ29" i="4"/>
  <c r="DE31" i="4"/>
  <c r="E9" i="7"/>
  <c r="DI31" i="4"/>
  <c r="AW31" i="4"/>
  <c r="BE31" i="4" l="1"/>
  <c r="E13" i="7"/>
  <c r="F9" i="7"/>
  <c r="F13" i="7" s="1"/>
  <c r="BO31" i="4" l="1"/>
  <c r="BM31" i="4"/>
  <c r="BG31" i="4"/>
</calcChain>
</file>

<file path=xl/sharedStrings.xml><?xml version="1.0" encoding="utf-8"?>
<sst xmlns="http://schemas.openxmlformats.org/spreadsheetml/2006/main" count="2416" uniqueCount="586">
  <si>
    <t>Total</t>
  </si>
  <si>
    <t>Gross Block</t>
  </si>
  <si>
    <t>Depreciation</t>
  </si>
  <si>
    <t>Net Block</t>
  </si>
  <si>
    <t>Plant &amp; Machinery</t>
  </si>
  <si>
    <t>Material Handling Equipments</t>
  </si>
  <si>
    <t>Electrical Equipments</t>
  </si>
  <si>
    <t>Jigs &amp; Tools</t>
  </si>
  <si>
    <t>Particulars</t>
  </si>
  <si>
    <t>Asset Category as per Schedule XIV</t>
  </si>
  <si>
    <t>Asset Category as per Schedule II</t>
  </si>
  <si>
    <t>Asset Classification as per schedule II</t>
  </si>
  <si>
    <t>Location code</t>
  </si>
  <si>
    <t>Date of Purchase</t>
  </si>
  <si>
    <t>Year of Purchase</t>
  </si>
  <si>
    <t>Elapsed Life</t>
  </si>
  <si>
    <t>Useful Life as per Part C of Schedule II</t>
  </si>
  <si>
    <t>Remaining useful life as per part C of Schedule II</t>
  </si>
  <si>
    <t>Original Value as on 31.03.2014</t>
  </si>
  <si>
    <t>Accumulated Depr as on 31.03.14</t>
  </si>
  <si>
    <t>WDV 31.03.2014</t>
  </si>
  <si>
    <t xml:space="preserve">Days used 
for addition </t>
  </si>
  <si>
    <t>Remaining useful life  (round off)</t>
  </si>
  <si>
    <t>5% of Original cost</t>
  </si>
  <si>
    <t xml:space="preserve">Remaining Depreciable Value as on 1.4.14 ( WDV as on 31.03.14 - 5% of Original Cost) </t>
  </si>
  <si>
    <t>Depreciation for the period 01.04.2014 - 31.03.2015</t>
  </si>
  <si>
    <t>Adjustment from Retained Earnings Increase/ (Decrease)</t>
  </si>
  <si>
    <t>WDV as on 01.04.2014</t>
  </si>
  <si>
    <t>WDV as on 01.04.2015</t>
  </si>
  <si>
    <t>WDV as on 
01.04.2015</t>
  </si>
  <si>
    <t>Addition during 2015-16</t>
  </si>
  <si>
    <t>No. of days used in 2015-16 
(for addition / deletion)</t>
  </si>
  <si>
    <t>Elapsed life as on 31-3-2015</t>
  </si>
  <si>
    <t>Remaining useful life as on 31.03.2016 (round off)</t>
  </si>
  <si>
    <t>Remaining Depreciable Value 
(WDV as on 31.03.16 - 5% of Original Cost)  and Addition</t>
  </si>
  <si>
    <t>Depreciation for the year</t>
  </si>
  <si>
    <t>WDV as on 
31.03-2016</t>
  </si>
  <si>
    <t>WDV as on 
01.04.2016</t>
  </si>
  <si>
    <t>Addition during 2016-17</t>
  </si>
  <si>
    <t>No. of days used in 2016-17
(for addition / deletion)</t>
  </si>
  <si>
    <t>Elapsed life as on 31-3-2016</t>
  </si>
  <si>
    <t>Remaining useful life as on 31.03.2017 (round off)</t>
  </si>
  <si>
    <t>Remaining Depreciable Value 
(WDV as on 31.03.17 - 5% of Original Cost)  and Addition</t>
  </si>
  <si>
    <t>WDV as on 
31.03-2017</t>
  </si>
  <si>
    <t>WDV as on 
01.04.2017</t>
  </si>
  <si>
    <t>Addition during 2017-18</t>
  </si>
  <si>
    <t>No. of days used in 2017-18
(for addition / deletion)</t>
  </si>
  <si>
    <t>Elapsed life as en 31-3-2017</t>
  </si>
  <si>
    <t>Remaining useful life as on 30.09.2017 (round off)</t>
  </si>
  <si>
    <t>Remaining Depreciable Value 
(WDV as on 31.03.2018 - 5% of Original Cost)  and Addition</t>
  </si>
  <si>
    <t>WDV as on 
31-03-2018</t>
  </si>
  <si>
    <t>WDV as on 
01.04.2018</t>
  </si>
  <si>
    <t>Addition during 2018-19</t>
  </si>
  <si>
    <t>No. of days used in 2018-19
(for addition / deletion)</t>
  </si>
  <si>
    <t>Elapsed life as en 31-3-2018</t>
  </si>
  <si>
    <t>Remaining useful life as on 31-03-2019 (Round off)</t>
  </si>
  <si>
    <t>Remaining Depreciable Value 
(WDV as on 31-03-2019 - 5% of Original Cost)  and Addition</t>
  </si>
  <si>
    <t>WDV as on 
31-03-2019</t>
  </si>
  <si>
    <t>WDV as on 
01.04.2019</t>
  </si>
  <si>
    <t>Addition during 2019-20</t>
  </si>
  <si>
    <t>No. of days used in 2019-20
(for addition / deletion)</t>
  </si>
  <si>
    <t>Elapsed life as en 31-3-2019</t>
  </si>
  <si>
    <t>Remaining useful life as on 31-03-2020 (Round off)</t>
  </si>
  <si>
    <t>Remaining Depreciable Value 
(WDV as on 31-03-2020 - 5% of Original Cost)  and Addition</t>
  </si>
  <si>
    <t>WDV as on 
31-03-2020</t>
  </si>
  <si>
    <t>WDV as on 
01.04.2020</t>
  </si>
  <si>
    <t>Addition during 2020-21</t>
  </si>
  <si>
    <t>No. of days used in 2020-21
(for addition / deletion)</t>
  </si>
  <si>
    <t>Elapsed life as en 31-03-2020</t>
  </si>
  <si>
    <t>WDV as on 
31-03-2021</t>
  </si>
  <si>
    <t>WDV as on 
01.04.2021</t>
  </si>
  <si>
    <t>Addition during 2021-22</t>
  </si>
  <si>
    <t>No. of days used in 2021-22
(for addition / deletion)</t>
  </si>
  <si>
    <t>Elafsed life as on 31-3-2021</t>
  </si>
  <si>
    <t>Remaining usehul lihe ah on 31-03-2022(round oFF)</t>
  </si>
  <si>
    <t>Remaining Depreciable Value 
(WDV as on 31-03-2022 - 5% of Original Cost)  and Addition</t>
  </si>
  <si>
    <t>WDV as on 
31-03-2022</t>
  </si>
  <si>
    <t>WDV as on 
01.04.2022</t>
  </si>
  <si>
    <t>Addition during 2022-23</t>
  </si>
  <si>
    <t>No. of days used in 2022-23
(for addition / deletion)</t>
  </si>
  <si>
    <t>Elafsed life as on 31-3-2022</t>
  </si>
  <si>
    <t>Remaining useful life ah on 31-03-2023(round off)</t>
  </si>
  <si>
    <t>Remaining Depreciable Value 
(WDV as on 31-03-2023 - 5% of Original Cost)  and Addition</t>
  </si>
  <si>
    <t>WDV as on 
31-03-2023</t>
  </si>
  <si>
    <t>A</t>
  </si>
  <si>
    <t>B</t>
  </si>
  <si>
    <t>C</t>
  </si>
  <si>
    <t>D</t>
  </si>
  <si>
    <t>E</t>
  </si>
  <si>
    <t>F</t>
  </si>
  <si>
    <t>G</t>
  </si>
  <si>
    <t xml:space="preserve">H = F - G </t>
  </si>
  <si>
    <t>I = ROUND (E)</t>
  </si>
  <si>
    <t>J = 5% OF F</t>
  </si>
  <si>
    <t>K = H - J</t>
  </si>
  <si>
    <t>Single</t>
  </si>
  <si>
    <t>Double</t>
  </si>
  <si>
    <t>Triple</t>
  </si>
  <si>
    <t>L</t>
  </si>
  <si>
    <t>N</t>
  </si>
  <si>
    <t>O</t>
  </si>
  <si>
    <t>(ii) Plant &amp; Machinery - Shift</t>
  </si>
  <si>
    <t>FA-00715</t>
  </si>
  <si>
    <t>Lathe Machine</t>
  </si>
  <si>
    <t>9A</t>
  </si>
  <si>
    <t>FA-00716</t>
  </si>
  <si>
    <t>Radial Drill Machine</t>
  </si>
  <si>
    <t>FA-00717</t>
  </si>
  <si>
    <t>Centre Lathe Machine</t>
  </si>
  <si>
    <t>FA-00718</t>
  </si>
  <si>
    <t>Radial Drill machine</t>
  </si>
  <si>
    <t>2 No</t>
  </si>
  <si>
    <t>FA-00719</t>
  </si>
  <si>
    <t>Magnetic Drill machine with Drill Stand</t>
  </si>
  <si>
    <t>FA-00720</t>
  </si>
  <si>
    <t>Pug Cutting Machine</t>
  </si>
  <si>
    <t>FA-00721</t>
  </si>
  <si>
    <t>Universal Magnetic Geared Drill Machine</t>
  </si>
  <si>
    <t>FA-00722</t>
  </si>
  <si>
    <t>Bench Drilling Machine</t>
  </si>
  <si>
    <t>FA-00723</t>
  </si>
  <si>
    <t>Magnetic Geared Drill Machine</t>
  </si>
  <si>
    <t>FA-00724</t>
  </si>
  <si>
    <t>FA-00725</t>
  </si>
  <si>
    <t>Air Plasma Cutting Machine (MPT - 30)</t>
  </si>
  <si>
    <t>FA-00726</t>
  </si>
  <si>
    <t>Air Plasma Cutting Machine (MPT - 60)</t>
  </si>
  <si>
    <t>FA-00727</t>
  </si>
  <si>
    <t>Heavy Duty Lathe Machine</t>
  </si>
  <si>
    <t>FA-00728</t>
  </si>
  <si>
    <t>KPT Angle Grinder</t>
  </si>
  <si>
    <t>FA-00729</t>
  </si>
  <si>
    <t>FA-00730</t>
  </si>
  <si>
    <t>Compression Testing Machine</t>
  </si>
  <si>
    <t>FA-00731</t>
  </si>
  <si>
    <t>Dewalt Chopsaw Machine</t>
  </si>
  <si>
    <t>FA-00732</t>
  </si>
  <si>
    <t>Angle Grinder Machine</t>
  </si>
  <si>
    <t>FA-00733</t>
  </si>
  <si>
    <t>Geared Drill Machine</t>
  </si>
  <si>
    <t>FA-00734</t>
  </si>
  <si>
    <t>Trapper Drill Machine</t>
  </si>
  <si>
    <t>FA-00735</t>
  </si>
  <si>
    <t>FA-00736</t>
  </si>
  <si>
    <t>Hydraulic Plate Bending Machine</t>
  </si>
  <si>
    <t>FA-00737</t>
  </si>
  <si>
    <t>Keyway Cutting Machine</t>
  </si>
  <si>
    <t>FA-00738</t>
  </si>
  <si>
    <t>Drill amchine 31 MM</t>
  </si>
  <si>
    <t>FA-00739</t>
  </si>
  <si>
    <t>PUG Cutting Machine</t>
  </si>
  <si>
    <t>FA-00740</t>
  </si>
  <si>
    <t>Tool Post Grinder</t>
  </si>
  <si>
    <t>FA-00741</t>
  </si>
  <si>
    <t>Bevelling Machine</t>
  </si>
  <si>
    <t>FA-00742</t>
  </si>
  <si>
    <t>Dewalt make Angle Grinder</t>
  </si>
  <si>
    <t>FA-00743</t>
  </si>
  <si>
    <t>KPTS Angle Grinder</t>
  </si>
  <si>
    <t>FA-00744</t>
  </si>
  <si>
    <t>31 mm Magnetic Drill Machine</t>
  </si>
  <si>
    <t>FA-00745</t>
  </si>
  <si>
    <t>FA-00746</t>
  </si>
  <si>
    <t>FA-00747</t>
  </si>
  <si>
    <t>Angle grinder Machine</t>
  </si>
  <si>
    <t>FA-00748</t>
  </si>
  <si>
    <t>FA-00749</t>
  </si>
  <si>
    <t>Straight Grinder 4"</t>
  </si>
  <si>
    <t>FA-00750</t>
  </si>
  <si>
    <t>31 mm DRILL MACHINE</t>
  </si>
  <si>
    <t>FA-00751</t>
  </si>
  <si>
    <t>KPT MAGNETIC STAND</t>
  </si>
  <si>
    <t>FA-00752</t>
  </si>
  <si>
    <t>ANGLE GRINDER 7"</t>
  </si>
  <si>
    <t>FA-00753</t>
  </si>
  <si>
    <t>STRAIGHT GRINDER 4"</t>
  </si>
  <si>
    <t>FA-00754</t>
  </si>
  <si>
    <t>PUG CUTTING MACHINE</t>
  </si>
  <si>
    <t>FA-00755</t>
  </si>
  <si>
    <t>CHOPSAW MACHINE 14"</t>
  </si>
  <si>
    <t>FA-00756</t>
  </si>
  <si>
    <t>BENCH GRINDER 12" DIA</t>
  </si>
  <si>
    <t>FA-00757</t>
  </si>
  <si>
    <t>CUTTER ECO FOR BEVELLING MACHINE N.K.O. MAKE</t>
  </si>
  <si>
    <t>FA-00758</t>
  </si>
  <si>
    <t>DEWALT ANGLE GRINDER 5"</t>
  </si>
  <si>
    <t>FA-00759</t>
  </si>
  <si>
    <t>BROACH CUTTER MACHINE</t>
  </si>
  <si>
    <t>FA-00760</t>
  </si>
  <si>
    <t>HYDRAULIC PLATE BENDING MACHINE</t>
  </si>
  <si>
    <t>FA-00761</t>
  </si>
  <si>
    <t>ANGLE GRINDER MACHINE</t>
  </si>
  <si>
    <t>FA-00762</t>
  </si>
  <si>
    <t>COLUMN &amp; BOOM MODEL, MOTORIZED TROLLEY, CNC CUTTING MACHINE, STRIP CITTING TORCH</t>
  </si>
  <si>
    <t>FA-00763</t>
  </si>
  <si>
    <t>KPT ANGLE GRINDER</t>
  </si>
  <si>
    <t>FA-00764</t>
  </si>
  <si>
    <t>FA-00765</t>
  </si>
  <si>
    <t>FA-00766</t>
  </si>
  <si>
    <t>FA-00767</t>
  </si>
  <si>
    <t>HYDRAULIC PRESS MACHINE 150 TON</t>
  </si>
  <si>
    <t>FA-00768</t>
  </si>
  <si>
    <t>CUTTER ECO FOR BEVELLING</t>
  </si>
  <si>
    <t>FA-00769</t>
  </si>
  <si>
    <t>FA-00770</t>
  </si>
  <si>
    <t>MARKMATE PNEUMATIC DOT MARKING MACHINE</t>
  </si>
  <si>
    <t>FA-00771</t>
  </si>
  <si>
    <t>3 SPEED SEMI NORTON 16" LATHE M/C</t>
  </si>
  <si>
    <t>FA-00772</t>
  </si>
  <si>
    <t>3 SPEED SEMI NORTON 8" LATHE M/C</t>
  </si>
  <si>
    <t>FA-00773</t>
  </si>
  <si>
    <t>SLOTTING MACHINE</t>
  </si>
  <si>
    <t>FA-00774</t>
  </si>
  <si>
    <t>W.P. SET COMP DIESEL  ENGINE</t>
  </si>
  <si>
    <t>FA-00775</t>
  </si>
  <si>
    <t>TBI BINZEL MAKE CO2 MIG TORCH 3MTR HOSE</t>
  </si>
  <si>
    <t>FA-00776</t>
  </si>
  <si>
    <t>LONG NECK DIE GRINDER MACHINE</t>
  </si>
  <si>
    <t>FA-00777</t>
  </si>
  <si>
    <t>HYDRAULIC PRESS MACHINE "C" TYPE</t>
  </si>
  <si>
    <t>FA-00778</t>
  </si>
  <si>
    <t>ANGLE GRINDER MACHINE KPT MAKE</t>
  </si>
  <si>
    <t>FA-00779</t>
  </si>
  <si>
    <t>BEVELLING ECO CUTTER</t>
  </si>
  <si>
    <t>FA-00780</t>
  </si>
  <si>
    <t>WOLF MAKE ANGLE GRINDER</t>
  </si>
  <si>
    <t>FA-00781</t>
  </si>
  <si>
    <t>ALL GEARED UNIVERSAL MILLING MACHINE</t>
  </si>
  <si>
    <t>FA-00782</t>
  </si>
  <si>
    <t>ROLL TURNING CENTRE LATHE MACHINE</t>
  </si>
  <si>
    <t>FA-00783</t>
  </si>
  <si>
    <t>FA-00784</t>
  </si>
  <si>
    <t>Cutter Eco</t>
  </si>
  <si>
    <t>FA-00785</t>
  </si>
  <si>
    <t>FRP Cooling Tower with Basin</t>
  </si>
  <si>
    <t>FA-00786</t>
  </si>
  <si>
    <t>Machine A/Grinder 7"</t>
  </si>
  <si>
    <t>FA-00787</t>
  </si>
  <si>
    <t>5" Angle Grinder MC2 Wolf 35125 Machine</t>
  </si>
  <si>
    <t>FA-00788</t>
  </si>
  <si>
    <t>5" Angle Grinder MC2 Dewalt Dw831 Machine</t>
  </si>
  <si>
    <t>FA-00789</t>
  </si>
  <si>
    <t>Radio Remote Control System</t>
  </si>
  <si>
    <t>FA-00790</t>
  </si>
  <si>
    <t>GNA Nibbker Machine</t>
  </si>
  <si>
    <t>FA-00791</t>
  </si>
  <si>
    <t>Under Crank Type Gulliotine shearing Machine with Machanical Clinch</t>
  </si>
  <si>
    <t>FA-00792</t>
  </si>
  <si>
    <t>5" Angle Grinder Machine ( MC2 Dewalt Dw831 Machine)</t>
  </si>
  <si>
    <t>FA-00793</t>
  </si>
  <si>
    <t>MC1 KPT Make KW10 Machine</t>
  </si>
  <si>
    <t>FA-00794</t>
  </si>
  <si>
    <t>4' Angel Grinder</t>
  </si>
  <si>
    <t>FA-00795</t>
  </si>
  <si>
    <t>FA-00796</t>
  </si>
  <si>
    <t>5" Angle grinder 1100W</t>
  </si>
  <si>
    <t>FA-00797</t>
  </si>
  <si>
    <t>5" A/Grinder machine</t>
  </si>
  <si>
    <t>FA-00798</t>
  </si>
  <si>
    <t>Network -II</t>
  </si>
  <si>
    <t>FA-00799</t>
  </si>
  <si>
    <t>Network -III</t>
  </si>
  <si>
    <t>FA-00800</t>
  </si>
  <si>
    <t>Network IV</t>
  </si>
  <si>
    <t>FA-00801</t>
  </si>
  <si>
    <t>JG - 250 Torch Head Hand</t>
  </si>
  <si>
    <t>FA-00802</t>
  </si>
  <si>
    <t>L.T. Transformer</t>
  </si>
  <si>
    <t>FA-00803</t>
  </si>
  <si>
    <t>Tapper Drill Machine</t>
  </si>
  <si>
    <t>FA-00804</t>
  </si>
  <si>
    <t>Air Plasma Cutting Machine</t>
  </si>
  <si>
    <t>FA-00805</t>
  </si>
  <si>
    <t>7" Angle Grinder</t>
  </si>
  <si>
    <t>FA-00806</t>
  </si>
  <si>
    <t>5" Angle Grinder</t>
  </si>
  <si>
    <t>FA-00807</t>
  </si>
  <si>
    <t>5 Others  including  Material  Handling Pipeline / Welding Equipments [NESD]</t>
  </si>
  <si>
    <t>FA-00808</t>
  </si>
  <si>
    <t>Welding Machine 400 amp</t>
  </si>
  <si>
    <t>FA-00809</t>
  </si>
  <si>
    <t>FA-00810</t>
  </si>
  <si>
    <t>FA-00811</t>
  </si>
  <si>
    <t>Welding Rectifier 400 amp</t>
  </si>
  <si>
    <t>FA-00812</t>
  </si>
  <si>
    <t>FA-00813</t>
  </si>
  <si>
    <t>MIG/MAG Welding Machine</t>
  </si>
  <si>
    <t>FA-00814</t>
  </si>
  <si>
    <t>FA-00815</t>
  </si>
  <si>
    <t>Air Cooled Welding Transformer</t>
  </si>
  <si>
    <t>FA-00816</t>
  </si>
  <si>
    <t>FA-00817</t>
  </si>
  <si>
    <t>Automatic Idler Welding Machine</t>
  </si>
  <si>
    <t>FA-00818</t>
  </si>
  <si>
    <t>Thyristorized Welding Rectifier</t>
  </si>
  <si>
    <t>FA-00819</t>
  </si>
  <si>
    <t>Inverter Arc Welding Machine 200 amp</t>
  </si>
  <si>
    <t>FA-00820</t>
  </si>
  <si>
    <t>Double Ended Indler Welding Machine</t>
  </si>
  <si>
    <t>FA-00821</t>
  </si>
  <si>
    <t>Inverter Based MMAW Welding Machine</t>
  </si>
  <si>
    <t>FA-00822</t>
  </si>
  <si>
    <t>Inverter Based MIG Welding Machine</t>
  </si>
  <si>
    <t>FA-00823</t>
  </si>
  <si>
    <t>FA-00824</t>
  </si>
  <si>
    <t>FA-00825</t>
  </si>
  <si>
    <t>FA-00826</t>
  </si>
  <si>
    <t>THYRISTORISED WELDING RECTIFIER</t>
  </si>
  <si>
    <t>FA-00827</t>
  </si>
  <si>
    <t>INVERTER WELDING MACHINE 200 AMPS</t>
  </si>
  <si>
    <t>FA-00828</t>
  </si>
  <si>
    <t>INVERTER BASED MIG WELDING MACHINE 400 AMPS</t>
  </si>
  <si>
    <t>FA-00829</t>
  </si>
  <si>
    <t>FA-00830</t>
  </si>
  <si>
    <t>MIG Welding Machine 400 amps</t>
  </si>
  <si>
    <t>FA-00831</t>
  </si>
  <si>
    <t>FA-00832</t>
  </si>
  <si>
    <t>WELDING MACHINE</t>
  </si>
  <si>
    <t>FA-00833</t>
  </si>
  <si>
    <t>FA-00834</t>
  </si>
  <si>
    <t>FA-00835</t>
  </si>
  <si>
    <t>Welding Machine MIG350 (N301) with Accessories</t>
  </si>
  <si>
    <t>FA-00836</t>
  </si>
  <si>
    <t>Suppra Mig 350(N301) Welding Machine with Accessories</t>
  </si>
  <si>
    <t>FA-00837</t>
  </si>
  <si>
    <t>Welding Machine &amp; Accessories</t>
  </si>
  <si>
    <t>FA-00838</t>
  </si>
  <si>
    <t>Supra TIG 300(I) Welding Machine</t>
  </si>
  <si>
    <t>FA-00839</t>
  </si>
  <si>
    <t>Suppra Mig400(S) Welding Machine</t>
  </si>
  <si>
    <t>FA-00840</t>
  </si>
  <si>
    <t>Welding Machine - Mig 350 ( N 301) with Spare Parts</t>
  </si>
  <si>
    <t>Plant and Machinery</t>
  </si>
  <si>
    <t>FA-00841</t>
  </si>
  <si>
    <t>Welding Machine</t>
  </si>
  <si>
    <t>FA-00842</t>
  </si>
  <si>
    <t>Old Core System Retro Feeding with Plasma Max PRO 200</t>
  </si>
  <si>
    <t>FA-00843</t>
  </si>
  <si>
    <t>Hand Plasma System Max PRO 45</t>
  </si>
  <si>
    <t>FA-00844</t>
  </si>
  <si>
    <t xml:space="preserve">Hydraulically Operated Automatic Pipe Cutting Machine </t>
  </si>
  <si>
    <t>17 N/1</t>
  </si>
  <si>
    <t>FA-00845</t>
  </si>
  <si>
    <t>Hydraulically Operated Automatic Boring Machine (Capacity 75 - 200 MM Dia X 200 - 1600 Pipe)</t>
  </si>
  <si>
    <t>FA-00846</t>
  </si>
  <si>
    <t>Pneumatically Operated Automatic Idler Welding Machine</t>
  </si>
  <si>
    <t>FA-00847</t>
  </si>
  <si>
    <t>Pug Cutting machine</t>
  </si>
  <si>
    <t>FA-00848</t>
  </si>
  <si>
    <t>FA-00849</t>
  </si>
  <si>
    <t>Tornocut CNC Ecocut Machine</t>
  </si>
  <si>
    <t>FA-00850</t>
  </si>
  <si>
    <t>Hydraucally Operated horizontal bearing &amp; shaft pushing machine</t>
  </si>
  <si>
    <t>10</t>
  </si>
  <si>
    <t>FA-00851</t>
  </si>
  <si>
    <t>Bearing Housing Fitting Machine</t>
  </si>
  <si>
    <t>FA-00852</t>
  </si>
  <si>
    <t>MC1kPT KMC BRC Machine</t>
  </si>
  <si>
    <t>FA-00853</t>
  </si>
  <si>
    <t>Mobile Concrete Batching/Mixing Plant With Turbo Pan Mixer, Water Flow Sensor, Control Panel With Online Print Out Syatem &amp; Statndard Accessories</t>
  </si>
  <si>
    <t>FA-00854</t>
  </si>
  <si>
    <t>Aquarius 1004D Shp Concrete Pump &amp; Accessories With 100 Rm Pipeline</t>
  </si>
  <si>
    <t>FA-00855</t>
  </si>
  <si>
    <t>Kpt Kms Brc Machine</t>
  </si>
  <si>
    <t>FA-00856</t>
  </si>
  <si>
    <t>Self Centering Rotator</t>
  </si>
  <si>
    <t>FA-00857</t>
  </si>
  <si>
    <t>BAR BINDING MACHINE</t>
  </si>
  <si>
    <t>FA/000071</t>
  </si>
  <si>
    <t>Magnetic Broach Cutter (KDS 100 - 4RL)</t>
  </si>
  <si>
    <t>18-19</t>
  </si>
  <si>
    <t>FA/000075</t>
  </si>
  <si>
    <t>MAGNETIC CORE DRILL MACHINE</t>
  </si>
  <si>
    <t>FA/000115</t>
  </si>
  <si>
    <t>FA/000118</t>
  </si>
  <si>
    <t>CHOP SAW (PIPE CUTTING M/C)</t>
  </si>
  <si>
    <t>FA/000080</t>
  </si>
  <si>
    <t>ROTATOR 10 TON ADJUSTABLE, SELF ALIGNING</t>
  </si>
  <si>
    <t>FA/000117</t>
  </si>
  <si>
    <t>AUTOMATIC PIPE CUTTING MACHINE</t>
  </si>
  <si>
    <t>19-20</t>
  </si>
  <si>
    <t>FA/000180</t>
  </si>
  <si>
    <t>ROTATOR - 5 TON ADJUSTABLE, SELF ALIGNING</t>
  </si>
  <si>
    <t>FA/000238</t>
  </si>
  <si>
    <t>VERTICAL TYPE BEARING PUSHING MACHINE</t>
  </si>
  <si>
    <t>20-21</t>
  </si>
  <si>
    <t>FA/000266</t>
  </si>
  <si>
    <t>PLASMA CUTTING MACHINE</t>
  </si>
  <si>
    <t>21-22</t>
  </si>
  <si>
    <t>FA/000267</t>
  </si>
  <si>
    <t>CHOP SAW</t>
  </si>
  <si>
    <t>FA/000300</t>
  </si>
  <si>
    <t>Magnetic Drilling Machine</t>
  </si>
  <si>
    <t>22-23</t>
  </si>
  <si>
    <t>FA/000302</t>
  </si>
  <si>
    <t>IGBT BASED HEAVY DUTY MMA ARC WELDING MACHINE</t>
  </si>
  <si>
    <t>FA/000301</t>
  </si>
  <si>
    <t>MIG-MAG CUM MMA WELDING MACHINE</t>
  </si>
  <si>
    <t>FA/000351</t>
  </si>
  <si>
    <t>MIG WELDING MACHINE</t>
  </si>
  <si>
    <t>FA/000370</t>
  </si>
  <si>
    <t>Welding Mig Machine</t>
  </si>
  <si>
    <t>FA/000368</t>
  </si>
  <si>
    <t>Taper Drill Machine With Stand</t>
  </si>
  <si>
    <t>FA/000367</t>
  </si>
  <si>
    <t>Grinding Machine  7"</t>
  </si>
  <si>
    <t>FA/000366</t>
  </si>
  <si>
    <t>FA/000332</t>
  </si>
  <si>
    <t>Self-Centering Rotators 50 Ton Capacity</t>
  </si>
  <si>
    <t>FA/000331</t>
  </si>
  <si>
    <t>Self Centering Rotators 20 Ton Capacity</t>
  </si>
  <si>
    <t>FA/000330</t>
  </si>
  <si>
    <t>Self Centering Rotators 10 Ton Capacity</t>
  </si>
  <si>
    <t>FA/000381</t>
  </si>
  <si>
    <t>Grinding Machine AG-5 900Watt (Model-900-125)</t>
  </si>
  <si>
    <t>FA/000379</t>
  </si>
  <si>
    <t>Plasma Cutting Machine</t>
  </si>
  <si>
    <t>2009-2010</t>
  </si>
  <si>
    <t>2010-2011</t>
  </si>
  <si>
    <t>2011-2012</t>
  </si>
  <si>
    <t>2012-2013</t>
  </si>
  <si>
    <t>2013-2014</t>
  </si>
  <si>
    <t>2014-2015</t>
  </si>
  <si>
    <t>2015-2016</t>
  </si>
  <si>
    <t>2016-2017</t>
  </si>
  <si>
    <t>2017-2018</t>
  </si>
  <si>
    <t xml:space="preserve">Depreciated Value </t>
  </si>
  <si>
    <t>BTL EPC Limited</t>
  </si>
  <si>
    <t>List of Plant of Machinery as on 31.03.2023</t>
  </si>
  <si>
    <t>Location</t>
  </si>
  <si>
    <t>2, Jessore Road</t>
  </si>
  <si>
    <t>9A, K. B. Sarani</t>
  </si>
  <si>
    <t>17N/1, K. B. Sarani</t>
  </si>
  <si>
    <t>Naser Avenue, Durgapur</t>
  </si>
  <si>
    <t>TOTAL</t>
  </si>
  <si>
    <t>Sl.No</t>
  </si>
  <si>
    <t xml:space="preserve">Plant &amp; Machinery </t>
  </si>
  <si>
    <t>Material Handling &amp; Other Machinery</t>
  </si>
  <si>
    <t>Total (A + B)</t>
  </si>
  <si>
    <t xml:space="preserve">Asset Category as per Old Schedule </t>
  </si>
  <si>
    <t>Concatenate</t>
  </si>
  <si>
    <t>Year / Date</t>
  </si>
  <si>
    <t>Elapsed life as on 31-3-2014</t>
  </si>
  <si>
    <t xml:space="preserve">Original Value as on 31.03.2014 and addition during the year </t>
  </si>
  <si>
    <t xml:space="preserve">Deletion of Assets </t>
  </si>
  <si>
    <t>Original Cost As on 31.03.2015</t>
  </si>
  <si>
    <t xml:space="preserve">Days assets used for Addtion or Deletion </t>
  </si>
  <si>
    <t xml:space="preserve">Remaining Depreciable Value as on 1.4.14 ( WDV as on 31.03.14 - 5% of Original Cost)  and Addtion </t>
  </si>
  <si>
    <t>Depreciation / Year ie from 14-15</t>
  </si>
  <si>
    <t>WDV as on 01.04.2014 and on addtion of Assets</t>
  </si>
  <si>
    <t>WDV as on 
31.03-2015</t>
  </si>
  <si>
    <t xml:space="preserve">Date of deltion </t>
  </si>
  <si>
    <t>Days Used</t>
  </si>
  <si>
    <t xml:space="preserve">No of days used </t>
  </si>
  <si>
    <t>Date of Sale</t>
  </si>
  <si>
    <t>Elapsed life as on 31-3-2017</t>
  </si>
  <si>
    <t>Remaining uhehul lihe ah on 31.03.2018 (round ohh)</t>
  </si>
  <si>
    <t>Remaining Depreciable Value 
(WDV as on 31-03-2018 - 5% of Original Cost)  and Addition</t>
  </si>
  <si>
    <t>Elafsed life as on 31-3-2018</t>
  </si>
  <si>
    <t>Remaining usehul lihe ah on 31-03-2019 (hound ohh)</t>
  </si>
  <si>
    <t>Elafsed life as on 31-3-2019</t>
  </si>
  <si>
    <t>Remaining usehul lihe ah on 31-03-2020 (hound ohh)</t>
  </si>
  <si>
    <t>Elafsed life as on 31-3-2020</t>
  </si>
  <si>
    <t>Remaining usehul lihe ah on 31-03-2021(hound ohh)</t>
  </si>
  <si>
    <t>Remaining Depreciable Value 
(WDV as on 31-03-2021 - 5% of Original Cost)  and Addition</t>
  </si>
  <si>
    <t>Gross Depreciation</t>
  </si>
  <si>
    <t>C = 31 /3 /14 - B</t>
  </si>
  <si>
    <t>E = D - C</t>
  </si>
  <si>
    <t>H = F - G</t>
  </si>
  <si>
    <t>I= ROUND (E)</t>
  </si>
  <si>
    <t>K</t>
  </si>
  <si>
    <t>L = K / I</t>
  </si>
  <si>
    <t>O = K + N</t>
  </si>
  <si>
    <t>P</t>
  </si>
  <si>
    <t>(i) General Plant &amp; Machinery (NESD)</t>
  </si>
  <si>
    <t>FA-00019</t>
  </si>
  <si>
    <t>Overhead Crane 5 T</t>
  </si>
  <si>
    <t>FA-00020</t>
  </si>
  <si>
    <t>Jib Crane 3 Ton</t>
  </si>
  <si>
    <t>FA-00021</t>
  </si>
  <si>
    <t>FA-00022</t>
  </si>
  <si>
    <t>Chain Pulley Block 5 T</t>
  </si>
  <si>
    <t>FA-00023</t>
  </si>
  <si>
    <t>Hand Crane 500 KG</t>
  </si>
  <si>
    <t>FA-00011</t>
  </si>
  <si>
    <t>Jib Crane 2 Ton</t>
  </si>
  <si>
    <t>FA-00012</t>
  </si>
  <si>
    <t>Hand Crane 1 T</t>
  </si>
  <si>
    <t>FA-00013</t>
  </si>
  <si>
    <t>Mobile Crane 5 T</t>
  </si>
  <si>
    <t>FA-00015</t>
  </si>
  <si>
    <t>EOT Crane 5 T</t>
  </si>
  <si>
    <t>FA-00016</t>
  </si>
  <si>
    <t>FA-00024</t>
  </si>
  <si>
    <t>Forklift Car 3 Ton</t>
  </si>
  <si>
    <t>FA-00018</t>
  </si>
  <si>
    <t>EOT Crane 10 T</t>
  </si>
  <si>
    <t>FA-00009</t>
  </si>
  <si>
    <t>Hydra 10 Ton</t>
  </si>
  <si>
    <t>FA-00014</t>
  </si>
  <si>
    <t>FA-00010</t>
  </si>
  <si>
    <t>Goliath Crain Double Girder</t>
  </si>
  <si>
    <t>FA-00025</t>
  </si>
  <si>
    <t>7.5 Ton Span Crane</t>
  </si>
  <si>
    <t>FA-00026</t>
  </si>
  <si>
    <t>FA-00027</t>
  </si>
  <si>
    <t>FA-00028</t>
  </si>
  <si>
    <t>REVERSIBLE ELECTRIC WINCH 5 TON</t>
  </si>
  <si>
    <t>FA-00029</t>
  </si>
  <si>
    <t>14 Ton Hydra</t>
  </si>
  <si>
    <t>FA-00031</t>
  </si>
  <si>
    <t>2Ton EOT Crane</t>
  </si>
  <si>
    <t>FA-00035</t>
  </si>
  <si>
    <t>10 TON EOT CRANE</t>
  </si>
  <si>
    <t>FA-00036</t>
  </si>
  <si>
    <t>CRANE F-15 OUTRIDGER</t>
  </si>
  <si>
    <t>FA/000337</t>
  </si>
  <si>
    <t>STORE CONTAINER</t>
  </si>
  <si>
    <t>Electrical Installations and Equipment [NESD]</t>
  </si>
  <si>
    <t>FA-00044</t>
  </si>
  <si>
    <t>Transformer 500 KVA</t>
  </si>
  <si>
    <t>FA-00040</t>
  </si>
  <si>
    <t>Generator 200 KVA</t>
  </si>
  <si>
    <t>FA-00043</t>
  </si>
  <si>
    <t>DIESEL GENERATOR</t>
  </si>
  <si>
    <t>FA-00042</t>
  </si>
  <si>
    <t xml:space="preserve">125 KVA GENERATOR </t>
  </si>
  <si>
    <t>FA-00045</t>
  </si>
  <si>
    <t>INDOOR VACCUM CIRCUIT BREAKER</t>
  </si>
  <si>
    <t>FA-00046</t>
  </si>
  <si>
    <t>60 AMP DSL BUSHBAR WITH ANGLES, CLAMPS &amp; COLLECTOR</t>
  </si>
  <si>
    <t>FA-00047</t>
  </si>
  <si>
    <t>DRYING OVEN 250 DEGREE CAPACITY</t>
  </si>
  <si>
    <t>FA-00048</t>
  </si>
  <si>
    <t>REMOTE CONTROL SYSTEM WITH TRANSMITTERS, BATTERY, RECEIVER CONTROL RELAY, CABLES &amp; GLAND</t>
  </si>
  <si>
    <t>FA-00084</t>
  </si>
  <si>
    <t>Hydraulic Fixture Hub</t>
  </si>
  <si>
    <t>FA-00050</t>
  </si>
  <si>
    <t>Electronic Weighbridge Platform</t>
  </si>
  <si>
    <t>FA-00086</t>
  </si>
  <si>
    <t>Hard Bearing Dynamic Balancing Fixture</t>
  </si>
  <si>
    <t>FA/000215</t>
  </si>
  <si>
    <t>AIR OPERATED HYDRALIC PUMP</t>
  </si>
  <si>
    <t>FA/000261</t>
  </si>
  <si>
    <t>2 ND STAGE AIR COMPRESSOR</t>
  </si>
  <si>
    <t>FA/000362</t>
  </si>
  <si>
    <t>VACUUM PUMP MODEL- GWV-400 DIRECT DRIVE</t>
  </si>
  <si>
    <t>FA/000361</t>
  </si>
  <si>
    <t xml:space="preserve">CAST IRON MOTOR 40 HP 3 PH 50 HZ 415 V </t>
  </si>
  <si>
    <t>FA/000360</t>
  </si>
  <si>
    <t>COMPRESSOR 100 cfm @ 7 bar</t>
  </si>
  <si>
    <t>FA-00038</t>
  </si>
  <si>
    <t>125 KVA Generator</t>
  </si>
  <si>
    <t>FA-00033</t>
  </si>
  <si>
    <t>5 Ton EOT Crane at 9A, K.B.Sarani</t>
  </si>
  <si>
    <t>FA-00037</t>
  </si>
  <si>
    <t>125 KVA DG set Generator</t>
  </si>
  <si>
    <t>FA-00034</t>
  </si>
  <si>
    <t>7.5 Ton EOT Crane at 17/15 Mall Road</t>
  </si>
  <si>
    <t>FA-00017</t>
  </si>
  <si>
    <t>Hydraulic Mobile Crane</t>
  </si>
  <si>
    <t>FA-00030</t>
  </si>
  <si>
    <t>FA-00032</t>
  </si>
  <si>
    <t>7.5 Ton EOT Crane at Durgapur</t>
  </si>
  <si>
    <t>FA-00041</t>
  </si>
  <si>
    <t>ELECTRIC GENERATOR SET 200 KVA</t>
  </si>
  <si>
    <t>FA-00039</t>
  </si>
  <si>
    <t>75 KVA DG SET Generator</t>
  </si>
  <si>
    <t>FA-00105</t>
  </si>
  <si>
    <t>Portable Blower</t>
  </si>
  <si>
    <t>FA-00109</t>
  </si>
  <si>
    <t>FA/000030</t>
  </si>
  <si>
    <t>BOSCH ANGLE GRINDER MACHINE 5"</t>
  </si>
  <si>
    <t>FA/000031</t>
  </si>
  <si>
    <t>BOSCH ANGLE GRINDER MACHINE 7"</t>
  </si>
  <si>
    <t>FA-00098</t>
  </si>
  <si>
    <t>Magnetic Stand for Drill Tech</t>
  </si>
  <si>
    <t>FA/000258</t>
  </si>
  <si>
    <t xml:space="preserve">MAGNATIC CORE DRILL </t>
  </si>
  <si>
    <t>FA/000257</t>
  </si>
  <si>
    <t>MAGNATIC CORE DRILL MACHINE</t>
  </si>
  <si>
    <t>FA-00054</t>
  </si>
  <si>
    <t>Air Compressor Machine</t>
  </si>
  <si>
    <t>FA-00083</t>
  </si>
  <si>
    <t>FA-00089</t>
  </si>
  <si>
    <t>AIR COMPRESSOR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</si>
</sst>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409]d\-mmm\-yyyy;@"/>
    <numFmt numFmtId="166" formatCode="#,##0_ ;\-#,##0\ "/>
    <numFmt numFmtId="167" formatCode="_(* #,##0.00_);_(* \(#,##0.00\);_(* &quot;-&quot;??_);_(@_)"/>
    <numFmt numFmtId="168" formatCode="_(* #,##0.0_);_(* \(#,##0.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0"/>
      <name val="Cambria"/>
      <family val="1"/>
      <scheme val="major"/>
    </font>
    <font>
      <sz val="10"/>
      <name val="Cambria"/>
      <family val="1"/>
      <scheme val="major"/>
    </font>
    <font>
      <b/>
      <sz val="9"/>
      <name val="Calibri"/>
      <family val="2"/>
      <scheme val="minor"/>
    </font>
    <font>
      <sz val="11"/>
      <name val="Calibri"/>
      <family val="2"/>
      <scheme val="minor"/>
    </font>
    <font>
      <sz val="10"/>
      <name val="Times New Roman"/>
      <family val="1"/>
    </font>
    <font>
      <sz val="10"/>
      <name val="Calibri"/>
      <family val="2"/>
      <scheme val="minor"/>
    </font>
    <font>
      <sz val="9"/>
      <name val="Calibri"/>
      <family val="2"/>
    </font>
    <font>
      <sz val="11"/>
      <name val="Cambria"/>
      <family val="1"/>
      <scheme val="major"/>
    </font>
    <font>
      <b/>
      <sz val="11"/>
      <name val="Calibri"/>
      <family val="2"/>
      <scheme val="minor"/>
    </font>
    <font>
      <b/>
      <sz val="10"/>
      <name val="Calibri"/>
      <family val="2"/>
      <scheme val="minor"/>
    </font>
    <font>
      <b/>
      <sz val="9"/>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cellStyleXfs>
  <cellXfs count="237">
    <xf numFmtId="0" fontId="0" fillId="0" borderId="0" xfId="0"/>
    <xf numFmtId="0" fontId="0" fillId="0" borderId="1" xfId="0" applyBorder="1"/>
    <xf numFmtId="1" fontId="0" fillId="0" borderId="1" xfId="0" applyNumberFormat="1" applyBorder="1"/>
    <xf numFmtId="0" fontId="2" fillId="0" borderId="1" xfId="0" applyFont="1" applyBorder="1"/>
    <xf numFmtId="0" fontId="5" fillId="0" borderId="0" xfId="0" applyFont="1" applyFill="1" applyAlignment="1">
      <alignment horizontal="justify" vertical="center" wrapText="1"/>
    </xf>
    <xf numFmtId="164" fontId="4" fillId="0" borderId="1" xfId="1" applyNumberFormat="1" applyFont="1" applyFill="1" applyBorder="1" applyAlignment="1">
      <alignment horizontal="center" vertical="center" wrapText="1"/>
    </xf>
    <xf numFmtId="15" fontId="4" fillId="0" borderId="1" xfId="0" applyNumberFormat="1" applyFont="1" applyFill="1" applyBorder="1" applyAlignment="1" applyProtection="1">
      <alignment horizontal="center" vertical="center" wrapText="1"/>
    </xf>
    <xf numFmtId="43" fontId="4" fillId="0" borderId="1" xfId="3" applyNumberFormat="1" applyFont="1" applyFill="1" applyBorder="1" applyAlignment="1" applyProtection="1">
      <alignment horizontal="center" vertical="center" wrapText="1"/>
    </xf>
    <xf numFmtId="20" fontId="4" fillId="0" borderId="1" xfId="0" applyNumberFormat="1"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xf>
    <xf numFmtId="43" fontId="4" fillId="0" borderId="1" xfId="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5" fillId="0" borderId="1" xfId="0" applyFont="1" applyFill="1" applyBorder="1" applyAlignment="1">
      <alignment horizontal="left" wrapText="1"/>
    </xf>
    <xf numFmtId="43" fontId="5" fillId="0" borderId="1" xfId="1" applyFont="1" applyFill="1" applyBorder="1" applyAlignment="1">
      <alignment horizontal="left"/>
    </xf>
    <xf numFmtId="49"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165" fontId="7" fillId="0" borderId="1" xfId="0" applyNumberFormat="1" applyFont="1" applyFill="1" applyBorder="1" applyAlignment="1">
      <alignment horizontal="center"/>
    </xf>
    <xf numFmtId="15" fontId="8"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43" fontId="5" fillId="0" borderId="1" xfId="1" applyFont="1" applyFill="1" applyBorder="1" applyAlignment="1" applyProtection="1">
      <alignment horizontal="center" vertical="center" wrapText="1"/>
    </xf>
    <xf numFmtId="2" fontId="10" fillId="0" borderId="1" xfId="0" applyNumberFormat="1" applyFont="1" applyFill="1" applyBorder="1" applyAlignment="1" applyProtection="1">
      <alignment horizontal="center" vertical="center" wrapText="1"/>
    </xf>
    <xf numFmtId="43" fontId="7" fillId="0" borderId="1" xfId="1" applyFont="1" applyFill="1" applyBorder="1" applyAlignment="1">
      <alignment wrapText="1"/>
    </xf>
    <xf numFmtId="2" fontId="7" fillId="0" borderId="1" xfId="0" applyNumberFormat="1" applyFont="1" applyFill="1" applyBorder="1" applyAlignment="1">
      <alignment wrapText="1"/>
    </xf>
    <xf numFmtId="43" fontId="5" fillId="0" borderId="1" xfId="1" applyFont="1" applyFill="1" applyBorder="1" applyAlignment="1">
      <alignment horizontal="justify" vertical="center" wrapText="1"/>
    </xf>
    <xf numFmtId="43" fontId="5" fillId="0" borderId="1" xfId="1" applyFont="1" applyFill="1" applyBorder="1" applyAlignment="1">
      <alignment horizontal="center" vertical="center" wrapText="1"/>
    </xf>
    <xf numFmtId="43" fontId="5" fillId="0" borderId="1" xfId="1" applyFont="1" applyFill="1" applyBorder="1" applyAlignment="1" applyProtection="1">
      <alignment horizontal="justify" vertical="center" wrapText="1"/>
    </xf>
    <xf numFmtId="43" fontId="5"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right" vertical="center" wrapText="1"/>
    </xf>
    <xf numFmtId="43" fontId="5" fillId="0" borderId="1" xfId="1" applyNumberFormat="1" applyFont="1" applyFill="1" applyBorder="1" applyAlignment="1">
      <alignment horizontal="right" vertical="center" wrapText="1"/>
    </xf>
    <xf numFmtId="43" fontId="5" fillId="0" borderId="5" xfId="1" applyNumberFormat="1" applyFont="1" applyFill="1" applyBorder="1" applyAlignment="1">
      <alignment horizontal="justify" vertical="center" wrapText="1"/>
    </xf>
    <xf numFmtId="167" fontId="5" fillId="0" borderId="1" xfId="0" applyNumberFormat="1" applyFont="1" applyFill="1" applyBorder="1" applyAlignment="1">
      <alignment horizontal="justify" vertical="center" wrapText="1"/>
    </xf>
    <xf numFmtId="164" fontId="5"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justify" vertical="center" wrapText="1"/>
    </xf>
    <xf numFmtId="43" fontId="5" fillId="0" borderId="0" xfId="0" applyNumberFormat="1" applyFont="1" applyFill="1" applyAlignment="1">
      <alignment horizontal="justify" vertical="center" wrapText="1"/>
    </xf>
    <xf numFmtId="164" fontId="5" fillId="0" borderId="0" xfId="1" applyNumberFormat="1" applyFont="1" applyFill="1" applyAlignment="1">
      <alignment horizontal="justify" vertical="center" wrapText="1"/>
    </xf>
    <xf numFmtId="0" fontId="5" fillId="0" borderId="1" xfId="0" applyFont="1" applyFill="1" applyBorder="1" applyAlignment="1">
      <alignment horizontal="righ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wrapText="1"/>
    </xf>
    <xf numFmtId="0" fontId="7" fillId="0" borderId="1" xfId="0" applyFont="1" applyFill="1" applyBorder="1" applyAlignment="1">
      <alignment horizontal="center" wrapText="1"/>
    </xf>
    <xf numFmtId="0" fontId="7" fillId="0" borderId="1" xfId="0" applyFont="1" applyFill="1" applyBorder="1" applyAlignment="1">
      <alignment horizontal="left" vertical="center" wrapText="1"/>
    </xf>
    <xf numFmtId="0" fontId="5" fillId="0" borderId="3" xfId="0" applyFont="1" applyFill="1" applyBorder="1" applyAlignment="1">
      <alignment horizontal="left" wrapText="1"/>
    </xf>
    <xf numFmtId="49" fontId="5" fillId="0" borderId="3" xfId="0" applyNumberFormat="1" applyFont="1" applyFill="1" applyBorder="1" applyAlignment="1">
      <alignment horizontal="justify" vertical="center" wrapText="1"/>
    </xf>
    <xf numFmtId="0" fontId="7" fillId="0" borderId="3" xfId="0" applyFont="1" applyFill="1" applyBorder="1" applyAlignment="1">
      <alignment wrapText="1"/>
    </xf>
    <xf numFmtId="0" fontId="7" fillId="0" borderId="3" xfId="0" applyFont="1" applyFill="1" applyBorder="1" applyAlignment="1">
      <alignment horizontal="center" wrapText="1"/>
    </xf>
    <xf numFmtId="165" fontId="7" fillId="0" borderId="3" xfId="0" applyNumberFormat="1" applyFont="1" applyFill="1" applyBorder="1" applyAlignment="1">
      <alignment horizontal="center"/>
    </xf>
    <xf numFmtId="15" fontId="8" fillId="0" borderId="3"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2" fontId="10" fillId="0" borderId="3" xfId="0" applyNumberFormat="1" applyFont="1" applyFill="1" applyBorder="1" applyAlignment="1" applyProtection="1">
      <alignment horizontal="center" vertical="center" wrapText="1"/>
    </xf>
    <xf numFmtId="2" fontId="7" fillId="0" borderId="3" xfId="0" applyNumberFormat="1" applyFont="1" applyFill="1" applyBorder="1" applyAlignment="1">
      <alignment wrapText="1"/>
    </xf>
    <xf numFmtId="0" fontId="5" fillId="0" borderId="3" xfId="0" applyFont="1" applyFill="1" applyBorder="1" applyAlignment="1">
      <alignment horizontal="right" vertical="center" wrapText="1"/>
    </xf>
    <xf numFmtId="43" fontId="5" fillId="0" borderId="3" xfId="1" applyFont="1" applyFill="1" applyBorder="1" applyAlignment="1">
      <alignment horizontal="justify" vertical="center" wrapText="1"/>
    </xf>
    <xf numFmtId="43" fontId="5" fillId="0" borderId="3" xfId="1" applyFont="1" applyFill="1" applyBorder="1" applyAlignment="1">
      <alignment horizontal="center" vertical="center" wrapText="1"/>
    </xf>
    <xf numFmtId="43" fontId="5" fillId="0" borderId="3" xfId="1" applyFont="1" applyFill="1" applyBorder="1" applyAlignment="1" applyProtection="1">
      <alignment horizontal="justify" vertical="center" wrapText="1"/>
    </xf>
    <xf numFmtId="43" fontId="5" fillId="0" borderId="3" xfId="0"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166" fontId="5" fillId="0" borderId="3" xfId="0" applyNumberFormat="1" applyFont="1" applyFill="1" applyBorder="1" applyAlignment="1">
      <alignment horizontal="center" vertical="center" wrapText="1"/>
    </xf>
    <xf numFmtId="2" fontId="5" fillId="0" borderId="3" xfId="0" applyNumberFormat="1" applyFont="1" applyFill="1" applyBorder="1" applyAlignment="1">
      <alignment horizontal="right" vertical="center" wrapText="1"/>
    </xf>
    <xf numFmtId="43" fontId="5" fillId="0" borderId="3" xfId="1" applyNumberFormat="1" applyFont="1" applyFill="1" applyBorder="1" applyAlignment="1">
      <alignment horizontal="right" vertical="center" wrapText="1"/>
    </xf>
    <xf numFmtId="49" fontId="5" fillId="0" borderId="1" xfId="0" applyNumberFormat="1" applyFont="1" applyFill="1" applyBorder="1" applyAlignment="1"/>
    <xf numFmtId="164" fontId="5" fillId="0" borderId="1" xfId="0" applyNumberFormat="1" applyFont="1" applyFill="1" applyBorder="1" applyAlignment="1">
      <alignment horizontal="justify"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43" fontId="5" fillId="0" borderId="1" xfId="0" applyNumberFormat="1" applyFont="1" applyFill="1" applyBorder="1" applyAlignment="1">
      <alignment vertical="center" wrapText="1"/>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2" fontId="7" fillId="0" borderId="2" xfId="0" applyNumberFormat="1" applyFont="1" applyFill="1" applyBorder="1" applyAlignment="1">
      <alignment wrapText="1"/>
    </xf>
    <xf numFmtId="0" fontId="5" fillId="0" borderId="2" xfId="0" applyFont="1" applyFill="1" applyBorder="1" applyAlignment="1">
      <alignment horizontal="right" vertical="center" wrapText="1"/>
    </xf>
    <xf numFmtId="43" fontId="5" fillId="0" borderId="2" xfId="1" applyFont="1" applyFill="1" applyBorder="1" applyAlignment="1">
      <alignment horizontal="justify" vertical="center" wrapText="1"/>
    </xf>
    <xf numFmtId="43" fontId="5" fillId="0" borderId="7" xfId="1" applyFont="1" applyFill="1" applyBorder="1" applyAlignment="1">
      <alignment horizontal="justify" vertical="center" wrapText="1"/>
    </xf>
    <xf numFmtId="43" fontId="5" fillId="0" borderId="7" xfId="1" applyFont="1" applyFill="1" applyBorder="1" applyAlignment="1">
      <alignment horizontal="center" vertical="center" wrapText="1"/>
    </xf>
    <xf numFmtId="43" fontId="5" fillId="0" borderId="7" xfId="1" applyFont="1" applyFill="1" applyBorder="1" applyAlignment="1" applyProtection="1">
      <alignment horizontal="justify" vertical="center" wrapText="1"/>
    </xf>
    <xf numFmtId="43" fontId="5" fillId="0" borderId="2" xfId="1" applyFont="1" applyFill="1" applyBorder="1" applyAlignment="1">
      <alignment horizontal="center" vertical="center" wrapText="1"/>
    </xf>
    <xf numFmtId="43" fontId="5" fillId="0" borderId="0" xfId="0" applyNumberFormat="1" applyFont="1" applyFill="1" applyBorder="1" applyAlignment="1">
      <alignment horizontal="justify" vertical="center" wrapText="1"/>
    </xf>
    <xf numFmtId="0" fontId="5" fillId="0" borderId="7" xfId="0" applyFont="1" applyFill="1" applyBorder="1" applyAlignment="1">
      <alignment horizontal="justify" vertical="center" wrapText="1"/>
    </xf>
    <xf numFmtId="164" fontId="5" fillId="0" borderId="3" xfId="0" applyNumberFormat="1" applyFont="1" applyFill="1" applyBorder="1" applyAlignment="1">
      <alignment horizontal="justify" vertical="center" wrapText="1"/>
    </xf>
    <xf numFmtId="164" fontId="5" fillId="0" borderId="3" xfId="1" applyNumberFormat="1" applyFont="1" applyFill="1" applyBorder="1" applyAlignment="1">
      <alignment horizontal="justify" vertical="center" wrapText="1"/>
    </xf>
    <xf numFmtId="1" fontId="5" fillId="0" borderId="3" xfId="0" applyNumberFormat="1" applyFont="1" applyFill="1" applyBorder="1" applyAlignment="1">
      <alignment horizontal="center" vertical="center" wrapText="1"/>
    </xf>
    <xf numFmtId="43" fontId="5" fillId="0" borderId="8" xfId="1" applyNumberFormat="1" applyFont="1" applyFill="1" applyBorder="1" applyAlignment="1">
      <alignment horizontal="justify" vertical="center" wrapText="1"/>
    </xf>
    <xf numFmtId="0" fontId="5" fillId="0" borderId="1" xfId="1" applyNumberFormat="1" applyFont="1" applyFill="1" applyBorder="1" applyAlignment="1">
      <alignment horizontal="center" vertical="center" wrapText="1"/>
    </xf>
    <xf numFmtId="43" fontId="5"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165" fontId="7" fillId="0" borderId="1" xfId="0" applyNumberFormat="1" applyFont="1" applyFill="1" applyBorder="1" applyAlignment="1">
      <alignment horizontal="center" vertical="center"/>
    </xf>
    <xf numFmtId="2" fontId="7" fillId="0" borderId="1" xfId="0" applyNumberFormat="1" applyFont="1" applyFill="1" applyBorder="1" applyAlignment="1">
      <alignment vertical="center" wrapText="1"/>
    </xf>
    <xf numFmtId="165" fontId="5" fillId="0" borderId="1" xfId="0" applyNumberFormat="1" applyFont="1" applyFill="1" applyBorder="1" applyAlignment="1">
      <alignment horizontal="center" vertical="center" wrapText="1"/>
    </xf>
    <xf numFmtId="43" fontId="5" fillId="0" borderId="3" xfId="0" applyNumberFormat="1" applyFont="1" applyFill="1" applyBorder="1" applyAlignment="1">
      <alignment vertical="center" wrapText="1"/>
    </xf>
    <xf numFmtId="0" fontId="5" fillId="0" borderId="3" xfId="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3" fontId="5" fillId="0" borderId="3" xfId="0" applyNumberFormat="1" applyFont="1" applyFill="1" applyBorder="1" applyAlignment="1">
      <alignment horizontal="right" vertical="center" wrapText="1"/>
    </xf>
    <xf numFmtId="0" fontId="5" fillId="0" borderId="3" xfId="0" applyFont="1" applyFill="1" applyBorder="1" applyAlignment="1">
      <alignment horizontal="left" vertical="center" wrapText="1"/>
    </xf>
    <xf numFmtId="164" fontId="5" fillId="0" borderId="3" xfId="1" applyNumberFormat="1" applyFont="1" applyFill="1" applyBorder="1" applyAlignment="1">
      <alignment horizontal="right" vertical="center" wrapText="1"/>
    </xf>
    <xf numFmtId="43" fontId="5" fillId="0" borderId="1" xfId="1" applyNumberFormat="1" applyFont="1" applyFill="1" applyBorder="1" applyAlignment="1">
      <alignment horizontal="justify"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justify" vertical="center" wrapText="1"/>
    </xf>
    <xf numFmtId="0" fontId="12" fillId="0" borderId="1" xfId="0" applyFont="1" applyFill="1" applyBorder="1" applyAlignment="1">
      <alignment wrapText="1"/>
    </xf>
    <xf numFmtId="165" fontId="12" fillId="0" borderId="1" xfId="0" applyNumberFormat="1" applyFont="1" applyFill="1" applyBorder="1" applyAlignment="1">
      <alignment horizontal="center"/>
    </xf>
    <xf numFmtId="1" fontId="13" fillId="0" borderId="1" xfId="0" applyNumberFormat="1" applyFont="1" applyFill="1" applyBorder="1" applyAlignment="1">
      <alignment horizontal="center" vertical="center" wrapText="1"/>
    </xf>
    <xf numFmtId="2" fontId="14" fillId="0" borderId="1" xfId="0" applyNumberFormat="1" applyFont="1" applyFill="1" applyBorder="1" applyAlignment="1" applyProtection="1">
      <alignment horizontal="center" vertical="center" wrapText="1"/>
    </xf>
    <xf numFmtId="164" fontId="4" fillId="0" borderId="1" xfId="0" applyNumberFormat="1" applyFont="1" applyFill="1" applyBorder="1" applyAlignment="1">
      <alignment horizontal="justify" vertical="center" wrapText="1"/>
    </xf>
    <xf numFmtId="164" fontId="4" fillId="0" borderId="1" xfId="1" applyNumberFormat="1" applyFont="1" applyFill="1" applyBorder="1" applyAlignment="1">
      <alignment horizontal="justify" vertical="center" wrapText="1"/>
    </xf>
    <xf numFmtId="1"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0" xfId="0" applyFont="1" applyFill="1" applyAlignment="1">
      <alignment horizontal="justify" vertical="center" wrapText="1"/>
    </xf>
    <xf numFmtId="0" fontId="4" fillId="2" borderId="1" xfId="0" applyFont="1" applyFill="1" applyBorder="1" applyAlignment="1">
      <alignment horizontal="center" vertical="center" wrapText="1"/>
    </xf>
    <xf numFmtId="20" fontId="4" fillId="2" borderId="1" xfId="0" applyNumberFormat="1" applyFont="1" applyFill="1" applyBorder="1" applyAlignment="1" applyProtection="1">
      <alignment horizontal="center" vertical="center" wrapText="1"/>
    </xf>
    <xf numFmtId="15" fontId="4" fillId="2" borderId="1" xfId="0" applyNumberFormat="1" applyFont="1" applyFill="1" applyBorder="1" applyAlignment="1" applyProtection="1">
      <alignment horizontal="center" vertical="center" wrapText="1"/>
    </xf>
    <xf numFmtId="1" fontId="6" fillId="2" borderId="1" xfId="0" applyNumberFormat="1" applyFont="1" applyFill="1" applyBorder="1" applyAlignment="1" applyProtection="1">
      <alignment horizontal="center" vertical="center" wrapText="1"/>
    </xf>
    <xf numFmtId="1" fontId="4" fillId="2" borderId="1" xfId="0" applyNumberFormat="1" applyFont="1" applyFill="1" applyBorder="1" applyAlignment="1" applyProtection="1">
      <alignment horizontal="center" vertical="center" wrapText="1"/>
    </xf>
    <xf numFmtId="43" fontId="4" fillId="2" borderId="1" xfId="3" applyNumberFormat="1" applyFont="1" applyFill="1" applyBorder="1" applyAlignment="1" applyProtection="1">
      <alignment horizontal="center" vertical="center" wrapText="1"/>
    </xf>
    <xf numFmtId="43" fontId="4" fillId="2" borderId="1" xfId="3"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3" fontId="4" fillId="2" borderId="5" xfId="3"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164" fontId="4" fillId="2" borderId="1" xfId="1" applyNumberFormat="1" applyFont="1" applyFill="1" applyBorder="1" applyAlignment="1">
      <alignment horizontal="center" vertical="center" wrapText="1"/>
    </xf>
    <xf numFmtId="164" fontId="4" fillId="2" borderId="1" xfId="1" applyNumberFormat="1" applyFont="1" applyFill="1" applyBorder="1" applyAlignment="1" applyProtection="1">
      <alignment horizontal="center" vertical="center" wrapText="1"/>
    </xf>
    <xf numFmtId="43" fontId="4" fillId="2" borderId="1" xfId="1" applyFont="1" applyFill="1" applyBorder="1" applyAlignment="1">
      <alignment horizontal="center" vertical="center" wrapText="1"/>
    </xf>
    <xf numFmtId="0" fontId="5" fillId="2" borderId="5" xfId="0"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64" fontId="0" fillId="0" borderId="0" xfId="0" applyNumberFormat="1"/>
    <xf numFmtId="43" fontId="5" fillId="0" borderId="3" xfId="1" applyNumberFormat="1" applyFont="1" applyFill="1" applyBorder="1" applyAlignment="1">
      <alignment horizontal="justify" vertical="center" wrapText="1"/>
    </xf>
    <xf numFmtId="164" fontId="0" fillId="0" borderId="1" xfId="0" applyNumberFormat="1" applyBorder="1"/>
    <xf numFmtId="0" fontId="7" fillId="0" borderId="3" xfId="0" applyFont="1" applyFill="1" applyBorder="1" applyAlignment="1">
      <alignment horizontal="left" vertical="top" wrapText="1"/>
    </xf>
    <xf numFmtId="0" fontId="7" fillId="0" borderId="1" xfId="0" applyFont="1" applyFill="1" applyBorder="1" applyAlignment="1">
      <alignment horizontal="left" vertical="top" wrapText="1"/>
    </xf>
    <xf numFmtId="164" fontId="5" fillId="3" borderId="1" xfId="1" applyNumberFormat="1" applyFont="1" applyFill="1" applyBorder="1" applyAlignment="1">
      <alignment horizontal="justify" vertical="center" wrapText="1"/>
    </xf>
    <xf numFmtId="164" fontId="5" fillId="3" borderId="3" xfId="1" applyNumberFormat="1" applyFont="1" applyFill="1" applyBorder="1" applyAlignment="1">
      <alignment horizontal="justify" vertical="center" wrapText="1"/>
    </xf>
    <xf numFmtId="164" fontId="0" fillId="3" borderId="0" xfId="0" applyNumberFormat="1" applyFill="1"/>
    <xf numFmtId="164" fontId="5" fillId="0" borderId="0" xfId="0" applyNumberFormat="1" applyFont="1" applyFill="1" applyAlignment="1">
      <alignment horizontal="justify" vertical="center" wrapText="1"/>
    </xf>
    <xf numFmtId="164" fontId="5" fillId="4" borderId="3" xfId="1"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43" fontId="4" fillId="0" borderId="1" xfId="1" applyFont="1" applyFill="1" applyBorder="1" applyAlignment="1">
      <alignment horizontal="center" vertical="center" wrapText="1"/>
    </xf>
    <xf numFmtId="164" fontId="2" fillId="0" borderId="1" xfId="0" applyNumberFormat="1" applyFont="1" applyBorder="1"/>
    <xf numFmtId="164" fontId="0" fillId="0" borderId="1" xfId="0" applyNumberFormat="1" applyFont="1" applyBorder="1"/>
    <xf numFmtId="168" fontId="5" fillId="0" borderId="1" xfId="0" applyNumberFormat="1" applyFont="1" applyFill="1" applyBorder="1" applyAlignment="1">
      <alignment horizontal="justify" vertical="center" wrapText="1"/>
    </xf>
    <xf numFmtId="0" fontId="2" fillId="6" borderId="1" xfId="0" applyFont="1" applyFill="1" applyBorder="1"/>
    <xf numFmtId="0" fontId="4" fillId="0" borderId="9" xfId="0" applyFont="1" applyFill="1" applyBorder="1" applyAlignment="1">
      <alignment horizontal="center" vertical="center" wrapText="1"/>
    </xf>
    <xf numFmtId="43" fontId="4" fillId="0" borderId="3" xfId="3"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3" xfId="0" applyFont="1" applyFill="1" applyBorder="1" applyAlignment="1">
      <alignment horizontal="center" vertical="center" wrapText="1"/>
    </xf>
    <xf numFmtId="15" fontId="4" fillId="0" borderId="3" xfId="0" applyNumberFormat="1" applyFont="1" applyFill="1" applyBorder="1" applyAlignment="1" applyProtection="1">
      <alignment horizontal="center" vertical="center" wrapText="1"/>
    </xf>
    <xf numFmtId="43" fontId="4" fillId="0" borderId="3" xfId="3" applyNumberFormat="1" applyFont="1" applyFill="1" applyBorder="1" applyAlignment="1" applyProtection="1">
      <alignment horizontal="center" vertical="center" wrapText="1"/>
    </xf>
    <xf numFmtId="49" fontId="4" fillId="0" borderId="4" xfId="0" applyNumberFormat="1" applyFont="1" applyFill="1" applyBorder="1" applyAlignment="1">
      <alignment horizontal="center" vertical="center" wrapText="1"/>
    </xf>
    <xf numFmtId="20" fontId="4" fillId="0" borderId="4" xfId="0" applyNumberFormat="1" applyFont="1" applyFill="1" applyBorder="1" applyAlignment="1" applyProtection="1">
      <alignment horizontal="center" vertical="center" wrapText="1"/>
    </xf>
    <xf numFmtId="1" fontId="4" fillId="0" borderId="4" xfId="0" applyNumberFormat="1" applyFont="1" applyFill="1" applyBorder="1" applyAlignment="1" applyProtection="1">
      <alignment horizontal="center" vertical="center" wrapText="1"/>
    </xf>
    <xf numFmtId="164" fontId="4" fillId="0" borderId="0" xfId="1" applyNumberFormat="1" applyFont="1" applyFill="1" applyAlignment="1">
      <alignment horizontal="center" vertical="center" wrapText="1"/>
    </xf>
    <xf numFmtId="0" fontId="5" fillId="0" borderId="9" xfId="0" applyNumberFormat="1" applyFont="1" applyFill="1" applyBorder="1" applyAlignment="1">
      <alignment horizontal="center" vertical="center" wrapText="1"/>
    </xf>
    <xf numFmtId="1" fontId="5" fillId="0" borderId="1" xfId="0" applyNumberFormat="1" applyFont="1" applyFill="1" applyBorder="1" applyAlignment="1" applyProtection="1">
      <alignment horizontal="center" vertical="center" wrapText="1"/>
    </xf>
    <xf numFmtId="4" fontId="5" fillId="0" borderId="1" xfId="0" applyNumberFormat="1" applyFont="1" applyFill="1" applyBorder="1" applyAlignment="1">
      <alignment horizontal="center" vertical="center" wrapText="1"/>
    </xf>
    <xf numFmtId="2" fontId="7" fillId="0" borderId="10" xfId="0" applyNumberFormat="1" applyFont="1" applyFill="1" applyBorder="1" applyAlignment="1">
      <alignment vertical="center" wrapText="1"/>
    </xf>
    <xf numFmtId="0" fontId="5" fillId="0" borderId="1" xfId="0" applyFont="1" applyFill="1" applyBorder="1" applyAlignment="1">
      <alignment vertical="center"/>
    </xf>
    <xf numFmtId="164" fontId="5" fillId="0" borderId="1" xfId="1" applyNumberFormat="1" applyFont="1" applyFill="1" applyBorder="1" applyAlignment="1">
      <alignment vertical="center"/>
    </xf>
    <xf numFmtId="0" fontId="5" fillId="0" borderId="0" xfId="0" applyFont="1" applyFill="1" applyAlignment="1">
      <alignment vertical="center"/>
    </xf>
    <xf numFmtId="2" fontId="0" fillId="0" borderId="1" xfId="0" applyNumberFormat="1" applyBorder="1"/>
    <xf numFmtId="43" fontId="5" fillId="0" borderId="0" xfId="0" applyNumberFormat="1" applyFont="1" applyFill="1" applyAlignment="1">
      <alignment vertical="center"/>
    </xf>
    <xf numFmtId="164" fontId="5" fillId="0" borderId="1" xfId="1" applyNumberFormat="1" applyFont="1" applyFill="1" applyBorder="1" applyAlignment="1" applyProtection="1">
      <alignment horizontal="justify" vertical="center" wrapText="1"/>
    </xf>
    <xf numFmtId="164" fontId="5" fillId="0" borderId="1" xfId="1" applyNumberFormat="1" applyFont="1" applyFill="1" applyBorder="1" applyAlignment="1">
      <alignment horizontal="right" vertical="center"/>
    </xf>
    <xf numFmtId="0" fontId="5" fillId="0" borderId="7" xfId="0" applyFont="1" applyFill="1" applyBorder="1" applyAlignment="1">
      <alignment horizontal="center" vertical="center" wrapText="1"/>
    </xf>
    <xf numFmtId="49" fontId="4" fillId="0" borderId="0" xfId="0" applyNumberFormat="1" applyFont="1" applyFill="1" applyAlignment="1">
      <alignment vertical="center" wrapText="1"/>
    </xf>
    <xf numFmtId="49" fontId="5" fillId="0" borderId="0" xfId="0" applyNumberFormat="1" applyFont="1" applyFill="1" applyAlignment="1">
      <alignment vertical="center" wrapText="1"/>
    </xf>
    <xf numFmtId="0" fontId="5" fillId="0" borderId="1" xfId="0" applyNumberFormat="1" applyFont="1" applyFill="1" applyBorder="1" applyAlignment="1">
      <alignment horizontal="center" vertical="center" wrapText="1"/>
    </xf>
    <xf numFmtId="0" fontId="7" fillId="0" borderId="7" xfId="0" applyFont="1" applyFill="1" applyBorder="1" applyAlignment="1">
      <alignment vertical="center" wrapText="1"/>
    </xf>
    <xf numFmtId="165" fontId="7" fillId="0" borderId="7" xfId="0" applyNumberFormat="1" applyFont="1" applyFill="1" applyBorder="1" applyAlignment="1">
      <alignment horizontal="center" vertical="center"/>
    </xf>
    <xf numFmtId="1" fontId="5" fillId="0" borderId="7" xfId="0" applyNumberFormat="1" applyFont="1" applyFill="1" applyBorder="1" applyAlignment="1" applyProtection="1">
      <alignment horizontal="center" vertical="center" wrapText="1"/>
    </xf>
    <xf numFmtId="4" fontId="5" fillId="0" borderId="7" xfId="0" applyNumberFormat="1" applyFont="1" applyFill="1" applyBorder="1" applyAlignment="1">
      <alignment horizontal="center" vertical="center" wrapText="1"/>
    </xf>
    <xf numFmtId="2" fontId="7" fillId="0" borderId="11" xfId="0" applyNumberFormat="1" applyFont="1" applyFill="1" applyBorder="1" applyAlignment="1">
      <alignment vertical="center" wrapText="1"/>
    </xf>
    <xf numFmtId="1" fontId="5" fillId="0" borderId="7"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165" fontId="7"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43" fontId="7" fillId="0" borderId="1" xfId="1" applyFont="1" applyFill="1" applyBorder="1" applyAlignment="1">
      <alignment vertical="center" wrapText="1"/>
    </xf>
    <xf numFmtId="167" fontId="5" fillId="0" borderId="1" xfId="1" applyNumberFormat="1" applyFont="1" applyFill="1" applyBorder="1" applyAlignment="1">
      <alignment horizontal="justify" vertical="center" wrapText="1"/>
    </xf>
    <xf numFmtId="15" fontId="7" fillId="0" borderId="1"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15" fontId="7" fillId="0" borderId="4" xfId="0" applyNumberFormat="1" applyFont="1" applyFill="1" applyBorder="1" applyAlignment="1">
      <alignment horizontal="center" vertical="center"/>
    </xf>
    <xf numFmtId="1" fontId="5" fillId="0" borderId="4" xfId="0" applyNumberFormat="1" applyFont="1" applyFill="1" applyBorder="1" applyAlignment="1" applyProtection="1">
      <alignment horizontal="center" vertical="center" wrapText="1"/>
    </xf>
    <xf numFmtId="2" fontId="7" fillId="0" borderId="4" xfId="0" applyNumberFormat="1" applyFont="1" applyFill="1" applyBorder="1" applyAlignment="1">
      <alignment vertical="center" wrapText="1"/>
    </xf>
    <xf numFmtId="2" fontId="7" fillId="0" borderId="0" xfId="0" applyNumberFormat="1" applyFont="1" applyFill="1" applyBorder="1" applyAlignment="1">
      <alignment vertical="center" wrapText="1"/>
    </xf>
    <xf numFmtId="43" fontId="5" fillId="0" borderId="4" xfId="1" applyFont="1" applyFill="1" applyBorder="1" applyAlignment="1">
      <alignment horizontal="justify" vertical="center" wrapText="1"/>
    </xf>
    <xf numFmtId="164" fontId="5" fillId="0" borderId="4" xfId="1" applyNumberFormat="1" applyFont="1" applyFill="1" applyBorder="1" applyAlignment="1">
      <alignment horizontal="justify" vertical="center" wrapText="1"/>
    </xf>
    <xf numFmtId="1" fontId="5" fillId="0" borderId="4" xfId="0" applyNumberFormat="1" applyFont="1" applyFill="1" applyBorder="1" applyAlignment="1">
      <alignment horizontal="center" vertical="center" wrapText="1"/>
    </xf>
    <xf numFmtId="43" fontId="5" fillId="0" borderId="4" xfId="1" applyFont="1" applyFill="1" applyBorder="1" applyAlignment="1" applyProtection="1">
      <alignment horizontal="justify" vertical="center" wrapText="1"/>
    </xf>
    <xf numFmtId="43" fontId="5" fillId="0" borderId="13" xfId="1" applyFont="1" applyFill="1" applyBorder="1" applyAlignment="1">
      <alignment horizontal="justify" vertical="center" wrapText="1"/>
    </xf>
    <xf numFmtId="43" fontId="5" fillId="0" borderId="4" xfId="0" applyNumberFormat="1" applyFont="1" applyFill="1" applyBorder="1" applyAlignment="1">
      <alignment horizontal="justify" vertical="center" wrapText="1"/>
    </xf>
    <xf numFmtId="0" fontId="5" fillId="0" borderId="4" xfId="0" applyFont="1" applyFill="1" applyBorder="1" applyAlignment="1">
      <alignment horizontal="justify" vertical="center" wrapText="1"/>
    </xf>
    <xf numFmtId="164" fontId="5" fillId="0" borderId="4" xfId="1" applyNumberFormat="1" applyFont="1" applyFill="1" applyBorder="1" applyAlignment="1">
      <alignment vertical="center"/>
    </xf>
    <xf numFmtId="164" fontId="5" fillId="0" borderId="4" xfId="1" applyNumberFormat="1" applyFont="1" applyFill="1" applyBorder="1" applyAlignment="1">
      <alignment horizontal="center" vertical="center" wrapText="1"/>
    </xf>
    <xf numFmtId="164" fontId="5" fillId="0" borderId="4" xfId="1" applyNumberFormat="1" applyFont="1" applyFill="1" applyBorder="1" applyAlignment="1" applyProtection="1">
      <alignment horizontal="justify" vertical="center" wrapText="1"/>
    </xf>
    <xf numFmtId="164" fontId="5" fillId="0" borderId="4" xfId="1" applyNumberFormat="1" applyFont="1" applyFill="1" applyBorder="1" applyAlignment="1">
      <alignment horizontal="right" vertical="center"/>
    </xf>
    <xf numFmtId="164" fontId="5" fillId="0" borderId="4" xfId="1" applyNumberFormat="1" applyFont="1" applyFill="1" applyBorder="1" applyAlignment="1">
      <alignment horizontal="right" vertical="center" wrapText="1"/>
    </xf>
    <xf numFmtId="0" fontId="5" fillId="0" borderId="0" xfId="0" applyFont="1" applyFill="1" applyBorder="1" applyAlignment="1">
      <alignment horizontal="justify" vertical="center" wrapText="1"/>
    </xf>
    <xf numFmtId="49" fontId="5" fillId="0" borderId="0" xfId="0" applyNumberFormat="1" applyFont="1" applyFill="1" applyBorder="1" applyAlignment="1">
      <alignment horizontal="center" vertical="center"/>
    </xf>
    <xf numFmtId="0" fontId="7" fillId="0" borderId="7" xfId="0" applyFont="1" applyFill="1" applyBorder="1" applyAlignment="1">
      <alignment horizontal="left" vertical="center" wrapText="1"/>
    </xf>
    <xf numFmtId="15" fontId="7" fillId="0" borderId="7" xfId="0" applyNumberFormat="1" applyFont="1" applyFill="1" applyBorder="1" applyAlignment="1">
      <alignment horizontal="center" vertical="center"/>
    </xf>
    <xf numFmtId="2" fontId="7" fillId="0" borderId="7" xfId="0" applyNumberFormat="1" applyFont="1" applyFill="1" applyBorder="1" applyAlignment="1">
      <alignment vertical="center" wrapText="1"/>
    </xf>
    <xf numFmtId="164" fontId="5" fillId="0" borderId="7" xfId="1" applyNumberFormat="1" applyFont="1" applyFill="1" applyBorder="1" applyAlignment="1">
      <alignment horizontal="justify" vertical="center" wrapText="1"/>
    </xf>
    <xf numFmtId="43" fontId="5" fillId="0" borderId="14" xfId="1" applyFont="1" applyFill="1" applyBorder="1" applyAlignment="1">
      <alignment horizontal="justify" vertical="center" wrapText="1"/>
    </xf>
    <xf numFmtId="43" fontId="5" fillId="0" borderId="7" xfId="0" applyNumberFormat="1" applyFont="1" applyFill="1" applyBorder="1" applyAlignment="1">
      <alignment horizontal="justify" vertical="center" wrapText="1"/>
    </xf>
    <xf numFmtId="164" fontId="5" fillId="0" borderId="7" xfId="1" applyNumberFormat="1" applyFont="1" applyFill="1" applyBorder="1" applyAlignment="1">
      <alignment vertical="center"/>
    </xf>
    <xf numFmtId="164" fontId="5" fillId="0" borderId="7" xfId="1" applyNumberFormat="1" applyFont="1" applyFill="1" applyBorder="1" applyAlignment="1">
      <alignment horizontal="center" vertical="center" wrapText="1"/>
    </xf>
    <xf numFmtId="164" fontId="5" fillId="0" borderId="7" xfId="1" applyNumberFormat="1" applyFont="1" applyFill="1" applyBorder="1" applyAlignment="1" applyProtection="1">
      <alignment horizontal="justify" vertical="center" wrapText="1"/>
    </xf>
    <xf numFmtId="164" fontId="5" fillId="0" borderId="7" xfId="1" applyNumberFormat="1" applyFont="1" applyFill="1" applyBorder="1" applyAlignment="1">
      <alignment horizontal="right" vertical="center"/>
    </xf>
    <xf numFmtId="164" fontId="5" fillId="0" borderId="7" xfId="1" applyNumberFormat="1" applyFont="1" applyFill="1" applyBorder="1" applyAlignment="1">
      <alignment horizontal="right" vertical="center" wrapText="1"/>
    </xf>
    <xf numFmtId="164" fontId="5" fillId="0" borderId="3" xfId="1" applyNumberFormat="1" applyFont="1" applyFill="1" applyBorder="1" applyAlignment="1">
      <alignment vertical="center"/>
    </xf>
    <xf numFmtId="164" fontId="4" fillId="0" borderId="3" xfId="1" applyNumberFormat="1" applyFont="1" applyFill="1" applyBorder="1" applyAlignment="1">
      <alignment horizontal="justify" vertical="center" wrapText="1"/>
    </xf>
    <xf numFmtId="2" fontId="0" fillId="0" borderId="0" xfId="0" applyNumberFormat="1"/>
    <xf numFmtId="0" fontId="5" fillId="0" borderId="15"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165" fontId="7" fillId="0" borderId="3" xfId="0" applyNumberFormat="1" applyFont="1" applyFill="1" applyBorder="1" applyAlignment="1">
      <alignment horizontal="center" vertical="center"/>
    </xf>
    <xf numFmtId="1" fontId="5" fillId="0" borderId="3" xfId="0" applyNumberFormat="1" applyFont="1" applyFill="1" applyBorder="1" applyAlignment="1" applyProtection="1">
      <alignment horizontal="center" vertical="center" wrapText="1"/>
    </xf>
    <xf numFmtId="4" fontId="5" fillId="0" borderId="3" xfId="0" applyNumberFormat="1" applyFont="1" applyFill="1" applyBorder="1" applyAlignment="1">
      <alignment horizontal="center" vertical="center" wrapText="1"/>
    </xf>
    <xf numFmtId="2" fontId="7" fillId="0" borderId="3" xfId="0" applyNumberFormat="1" applyFont="1" applyFill="1" applyBorder="1" applyAlignment="1">
      <alignment vertical="center" wrapText="1"/>
    </xf>
    <xf numFmtId="2" fontId="7" fillId="0" borderId="16" xfId="0" applyNumberFormat="1" applyFont="1" applyFill="1" applyBorder="1" applyAlignment="1">
      <alignment vertical="center" wrapText="1"/>
    </xf>
    <xf numFmtId="0" fontId="5" fillId="0" borderId="3" xfId="0" applyFont="1" applyFill="1" applyBorder="1" applyAlignment="1">
      <alignment vertical="center"/>
    </xf>
    <xf numFmtId="164" fontId="5" fillId="0" borderId="3" xfId="1"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3" fontId="5" fillId="0" borderId="1" xfId="1" applyNumberFormat="1" applyFont="1" applyFill="1" applyBorder="1" applyAlignment="1">
      <alignment horizontal="center" vertical="center" wrapText="1"/>
    </xf>
    <xf numFmtId="49" fontId="4" fillId="0" borderId="3" xfId="0" applyNumberFormat="1" applyFont="1" applyFill="1" applyBorder="1" applyAlignment="1">
      <alignment vertical="center" wrapText="1"/>
    </xf>
    <xf numFmtId="0" fontId="7" fillId="0" borderId="3" xfId="0" applyFont="1" applyFill="1" applyBorder="1" applyAlignment="1">
      <alignment vertical="center" wrapText="1"/>
    </xf>
    <xf numFmtId="15" fontId="7" fillId="0" borderId="3" xfId="0" applyNumberFormat="1" applyFont="1" applyFill="1" applyBorder="1" applyAlignment="1">
      <alignment horizontal="center" vertical="center"/>
    </xf>
    <xf numFmtId="43" fontId="5" fillId="0" borderId="3" xfId="1" applyFont="1" applyFill="1" applyBorder="1" applyAlignment="1">
      <alignment vertical="center"/>
    </xf>
    <xf numFmtId="164" fontId="5" fillId="0" borderId="3" xfId="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3" fillId="0" borderId="0" xfId="0" applyFont="1" applyAlignment="1">
      <alignment horizontal="center"/>
    </xf>
    <xf numFmtId="0" fontId="3" fillId="5" borderId="0" xfId="0" applyFont="1" applyFill="1" applyAlignment="1">
      <alignment horizontal="center"/>
    </xf>
    <xf numFmtId="0" fontId="4" fillId="2" borderId="1" xfId="0" applyFont="1" applyFill="1" applyBorder="1" applyAlignment="1">
      <alignment horizontal="center" vertical="center" wrapText="1"/>
    </xf>
    <xf numFmtId="43" fontId="4" fillId="2" borderId="1" xfId="1" applyFont="1" applyFill="1" applyBorder="1" applyAlignment="1">
      <alignment horizontal="center" vertical="center" wrapText="1"/>
    </xf>
    <xf numFmtId="43" fontId="4" fillId="2" borderId="5" xfId="3" applyNumberFormat="1" applyFont="1" applyFill="1" applyBorder="1" applyAlignment="1">
      <alignment horizontal="center" vertical="center" wrapText="1"/>
    </xf>
    <xf numFmtId="43" fontId="4" fillId="2" borderId="6" xfId="3"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3" fontId="4" fillId="0" borderId="4" xfId="1" applyFont="1" applyFill="1" applyBorder="1" applyAlignment="1">
      <alignment horizontal="center" vertical="center" wrapText="1"/>
    </xf>
  </cellXfs>
  <cellStyles count="4">
    <cellStyle name="Comma" xfId="1" builtinId="3"/>
    <cellStyle name="Comma 2" xfId="2"/>
    <cellStyle name="Comma 2 2" xf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t%20&amp;%20Machinery%20(BSPL-2022-23-Non%20Shift)%20-09.08.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lok\Desktop\JWTL%2005-08-2014\Deamoolie%2004-08-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2022-23 (Total)"/>
      <sheetName val="Summary"/>
      <sheetName val="2, Jessore Rd"/>
      <sheetName val="9A, K.B.Sarani"/>
      <sheetName val="17N1, K.B.Sarani"/>
      <sheetName val="DGP"/>
    </sheetNames>
    <sheetDataSet>
      <sheetData sheetId="0"/>
      <sheetData sheetId="1">
        <row r="1">
          <cell r="AD1">
            <v>42460</v>
          </cell>
          <cell r="AN1">
            <v>42825</v>
          </cell>
          <cell r="AY1">
            <v>43190</v>
          </cell>
          <cell r="CG1">
            <v>44286</v>
          </cell>
          <cell r="DC1">
            <v>45016</v>
          </cell>
        </row>
        <row r="3">
          <cell r="G3">
            <v>41729</v>
          </cell>
        </row>
        <row r="4">
          <cell r="G4">
            <v>42094</v>
          </cell>
          <cell r="O4">
            <v>42094</v>
          </cell>
          <cell r="AL4">
            <v>42460</v>
          </cell>
          <cell r="AW4">
            <v>42825</v>
          </cell>
          <cell r="BH4">
            <v>43190</v>
          </cell>
          <cell r="BT4">
            <v>43555</v>
          </cell>
          <cell r="CE4">
            <v>43921</v>
          </cell>
          <cell r="CP4">
            <v>44286</v>
          </cell>
          <cell r="DA4">
            <v>44651</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Working"/>
      <sheetName val="top Sheet"/>
      <sheetName val="Movment "/>
      <sheetName val="Non Shift"/>
      <sheetName val="Shift Data   "/>
      <sheetName val="Rates"/>
      <sheetName val="Working for Shift"/>
      <sheetName val="Pivot For Shift Data"/>
      <sheetName val="Shift Data"/>
      <sheetName val="Assumptions"/>
      <sheetName val="Issues"/>
      <sheetName val="q1 sHIFT"/>
      <sheetName val="FA Non Shift "/>
      <sheetName val="FA Shift   "/>
      <sheetName val="Intangible "/>
      <sheetName val="Motor vehicle "/>
      <sheetName val="Rates Sch II"/>
      <sheetName val="SUMMARY"/>
      <sheetName val="ASSETS SCHDULE"/>
      <sheetName val="Calculation for sale or adj"/>
      <sheetName val="Amortization Calc"/>
    </sheetNames>
    <sheetDataSet>
      <sheetData sheetId="0" refreshError="1"/>
      <sheetData sheetId="1" refreshError="1"/>
      <sheetData sheetId="2" refreshError="1"/>
      <sheetData sheetId="3" refreshError="1"/>
      <sheetData sheetId="4" refreshError="1"/>
      <sheetData sheetId="5" refreshError="1"/>
      <sheetData sheetId="6" refreshError="1">
        <row r="7">
          <cell r="C7" t="str">
            <v>Building (other than factory buildings) RCC Frame Structure</v>
          </cell>
          <cell r="D7">
            <v>60</v>
          </cell>
        </row>
        <row r="8">
          <cell r="C8" t="str">
            <v>Building (other than factory buildings) other than RCC Frame Structure</v>
          </cell>
          <cell r="D8">
            <v>30</v>
          </cell>
        </row>
        <row r="9">
          <cell r="C9" t="str">
            <v>Factory buildings</v>
          </cell>
          <cell r="D9">
            <v>30</v>
          </cell>
        </row>
        <row r="10">
          <cell r="C10" t="str">
            <v>Fences, wells, tube wells</v>
          </cell>
          <cell r="D10">
            <v>5</v>
          </cell>
        </row>
        <row r="11">
          <cell r="C11" t="str">
            <v>Other (including temporary structure, etc.)</v>
          </cell>
          <cell r="D11">
            <v>3</v>
          </cell>
        </row>
        <row r="12">
          <cell r="C12" t="str">
            <v>Bridges, culverts, bunkers, etc. [NESD]</v>
          </cell>
          <cell r="D12">
            <v>30</v>
          </cell>
        </row>
        <row r="14">
          <cell r="C14" t="str">
            <v>Carpeted Roads</v>
          </cell>
        </row>
        <row r="15">
          <cell r="C15" t="str">
            <v>(i) Carpeted Roads - RCC</v>
          </cell>
          <cell r="D15">
            <v>10</v>
          </cell>
        </row>
        <row r="16">
          <cell r="C16" t="str">
            <v>(ii) Carpeted Roads - other than RCC</v>
          </cell>
          <cell r="D16">
            <v>5</v>
          </cell>
        </row>
        <row r="17">
          <cell r="C17" t="str">
            <v>Non-carpeted roads</v>
          </cell>
          <cell r="D17">
            <v>3</v>
          </cell>
        </row>
        <row r="19">
          <cell r="C19" t="str">
            <v>General rate applicable to Plant and Machinery not</v>
          </cell>
        </row>
        <row r="20">
          <cell r="C20" t="str">
            <v>covered under Special Plant and Machinery</v>
          </cell>
        </row>
        <row r="21">
          <cell r="C21" t="str">
            <v>Plant  and  Machinery  other  than  continuous process plant not covered under specific industries</v>
          </cell>
          <cell r="D21">
            <v>15</v>
          </cell>
        </row>
        <row r="22">
          <cell r="C22" t="str">
            <v>(i) General Plant &amp; Machinery (NESD)</v>
          </cell>
          <cell r="D22">
            <v>15</v>
          </cell>
        </row>
        <row r="23">
          <cell r="C23" t="str">
            <v>(ii) Plant &amp; Machinery - Shift</v>
          </cell>
          <cell r="D23">
            <v>15</v>
          </cell>
        </row>
        <row r="24">
          <cell r="C24" t="str">
            <v>Continuous process plant for which no special rate has been prescribed under (ii) below</v>
          </cell>
          <cell r="D24">
            <v>25</v>
          </cell>
        </row>
        <row r="26">
          <cell r="C26" t="str">
            <v>Special Plant and Machinery</v>
          </cell>
        </row>
        <row r="27">
          <cell r="C27" t="str">
            <v>(i) Plant and Machinery related to production and exhibition of Motion Picture Films</v>
          </cell>
        </row>
        <row r="28">
          <cell r="C28" t="str">
            <v>1 Cinematograph films - Machinery used in the production   and   exhibition   of cinematograph   films,   recording   and reproducing equipments, developing machines,   printing   machines,   editing machines, synchronizers and studio lights</v>
          </cell>
          <cell r="D28">
            <v>13</v>
          </cell>
        </row>
        <row r="29">
          <cell r="C29" t="str">
            <v>2 Projecting equipment for exhibition of films</v>
          </cell>
          <cell r="D29">
            <v>13</v>
          </cell>
        </row>
        <row r="30">
          <cell r="C30" t="str">
            <v>(ii) Plant and Machinery used in glass</v>
          </cell>
        </row>
        <row r="31">
          <cell r="C31" t="str">
            <v>1 Plant and Machinery except direct fire glass melting  furnaces</v>
          </cell>
          <cell r="D31">
            <v>13</v>
          </cell>
        </row>
        <row r="32">
          <cell r="C32" t="str">
            <v>-  Recuperative  and regenerative glass melting furnaces</v>
          </cell>
        </row>
        <row r="33">
          <cell r="C33" t="str">
            <v>2 Plant and Machinery except direct fire glass melting furnaces - Moulds [NESD]</v>
          </cell>
          <cell r="D33">
            <v>8</v>
          </cell>
        </row>
        <row r="34">
          <cell r="C34" t="str">
            <v>3 Float Glass Melting Furnaces [NESD]</v>
          </cell>
          <cell r="D34">
            <v>10</v>
          </cell>
        </row>
        <row r="35">
          <cell r="C35" t="str">
            <v>(iii) Plant and Machinery used in mines and quarries - Portable  underground  machinery  and  earth moving machinery used in open cast mining</v>
          </cell>
          <cell r="D35">
            <v>8</v>
          </cell>
        </row>
        <row r="36">
          <cell r="C36" t="str">
            <v>(iv) Plant and Machinery used in Telecommunications [NESD]</v>
          </cell>
        </row>
        <row r="37">
          <cell r="C37" t="str">
            <v>1 Towers</v>
          </cell>
          <cell r="D37">
            <v>18</v>
          </cell>
        </row>
        <row r="38">
          <cell r="C38" t="str">
            <v>2 Telecom  transceivers,  switching  centres, transmission and other network equipment</v>
          </cell>
          <cell r="D38">
            <v>13</v>
          </cell>
        </row>
        <row r="39">
          <cell r="C39" t="str">
            <v>3 Telecom - Ducts, Cables and optical fibre</v>
          </cell>
          <cell r="D39">
            <v>18</v>
          </cell>
        </row>
        <row r="40">
          <cell r="C40" t="str">
            <v>4 Satellites</v>
          </cell>
          <cell r="D40">
            <v>18</v>
          </cell>
        </row>
        <row r="41">
          <cell r="C41" t="str">
            <v>(v) Plant  and  Machinery  used  in  exploration, production and refining oil and gas [NESD]</v>
          </cell>
        </row>
        <row r="42">
          <cell r="C42" t="str">
            <v>1 Refineries</v>
          </cell>
          <cell r="D42">
            <v>25</v>
          </cell>
        </row>
        <row r="43">
          <cell r="C43" t="str">
            <v>2 Oil  and  gas  assets (including  wells), processing plant and facilities</v>
          </cell>
          <cell r="D43">
            <v>25</v>
          </cell>
        </row>
        <row r="44">
          <cell r="C44" t="str">
            <v>3 Petrochemical Plant</v>
          </cell>
          <cell r="D44">
            <v>25</v>
          </cell>
        </row>
        <row r="45">
          <cell r="C45" t="str">
            <v>4 Storage tanks and related equipment</v>
          </cell>
          <cell r="D45">
            <v>25</v>
          </cell>
        </row>
        <row r="46">
          <cell r="C46" t="str">
            <v>5 Pipelines</v>
          </cell>
          <cell r="D46">
            <v>30</v>
          </cell>
        </row>
        <row r="47">
          <cell r="C47" t="str">
            <v>6 Drilling Rig</v>
          </cell>
          <cell r="D47">
            <v>30</v>
          </cell>
        </row>
        <row r="48">
          <cell r="C48" t="str">
            <v>7 Field operations (above ground) Portable boilers, drilling tools, well-head tanks, etc.</v>
          </cell>
          <cell r="D48">
            <v>8</v>
          </cell>
        </row>
        <row r="49">
          <cell r="C49" t="str">
            <v>8 Loggers</v>
          </cell>
          <cell r="D49">
            <v>8</v>
          </cell>
        </row>
        <row r="50">
          <cell r="C50" t="str">
            <v>(vi) Plant  and  Machinery  used  in  generation, transmission and distribution of power [NESD]</v>
          </cell>
        </row>
        <row r="51">
          <cell r="C51" t="str">
            <v>1 Thermal / Gas / Combined Cycle Power Generation Plant</v>
          </cell>
          <cell r="D51">
            <v>40</v>
          </cell>
        </row>
        <row r="52">
          <cell r="C52" t="str">
            <v>2 Hydro Power Generation Plant</v>
          </cell>
          <cell r="D52">
            <v>40</v>
          </cell>
        </row>
        <row r="53">
          <cell r="C53" t="str">
            <v>3 Nuclear Power Generation Plant</v>
          </cell>
          <cell r="D53">
            <v>40</v>
          </cell>
        </row>
        <row r="54">
          <cell r="C54" t="str">
            <v>4 Transmission  lines,  cables  and  other network assets</v>
          </cell>
          <cell r="D54">
            <v>40</v>
          </cell>
        </row>
        <row r="55">
          <cell r="C55" t="str">
            <v>5 Wind Power Generation Plant</v>
          </cell>
          <cell r="D55">
            <v>22</v>
          </cell>
        </row>
        <row r="56">
          <cell r="C56" t="str">
            <v>6 Electric Distribution Plant</v>
          </cell>
          <cell r="D56">
            <v>35</v>
          </cell>
        </row>
        <row r="57">
          <cell r="C57" t="str">
            <v>7 Gas Storage and Distribution Plant</v>
          </cell>
          <cell r="D57">
            <v>30</v>
          </cell>
        </row>
        <row r="58">
          <cell r="C58" t="str">
            <v>8 Water Distribution Plant including pipelines</v>
          </cell>
          <cell r="D58">
            <v>30</v>
          </cell>
        </row>
        <row r="59">
          <cell r="C59" t="str">
            <v>(vii) Plant and Machinery used in manufacture of</v>
          </cell>
        </row>
        <row r="60">
          <cell r="C60" t="str">
            <v>1 Sinter Plant</v>
          </cell>
          <cell r="D60">
            <v>20</v>
          </cell>
        </row>
        <row r="61">
          <cell r="C61" t="str">
            <v>2 Blast Furnace</v>
          </cell>
          <cell r="D61">
            <v>20</v>
          </cell>
        </row>
        <row r="62">
          <cell r="C62" t="str">
            <v>3 Coke Ovens</v>
          </cell>
          <cell r="D62">
            <v>20</v>
          </cell>
        </row>
        <row r="63">
          <cell r="C63" t="str">
            <v>4 Rolling mill in steel plant</v>
          </cell>
          <cell r="D63">
            <v>20</v>
          </cell>
        </row>
        <row r="64">
          <cell r="C64" t="str">
            <v>5 Basic Oxygen Furnace Converter</v>
          </cell>
          <cell r="D64">
            <v>25</v>
          </cell>
        </row>
        <row r="65">
          <cell r="C65" t="str">
            <v>(viii) Plant and Machinery used in manufacture of non- ferrous metals</v>
          </cell>
        </row>
        <row r="66">
          <cell r="C66" t="str">
            <v>1 Metal pot line [NESD]</v>
          </cell>
          <cell r="D66">
            <v>40</v>
          </cell>
        </row>
        <row r="67">
          <cell r="C67" t="str">
            <v>2 Bauxite crushing and grinding section</v>
          </cell>
          <cell r="D67">
            <v>40</v>
          </cell>
        </row>
        <row r="68">
          <cell r="C68" t="str">
            <v>3 Digester Section [NESD]</v>
          </cell>
          <cell r="D68">
            <v>40</v>
          </cell>
        </row>
        <row r="69">
          <cell r="C69" t="str">
            <v>4 Turbine [NESD]</v>
          </cell>
          <cell r="D69">
            <v>40</v>
          </cell>
        </row>
        <row r="70">
          <cell r="C70" t="str">
            <v>5 Equipments for Calcinations [NESD]</v>
          </cell>
          <cell r="D70">
            <v>40</v>
          </cell>
        </row>
        <row r="71">
          <cell r="C71" t="str">
            <v>6 Copper Smelter [NESD]</v>
          </cell>
          <cell r="D71">
            <v>40</v>
          </cell>
        </row>
        <row r="72">
          <cell r="C72" t="str">
            <v>7 Roll Grinder</v>
          </cell>
          <cell r="D72">
            <v>40</v>
          </cell>
        </row>
        <row r="73">
          <cell r="C73" t="str">
            <v>8 Soaking Pit</v>
          </cell>
          <cell r="D73">
            <v>30</v>
          </cell>
        </row>
        <row r="74">
          <cell r="C74" t="str">
            <v>9 Annealing Furnace</v>
          </cell>
          <cell r="D74">
            <v>30</v>
          </cell>
        </row>
        <row r="75">
          <cell r="C75" t="str">
            <v>10 Rolling Mills</v>
          </cell>
          <cell r="D75">
            <v>30</v>
          </cell>
        </row>
        <row r="76">
          <cell r="C76" t="str">
            <v>11 Equipments  for  Scalping,  Slitting,  etc. [NSED]</v>
          </cell>
          <cell r="D76">
            <v>30</v>
          </cell>
        </row>
        <row r="77">
          <cell r="C77" t="str">
            <v>12 Surface Miner, Ripper Dozer, etc. used in mines</v>
          </cell>
          <cell r="D77">
            <v>25</v>
          </cell>
        </row>
        <row r="78">
          <cell r="C78" t="str">
            <v>13 Copper refining plant [NSED]</v>
          </cell>
          <cell r="D78">
            <v>25</v>
          </cell>
        </row>
        <row r="79">
          <cell r="C79" t="str">
            <v>(ix) Plant  and  Machinery  used  in  medical  and surgical operations [NESD]</v>
          </cell>
        </row>
        <row r="80">
          <cell r="C80" t="str">
            <v>1 Electrical Machinery, X-ray and electrotherapeutic apparatus and accessories thereto,  medical,  diagnostic  equipments, namely,  Cat-scan,  Ultrasound  Machines, ECG Monitors, etc.</v>
          </cell>
          <cell r="D80">
            <v>13</v>
          </cell>
        </row>
        <row r="81">
          <cell r="C81" t="str">
            <v>2 Other Equipments</v>
          </cell>
          <cell r="D81">
            <v>15</v>
          </cell>
        </row>
        <row r="82">
          <cell r="C82" t="str">
            <v>(x) Plant and Machinery used in manufacture of pharmaceuticals and chemicals [NESD]</v>
          </cell>
        </row>
        <row r="83">
          <cell r="C83" t="str">
            <v>1 Reactors</v>
          </cell>
          <cell r="D83">
            <v>20</v>
          </cell>
        </row>
        <row r="84">
          <cell r="C84" t="str">
            <v>2 Distillation Columns</v>
          </cell>
          <cell r="D84">
            <v>20</v>
          </cell>
        </row>
        <row r="85">
          <cell r="C85" t="str">
            <v>3 Drying  equipments / Centrifuges  and Decanters</v>
          </cell>
          <cell r="D85">
            <v>20</v>
          </cell>
        </row>
        <row r="86">
          <cell r="C86" t="str">
            <v>4 Vessel / Storage tanks</v>
          </cell>
          <cell r="D86">
            <v>20</v>
          </cell>
        </row>
        <row r="87">
          <cell r="C87" t="str">
            <v>(xi) Plant and Machinery used in civil construction</v>
          </cell>
        </row>
        <row r="88">
          <cell r="C88" t="str">
            <v>1 Concreting,  Crushing,  Piling  Equipments and Road Making Equipments</v>
          </cell>
          <cell r="D88">
            <v>12</v>
          </cell>
        </row>
        <row r="89">
          <cell r="C89" t="str">
            <v>2 Heavy Lift Equipments -</v>
          </cell>
        </row>
        <row r="90">
          <cell r="C90" t="str">
            <v>- Cranes with capacity more than 100 tons</v>
          </cell>
          <cell r="D90">
            <v>20</v>
          </cell>
        </row>
        <row r="91">
          <cell r="C91" t="str">
            <v>- Cranes with capacity less than 100 tons</v>
          </cell>
          <cell r="D91">
            <v>15</v>
          </cell>
        </row>
        <row r="92">
          <cell r="C92" t="str">
            <v>3 Transmission line, Tunnelling Equipments [NESD]</v>
          </cell>
          <cell r="D92">
            <v>10</v>
          </cell>
        </row>
        <row r="93">
          <cell r="C93" t="str">
            <v>4 Earth-moving equipments</v>
          </cell>
          <cell r="D93">
            <v>9</v>
          </cell>
        </row>
        <row r="94">
          <cell r="C94" t="str">
            <v>5 Others  including  Material  Handling Pipeline / Welding Equipments [NESD]</v>
          </cell>
          <cell r="D94">
            <v>12</v>
          </cell>
        </row>
        <row r="95">
          <cell r="C95" t="str">
            <v>(xii) Plant and Machinery used in salt works [NESD]</v>
          </cell>
          <cell r="D95">
            <v>15</v>
          </cell>
        </row>
        <row r="97">
          <cell r="C97" t="str">
            <v>General furniture and fittings</v>
          </cell>
          <cell r="D97">
            <v>10</v>
          </cell>
        </row>
        <row r="98">
          <cell r="C98" t="str">
            <v>Furniture and fittings used in hotels, restaurants and boarding houses, schools, colleges and other education institutions, libraries, welfare centres, meeting halls, cinema houses, theatres and circuses and furniture and fittings  let  out  on  hire  for  used  on  occasion  of marriages and similar functions</v>
          </cell>
          <cell r="D98">
            <v>8</v>
          </cell>
        </row>
        <row r="100">
          <cell r="C100" t="str">
            <v>Motor cycles, scooters and other mopeds</v>
          </cell>
          <cell r="D100">
            <v>10</v>
          </cell>
        </row>
        <row r="101">
          <cell r="C101" t="str">
            <v>Motor buses, motor lorries, motor cars and motor taxies used in a businees of running them on hire</v>
          </cell>
          <cell r="D101">
            <v>6</v>
          </cell>
        </row>
        <row r="102">
          <cell r="C102" t="str">
            <v>Motor buses, motor lorries, motor cars and motor taxies other than those used in a business of running them on hire</v>
          </cell>
          <cell r="D102">
            <v>8</v>
          </cell>
        </row>
        <row r="103">
          <cell r="C103" t="str">
            <v>Motor tractors, harvesting combines and heavy vehicles</v>
          </cell>
          <cell r="D103">
            <v>8</v>
          </cell>
        </row>
        <row r="104">
          <cell r="C104" t="str">
            <v>Electrically operated vehicles including  battery powered or fuel cell powered vehicles</v>
          </cell>
          <cell r="D104">
            <v>8</v>
          </cell>
        </row>
        <row r="106">
          <cell r="C106" t="str">
            <v>Ocean-going ships</v>
          </cell>
        </row>
        <row r="107">
          <cell r="C107" t="str">
            <v>(i) Bulk Carriers and liner vessels</v>
          </cell>
          <cell r="D107">
            <v>25</v>
          </cell>
        </row>
        <row r="108">
          <cell r="C108" t="str">
            <v>(ii) Crude  tankers,  product  carriers  and  easy chemical carriers with or without conventional</v>
          </cell>
          <cell r="D108">
            <v>20</v>
          </cell>
        </row>
        <row r="109">
          <cell r="C109" t="str">
            <v>(iii) Chemicals and Acid Carriers</v>
          </cell>
        </row>
        <row r="110">
          <cell r="C110" t="str">
            <v>1 With Stainless steel tanks</v>
          </cell>
          <cell r="D110">
            <v>25</v>
          </cell>
        </row>
        <row r="111">
          <cell r="C111" t="str">
            <v>2 With other tanks</v>
          </cell>
          <cell r="D111">
            <v>20</v>
          </cell>
        </row>
        <row r="112">
          <cell r="C112" t="str">
            <v>(iv) Liquefied gas carriers</v>
          </cell>
          <cell r="D112">
            <v>30</v>
          </cell>
        </row>
        <row r="113">
          <cell r="C113" t="str">
            <v>(v) Conventional large passenger vessels which are used for cruise purpose also</v>
          </cell>
          <cell r="D113">
            <v>30</v>
          </cell>
        </row>
        <row r="114">
          <cell r="C114" t="str">
            <v>(vi) Coastal service ships of all categories</v>
          </cell>
          <cell r="D114">
            <v>30</v>
          </cell>
        </row>
        <row r="115">
          <cell r="C115" t="str">
            <v>(vii) Offshore supply and support vessels</v>
          </cell>
          <cell r="D115">
            <v>20</v>
          </cell>
        </row>
        <row r="116">
          <cell r="C116" t="str">
            <v>(viii) Catamarans and other high speed passenger for ships or boats</v>
          </cell>
          <cell r="D116">
            <v>20</v>
          </cell>
        </row>
        <row r="117">
          <cell r="C117" t="str">
            <v>(ix) Drill ships</v>
          </cell>
          <cell r="D117">
            <v>25</v>
          </cell>
        </row>
        <row r="118">
          <cell r="C118" t="str">
            <v>(x) Hovercrafts</v>
          </cell>
          <cell r="D118">
            <v>15</v>
          </cell>
        </row>
        <row r="119">
          <cell r="C119" t="str">
            <v>(xi) Fishing vessels with wooden hull</v>
          </cell>
          <cell r="D119">
            <v>10</v>
          </cell>
        </row>
        <row r="120">
          <cell r="C120" t="str">
            <v>(xii) Dredgers,  tugs,  barges,  survey launches  and other similar ships used mainly for dredging</v>
          </cell>
          <cell r="D120">
            <v>14</v>
          </cell>
        </row>
        <row r="121">
          <cell r="C121" t="str">
            <v>Vessels ordinarily operating on inland waters</v>
          </cell>
        </row>
        <row r="122">
          <cell r="C122" t="str">
            <v>(i) Speed boats</v>
          </cell>
          <cell r="D122">
            <v>13</v>
          </cell>
        </row>
        <row r="123">
          <cell r="C123" t="str">
            <v>(ii) Other vessels</v>
          </cell>
          <cell r="D123">
            <v>28</v>
          </cell>
        </row>
        <row r="124">
          <cell r="D124">
            <v>20</v>
          </cell>
        </row>
        <row r="125">
          <cell r="D125">
            <v>15</v>
          </cell>
        </row>
        <row r="127">
          <cell r="D127">
            <v>15</v>
          </cell>
        </row>
        <row r="128">
          <cell r="C128" t="str">
            <v>Office equipments [NESD]</v>
          </cell>
          <cell r="D128">
            <v>5</v>
          </cell>
        </row>
        <row r="130">
          <cell r="C130" t="str">
            <v>Servers and networks</v>
          </cell>
          <cell r="D130">
            <v>6</v>
          </cell>
        </row>
        <row r="131">
          <cell r="C131" t="str">
            <v>End user devices, such as, desktops, laptops, etc.</v>
          </cell>
          <cell r="D131">
            <v>3</v>
          </cell>
        </row>
        <row r="133">
          <cell r="C133" t="str">
            <v>General laboratory equipment</v>
          </cell>
          <cell r="D133">
            <v>10</v>
          </cell>
        </row>
        <row r="134">
          <cell r="C134" t="str">
            <v>Laboratory equipments used in education institutions</v>
          </cell>
          <cell r="D134">
            <v>5</v>
          </cell>
        </row>
        <row r="135">
          <cell r="C135" t="str">
            <v>Electrical Installations and Equipment [NESD]</v>
          </cell>
          <cell r="D135">
            <v>10</v>
          </cell>
        </row>
        <row r="136">
          <cell r="D136">
            <v>15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tabSelected="1" topLeftCell="A4" workbookViewId="0">
      <selection activeCell="H17" sqref="H17"/>
    </sheetView>
  </sheetViews>
  <sheetFormatPr defaultRowHeight="15" x14ac:dyDescent="0.25"/>
  <cols>
    <col min="2" max="2" width="5.28515625" bestFit="1" customWidth="1"/>
    <col min="3" max="3" width="35.140625" bestFit="1" customWidth="1"/>
    <col min="4" max="4" width="11.5703125" bestFit="1" customWidth="1"/>
    <col min="5" max="5" width="12.42578125" bestFit="1" customWidth="1"/>
    <col min="6" max="6" width="9.42578125" bestFit="1" customWidth="1"/>
  </cols>
  <sheetData>
    <row r="2" spans="2:6" x14ac:dyDescent="0.25">
      <c r="B2" s="229" t="s">
        <v>427</v>
      </c>
      <c r="C2" s="229"/>
      <c r="D2" s="229"/>
      <c r="E2" s="229"/>
      <c r="F2" s="229"/>
    </row>
    <row r="4" spans="2:6" x14ac:dyDescent="0.25">
      <c r="B4" s="230" t="s">
        <v>428</v>
      </c>
      <c r="C4" s="230"/>
      <c r="D4" s="230"/>
      <c r="E4" s="230"/>
      <c r="F4" s="230"/>
    </row>
    <row r="6" spans="2:6" x14ac:dyDescent="0.25">
      <c r="B6" s="3" t="s">
        <v>435</v>
      </c>
      <c r="C6" s="3" t="s">
        <v>429</v>
      </c>
      <c r="D6" s="3" t="s">
        <v>1</v>
      </c>
      <c r="E6" s="3" t="s">
        <v>2</v>
      </c>
      <c r="F6" s="3" t="s">
        <v>3</v>
      </c>
    </row>
    <row r="7" spans="2:6" x14ac:dyDescent="0.25">
      <c r="B7" s="3" t="s">
        <v>84</v>
      </c>
      <c r="C7" s="139" t="s">
        <v>436</v>
      </c>
      <c r="D7" s="3"/>
      <c r="E7" s="3"/>
      <c r="F7" s="3"/>
    </row>
    <row r="8" spans="2:6" x14ac:dyDescent="0.25">
      <c r="B8" s="1">
        <v>1</v>
      </c>
      <c r="C8" s="1" t="s">
        <v>430</v>
      </c>
      <c r="D8" s="1">
        <f>'2 J Rd-PL&amp; MC'!DG133</f>
        <v>40332052</v>
      </c>
      <c r="E8" s="2">
        <f>'2 J Rd-PL&amp; MC'!DH133</f>
        <v>32106218.622357227</v>
      </c>
      <c r="F8" s="2">
        <f>D8-E8</f>
        <v>8225833.3776427731</v>
      </c>
    </row>
    <row r="9" spans="2:6" x14ac:dyDescent="0.25">
      <c r="B9" s="1">
        <v>2</v>
      </c>
      <c r="C9" s="1" t="s">
        <v>431</v>
      </c>
      <c r="D9" s="1">
        <f>'9A KBS-PL &amp; MC'!DG31</f>
        <v>3439650</v>
      </c>
      <c r="E9" s="2">
        <f>'9A KBS-PL &amp; MC'!DH31</f>
        <v>3244305.3941095886</v>
      </c>
      <c r="F9" s="2">
        <f>D9-E9</f>
        <v>195344.60589041142</v>
      </c>
    </row>
    <row r="10" spans="2:6" x14ac:dyDescent="0.25">
      <c r="B10" s="1">
        <v>3</v>
      </c>
      <c r="C10" s="1" t="s">
        <v>432</v>
      </c>
      <c r="D10" s="1">
        <f>'17N-1 KBS-PL&amp;MC'!DG14</f>
        <v>2630617</v>
      </c>
      <c r="E10" s="2">
        <f>'17N-1 KBS-PL&amp;MC'!DH14</f>
        <v>1784504.2345864219</v>
      </c>
      <c r="F10" s="2">
        <f>D10-E10</f>
        <v>846112.76541357813</v>
      </c>
    </row>
    <row r="11" spans="2:6" x14ac:dyDescent="0.25">
      <c r="B11" s="1">
        <v>4</v>
      </c>
      <c r="C11" s="1" t="s">
        <v>433</v>
      </c>
      <c r="D11" s="2">
        <f>'DGP-PL&amp;MC'!DG19</f>
        <v>4330797.75</v>
      </c>
      <c r="E11" s="2">
        <f>'DGP-PL&amp;MC'!DH19</f>
        <v>439828.10710110818</v>
      </c>
      <c r="F11" s="2">
        <f>D11-E11</f>
        <v>3890969.6428988921</v>
      </c>
    </row>
    <row r="12" spans="2:6" x14ac:dyDescent="0.25">
      <c r="B12" s="1"/>
      <c r="C12" s="1"/>
      <c r="D12" s="1"/>
      <c r="E12" s="1"/>
      <c r="F12" s="1"/>
    </row>
    <row r="13" spans="2:6" x14ac:dyDescent="0.25">
      <c r="B13" s="1"/>
      <c r="C13" s="1" t="s">
        <v>434</v>
      </c>
      <c r="D13" s="2">
        <f>SUM(D8:D12)</f>
        <v>50733116.75</v>
      </c>
      <c r="E13" s="2">
        <f t="shared" ref="E13:F13" si="0">SUM(E8:E12)</f>
        <v>37574856.358154349</v>
      </c>
      <c r="F13" s="2">
        <f t="shared" si="0"/>
        <v>13158260.391845655</v>
      </c>
    </row>
    <row r="17" spans="2:6" x14ac:dyDescent="0.25">
      <c r="B17" s="3" t="s">
        <v>435</v>
      </c>
      <c r="C17" s="3" t="s">
        <v>429</v>
      </c>
      <c r="D17" s="3" t="s">
        <v>1</v>
      </c>
      <c r="E17" s="3" t="s">
        <v>2</v>
      </c>
      <c r="F17" s="3" t="s">
        <v>3</v>
      </c>
    </row>
    <row r="18" spans="2:6" x14ac:dyDescent="0.25">
      <c r="B18" s="3" t="s">
        <v>85</v>
      </c>
      <c r="C18" s="139" t="s">
        <v>437</v>
      </c>
      <c r="D18" s="3"/>
      <c r="E18" s="3"/>
      <c r="F18" s="3"/>
    </row>
    <row r="19" spans="2:6" x14ac:dyDescent="0.25">
      <c r="B19" s="1">
        <v>1</v>
      </c>
      <c r="C19" s="1" t="s">
        <v>430</v>
      </c>
      <c r="D19" s="157">
        <f>'2 J Rd-MH &amp; Others'!DL48</f>
        <v>23097216</v>
      </c>
      <c r="E19" s="157">
        <f>'2 J Rd-MH &amp; Others'!DM48</f>
        <v>18016477.945240475</v>
      </c>
      <c r="F19" s="2">
        <f>D19-E19</f>
        <v>5080738.0547595248</v>
      </c>
    </row>
    <row r="20" spans="2:6" x14ac:dyDescent="0.25">
      <c r="B20" s="1">
        <v>2</v>
      </c>
      <c r="C20" s="1" t="s">
        <v>431</v>
      </c>
      <c r="D20" s="157">
        <f>'9A KBS-MH &amp; Others'!DL10</f>
        <v>1228472</v>
      </c>
      <c r="E20" s="157">
        <f>'9A KBS-MH &amp; Others'!DM10</f>
        <v>1032748.8737230769</v>
      </c>
      <c r="F20" s="2">
        <f>D20-E20</f>
        <v>195723.12627692311</v>
      </c>
    </row>
    <row r="21" spans="2:6" x14ac:dyDescent="0.25">
      <c r="B21" s="1">
        <v>3</v>
      </c>
      <c r="C21" s="1" t="s">
        <v>432</v>
      </c>
      <c r="D21" s="157">
        <f>'17N-1 KBS-MH &amp; Others'!DL10</f>
        <v>909775</v>
      </c>
      <c r="E21" s="157">
        <f>'17N-1 KBS-MH &amp; Others'!DM10</f>
        <v>727809.22384615394</v>
      </c>
      <c r="F21" s="2">
        <f>D21-E21</f>
        <v>181965.77615384606</v>
      </c>
    </row>
    <row r="22" spans="2:6" x14ac:dyDescent="0.25">
      <c r="B22" s="1">
        <v>4</v>
      </c>
      <c r="C22" s="1" t="s">
        <v>433</v>
      </c>
      <c r="D22" s="2">
        <f>'DGP-MH &amp; Others'!DL23</f>
        <v>4174565.25</v>
      </c>
      <c r="E22" s="2">
        <f>'DGP-MH &amp; Others'!DM23</f>
        <v>3153271.1705668857</v>
      </c>
      <c r="F22" s="2">
        <f>D22-E22</f>
        <v>1021294.0794331143</v>
      </c>
    </row>
    <row r="23" spans="2:6" x14ac:dyDescent="0.25">
      <c r="B23" s="1"/>
      <c r="C23" s="1"/>
      <c r="D23" s="1"/>
      <c r="E23" s="1"/>
      <c r="F23" s="1"/>
    </row>
    <row r="24" spans="2:6" x14ac:dyDescent="0.25">
      <c r="B24" s="1"/>
      <c r="C24" s="1" t="s">
        <v>434</v>
      </c>
      <c r="D24" s="2">
        <f>SUM(D19:D23)</f>
        <v>29410028.25</v>
      </c>
      <c r="E24" s="2">
        <f t="shared" ref="E24" si="1">SUM(E19:E23)</f>
        <v>22930307.213376593</v>
      </c>
      <c r="F24" s="2">
        <f t="shared" ref="F24" si="2">SUM(F19:F23)</f>
        <v>6479721.0366234081</v>
      </c>
    </row>
    <row r="27" spans="2:6" x14ac:dyDescent="0.25">
      <c r="B27" s="1"/>
      <c r="C27" s="1" t="s">
        <v>438</v>
      </c>
      <c r="D27" s="2">
        <f>D13+D24</f>
        <v>80143145</v>
      </c>
      <c r="E27" s="2">
        <f t="shared" ref="E27:F27" si="3">E13+E24</f>
        <v>60505163.571530938</v>
      </c>
      <c r="F27" s="2">
        <f t="shared" si="3"/>
        <v>19637981.428469062</v>
      </c>
    </row>
  </sheetData>
  <mergeCells count="2">
    <mergeCell ref="B2:F2"/>
    <mergeCell ref="B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L137"/>
  <sheetViews>
    <sheetView topLeftCell="A5" workbookViewId="0">
      <pane xSplit="7" ySplit="2" topLeftCell="H80" activePane="bottomRight" state="frozen"/>
      <selection activeCell="A5" sqref="A5"/>
      <selection pane="topRight" activeCell="H5" sqref="H5"/>
      <selection pane="bottomLeft" activeCell="A7" sqref="A7"/>
      <selection pane="bottomRight" activeCell="G82" sqref="G82"/>
    </sheetView>
  </sheetViews>
  <sheetFormatPr defaultRowHeight="15" x14ac:dyDescent="0.25"/>
  <cols>
    <col min="1" max="1" width="1.85546875" customWidth="1"/>
    <col min="2" max="2" width="9.140625" hidden="1" customWidth="1"/>
    <col min="3" max="3" width="17.42578125" hidden="1" customWidth="1"/>
    <col min="4" max="4" width="24" hidden="1" customWidth="1"/>
    <col min="5" max="5" width="9.85546875" customWidth="1"/>
    <col min="6" max="6" width="41.28515625" customWidth="1"/>
    <col min="7" max="7" width="6.5703125" customWidth="1"/>
    <col min="8" max="8" width="12.28515625" customWidth="1"/>
    <col min="9" max="9" width="11.140625" customWidth="1"/>
    <col min="10" max="10" width="8" customWidth="1"/>
    <col min="11" max="11" width="10.7109375" customWidth="1"/>
    <col min="12" max="12" width="10.140625" customWidth="1"/>
    <col min="13" max="13" width="12.5703125" customWidth="1"/>
    <col min="14" max="14" width="10.85546875" customWidth="1"/>
    <col min="15" max="15" width="12" customWidth="1"/>
    <col min="16" max="16" width="8.85546875" customWidth="1"/>
    <col min="17" max="17" width="11" customWidth="1"/>
    <col min="18" max="18" width="11.28515625" customWidth="1"/>
    <col min="19" max="19" width="12.140625" customWidth="1"/>
    <col min="20" max="20" width="10.42578125" customWidth="1"/>
    <col min="21" max="21" width="7.140625" bestFit="1" customWidth="1"/>
    <col min="22" max="22" width="6.28515625" bestFit="1" customWidth="1"/>
    <col min="23" max="23" width="10.42578125" customWidth="1"/>
    <col min="24" max="24" width="11.28515625" customWidth="1"/>
    <col min="25" max="25" width="9.7109375" customWidth="1"/>
    <col min="26" max="26" width="12" customWidth="1"/>
    <col min="27" max="27" width="12.28515625" customWidth="1"/>
    <col min="28" max="28" width="3.28515625" bestFit="1" customWidth="1"/>
    <col min="29" max="29" width="12.28515625" customWidth="1"/>
    <col min="30" max="30" width="10.5703125" customWidth="1"/>
    <col min="31" max="31" width="9.140625" customWidth="1"/>
    <col min="32" max="32" width="8" customWidth="1"/>
    <col min="33" max="33" width="9.42578125" customWidth="1"/>
    <col min="34" max="34" width="10.5703125" customWidth="1"/>
    <col min="35" max="35" width="12.5703125" customWidth="1"/>
    <col min="36" max="36" width="10.5703125" customWidth="1"/>
    <col min="37" max="37" width="12.140625" customWidth="1"/>
    <col min="38" max="38" width="1.140625" customWidth="1"/>
    <col min="39" max="39" width="12.140625" customWidth="1"/>
    <col min="40" max="40" width="11.140625" customWidth="1"/>
    <col min="41" max="41" width="8" customWidth="1"/>
    <col min="42" max="42" width="7.28515625" customWidth="1"/>
    <col min="43" max="43" width="7.7109375" customWidth="1"/>
    <col min="44" max="44" width="10.7109375" customWidth="1"/>
    <col min="45" max="45" width="12.28515625" customWidth="1"/>
    <col min="46" max="46" width="10.85546875" customWidth="1"/>
    <col min="47" max="47" width="12.28515625" customWidth="1"/>
    <col min="48" max="48" width="1.85546875" customWidth="1"/>
    <col min="49" max="49" width="12.140625" customWidth="1"/>
    <col min="50" max="50" width="11" customWidth="1"/>
    <col min="51" max="51" width="11.140625" customWidth="1"/>
    <col min="52" max="52" width="7.7109375" customWidth="1"/>
    <col min="53" max="53" width="7.42578125" customWidth="1"/>
    <col min="54" max="54" width="10.5703125" customWidth="1"/>
    <col min="55" max="55" width="12.42578125" customWidth="1"/>
    <col min="56" max="56" width="10.5703125" customWidth="1"/>
    <col min="57" max="57" width="12" customWidth="1"/>
    <col min="58" max="58" width="1.7109375" customWidth="1"/>
    <col min="59" max="59" width="12.140625" customWidth="1"/>
    <col min="60" max="60" width="11.140625" bestFit="1" customWidth="1"/>
    <col min="61" max="62" width="6.140625" customWidth="1"/>
    <col min="63" max="63" width="7" customWidth="1"/>
    <col min="64" max="64" width="10.42578125" customWidth="1"/>
    <col min="65" max="65" width="12.28515625" customWidth="1"/>
    <col min="66" max="66" width="10.42578125" customWidth="1"/>
    <col min="67" max="67" width="12" customWidth="1"/>
    <col min="68" max="68" width="1.85546875" customWidth="1"/>
    <col min="69" max="69" width="12.140625" customWidth="1"/>
    <col min="70" max="70" width="10.42578125" bestFit="1" customWidth="1"/>
    <col min="71" max="71" width="6.5703125" customWidth="1"/>
    <col min="72" max="72" width="6.42578125" customWidth="1"/>
    <col min="73" max="73" width="6.28515625" customWidth="1"/>
    <col min="74" max="74" width="10.85546875" customWidth="1"/>
    <col min="75" max="75" width="12.140625" customWidth="1"/>
    <col min="76" max="76" width="10.85546875" customWidth="1"/>
    <col min="77" max="77" width="12.140625" customWidth="1"/>
    <col min="78" max="78" width="1.42578125" customWidth="1"/>
    <col min="79" max="79" width="12.140625" customWidth="1"/>
    <col min="80" max="80" width="10.42578125" bestFit="1" customWidth="1"/>
    <col min="81" max="81" width="7" customWidth="1"/>
    <col min="82" max="82" width="7.140625" customWidth="1"/>
    <col min="83" max="83" width="6.5703125" customWidth="1"/>
    <col min="84" max="84" width="10.5703125" customWidth="1"/>
    <col min="85" max="85" width="12.140625" customWidth="1"/>
    <col min="86" max="86" width="10.42578125" customWidth="1"/>
    <col min="87" max="87" width="15" bestFit="1" customWidth="1"/>
    <col min="88" max="88" width="6.140625" hidden="1" customWidth="1"/>
    <col min="89" max="89" width="10.42578125" customWidth="1"/>
    <col min="90" max="90" width="12.140625" customWidth="1"/>
    <col min="91" max="91" width="9.42578125" customWidth="1"/>
    <col min="92" max="92" width="7.42578125" customWidth="1"/>
    <col min="93" max="93" width="6.28515625" customWidth="1"/>
    <col min="94" max="94" width="6.5703125" customWidth="1"/>
    <col min="95" max="95" width="10.7109375" customWidth="1"/>
    <col min="96" max="96" width="11" customWidth="1"/>
    <col min="97" max="97" width="10.85546875" customWidth="1"/>
    <col min="98" max="98" width="10.7109375" customWidth="1"/>
    <col min="99" max="99" width="0" hidden="1" customWidth="1"/>
    <col min="100" max="100" width="10.42578125" customWidth="1"/>
    <col min="101" max="101" width="10.5703125" customWidth="1"/>
    <col min="102" max="102" width="10.7109375" bestFit="1" customWidth="1"/>
    <col min="103" max="103" width="7.28515625" customWidth="1"/>
    <col min="104" max="104" width="7.85546875" customWidth="1"/>
    <col min="105" max="105" width="6.7109375" customWidth="1"/>
    <col min="106" max="106" width="11" customWidth="1"/>
    <col min="107" max="107" width="10.7109375" customWidth="1"/>
    <col min="108" max="108" width="10.42578125" customWidth="1"/>
    <col min="109" max="109" width="10.7109375" customWidth="1"/>
    <col min="110" max="110" width="2.5703125" customWidth="1"/>
    <col min="111" max="112" width="12.28515625" bestFit="1" customWidth="1"/>
    <col min="113" max="113" width="13.5703125" bestFit="1" customWidth="1"/>
    <col min="114" max="114" width="9.7109375" bestFit="1" customWidth="1"/>
    <col min="115" max="115" width="11.140625" bestFit="1" customWidth="1"/>
  </cols>
  <sheetData>
    <row r="5" spans="2:116" ht="112.5" customHeight="1" x14ac:dyDescent="0.25">
      <c r="B5" s="231" t="s">
        <v>9</v>
      </c>
      <c r="C5" s="231" t="s">
        <v>10</v>
      </c>
      <c r="D5" s="231" t="s">
        <v>11</v>
      </c>
      <c r="E5" s="109"/>
      <c r="F5" s="110" t="s">
        <v>8</v>
      </c>
      <c r="G5" s="110" t="s">
        <v>12</v>
      </c>
      <c r="H5" s="111" t="s">
        <v>13</v>
      </c>
      <c r="I5" s="111" t="s">
        <v>14</v>
      </c>
      <c r="J5" s="112" t="s">
        <v>15</v>
      </c>
      <c r="K5" s="113" t="s">
        <v>16</v>
      </c>
      <c r="L5" s="111" t="s">
        <v>17</v>
      </c>
      <c r="M5" s="109" t="s">
        <v>18</v>
      </c>
      <c r="N5" s="114" t="s">
        <v>19</v>
      </c>
      <c r="O5" s="114" t="s">
        <v>20</v>
      </c>
      <c r="P5" s="114" t="s">
        <v>21</v>
      </c>
      <c r="Q5" s="111" t="s">
        <v>22</v>
      </c>
      <c r="R5" s="114" t="s">
        <v>23</v>
      </c>
      <c r="S5" s="114" t="s">
        <v>24</v>
      </c>
      <c r="T5" s="233" t="s">
        <v>25</v>
      </c>
      <c r="U5" s="234"/>
      <c r="V5" s="234"/>
      <c r="W5" s="115" t="s">
        <v>0</v>
      </c>
      <c r="X5" s="115" t="s">
        <v>25</v>
      </c>
      <c r="Y5" s="115" t="s">
        <v>26</v>
      </c>
      <c r="Z5" s="115" t="s">
        <v>27</v>
      </c>
      <c r="AA5" s="115" t="s">
        <v>28</v>
      </c>
      <c r="AB5" s="116"/>
      <c r="AC5" s="109" t="s">
        <v>29</v>
      </c>
      <c r="AD5" s="109" t="s">
        <v>30</v>
      </c>
      <c r="AE5" s="109" t="s">
        <v>31</v>
      </c>
      <c r="AF5" s="109" t="s">
        <v>32</v>
      </c>
      <c r="AG5" s="111" t="s">
        <v>33</v>
      </c>
      <c r="AH5" s="114" t="s">
        <v>23</v>
      </c>
      <c r="AI5" s="114" t="s">
        <v>34</v>
      </c>
      <c r="AJ5" s="115" t="s">
        <v>35</v>
      </c>
      <c r="AK5" s="117" t="s">
        <v>36</v>
      </c>
      <c r="AL5" s="116"/>
      <c r="AM5" s="109" t="s">
        <v>37</v>
      </c>
      <c r="AN5" s="109" t="s">
        <v>38</v>
      </c>
      <c r="AO5" s="109" t="s">
        <v>39</v>
      </c>
      <c r="AP5" s="109" t="s">
        <v>40</v>
      </c>
      <c r="AQ5" s="111" t="s">
        <v>41</v>
      </c>
      <c r="AR5" s="114" t="s">
        <v>23</v>
      </c>
      <c r="AS5" s="114" t="s">
        <v>42</v>
      </c>
      <c r="AT5" s="115" t="s">
        <v>35</v>
      </c>
      <c r="AU5" s="114" t="s">
        <v>43</v>
      </c>
      <c r="AV5" s="118"/>
      <c r="AW5" s="109" t="s">
        <v>44</v>
      </c>
      <c r="AX5" s="109" t="s">
        <v>45</v>
      </c>
      <c r="AY5" s="109" t="s">
        <v>46</v>
      </c>
      <c r="AZ5" s="109" t="s">
        <v>47</v>
      </c>
      <c r="BA5" s="111" t="s">
        <v>48</v>
      </c>
      <c r="BB5" s="114" t="s">
        <v>23</v>
      </c>
      <c r="BC5" s="114" t="s">
        <v>49</v>
      </c>
      <c r="BD5" s="119" t="s">
        <v>35</v>
      </c>
      <c r="BE5" s="114" t="s">
        <v>50</v>
      </c>
      <c r="BF5" s="114"/>
      <c r="BG5" s="109" t="s">
        <v>51</v>
      </c>
      <c r="BH5" s="109" t="s">
        <v>52</v>
      </c>
      <c r="BI5" s="109" t="s">
        <v>53</v>
      </c>
      <c r="BJ5" s="109" t="s">
        <v>54</v>
      </c>
      <c r="BK5" s="111" t="s">
        <v>55</v>
      </c>
      <c r="BL5" s="114" t="s">
        <v>23</v>
      </c>
      <c r="BM5" s="114" t="s">
        <v>56</v>
      </c>
      <c r="BN5" s="119" t="s">
        <v>35</v>
      </c>
      <c r="BO5" s="120" t="s">
        <v>57</v>
      </c>
      <c r="BP5" s="118"/>
      <c r="BQ5" s="109" t="s">
        <v>58</v>
      </c>
      <c r="BR5" s="109" t="s">
        <v>59</v>
      </c>
      <c r="BS5" s="109" t="s">
        <v>60</v>
      </c>
      <c r="BT5" s="109" t="s">
        <v>61</v>
      </c>
      <c r="BU5" s="111" t="s">
        <v>62</v>
      </c>
      <c r="BV5" s="114" t="s">
        <v>23</v>
      </c>
      <c r="BW5" s="114" t="s">
        <v>63</v>
      </c>
      <c r="BX5" s="119" t="s">
        <v>35</v>
      </c>
      <c r="BY5" s="120" t="s">
        <v>64</v>
      </c>
      <c r="BZ5" s="118"/>
      <c r="CA5" s="119" t="s">
        <v>65</v>
      </c>
      <c r="CB5" s="109" t="s">
        <v>66</v>
      </c>
      <c r="CC5" s="109" t="s">
        <v>67</v>
      </c>
      <c r="CD5" s="109" t="s">
        <v>68</v>
      </c>
      <c r="CE5" s="111" t="s">
        <v>62</v>
      </c>
      <c r="CF5" s="114" t="s">
        <v>23</v>
      </c>
      <c r="CG5" s="114" t="s">
        <v>63</v>
      </c>
      <c r="CH5" s="119" t="s">
        <v>35</v>
      </c>
      <c r="CI5" s="120" t="s">
        <v>69</v>
      </c>
      <c r="CJ5" s="118"/>
      <c r="CK5" s="118"/>
      <c r="CL5" s="109" t="s">
        <v>70</v>
      </c>
      <c r="CM5" s="109" t="s">
        <v>71</v>
      </c>
      <c r="CN5" s="109" t="s">
        <v>72</v>
      </c>
      <c r="CO5" s="109" t="s">
        <v>73</v>
      </c>
      <c r="CP5" s="111" t="s">
        <v>74</v>
      </c>
      <c r="CQ5" s="114" t="s">
        <v>23</v>
      </c>
      <c r="CR5" s="114" t="s">
        <v>75</v>
      </c>
      <c r="CS5" s="119" t="s">
        <v>35</v>
      </c>
      <c r="CT5" s="120" t="s">
        <v>76</v>
      </c>
      <c r="CU5" s="118"/>
      <c r="CV5" s="116"/>
      <c r="CW5" s="109" t="s">
        <v>77</v>
      </c>
      <c r="CX5" s="109" t="s">
        <v>78</v>
      </c>
      <c r="CY5" s="109" t="s">
        <v>79</v>
      </c>
      <c r="CZ5" s="109" t="s">
        <v>80</v>
      </c>
      <c r="DA5" s="111" t="s">
        <v>81</v>
      </c>
      <c r="DB5" s="114" t="s">
        <v>23</v>
      </c>
      <c r="DC5" s="114" t="s">
        <v>82</v>
      </c>
      <c r="DD5" s="119" t="s">
        <v>35</v>
      </c>
      <c r="DE5" s="120" t="s">
        <v>83</v>
      </c>
      <c r="DG5" s="120" t="s">
        <v>1</v>
      </c>
      <c r="DH5" s="120" t="s">
        <v>426</v>
      </c>
      <c r="DI5" s="120" t="s">
        <v>3</v>
      </c>
    </row>
    <row r="6" spans="2:116" ht="20.25" customHeight="1" x14ac:dyDescent="0.25">
      <c r="B6" s="231"/>
      <c r="C6" s="232"/>
      <c r="D6" s="232"/>
      <c r="E6" s="121"/>
      <c r="F6" s="110" t="s">
        <v>84</v>
      </c>
      <c r="G6" s="110"/>
      <c r="H6" s="110" t="s">
        <v>85</v>
      </c>
      <c r="I6" s="110" t="s">
        <v>86</v>
      </c>
      <c r="J6" s="110"/>
      <c r="K6" s="113" t="s">
        <v>87</v>
      </c>
      <c r="L6" s="110" t="s">
        <v>88</v>
      </c>
      <c r="M6" s="110" t="s">
        <v>89</v>
      </c>
      <c r="N6" s="110" t="s">
        <v>90</v>
      </c>
      <c r="O6" s="110" t="s">
        <v>91</v>
      </c>
      <c r="P6" s="110"/>
      <c r="Q6" s="110" t="s">
        <v>92</v>
      </c>
      <c r="R6" s="110" t="s">
        <v>93</v>
      </c>
      <c r="S6" s="110" t="s">
        <v>94</v>
      </c>
      <c r="T6" s="110" t="s">
        <v>95</v>
      </c>
      <c r="U6" s="110" t="s">
        <v>96</v>
      </c>
      <c r="V6" s="110" t="s">
        <v>97</v>
      </c>
      <c r="W6" s="110" t="s">
        <v>98</v>
      </c>
      <c r="X6" s="110"/>
      <c r="Y6" s="110" t="s">
        <v>99</v>
      </c>
      <c r="Z6" s="110" t="s">
        <v>100</v>
      </c>
      <c r="AA6" s="110"/>
      <c r="AB6" s="116"/>
      <c r="AC6" s="116"/>
      <c r="AD6" s="116"/>
      <c r="AE6" s="116"/>
      <c r="AF6" s="116"/>
      <c r="AG6" s="116"/>
      <c r="AH6" s="116"/>
      <c r="AI6" s="116"/>
      <c r="AJ6" s="116"/>
      <c r="AK6" s="122"/>
      <c r="AL6" s="116"/>
      <c r="AM6" s="116"/>
      <c r="AN6" s="116"/>
      <c r="AO6" s="116"/>
      <c r="AP6" s="116"/>
      <c r="AQ6" s="116"/>
      <c r="AR6" s="116"/>
      <c r="AS6" s="116"/>
      <c r="AT6" s="116"/>
      <c r="AU6" s="116"/>
      <c r="AV6" s="118"/>
      <c r="AW6" s="116"/>
      <c r="AX6" s="116"/>
      <c r="AY6" s="116"/>
      <c r="AZ6" s="116"/>
      <c r="BA6" s="116"/>
      <c r="BB6" s="116"/>
      <c r="BC6" s="116"/>
      <c r="BD6" s="123"/>
      <c r="BE6" s="116"/>
      <c r="BF6" s="116"/>
      <c r="BG6" s="116"/>
      <c r="BH6" s="116"/>
      <c r="BI6" s="116"/>
      <c r="BJ6" s="116"/>
      <c r="BK6" s="116"/>
      <c r="BL6" s="116"/>
      <c r="BM6" s="116"/>
      <c r="BN6" s="123"/>
      <c r="BO6" s="123"/>
      <c r="BP6" s="118"/>
      <c r="BQ6" s="116"/>
      <c r="BR6" s="116"/>
      <c r="BS6" s="116"/>
      <c r="BT6" s="116"/>
      <c r="BU6" s="116"/>
      <c r="BV6" s="116"/>
      <c r="BW6" s="116"/>
      <c r="BX6" s="123"/>
      <c r="BY6" s="123"/>
      <c r="BZ6" s="118"/>
      <c r="CA6" s="123"/>
      <c r="CB6" s="116"/>
      <c r="CC6" s="116"/>
      <c r="CD6" s="116"/>
      <c r="CE6" s="116"/>
      <c r="CF6" s="116"/>
      <c r="CG6" s="116"/>
      <c r="CH6" s="123"/>
      <c r="CI6" s="123"/>
      <c r="CJ6" s="118"/>
      <c r="CK6" s="118"/>
      <c r="CL6" s="123"/>
      <c r="CM6" s="116"/>
      <c r="CN6" s="116"/>
      <c r="CO6" s="116"/>
      <c r="CP6" s="116"/>
      <c r="CQ6" s="116"/>
      <c r="CR6" s="116"/>
      <c r="CS6" s="123"/>
      <c r="CT6" s="123"/>
      <c r="CU6" s="118"/>
      <c r="CV6" s="118"/>
      <c r="CW6" s="123"/>
      <c r="CX6" s="116"/>
      <c r="CY6" s="116"/>
      <c r="CZ6" s="116"/>
      <c r="DA6" s="116"/>
      <c r="DB6" s="116"/>
      <c r="DC6" s="116"/>
      <c r="DD6" s="123"/>
      <c r="DE6" s="123"/>
      <c r="DG6" s="123"/>
      <c r="DH6" s="123"/>
      <c r="DI6" s="123"/>
    </row>
    <row r="7" spans="2:116" s="4" customFormat="1" ht="39" x14ac:dyDescent="0.25">
      <c r="B7" s="13" t="s">
        <v>4</v>
      </c>
      <c r="C7" s="14" t="s">
        <v>4</v>
      </c>
      <c r="D7" s="15" t="s">
        <v>101</v>
      </c>
      <c r="E7" s="15" t="s">
        <v>109</v>
      </c>
      <c r="F7" s="16" t="s">
        <v>110</v>
      </c>
      <c r="G7" s="11" t="s">
        <v>111</v>
      </c>
      <c r="H7" s="17">
        <v>40267</v>
      </c>
      <c r="I7" s="18" t="s">
        <v>417</v>
      </c>
      <c r="J7" s="19">
        <v>4</v>
      </c>
      <c r="K7" s="20">
        <v>10</v>
      </c>
      <c r="L7" s="21">
        <v>6</v>
      </c>
      <c r="M7" s="22">
        <v>129200</v>
      </c>
      <c r="N7" s="23">
        <v>38372.559999999998</v>
      </c>
      <c r="O7" s="24">
        <v>90827.44</v>
      </c>
      <c r="P7" s="24"/>
      <c r="Q7" s="25">
        <v>6</v>
      </c>
      <c r="R7" s="26">
        <v>6460</v>
      </c>
      <c r="S7" s="25">
        <v>84367.44</v>
      </c>
      <c r="T7" s="25">
        <v>14061.24</v>
      </c>
      <c r="U7" s="25"/>
      <c r="V7" s="25">
        <v>0</v>
      </c>
      <c r="W7" s="25">
        <v>14061.24</v>
      </c>
      <c r="X7" s="25">
        <v>14061.24</v>
      </c>
      <c r="Y7" s="25">
        <v>0</v>
      </c>
      <c r="Z7" s="24">
        <v>90827.44</v>
      </c>
      <c r="AA7" s="27">
        <v>76766.2</v>
      </c>
      <c r="AB7" s="16"/>
      <c r="AC7" s="27">
        <v>76766.2</v>
      </c>
      <c r="AD7" s="16"/>
      <c r="AE7" s="16"/>
      <c r="AF7" s="28">
        <v>5.0054794520547947</v>
      </c>
      <c r="AG7" s="29">
        <v>4.9945205479452053</v>
      </c>
      <c r="AH7" s="27">
        <v>6460</v>
      </c>
      <c r="AI7" s="30">
        <v>84367.44</v>
      </c>
      <c r="AJ7" s="31">
        <v>14061.24</v>
      </c>
      <c r="AK7" s="32">
        <v>62704.959999999999</v>
      </c>
      <c r="AL7" s="16"/>
      <c r="AM7" s="27">
        <v>62704.959999999999</v>
      </c>
      <c r="AN7" s="16"/>
      <c r="AO7" s="16"/>
      <c r="AP7" s="28">
        <v>6.0082191780821921</v>
      </c>
      <c r="AQ7" s="29">
        <v>3.9917808219178079</v>
      </c>
      <c r="AR7" s="27">
        <v>6460</v>
      </c>
      <c r="AS7" s="30">
        <v>70306.2</v>
      </c>
      <c r="AT7" s="31">
        <v>14061.24</v>
      </c>
      <c r="AU7" s="33">
        <v>48643.72</v>
      </c>
      <c r="AW7" s="27">
        <v>48643.72</v>
      </c>
      <c r="AX7" s="16"/>
      <c r="AY7" s="16"/>
      <c r="AZ7" s="28">
        <v>7.0082191780821921</v>
      </c>
      <c r="BA7" s="29">
        <v>2.9917808219178079</v>
      </c>
      <c r="BB7" s="27">
        <v>6460</v>
      </c>
      <c r="BC7" s="30">
        <v>56244.959999999999</v>
      </c>
      <c r="BD7" s="34">
        <v>14061.24</v>
      </c>
      <c r="BE7" s="33">
        <v>34582.480000000003</v>
      </c>
      <c r="BF7" s="33"/>
      <c r="BG7" s="27">
        <v>34582.480000000003</v>
      </c>
      <c r="BH7" s="16"/>
      <c r="BI7" s="16"/>
      <c r="BJ7" s="28">
        <v>8.0082191780821912</v>
      </c>
      <c r="BK7" s="29">
        <v>1.9917808219178088</v>
      </c>
      <c r="BL7" s="27">
        <v>6460</v>
      </c>
      <c r="BM7" s="30">
        <v>28122.480000000003</v>
      </c>
      <c r="BN7" s="34">
        <v>14061.24</v>
      </c>
      <c r="BO7" s="35">
        <v>20521.240000000005</v>
      </c>
      <c r="BP7" s="36"/>
      <c r="BQ7" s="27">
        <v>20521.240000000005</v>
      </c>
      <c r="BR7" s="16"/>
      <c r="BS7" s="16"/>
      <c r="BT7" s="28">
        <v>9.0082191780821912</v>
      </c>
      <c r="BU7" s="29">
        <v>0.99178082191780881</v>
      </c>
      <c r="BV7" s="27">
        <v>6460</v>
      </c>
      <c r="BW7" s="30">
        <v>14061.240000000005</v>
      </c>
      <c r="BX7" s="34">
        <v>14061.24</v>
      </c>
      <c r="BY7" s="35">
        <v>6460.0000000000055</v>
      </c>
      <c r="CA7" s="35">
        <v>6460.0000000000055</v>
      </c>
      <c r="CB7" s="16"/>
      <c r="CC7" s="16"/>
      <c r="CD7" s="28">
        <v>10.010958904109589</v>
      </c>
      <c r="CE7" s="29">
        <v>-1.095890410958944E-2</v>
      </c>
      <c r="CF7" s="27">
        <v>6460</v>
      </c>
      <c r="CG7" s="30">
        <v>0</v>
      </c>
      <c r="CH7" s="31"/>
      <c r="CI7" s="35">
        <v>6460.0000000000055</v>
      </c>
      <c r="CK7" s="36">
        <v>0</v>
      </c>
      <c r="CL7" s="35">
        <v>6460.0000000000055</v>
      </c>
      <c r="CM7" s="16"/>
      <c r="CN7" s="16"/>
      <c r="CO7" s="28">
        <v>11.010958904109589</v>
      </c>
      <c r="CP7" s="29">
        <v>-1.0109589041095894</v>
      </c>
      <c r="CQ7" s="27">
        <v>6460</v>
      </c>
      <c r="CR7" s="34">
        <v>0</v>
      </c>
      <c r="CS7" s="34">
        <v>0</v>
      </c>
      <c r="CT7" s="35">
        <v>6460.0000000000055</v>
      </c>
      <c r="CV7" s="35">
        <v>0</v>
      </c>
      <c r="CW7" s="35">
        <v>6460.0000000000055</v>
      </c>
      <c r="CX7" s="16"/>
      <c r="CY7" s="16"/>
      <c r="CZ7" s="28">
        <v>13.010958904109589</v>
      </c>
      <c r="DA7" s="29">
        <v>-3.0109589041095894</v>
      </c>
      <c r="DB7" s="27">
        <v>6460</v>
      </c>
      <c r="DC7" s="34">
        <v>0</v>
      </c>
      <c r="DD7" s="34">
        <v>0</v>
      </c>
      <c r="DE7" s="35">
        <v>6460.0000000000055</v>
      </c>
      <c r="DG7" s="35">
        <v>129200</v>
      </c>
      <c r="DH7" s="35">
        <v>122740.00000000001</v>
      </c>
      <c r="DI7" s="35">
        <f>DG7-DH7</f>
        <v>6459.9999999999854</v>
      </c>
      <c r="DJ7" s="132">
        <f>DG7-DH7</f>
        <v>6459.9999999999854</v>
      </c>
      <c r="DK7" s="132">
        <f>DI7-DJ7</f>
        <v>0</v>
      </c>
      <c r="DL7" s="132">
        <f>DE7-DJ7</f>
        <v>2.0008883439004421E-11</v>
      </c>
    </row>
    <row r="8" spans="2:116" s="4" customFormat="1" ht="39" x14ac:dyDescent="0.25">
      <c r="B8" s="13" t="s">
        <v>4</v>
      </c>
      <c r="C8" s="14" t="s">
        <v>4</v>
      </c>
      <c r="D8" s="15" t="s">
        <v>101</v>
      </c>
      <c r="E8" s="15" t="s">
        <v>118</v>
      </c>
      <c r="F8" s="16" t="s">
        <v>119</v>
      </c>
      <c r="G8" s="11" t="s">
        <v>111</v>
      </c>
      <c r="H8" s="17">
        <v>40390</v>
      </c>
      <c r="I8" s="18" t="s">
        <v>418</v>
      </c>
      <c r="J8" s="19">
        <v>4</v>
      </c>
      <c r="K8" s="20">
        <v>10</v>
      </c>
      <c r="L8" s="21">
        <v>6</v>
      </c>
      <c r="M8" s="22">
        <v>59610</v>
      </c>
      <c r="N8" s="23">
        <v>16226.186</v>
      </c>
      <c r="O8" s="24">
        <v>43383.813999999998</v>
      </c>
      <c r="P8" s="24"/>
      <c r="Q8" s="25">
        <v>6</v>
      </c>
      <c r="R8" s="26">
        <v>2980.5</v>
      </c>
      <c r="S8" s="25">
        <v>40403.313999999998</v>
      </c>
      <c r="T8" s="25">
        <v>6733.8856666666661</v>
      </c>
      <c r="U8" s="25"/>
      <c r="V8" s="25">
        <v>0</v>
      </c>
      <c r="W8" s="25">
        <v>6733.8856666666661</v>
      </c>
      <c r="X8" s="25">
        <v>6733.8856666666661</v>
      </c>
      <c r="Y8" s="25">
        <v>0</v>
      </c>
      <c r="Z8" s="24">
        <v>43383.813999999998</v>
      </c>
      <c r="AA8" s="27">
        <v>36649.92833333333</v>
      </c>
      <c r="AB8" s="16"/>
      <c r="AC8" s="27">
        <v>36649.92833333333</v>
      </c>
      <c r="AD8" s="16"/>
      <c r="AE8" s="16"/>
      <c r="AF8" s="28">
        <v>4.6684931506849319</v>
      </c>
      <c r="AG8" s="29">
        <v>5.3315068493150681</v>
      </c>
      <c r="AH8" s="27">
        <v>2980.5</v>
      </c>
      <c r="AI8" s="30">
        <v>40403.313999999998</v>
      </c>
      <c r="AJ8" s="31">
        <v>6733.8856666666661</v>
      </c>
      <c r="AK8" s="32">
        <v>29916.042666666664</v>
      </c>
      <c r="AL8" s="16"/>
      <c r="AM8" s="27">
        <v>29916.042666666664</v>
      </c>
      <c r="AN8" s="16"/>
      <c r="AO8" s="16"/>
      <c r="AP8" s="28">
        <v>5.6712328767123283</v>
      </c>
      <c r="AQ8" s="29">
        <v>4.3287671232876717</v>
      </c>
      <c r="AR8" s="27">
        <v>2980.5</v>
      </c>
      <c r="AS8" s="30">
        <v>33669.42833333333</v>
      </c>
      <c r="AT8" s="31">
        <v>6733.8856666666661</v>
      </c>
      <c r="AU8" s="33">
        <v>23182.156999999999</v>
      </c>
      <c r="AW8" s="27">
        <v>23182.156999999999</v>
      </c>
      <c r="AX8" s="16"/>
      <c r="AY8" s="16"/>
      <c r="AZ8" s="28">
        <v>6.6712328767123283</v>
      </c>
      <c r="BA8" s="29">
        <v>3.3287671232876717</v>
      </c>
      <c r="BB8" s="27">
        <v>2980.5</v>
      </c>
      <c r="BC8" s="30">
        <v>26935.542666666664</v>
      </c>
      <c r="BD8" s="34">
        <v>6733.8856666666661</v>
      </c>
      <c r="BE8" s="33">
        <v>16448.271333333334</v>
      </c>
      <c r="BF8" s="33"/>
      <c r="BG8" s="27">
        <v>16448.271333333334</v>
      </c>
      <c r="BH8" s="16"/>
      <c r="BI8" s="16"/>
      <c r="BJ8" s="28">
        <v>7.6712328767123283</v>
      </c>
      <c r="BK8" s="29">
        <v>2.3287671232876717</v>
      </c>
      <c r="BL8" s="27">
        <v>2980.5</v>
      </c>
      <c r="BM8" s="30">
        <v>13467.771333333334</v>
      </c>
      <c r="BN8" s="34">
        <v>6733.8856666666661</v>
      </c>
      <c r="BO8" s="35">
        <v>9714.3856666666688</v>
      </c>
      <c r="BP8" s="36"/>
      <c r="BQ8" s="27">
        <v>9714.3856666666688</v>
      </c>
      <c r="BR8" s="16"/>
      <c r="BS8" s="16"/>
      <c r="BT8" s="28">
        <v>8.6712328767123292</v>
      </c>
      <c r="BU8" s="29">
        <v>1.3287671232876708</v>
      </c>
      <c r="BV8" s="27">
        <v>2980.5</v>
      </c>
      <c r="BW8" s="30">
        <v>6733.8856666666688</v>
      </c>
      <c r="BX8" s="34">
        <v>6733.8856666666661</v>
      </c>
      <c r="BY8" s="35">
        <v>2980.5000000000027</v>
      </c>
      <c r="CA8" s="35">
        <v>2980.5000000000027</v>
      </c>
      <c r="CB8" s="16"/>
      <c r="CC8" s="16"/>
      <c r="CD8" s="28">
        <v>9.6739726027397257</v>
      </c>
      <c r="CE8" s="29">
        <v>0.3260273972602743</v>
      </c>
      <c r="CF8" s="27">
        <v>2980.5</v>
      </c>
      <c r="CG8" s="30">
        <v>2.7284841053187847E-12</v>
      </c>
      <c r="CH8" s="31"/>
      <c r="CI8" s="35">
        <v>2980.5000000000027</v>
      </c>
      <c r="CK8" s="36">
        <v>0</v>
      </c>
      <c r="CL8" s="35">
        <v>2980.5000000000027</v>
      </c>
      <c r="CM8" s="16"/>
      <c r="CN8" s="16"/>
      <c r="CO8" s="28">
        <v>10.673972602739726</v>
      </c>
      <c r="CP8" s="29">
        <v>-0.6739726027397257</v>
      </c>
      <c r="CQ8" s="27">
        <v>2980.5</v>
      </c>
      <c r="CR8" s="34">
        <v>0</v>
      </c>
      <c r="CS8" s="34">
        <v>0</v>
      </c>
      <c r="CT8" s="35">
        <v>2980.5000000000027</v>
      </c>
      <c r="CV8" s="35">
        <v>0</v>
      </c>
      <c r="CW8" s="35">
        <v>2980.5000000000027</v>
      </c>
      <c r="CX8" s="16"/>
      <c r="CY8" s="16"/>
      <c r="CZ8" s="28">
        <v>12.673972602739726</v>
      </c>
      <c r="DA8" s="29">
        <v>-2.6739726027397257</v>
      </c>
      <c r="DB8" s="27">
        <v>2980.5</v>
      </c>
      <c r="DC8" s="34">
        <v>0</v>
      </c>
      <c r="DD8" s="34">
        <v>0</v>
      </c>
      <c r="DE8" s="35">
        <v>2980.5000000000027</v>
      </c>
      <c r="DG8" s="35">
        <v>59610</v>
      </c>
      <c r="DH8" s="35">
        <v>56629.500000000007</v>
      </c>
      <c r="DI8" s="35">
        <f t="shared" ref="DI8:DI71" si="0">DG8-DH8</f>
        <v>2980.4999999999927</v>
      </c>
      <c r="DJ8" s="132">
        <f t="shared" ref="DJ8:DJ71" si="1">DG8-DH8</f>
        <v>2980.4999999999927</v>
      </c>
      <c r="DK8" s="132">
        <f t="shared" ref="DK8:DK71" si="2">DI8-DJ8</f>
        <v>0</v>
      </c>
      <c r="DL8" s="132">
        <f t="shared" ref="DL8:DL71" si="3">DE8-DJ8</f>
        <v>1.0004441719502211E-11</v>
      </c>
    </row>
    <row r="9" spans="2:116" s="4" customFormat="1" ht="39" x14ac:dyDescent="0.25">
      <c r="B9" s="13" t="s">
        <v>4</v>
      </c>
      <c r="C9" s="14" t="s">
        <v>4</v>
      </c>
      <c r="D9" s="15" t="s">
        <v>101</v>
      </c>
      <c r="E9" s="15" t="s">
        <v>120</v>
      </c>
      <c r="F9" s="16" t="s">
        <v>121</v>
      </c>
      <c r="G9" s="11" t="s">
        <v>111</v>
      </c>
      <c r="H9" s="17">
        <v>40390</v>
      </c>
      <c r="I9" s="18" t="s">
        <v>418</v>
      </c>
      <c r="J9" s="19">
        <v>4</v>
      </c>
      <c r="K9" s="20">
        <v>10</v>
      </c>
      <c r="L9" s="21">
        <v>6</v>
      </c>
      <c r="M9" s="22">
        <v>28000</v>
      </c>
      <c r="N9" s="23">
        <v>7621.7999999999993</v>
      </c>
      <c r="O9" s="24">
        <v>20378.2</v>
      </c>
      <c r="P9" s="24"/>
      <c r="Q9" s="25">
        <v>6</v>
      </c>
      <c r="R9" s="26">
        <v>1400</v>
      </c>
      <c r="S9" s="25">
        <v>18978.2</v>
      </c>
      <c r="T9" s="25">
        <v>3163.0333333333333</v>
      </c>
      <c r="U9" s="25"/>
      <c r="V9" s="25">
        <v>0</v>
      </c>
      <c r="W9" s="25">
        <v>3163.0333333333333</v>
      </c>
      <c r="X9" s="25">
        <v>3163.0333333333333</v>
      </c>
      <c r="Y9" s="25">
        <v>0</v>
      </c>
      <c r="Z9" s="24">
        <v>20378.2</v>
      </c>
      <c r="AA9" s="27">
        <v>17215.166666666668</v>
      </c>
      <c r="AB9" s="16"/>
      <c r="AC9" s="27">
        <v>17215.166666666668</v>
      </c>
      <c r="AD9" s="16"/>
      <c r="AE9" s="16"/>
      <c r="AF9" s="28">
        <v>4.6684931506849319</v>
      </c>
      <c r="AG9" s="29">
        <v>5.3315068493150681</v>
      </c>
      <c r="AH9" s="27">
        <v>1400</v>
      </c>
      <c r="AI9" s="30">
        <v>18978.2</v>
      </c>
      <c r="AJ9" s="31">
        <v>3163.0333333333333</v>
      </c>
      <c r="AK9" s="32">
        <v>14052.133333333335</v>
      </c>
      <c r="AL9" s="16"/>
      <c r="AM9" s="27">
        <v>14052.133333333335</v>
      </c>
      <c r="AN9" s="16"/>
      <c r="AO9" s="16"/>
      <c r="AP9" s="28">
        <v>5.6712328767123283</v>
      </c>
      <c r="AQ9" s="29">
        <v>4.3287671232876717</v>
      </c>
      <c r="AR9" s="27">
        <v>1400</v>
      </c>
      <c r="AS9" s="30">
        <v>15815.166666666668</v>
      </c>
      <c r="AT9" s="31">
        <v>3163.0333333333333</v>
      </c>
      <c r="AU9" s="33">
        <v>10889.100000000002</v>
      </c>
      <c r="AW9" s="27">
        <v>10889.100000000002</v>
      </c>
      <c r="AX9" s="16"/>
      <c r="AY9" s="16"/>
      <c r="AZ9" s="28">
        <v>6.6712328767123283</v>
      </c>
      <c r="BA9" s="29">
        <v>3.3287671232876717</v>
      </c>
      <c r="BB9" s="27">
        <v>1400</v>
      </c>
      <c r="BC9" s="30">
        <v>12652.133333333335</v>
      </c>
      <c r="BD9" s="34">
        <v>3163.0333333333333</v>
      </c>
      <c r="BE9" s="33">
        <v>7726.0666666666693</v>
      </c>
      <c r="BF9" s="33"/>
      <c r="BG9" s="27">
        <v>7726.0666666666693</v>
      </c>
      <c r="BH9" s="16"/>
      <c r="BI9" s="16"/>
      <c r="BJ9" s="28">
        <v>7.6712328767123283</v>
      </c>
      <c r="BK9" s="29">
        <v>2.3287671232876717</v>
      </c>
      <c r="BL9" s="27">
        <v>1400</v>
      </c>
      <c r="BM9" s="30">
        <v>6326.0666666666693</v>
      </c>
      <c r="BN9" s="34">
        <v>3163.0333333333333</v>
      </c>
      <c r="BO9" s="35">
        <v>4563.0333333333365</v>
      </c>
      <c r="BP9" s="36"/>
      <c r="BQ9" s="27">
        <v>4563.0333333333365</v>
      </c>
      <c r="BR9" s="16"/>
      <c r="BS9" s="16"/>
      <c r="BT9" s="28">
        <v>8.6712328767123292</v>
      </c>
      <c r="BU9" s="29">
        <v>1.3287671232876708</v>
      </c>
      <c r="BV9" s="27">
        <v>1400</v>
      </c>
      <c r="BW9" s="30">
        <v>3163.0333333333365</v>
      </c>
      <c r="BX9" s="34">
        <v>3163.0333333333333</v>
      </c>
      <c r="BY9" s="35">
        <v>1400.0000000000032</v>
      </c>
      <c r="CA9" s="35">
        <v>1400.0000000000032</v>
      </c>
      <c r="CB9" s="16"/>
      <c r="CC9" s="16"/>
      <c r="CD9" s="28">
        <v>9.6739726027397257</v>
      </c>
      <c r="CE9" s="29">
        <v>0.3260273972602743</v>
      </c>
      <c r="CF9" s="27">
        <v>1400</v>
      </c>
      <c r="CG9" s="30">
        <v>3.1832314562052488E-12</v>
      </c>
      <c r="CH9" s="31"/>
      <c r="CI9" s="35">
        <v>1400.0000000000032</v>
      </c>
      <c r="CK9" s="36">
        <v>3.1832314562052488E-12</v>
      </c>
      <c r="CL9" s="35">
        <v>1400.0000000000032</v>
      </c>
      <c r="CM9" s="16"/>
      <c r="CN9" s="16"/>
      <c r="CO9" s="28">
        <v>10.673972602739726</v>
      </c>
      <c r="CP9" s="29">
        <v>-0.6739726027397257</v>
      </c>
      <c r="CQ9" s="27">
        <v>1400</v>
      </c>
      <c r="CR9" s="34">
        <v>0</v>
      </c>
      <c r="CS9" s="34">
        <v>0</v>
      </c>
      <c r="CT9" s="35">
        <v>1400.0000000000032</v>
      </c>
      <c r="CV9" s="35">
        <v>3.1832314562052488E-12</v>
      </c>
      <c r="CW9" s="35">
        <v>1400.0000000000032</v>
      </c>
      <c r="CX9" s="16"/>
      <c r="CY9" s="16"/>
      <c r="CZ9" s="28">
        <v>12.673972602739726</v>
      </c>
      <c r="DA9" s="29">
        <v>-2.6739726027397257</v>
      </c>
      <c r="DB9" s="27">
        <v>1400</v>
      </c>
      <c r="DC9" s="34">
        <v>0</v>
      </c>
      <c r="DD9" s="34">
        <v>0</v>
      </c>
      <c r="DE9" s="35">
        <v>1400.0000000000032</v>
      </c>
      <c r="DG9" s="35">
        <v>28000</v>
      </c>
      <c r="DH9" s="35">
        <v>26599.999999999996</v>
      </c>
      <c r="DI9" s="35">
        <f t="shared" si="0"/>
        <v>1400.0000000000036</v>
      </c>
      <c r="DJ9" s="132">
        <f t="shared" si="1"/>
        <v>1400.0000000000036</v>
      </c>
      <c r="DK9" s="132">
        <f t="shared" si="2"/>
        <v>0</v>
      </c>
      <c r="DL9" s="132">
        <f t="shared" si="3"/>
        <v>0</v>
      </c>
    </row>
    <row r="10" spans="2:116" s="4" customFormat="1" ht="39" x14ac:dyDescent="0.25">
      <c r="B10" s="13" t="s">
        <v>4</v>
      </c>
      <c r="C10" s="14" t="s">
        <v>4</v>
      </c>
      <c r="D10" s="15" t="s">
        <v>101</v>
      </c>
      <c r="E10" s="15" t="s">
        <v>122</v>
      </c>
      <c r="F10" s="16" t="s">
        <v>115</v>
      </c>
      <c r="G10" s="11" t="s">
        <v>111</v>
      </c>
      <c r="H10" s="17">
        <v>40486</v>
      </c>
      <c r="I10" s="18" t="s">
        <v>418</v>
      </c>
      <c r="J10" s="19">
        <v>4</v>
      </c>
      <c r="K10" s="20">
        <v>10</v>
      </c>
      <c r="L10" s="21">
        <v>6</v>
      </c>
      <c r="M10" s="22">
        <v>14949</v>
      </c>
      <c r="N10" s="23">
        <v>3698.6473999999998</v>
      </c>
      <c r="O10" s="24">
        <v>11250.3526</v>
      </c>
      <c r="P10" s="24"/>
      <c r="Q10" s="25">
        <v>6</v>
      </c>
      <c r="R10" s="26">
        <v>747.45</v>
      </c>
      <c r="S10" s="25">
        <v>10502.902599999999</v>
      </c>
      <c r="T10" s="25">
        <v>1750.4837666666665</v>
      </c>
      <c r="U10" s="25"/>
      <c r="V10" s="25">
        <v>0</v>
      </c>
      <c r="W10" s="25">
        <v>1750.4837666666665</v>
      </c>
      <c r="X10" s="25">
        <v>1750.4837666666665</v>
      </c>
      <c r="Y10" s="25">
        <v>0</v>
      </c>
      <c r="Z10" s="24">
        <v>11250.3526</v>
      </c>
      <c r="AA10" s="27">
        <v>9499.8688333333339</v>
      </c>
      <c r="AB10" s="16"/>
      <c r="AC10" s="27">
        <v>9499.8688333333339</v>
      </c>
      <c r="AD10" s="16"/>
      <c r="AE10" s="16"/>
      <c r="AF10" s="28">
        <v>4.4054794520547942</v>
      </c>
      <c r="AG10" s="29">
        <v>5.5945205479452058</v>
      </c>
      <c r="AH10" s="27">
        <v>747.45</v>
      </c>
      <c r="AI10" s="30">
        <v>10502.902599999999</v>
      </c>
      <c r="AJ10" s="31">
        <v>1750.4837666666665</v>
      </c>
      <c r="AK10" s="32">
        <v>7749.3850666666676</v>
      </c>
      <c r="AL10" s="16"/>
      <c r="AM10" s="27">
        <v>7749.3850666666676</v>
      </c>
      <c r="AN10" s="16"/>
      <c r="AO10" s="16"/>
      <c r="AP10" s="28">
        <v>5.4082191780821915</v>
      </c>
      <c r="AQ10" s="29">
        <v>4.5917808219178085</v>
      </c>
      <c r="AR10" s="27">
        <v>747.45</v>
      </c>
      <c r="AS10" s="30">
        <v>8752.4188333333332</v>
      </c>
      <c r="AT10" s="31">
        <v>1750.4837666666665</v>
      </c>
      <c r="AU10" s="33">
        <v>5998.9013000000014</v>
      </c>
      <c r="AW10" s="27">
        <v>5998.9013000000014</v>
      </c>
      <c r="AX10" s="16"/>
      <c r="AY10" s="16"/>
      <c r="AZ10" s="28">
        <v>6.4082191780821915</v>
      </c>
      <c r="BA10" s="29">
        <v>3.5917808219178085</v>
      </c>
      <c r="BB10" s="27">
        <v>747.45</v>
      </c>
      <c r="BC10" s="30">
        <v>7001.9350666666678</v>
      </c>
      <c r="BD10" s="34">
        <v>1750.4837666666665</v>
      </c>
      <c r="BE10" s="33">
        <v>4248.4175333333351</v>
      </c>
      <c r="BF10" s="33"/>
      <c r="BG10" s="27">
        <v>4248.4175333333351</v>
      </c>
      <c r="BH10" s="16"/>
      <c r="BI10" s="16"/>
      <c r="BJ10" s="28">
        <v>7.4082191780821915</v>
      </c>
      <c r="BK10" s="29">
        <v>2.5917808219178085</v>
      </c>
      <c r="BL10" s="27">
        <v>747.45</v>
      </c>
      <c r="BM10" s="30">
        <v>3500.9675333333353</v>
      </c>
      <c r="BN10" s="34">
        <v>1750.4837666666665</v>
      </c>
      <c r="BO10" s="35">
        <v>2497.9337666666688</v>
      </c>
      <c r="BP10" s="36"/>
      <c r="BQ10" s="27">
        <v>2497.9337666666688</v>
      </c>
      <c r="BR10" s="16"/>
      <c r="BS10" s="16"/>
      <c r="BT10" s="28">
        <v>8.4082191780821915</v>
      </c>
      <c r="BU10" s="29">
        <v>1.5917808219178085</v>
      </c>
      <c r="BV10" s="27">
        <v>747.45</v>
      </c>
      <c r="BW10" s="30">
        <v>1750.4837666666688</v>
      </c>
      <c r="BX10" s="34">
        <v>1750.4837666666665</v>
      </c>
      <c r="BY10" s="35">
        <v>747.45000000000232</v>
      </c>
      <c r="CA10" s="35">
        <v>747.45000000000232</v>
      </c>
      <c r="CB10" s="16"/>
      <c r="CC10" s="16"/>
      <c r="CD10" s="28">
        <v>9.4109589041095898</v>
      </c>
      <c r="CE10" s="29">
        <v>0.5890410958904102</v>
      </c>
      <c r="CF10" s="27">
        <v>747.45</v>
      </c>
      <c r="CG10" s="30">
        <v>2.2737367544323206E-12</v>
      </c>
      <c r="CH10" s="31"/>
      <c r="CI10" s="35">
        <v>747.45000000000232</v>
      </c>
      <c r="CK10" s="36">
        <v>2.2737367544323206E-12</v>
      </c>
      <c r="CL10" s="35">
        <v>747.45000000000232</v>
      </c>
      <c r="CM10" s="16"/>
      <c r="CN10" s="16"/>
      <c r="CO10" s="28">
        <v>10.41095890410959</v>
      </c>
      <c r="CP10" s="29">
        <v>-0.4109589041095898</v>
      </c>
      <c r="CQ10" s="27">
        <v>747.45</v>
      </c>
      <c r="CR10" s="34">
        <v>0</v>
      </c>
      <c r="CS10" s="34">
        <v>0</v>
      </c>
      <c r="CT10" s="35">
        <v>747.45000000000232</v>
      </c>
      <c r="CV10" s="35">
        <v>2.2737367544323206E-12</v>
      </c>
      <c r="CW10" s="35">
        <v>747.45000000000232</v>
      </c>
      <c r="CX10" s="16"/>
      <c r="CY10" s="16"/>
      <c r="CZ10" s="28">
        <v>12.41095890410959</v>
      </c>
      <c r="DA10" s="29">
        <v>-2.4109589041095898</v>
      </c>
      <c r="DB10" s="27">
        <v>747.45</v>
      </c>
      <c r="DC10" s="34">
        <v>0</v>
      </c>
      <c r="DD10" s="34">
        <v>0</v>
      </c>
      <c r="DE10" s="35">
        <v>747.45000000000232</v>
      </c>
      <c r="DG10" s="35">
        <v>14949</v>
      </c>
      <c r="DH10" s="35">
        <v>14201.549999999997</v>
      </c>
      <c r="DI10" s="35">
        <f t="shared" si="0"/>
        <v>747.45000000000255</v>
      </c>
      <c r="DJ10" s="132">
        <f t="shared" si="1"/>
        <v>747.45000000000255</v>
      </c>
      <c r="DK10" s="132">
        <f t="shared" si="2"/>
        <v>0</v>
      </c>
      <c r="DL10" s="132">
        <f t="shared" si="3"/>
        <v>0</v>
      </c>
    </row>
    <row r="11" spans="2:116" s="4" customFormat="1" ht="39" x14ac:dyDescent="0.25">
      <c r="B11" s="13" t="s">
        <v>4</v>
      </c>
      <c r="C11" s="14" t="s">
        <v>4</v>
      </c>
      <c r="D11" s="15" t="s">
        <v>101</v>
      </c>
      <c r="E11" s="15" t="s">
        <v>123</v>
      </c>
      <c r="F11" s="16" t="s">
        <v>124</v>
      </c>
      <c r="G11" s="11" t="s">
        <v>111</v>
      </c>
      <c r="H11" s="17">
        <v>40482</v>
      </c>
      <c r="I11" s="18" t="s">
        <v>418</v>
      </c>
      <c r="J11" s="19">
        <v>4</v>
      </c>
      <c r="K11" s="20">
        <v>10</v>
      </c>
      <c r="L11" s="21">
        <v>6</v>
      </c>
      <c r="M11" s="22">
        <v>150000</v>
      </c>
      <c r="N11" s="23">
        <v>38025</v>
      </c>
      <c r="O11" s="24">
        <v>111975</v>
      </c>
      <c r="P11" s="24"/>
      <c r="Q11" s="25">
        <v>6</v>
      </c>
      <c r="R11" s="26">
        <v>7500</v>
      </c>
      <c r="S11" s="25">
        <v>104475</v>
      </c>
      <c r="T11" s="25">
        <v>17412.5</v>
      </c>
      <c r="U11" s="25"/>
      <c r="V11" s="25">
        <v>0</v>
      </c>
      <c r="W11" s="25">
        <v>17412.5</v>
      </c>
      <c r="X11" s="25">
        <v>17412.5</v>
      </c>
      <c r="Y11" s="25">
        <v>0</v>
      </c>
      <c r="Z11" s="24">
        <v>111975</v>
      </c>
      <c r="AA11" s="27">
        <v>94562.5</v>
      </c>
      <c r="AB11" s="16"/>
      <c r="AC11" s="27">
        <v>94562.5</v>
      </c>
      <c r="AD11" s="16"/>
      <c r="AE11" s="16"/>
      <c r="AF11" s="28">
        <v>4.4164383561643836</v>
      </c>
      <c r="AG11" s="29">
        <v>5.5835616438356164</v>
      </c>
      <c r="AH11" s="27">
        <v>7500</v>
      </c>
      <c r="AI11" s="30">
        <v>104475</v>
      </c>
      <c r="AJ11" s="31">
        <v>17412.5</v>
      </c>
      <c r="AK11" s="32">
        <v>77150</v>
      </c>
      <c r="AL11" s="16"/>
      <c r="AM11" s="27">
        <v>77150</v>
      </c>
      <c r="AN11" s="16"/>
      <c r="AO11" s="16"/>
      <c r="AP11" s="28">
        <v>5.419178082191781</v>
      </c>
      <c r="AQ11" s="29">
        <v>4.580821917808219</v>
      </c>
      <c r="AR11" s="27">
        <v>7500</v>
      </c>
      <c r="AS11" s="30">
        <v>87062.5</v>
      </c>
      <c r="AT11" s="31">
        <v>17412.5</v>
      </c>
      <c r="AU11" s="33">
        <v>59737.5</v>
      </c>
      <c r="AW11" s="27">
        <v>59737.5</v>
      </c>
      <c r="AX11" s="16"/>
      <c r="AY11" s="16"/>
      <c r="AZ11" s="28">
        <v>6.419178082191781</v>
      </c>
      <c r="BA11" s="29">
        <v>3.580821917808219</v>
      </c>
      <c r="BB11" s="27">
        <v>7500</v>
      </c>
      <c r="BC11" s="30">
        <v>69650</v>
      </c>
      <c r="BD11" s="34">
        <v>17412.5</v>
      </c>
      <c r="BE11" s="33">
        <v>42325</v>
      </c>
      <c r="BF11" s="33"/>
      <c r="BG11" s="27">
        <v>42325</v>
      </c>
      <c r="BH11" s="16"/>
      <c r="BI11" s="16"/>
      <c r="BJ11" s="28">
        <v>7.419178082191781</v>
      </c>
      <c r="BK11" s="29">
        <v>2.580821917808219</v>
      </c>
      <c r="BL11" s="27">
        <v>7500</v>
      </c>
      <c r="BM11" s="30">
        <v>34825</v>
      </c>
      <c r="BN11" s="34">
        <v>17412.5</v>
      </c>
      <c r="BO11" s="35">
        <v>24912.5</v>
      </c>
      <c r="BP11" s="36"/>
      <c r="BQ11" s="27">
        <v>24912.5</v>
      </c>
      <c r="BR11" s="16"/>
      <c r="BS11" s="16"/>
      <c r="BT11" s="28">
        <v>8.419178082191781</v>
      </c>
      <c r="BU11" s="29">
        <v>1.580821917808219</v>
      </c>
      <c r="BV11" s="27">
        <v>7500</v>
      </c>
      <c r="BW11" s="30">
        <v>17412.5</v>
      </c>
      <c r="BX11" s="34">
        <v>17412.5</v>
      </c>
      <c r="BY11" s="35">
        <v>7500</v>
      </c>
      <c r="CA11" s="35">
        <v>7500</v>
      </c>
      <c r="CB11" s="16"/>
      <c r="CC11" s="16"/>
      <c r="CD11" s="28">
        <v>9.4219178082191775</v>
      </c>
      <c r="CE11" s="29">
        <v>0.57808219178082254</v>
      </c>
      <c r="CF11" s="27">
        <v>7500</v>
      </c>
      <c r="CG11" s="30">
        <v>0</v>
      </c>
      <c r="CH11" s="31"/>
      <c r="CI11" s="35">
        <v>7500</v>
      </c>
      <c r="CK11" s="36">
        <v>0</v>
      </c>
      <c r="CL11" s="35">
        <v>7500</v>
      </c>
      <c r="CM11" s="16"/>
      <c r="CN11" s="16"/>
      <c r="CO11" s="28">
        <v>10.421917808219177</v>
      </c>
      <c r="CP11" s="29">
        <v>-0.42191780821917746</v>
      </c>
      <c r="CQ11" s="27">
        <v>7500</v>
      </c>
      <c r="CR11" s="34">
        <v>0</v>
      </c>
      <c r="CS11" s="34">
        <v>0</v>
      </c>
      <c r="CT11" s="35">
        <v>7500</v>
      </c>
      <c r="CV11" s="35">
        <v>0</v>
      </c>
      <c r="CW11" s="35">
        <v>7500</v>
      </c>
      <c r="CX11" s="16"/>
      <c r="CY11" s="16"/>
      <c r="CZ11" s="28">
        <v>12.421917808219177</v>
      </c>
      <c r="DA11" s="29">
        <v>-2.4219178082191775</v>
      </c>
      <c r="DB11" s="27">
        <v>7500</v>
      </c>
      <c r="DC11" s="34">
        <v>0</v>
      </c>
      <c r="DD11" s="34">
        <v>0</v>
      </c>
      <c r="DE11" s="35">
        <v>7500</v>
      </c>
      <c r="DG11" s="35">
        <v>150000</v>
      </c>
      <c r="DH11" s="35">
        <v>142500</v>
      </c>
      <c r="DI11" s="35">
        <f t="shared" si="0"/>
        <v>7500</v>
      </c>
      <c r="DJ11" s="132">
        <f t="shared" si="1"/>
        <v>7500</v>
      </c>
      <c r="DK11" s="132">
        <f t="shared" si="2"/>
        <v>0</v>
      </c>
      <c r="DL11" s="132">
        <f t="shared" si="3"/>
        <v>0</v>
      </c>
    </row>
    <row r="12" spans="2:116" s="4" customFormat="1" ht="39" x14ac:dyDescent="0.25">
      <c r="B12" s="13" t="s">
        <v>4</v>
      </c>
      <c r="C12" s="14" t="s">
        <v>4</v>
      </c>
      <c r="D12" s="15" t="s">
        <v>101</v>
      </c>
      <c r="E12" s="15" t="s">
        <v>127</v>
      </c>
      <c r="F12" s="16" t="s">
        <v>128</v>
      </c>
      <c r="G12" s="11" t="s">
        <v>111</v>
      </c>
      <c r="H12" s="17">
        <v>40602</v>
      </c>
      <c r="I12" s="18" t="s">
        <v>418</v>
      </c>
      <c r="J12" s="19">
        <v>3</v>
      </c>
      <c r="K12" s="20">
        <v>10</v>
      </c>
      <c r="L12" s="21">
        <v>7</v>
      </c>
      <c r="M12" s="22">
        <v>630000</v>
      </c>
      <c r="N12" s="23">
        <v>144336</v>
      </c>
      <c r="O12" s="24">
        <v>485664</v>
      </c>
      <c r="P12" s="24"/>
      <c r="Q12" s="25">
        <v>7</v>
      </c>
      <c r="R12" s="26">
        <v>31500</v>
      </c>
      <c r="S12" s="25">
        <v>454164</v>
      </c>
      <c r="T12" s="25">
        <v>64880.571428571428</v>
      </c>
      <c r="U12" s="25"/>
      <c r="V12" s="25">
        <v>0</v>
      </c>
      <c r="W12" s="25">
        <v>64880.571428571428</v>
      </c>
      <c r="X12" s="25">
        <v>64880.571428571428</v>
      </c>
      <c r="Y12" s="25">
        <v>0</v>
      </c>
      <c r="Z12" s="24">
        <v>485664</v>
      </c>
      <c r="AA12" s="27">
        <v>420783.42857142858</v>
      </c>
      <c r="AB12" s="16"/>
      <c r="AC12" s="27">
        <v>420783.42857142858</v>
      </c>
      <c r="AD12" s="16"/>
      <c r="AE12" s="16"/>
      <c r="AF12" s="28">
        <v>4.087671232876712</v>
      </c>
      <c r="AG12" s="29">
        <v>5.912328767123288</v>
      </c>
      <c r="AH12" s="27">
        <v>31500</v>
      </c>
      <c r="AI12" s="30">
        <v>454164</v>
      </c>
      <c r="AJ12" s="31">
        <v>64880.571428571428</v>
      </c>
      <c r="AK12" s="32">
        <v>355902.85714285716</v>
      </c>
      <c r="AL12" s="16"/>
      <c r="AM12" s="27">
        <v>355902.85714285716</v>
      </c>
      <c r="AN12" s="16"/>
      <c r="AO12" s="16"/>
      <c r="AP12" s="28">
        <v>5.0904109589041093</v>
      </c>
      <c r="AQ12" s="29">
        <v>4.9095890410958907</v>
      </c>
      <c r="AR12" s="27">
        <v>31500</v>
      </c>
      <c r="AS12" s="30">
        <v>389283.42857142858</v>
      </c>
      <c r="AT12" s="31">
        <v>64880.571428571428</v>
      </c>
      <c r="AU12" s="33">
        <v>291022.28571428574</v>
      </c>
      <c r="AW12" s="27">
        <v>291022.28571428574</v>
      </c>
      <c r="AX12" s="16"/>
      <c r="AY12" s="16"/>
      <c r="AZ12" s="28">
        <v>6.0904109589041093</v>
      </c>
      <c r="BA12" s="29">
        <v>3.9095890410958907</v>
      </c>
      <c r="BB12" s="27">
        <v>31500</v>
      </c>
      <c r="BC12" s="30">
        <v>324402.85714285716</v>
      </c>
      <c r="BD12" s="34">
        <v>64880.571428571428</v>
      </c>
      <c r="BE12" s="33">
        <v>226141.71428571432</v>
      </c>
      <c r="BF12" s="33"/>
      <c r="BG12" s="27">
        <v>226141.71428571432</v>
      </c>
      <c r="BH12" s="16"/>
      <c r="BI12" s="16"/>
      <c r="BJ12" s="28">
        <v>7.0904109589041093</v>
      </c>
      <c r="BK12" s="29">
        <v>2.9095890410958907</v>
      </c>
      <c r="BL12" s="27">
        <v>31500</v>
      </c>
      <c r="BM12" s="30">
        <v>194641.71428571432</v>
      </c>
      <c r="BN12" s="34">
        <v>64880.571428571428</v>
      </c>
      <c r="BO12" s="35">
        <v>161261.1428571429</v>
      </c>
      <c r="BP12" s="36"/>
      <c r="BQ12" s="27">
        <v>161261.1428571429</v>
      </c>
      <c r="BR12" s="16"/>
      <c r="BS12" s="16"/>
      <c r="BT12" s="28">
        <v>8.0904109589041102</v>
      </c>
      <c r="BU12" s="29">
        <v>1.9095890410958898</v>
      </c>
      <c r="BV12" s="27">
        <v>31500</v>
      </c>
      <c r="BW12" s="30">
        <v>129761.1428571429</v>
      </c>
      <c r="BX12" s="34">
        <v>64880.571428571428</v>
      </c>
      <c r="BY12" s="35">
        <v>96380.571428571478</v>
      </c>
      <c r="CA12" s="35">
        <v>96380.571428571478</v>
      </c>
      <c r="CB12" s="16"/>
      <c r="CC12" s="16"/>
      <c r="CD12" s="28">
        <v>9.0931506849315067</v>
      </c>
      <c r="CE12" s="29">
        <v>0.90684931506849331</v>
      </c>
      <c r="CF12" s="27">
        <v>31500</v>
      </c>
      <c r="CG12" s="30">
        <v>64880.571428571478</v>
      </c>
      <c r="CH12" s="31">
        <v>64880.571428571428</v>
      </c>
      <c r="CI12" s="35">
        <v>31500.000000000051</v>
      </c>
      <c r="CK12" s="36">
        <v>5.0931703299283981E-11</v>
      </c>
      <c r="CL12" s="35">
        <v>31500.000000000051</v>
      </c>
      <c r="CM12" s="16"/>
      <c r="CN12" s="16"/>
      <c r="CO12" s="28">
        <v>10.093150684931507</v>
      </c>
      <c r="CP12" s="29">
        <v>-9.3150684931506689E-2</v>
      </c>
      <c r="CQ12" s="27">
        <v>31500</v>
      </c>
      <c r="CR12" s="34">
        <v>0</v>
      </c>
      <c r="CS12" s="34">
        <v>0</v>
      </c>
      <c r="CT12" s="35">
        <v>31500.000000000051</v>
      </c>
      <c r="CV12" s="35">
        <v>5.0931703299283981E-11</v>
      </c>
      <c r="CW12" s="35">
        <v>31500.000000000051</v>
      </c>
      <c r="CX12" s="16"/>
      <c r="CY12" s="16"/>
      <c r="CZ12" s="28">
        <v>12.093150684931507</v>
      </c>
      <c r="DA12" s="29">
        <v>-2.0931506849315067</v>
      </c>
      <c r="DB12" s="27">
        <v>31500</v>
      </c>
      <c r="DC12" s="34">
        <v>0</v>
      </c>
      <c r="DD12" s="34">
        <v>0</v>
      </c>
      <c r="DE12" s="35">
        <v>31500.000000000051</v>
      </c>
      <c r="DG12" s="35">
        <v>630000</v>
      </c>
      <c r="DH12" s="35">
        <v>598500</v>
      </c>
      <c r="DI12" s="35">
        <f t="shared" si="0"/>
        <v>31500</v>
      </c>
      <c r="DJ12" s="132">
        <f t="shared" si="1"/>
        <v>31500</v>
      </c>
      <c r="DK12" s="132">
        <f t="shared" si="2"/>
        <v>0</v>
      </c>
      <c r="DL12" s="132">
        <f t="shared" si="3"/>
        <v>5.0931703299283981E-11</v>
      </c>
    </row>
    <row r="13" spans="2:116" s="4" customFormat="1" ht="39" x14ac:dyDescent="0.25">
      <c r="B13" s="13" t="s">
        <v>4</v>
      </c>
      <c r="C13" s="14" t="s">
        <v>4</v>
      </c>
      <c r="D13" s="15" t="s">
        <v>101</v>
      </c>
      <c r="E13" s="15" t="s">
        <v>129</v>
      </c>
      <c r="F13" s="16" t="s">
        <v>130</v>
      </c>
      <c r="G13" s="11" t="s">
        <v>111</v>
      </c>
      <c r="H13" s="17">
        <v>40694</v>
      </c>
      <c r="I13" s="18" t="s">
        <v>419</v>
      </c>
      <c r="J13" s="19">
        <v>3</v>
      </c>
      <c r="K13" s="20">
        <v>10</v>
      </c>
      <c r="L13" s="21">
        <v>7</v>
      </c>
      <c r="M13" s="22">
        <v>6018</v>
      </c>
      <c r="N13" s="23">
        <v>1267.0711999999999</v>
      </c>
      <c r="O13" s="24">
        <v>4750.9287999999997</v>
      </c>
      <c r="P13" s="24"/>
      <c r="Q13" s="25">
        <v>7</v>
      </c>
      <c r="R13" s="26">
        <v>300.90000000000003</v>
      </c>
      <c r="S13" s="25">
        <v>4450.0288</v>
      </c>
      <c r="T13" s="25">
        <v>635.71839999999997</v>
      </c>
      <c r="U13" s="25"/>
      <c r="V13" s="25">
        <v>0</v>
      </c>
      <c r="W13" s="25">
        <v>635.71839999999997</v>
      </c>
      <c r="X13" s="25">
        <v>635.71839999999997</v>
      </c>
      <c r="Y13" s="25">
        <v>0</v>
      </c>
      <c r="Z13" s="24">
        <v>4750.9287999999997</v>
      </c>
      <c r="AA13" s="27">
        <v>4115.2103999999999</v>
      </c>
      <c r="AB13" s="16"/>
      <c r="AC13" s="27">
        <v>4115.2103999999999</v>
      </c>
      <c r="AD13" s="16"/>
      <c r="AE13" s="16"/>
      <c r="AF13" s="28">
        <v>3.8356164383561642</v>
      </c>
      <c r="AG13" s="29">
        <v>6.1643835616438363</v>
      </c>
      <c r="AH13" s="27">
        <v>300.90000000000003</v>
      </c>
      <c r="AI13" s="30">
        <v>4450.0288</v>
      </c>
      <c r="AJ13" s="31">
        <v>635.71839999999997</v>
      </c>
      <c r="AK13" s="32">
        <v>3479.4920000000002</v>
      </c>
      <c r="AL13" s="16"/>
      <c r="AM13" s="27">
        <v>3479.4920000000002</v>
      </c>
      <c r="AN13" s="16"/>
      <c r="AO13" s="16"/>
      <c r="AP13" s="28">
        <v>4.838356164383562</v>
      </c>
      <c r="AQ13" s="29">
        <v>5.161643835616438</v>
      </c>
      <c r="AR13" s="27">
        <v>300.90000000000003</v>
      </c>
      <c r="AS13" s="30">
        <v>3814.3103999999998</v>
      </c>
      <c r="AT13" s="31">
        <v>635.71839999999997</v>
      </c>
      <c r="AU13" s="33">
        <v>2843.7736000000004</v>
      </c>
      <c r="AW13" s="27">
        <v>2843.7736000000004</v>
      </c>
      <c r="AX13" s="16"/>
      <c r="AY13" s="16"/>
      <c r="AZ13" s="28">
        <v>5.838356164383562</v>
      </c>
      <c r="BA13" s="29">
        <v>4.161643835616438</v>
      </c>
      <c r="BB13" s="27">
        <v>300.90000000000003</v>
      </c>
      <c r="BC13" s="30">
        <v>3178.5920000000001</v>
      </c>
      <c r="BD13" s="34">
        <v>635.71839999999997</v>
      </c>
      <c r="BE13" s="33">
        <v>2208.0552000000007</v>
      </c>
      <c r="BF13" s="33"/>
      <c r="BG13" s="27">
        <v>2208.0552000000007</v>
      </c>
      <c r="BH13" s="16"/>
      <c r="BI13" s="16"/>
      <c r="BJ13" s="28">
        <v>6.838356164383562</v>
      </c>
      <c r="BK13" s="29">
        <v>3.161643835616438</v>
      </c>
      <c r="BL13" s="27">
        <v>300.90000000000003</v>
      </c>
      <c r="BM13" s="30">
        <v>1907.1552000000006</v>
      </c>
      <c r="BN13" s="34">
        <v>635.71839999999997</v>
      </c>
      <c r="BO13" s="35">
        <v>1572.3368000000007</v>
      </c>
      <c r="BP13" s="36"/>
      <c r="BQ13" s="27">
        <v>1572.3368000000007</v>
      </c>
      <c r="BR13" s="16"/>
      <c r="BS13" s="16"/>
      <c r="BT13" s="28">
        <v>7.838356164383562</v>
      </c>
      <c r="BU13" s="29">
        <v>2.161643835616438</v>
      </c>
      <c r="BV13" s="27">
        <v>300.90000000000003</v>
      </c>
      <c r="BW13" s="30">
        <v>1271.4368000000006</v>
      </c>
      <c r="BX13" s="34">
        <v>635.71839999999997</v>
      </c>
      <c r="BY13" s="35">
        <v>936.61840000000075</v>
      </c>
      <c r="CA13" s="35">
        <v>936.61840000000075</v>
      </c>
      <c r="CB13" s="16"/>
      <c r="CC13" s="16"/>
      <c r="CD13" s="28">
        <v>8.8410958904109584</v>
      </c>
      <c r="CE13" s="29">
        <v>1.1589041095890416</v>
      </c>
      <c r="CF13" s="27">
        <v>300.90000000000003</v>
      </c>
      <c r="CG13" s="30">
        <v>635.71840000000066</v>
      </c>
      <c r="CH13" s="31">
        <v>635.71839999999997</v>
      </c>
      <c r="CI13" s="35">
        <v>300.90000000000077</v>
      </c>
      <c r="CK13" s="36">
        <v>7.3896444519050419E-13</v>
      </c>
      <c r="CL13" s="35">
        <v>300.90000000000077</v>
      </c>
      <c r="CM13" s="16"/>
      <c r="CN13" s="16"/>
      <c r="CO13" s="28">
        <v>9.8410958904109584</v>
      </c>
      <c r="CP13" s="29">
        <v>0.15890410958904155</v>
      </c>
      <c r="CQ13" s="27">
        <v>300.90000000000003</v>
      </c>
      <c r="CR13" s="34">
        <v>7.3896444519050419E-13</v>
      </c>
      <c r="CS13" s="34">
        <v>0</v>
      </c>
      <c r="CT13" s="35">
        <v>300.90000000000077</v>
      </c>
      <c r="CV13" s="35">
        <v>7.3896444519050419E-13</v>
      </c>
      <c r="CW13" s="35">
        <v>300.90000000000077</v>
      </c>
      <c r="CX13" s="16"/>
      <c r="CY13" s="16"/>
      <c r="CZ13" s="28">
        <v>11.841095890410958</v>
      </c>
      <c r="DA13" s="29">
        <v>-1.8410958904109584</v>
      </c>
      <c r="DB13" s="27">
        <v>300.90000000000003</v>
      </c>
      <c r="DC13" s="34">
        <v>0</v>
      </c>
      <c r="DD13" s="34">
        <v>0</v>
      </c>
      <c r="DE13" s="35">
        <v>300.90000000000077</v>
      </c>
      <c r="DG13" s="35">
        <v>6018</v>
      </c>
      <c r="DH13" s="35">
        <v>5717.0999999999985</v>
      </c>
      <c r="DI13" s="35">
        <f t="shared" si="0"/>
        <v>300.90000000000146</v>
      </c>
      <c r="DJ13" s="132">
        <f t="shared" si="1"/>
        <v>300.90000000000146</v>
      </c>
      <c r="DK13" s="132">
        <f t="shared" si="2"/>
        <v>0</v>
      </c>
      <c r="DL13" s="132">
        <f t="shared" si="3"/>
        <v>-6.8212102632969618E-13</v>
      </c>
    </row>
    <row r="14" spans="2:116" s="4" customFormat="1" ht="39" x14ac:dyDescent="0.25">
      <c r="B14" s="13" t="s">
        <v>4</v>
      </c>
      <c r="C14" s="14" t="s">
        <v>4</v>
      </c>
      <c r="D14" s="15" t="s">
        <v>101</v>
      </c>
      <c r="E14" s="15" t="s">
        <v>131</v>
      </c>
      <c r="F14" s="16" t="s">
        <v>130</v>
      </c>
      <c r="G14" s="11" t="s">
        <v>111</v>
      </c>
      <c r="H14" s="17">
        <v>40724</v>
      </c>
      <c r="I14" s="18" t="s">
        <v>419</v>
      </c>
      <c r="J14" s="19">
        <v>3</v>
      </c>
      <c r="K14" s="20">
        <v>10</v>
      </c>
      <c r="L14" s="21">
        <v>7</v>
      </c>
      <c r="M14" s="22">
        <v>9090</v>
      </c>
      <c r="N14" s="23">
        <v>1777.9560000000001</v>
      </c>
      <c r="O14" s="24">
        <v>7312.0439999999999</v>
      </c>
      <c r="P14" s="24"/>
      <c r="Q14" s="25">
        <v>7</v>
      </c>
      <c r="R14" s="26">
        <v>454.5</v>
      </c>
      <c r="S14" s="25">
        <v>6857.5439999999999</v>
      </c>
      <c r="T14" s="25">
        <v>979.64914285714281</v>
      </c>
      <c r="U14" s="25"/>
      <c r="V14" s="25">
        <v>0</v>
      </c>
      <c r="W14" s="25">
        <v>979.64914285714281</v>
      </c>
      <c r="X14" s="25">
        <v>979.64914285714281</v>
      </c>
      <c r="Y14" s="25">
        <v>0</v>
      </c>
      <c r="Z14" s="24">
        <v>7312.0439999999999</v>
      </c>
      <c r="AA14" s="27">
        <v>6332.3948571428573</v>
      </c>
      <c r="AB14" s="16"/>
      <c r="AC14" s="27">
        <v>6332.3948571428573</v>
      </c>
      <c r="AD14" s="16"/>
      <c r="AE14" s="16"/>
      <c r="AF14" s="28">
        <v>3.7534246575342465</v>
      </c>
      <c r="AG14" s="29">
        <v>6.2465753424657535</v>
      </c>
      <c r="AH14" s="27">
        <v>454.5</v>
      </c>
      <c r="AI14" s="30">
        <v>6857.5439999999999</v>
      </c>
      <c r="AJ14" s="31">
        <v>979.64914285714281</v>
      </c>
      <c r="AK14" s="32">
        <v>5352.7457142857147</v>
      </c>
      <c r="AL14" s="16"/>
      <c r="AM14" s="27">
        <v>5352.7457142857147</v>
      </c>
      <c r="AN14" s="16"/>
      <c r="AO14" s="16"/>
      <c r="AP14" s="28">
        <v>4.7561643835616438</v>
      </c>
      <c r="AQ14" s="29">
        <v>5.2438356164383562</v>
      </c>
      <c r="AR14" s="27">
        <v>454.5</v>
      </c>
      <c r="AS14" s="30">
        <v>5877.8948571428573</v>
      </c>
      <c r="AT14" s="31">
        <v>979.64914285714281</v>
      </c>
      <c r="AU14" s="33">
        <v>4373.0965714285721</v>
      </c>
      <c r="AW14" s="27">
        <v>4373.0965714285721</v>
      </c>
      <c r="AX14" s="16"/>
      <c r="AY14" s="16"/>
      <c r="AZ14" s="28">
        <v>5.7561643835616438</v>
      </c>
      <c r="BA14" s="29">
        <v>4.2438356164383562</v>
      </c>
      <c r="BB14" s="27">
        <v>454.5</v>
      </c>
      <c r="BC14" s="30">
        <v>4898.2457142857147</v>
      </c>
      <c r="BD14" s="34">
        <v>979.64914285714281</v>
      </c>
      <c r="BE14" s="33">
        <v>3393.4474285714296</v>
      </c>
      <c r="BF14" s="33"/>
      <c r="BG14" s="27">
        <v>3393.4474285714296</v>
      </c>
      <c r="BH14" s="16"/>
      <c r="BI14" s="16"/>
      <c r="BJ14" s="28">
        <v>6.7561643835616438</v>
      </c>
      <c r="BK14" s="29">
        <v>3.2438356164383562</v>
      </c>
      <c r="BL14" s="27">
        <v>454.5</v>
      </c>
      <c r="BM14" s="30">
        <v>2938.9474285714296</v>
      </c>
      <c r="BN14" s="34">
        <v>979.64914285714281</v>
      </c>
      <c r="BO14" s="35">
        <v>2413.798285714287</v>
      </c>
      <c r="BP14" s="36"/>
      <c r="BQ14" s="27">
        <v>2413.798285714287</v>
      </c>
      <c r="BR14" s="16"/>
      <c r="BS14" s="16"/>
      <c r="BT14" s="28">
        <v>7.7561643835616438</v>
      </c>
      <c r="BU14" s="29">
        <v>2.2438356164383562</v>
      </c>
      <c r="BV14" s="27">
        <v>454.5</v>
      </c>
      <c r="BW14" s="30">
        <v>1959.298285714287</v>
      </c>
      <c r="BX14" s="34">
        <v>979.64914285714281</v>
      </c>
      <c r="BY14" s="35">
        <v>1434.1491428571442</v>
      </c>
      <c r="CA14" s="35">
        <v>1434.1491428571442</v>
      </c>
      <c r="CB14" s="16"/>
      <c r="CC14" s="16"/>
      <c r="CD14" s="28">
        <v>8.7589041095890412</v>
      </c>
      <c r="CE14" s="29">
        <v>1.2410958904109588</v>
      </c>
      <c r="CF14" s="27">
        <v>454.5</v>
      </c>
      <c r="CG14" s="30">
        <v>979.64914285714417</v>
      </c>
      <c r="CH14" s="31">
        <v>979.64914285714281</v>
      </c>
      <c r="CI14" s="35">
        <v>454.50000000000136</v>
      </c>
      <c r="CK14" s="36">
        <v>1.3642420526593924E-12</v>
      </c>
      <c r="CL14" s="35">
        <v>454.50000000000136</v>
      </c>
      <c r="CM14" s="16"/>
      <c r="CN14" s="16"/>
      <c r="CO14" s="28">
        <v>9.7589041095890412</v>
      </c>
      <c r="CP14" s="29">
        <v>0.2410958904109588</v>
      </c>
      <c r="CQ14" s="27">
        <v>454.5</v>
      </c>
      <c r="CR14" s="34">
        <v>1.3642420526593924E-12</v>
      </c>
      <c r="CS14" s="34">
        <v>0</v>
      </c>
      <c r="CT14" s="35">
        <v>454.50000000000136</v>
      </c>
      <c r="CV14" s="35">
        <v>1.3642420526593924E-12</v>
      </c>
      <c r="CW14" s="35">
        <v>454.50000000000136</v>
      </c>
      <c r="CX14" s="16"/>
      <c r="CY14" s="16"/>
      <c r="CZ14" s="28">
        <v>11.758904109589041</v>
      </c>
      <c r="DA14" s="29">
        <v>-1.7589041095890412</v>
      </c>
      <c r="DB14" s="27">
        <v>454.5</v>
      </c>
      <c r="DC14" s="34">
        <v>0</v>
      </c>
      <c r="DD14" s="34">
        <v>0</v>
      </c>
      <c r="DE14" s="35">
        <v>454.50000000000136</v>
      </c>
      <c r="DG14" s="35">
        <v>9090</v>
      </c>
      <c r="DH14" s="35">
        <v>8635.4999999999982</v>
      </c>
      <c r="DI14" s="35">
        <f t="shared" si="0"/>
        <v>454.50000000000182</v>
      </c>
      <c r="DJ14" s="132">
        <f t="shared" si="1"/>
        <v>454.50000000000182</v>
      </c>
      <c r="DK14" s="132">
        <f t="shared" si="2"/>
        <v>0</v>
      </c>
      <c r="DL14" s="132">
        <f t="shared" si="3"/>
        <v>-4.5474735088646412E-13</v>
      </c>
    </row>
    <row r="15" spans="2:116" s="4" customFormat="1" ht="39" x14ac:dyDescent="0.25">
      <c r="B15" s="13" t="s">
        <v>4</v>
      </c>
      <c r="C15" s="14" t="s">
        <v>4</v>
      </c>
      <c r="D15" s="15" t="s">
        <v>101</v>
      </c>
      <c r="E15" s="15" t="s">
        <v>132</v>
      </c>
      <c r="F15" s="16" t="s">
        <v>133</v>
      </c>
      <c r="G15" s="11" t="s">
        <v>111</v>
      </c>
      <c r="H15" s="17">
        <v>40724</v>
      </c>
      <c r="I15" s="18" t="s">
        <v>419</v>
      </c>
      <c r="J15" s="19">
        <v>3</v>
      </c>
      <c r="K15" s="20">
        <v>10</v>
      </c>
      <c r="L15" s="21">
        <v>7</v>
      </c>
      <c r="M15" s="22">
        <v>95000</v>
      </c>
      <c r="N15" s="23">
        <v>18830</v>
      </c>
      <c r="O15" s="24">
        <v>76170</v>
      </c>
      <c r="P15" s="24"/>
      <c r="Q15" s="25">
        <v>7</v>
      </c>
      <c r="R15" s="26">
        <v>4750</v>
      </c>
      <c r="S15" s="25">
        <v>71420</v>
      </c>
      <c r="T15" s="25">
        <v>10202.857142857143</v>
      </c>
      <c r="U15" s="25"/>
      <c r="V15" s="25">
        <v>0</v>
      </c>
      <c r="W15" s="25">
        <v>10202.857142857143</v>
      </c>
      <c r="X15" s="25">
        <v>10202.857142857143</v>
      </c>
      <c r="Y15" s="25">
        <v>0</v>
      </c>
      <c r="Z15" s="24">
        <v>76170</v>
      </c>
      <c r="AA15" s="27">
        <v>65967.142857142855</v>
      </c>
      <c r="AB15" s="16"/>
      <c r="AC15" s="27">
        <v>65967.142857142855</v>
      </c>
      <c r="AD15" s="16"/>
      <c r="AE15" s="16"/>
      <c r="AF15" s="28">
        <v>3.7534246575342465</v>
      </c>
      <c r="AG15" s="29">
        <v>6.2465753424657535</v>
      </c>
      <c r="AH15" s="27">
        <v>4750</v>
      </c>
      <c r="AI15" s="30">
        <v>71420</v>
      </c>
      <c r="AJ15" s="31">
        <v>10202.857142857143</v>
      </c>
      <c r="AK15" s="32">
        <v>55764.28571428571</v>
      </c>
      <c r="AL15" s="16"/>
      <c r="AM15" s="27">
        <v>55764.28571428571</v>
      </c>
      <c r="AN15" s="16"/>
      <c r="AO15" s="16"/>
      <c r="AP15" s="28">
        <v>4.7561643835616438</v>
      </c>
      <c r="AQ15" s="29">
        <v>5.2438356164383562</v>
      </c>
      <c r="AR15" s="27">
        <v>4750</v>
      </c>
      <c r="AS15" s="30">
        <v>61217.142857142855</v>
      </c>
      <c r="AT15" s="31">
        <v>10202.857142857143</v>
      </c>
      <c r="AU15" s="33">
        <v>45561.428571428565</v>
      </c>
      <c r="AW15" s="27">
        <v>45561.428571428565</v>
      </c>
      <c r="AX15" s="16"/>
      <c r="AY15" s="16"/>
      <c r="AZ15" s="28">
        <v>5.7561643835616438</v>
      </c>
      <c r="BA15" s="29">
        <v>4.2438356164383562</v>
      </c>
      <c r="BB15" s="27">
        <v>4750</v>
      </c>
      <c r="BC15" s="30">
        <v>51014.28571428571</v>
      </c>
      <c r="BD15" s="34">
        <v>10202.857142857143</v>
      </c>
      <c r="BE15" s="33">
        <v>35358.57142857142</v>
      </c>
      <c r="BF15" s="33"/>
      <c r="BG15" s="27">
        <v>35358.57142857142</v>
      </c>
      <c r="BH15" s="16"/>
      <c r="BI15" s="16"/>
      <c r="BJ15" s="28">
        <v>6.7561643835616438</v>
      </c>
      <c r="BK15" s="29">
        <v>3.2438356164383562</v>
      </c>
      <c r="BL15" s="27">
        <v>4750</v>
      </c>
      <c r="BM15" s="30">
        <v>30608.57142857142</v>
      </c>
      <c r="BN15" s="34">
        <v>10202.857142857143</v>
      </c>
      <c r="BO15" s="35">
        <v>25155.714285714275</v>
      </c>
      <c r="BP15" s="36"/>
      <c r="BQ15" s="27">
        <v>25155.714285714275</v>
      </c>
      <c r="BR15" s="16"/>
      <c r="BS15" s="16"/>
      <c r="BT15" s="28">
        <v>7.7561643835616438</v>
      </c>
      <c r="BU15" s="29">
        <v>2.2438356164383562</v>
      </c>
      <c r="BV15" s="27">
        <v>4750</v>
      </c>
      <c r="BW15" s="30">
        <v>20405.714285714275</v>
      </c>
      <c r="BX15" s="34">
        <v>10202.857142857143</v>
      </c>
      <c r="BY15" s="35">
        <v>14952.857142857132</v>
      </c>
      <c r="CA15" s="35">
        <v>14952.857142857132</v>
      </c>
      <c r="CB15" s="16"/>
      <c r="CC15" s="16"/>
      <c r="CD15" s="28">
        <v>8.7589041095890412</v>
      </c>
      <c r="CE15" s="29">
        <v>1.2410958904109588</v>
      </c>
      <c r="CF15" s="27">
        <v>4750</v>
      </c>
      <c r="CG15" s="30">
        <v>10202.857142857132</v>
      </c>
      <c r="CH15" s="31">
        <v>10202.857142857143</v>
      </c>
      <c r="CI15" s="35">
        <v>4749.9999999999891</v>
      </c>
      <c r="CK15" s="36">
        <v>-1.0913936421275139E-11</v>
      </c>
      <c r="CL15" s="35">
        <v>4749.9999999999891</v>
      </c>
      <c r="CM15" s="16"/>
      <c r="CN15" s="16"/>
      <c r="CO15" s="28">
        <v>9.7589041095890412</v>
      </c>
      <c r="CP15" s="29">
        <v>0.2410958904109588</v>
      </c>
      <c r="CQ15" s="27">
        <v>4750</v>
      </c>
      <c r="CR15" s="34">
        <v>0</v>
      </c>
      <c r="CS15" s="34">
        <v>0</v>
      </c>
      <c r="CT15" s="35">
        <v>4749.9999999999891</v>
      </c>
      <c r="CV15" s="35">
        <v>-1.0913936421275139E-11</v>
      </c>
      <c r="CW15" s="35">
        <v>4749.9999999999891</v>
      </c>
      <c r="CX15" s="16"/>
      <c r="CY15" s="16"/>
      <c r="CZ15" s="28">
        <v>11.758904109589041</v>
      </c>
      <c r="DA15" s="29">
        <v>-1.7589041095890412</v>
      </c>
      <c r="DB15" s="27">
        <v>4750</v>
      </c>
      <c r="DC15" s="34">
        <v>0</v>
      </c>
      <c r="DD15" s="34">
        <v>0</v>
      </c>
      <c r="DE15" s="35">
        <v>4749.9999999999891</v>
      </c>
      <c r="DG15" s="35">
        <v>95000</v>
      </c>
      <c r="DH15" s="35">
        <v>90250.000000000015</v>
      </c>
      <c r="DI15" s="35">
        <f t="shared" si="0"/>
        <v>4749.9999999999854</v>
      </c>
      <c r="DJ15" s="132">
        <f t="shared" si="1"/>
        <v>4749.9999999999854</v>
      </c>
      <c r="DK15" s="132">
        <f t="shared" si="2"/>
        <v>0</v>
      </c>
      <c r="DL15" s="132">
        <f t="shared" si="3"/>
        <v>0</v>
      </c>
    </row>
    <row r="16" spans="2:116" s="4" customFormat="1" ht="39" x14ac:dyDescent="0.25">
      <c r="B16" s="13" t="s">
        <v>4</v>
      </c>
      <c r="C16" s="14" t="s">
        <v>4</v>
      </c>
      <c r="D16" s="15" t="s">
        <v>101</v>
      </c>
      <c r="E16" s="15" t="s">
        <v>134</v>
      </c>
      <c r="F16" s="16" t="s">
        <v>135</v>
      </c>
      <c r="G16" s="11" t="s">
        <v>111</v>
      </c>
      <c r="H16" s="17">
        <v>40782</v>
      </c>
      <c r="I16" s="18" t="s">
        <v>419</v>
      </c>
      <c r="J16" s="19">
        <v>3</v>
      </c>
      <c r="K16" s="20">
        <v>10</v>
      </c>
      <c r="L16" s="21">
        <v>7</v>
      </c>
      <c r="M16" s="22">
        <v>9765</v>
      </c>
      <c r="N16" s="23">
        <v>1882.1260000000002</v>
      </c>
      <c r="O16" s="24">
        <v>7882.8739999999998</v>
      </c>
      <c r="P16" s="24"/>
      <c r="Q16" s="25">
        <v>7</v>
      </c>
      <c r="R16" s="26">
        <v>488.25</v>
      </c>
      <c r="S16" s="25">
        <v>7394.6239999999998</v>
      </c>
      <c r="T16" s="25">
        <v>1056.3748571428571</v>
      </c>
      <c r="U16" s="25"/>
      <c r="V16" s="25">
        <v>0</v>
      </c>
      <c r="W16" s="25">
        <v>1056.3748571428571</v>
      </c>
      <c r="X16" s="25">
        <v>1056.3748571428571</v>
      </c>
      <c r="Y16" s="25">
        <v>0</v>
      </c>
      <c r="Z16" s="24">
        <v>7882.8739999999998</v>
      </c>
      <c r="AA16" s="27">
        <v>6826.4991428571429</v>
      </c>
      <c r="AB16" s="16"/>
      <c r="AC16" s="27">
        <v>6826.4991428571429</v>
      </c>
      <c r="AD16" s="16"/>
      <c r="AE16" s="16"/>
      <c r="AF16" s="28">
        <v>3.5945205479452054</v>
      </c>
      <c r="AG16" s="29">
        <v>6.4054794520547951</v>
      </c>
      <c r="AH16" s="27">
        <v>488.25</v>
      </c>
      <c r="AI16" s="30">
        <v>7394.6239999999998</v>
      </c>
      <c r="AJ16" s="31">
        <v>1056.3748571428571</v>
      </c>
      <c r="AK16" s="32">
        <v>5770.1242857142861</v>
      </c>
      <c r="AL16" s="16"/>
      <c r="AM16" s="27">
        <v>5770.1242857142861</v>
      </c>
      <c r="AN16" s="16"/>
      <c r="AO16" s="16"/>
      <c r="AP16" s="28">
        <v>4.5972602739726032</v>
      </c>
      <c r="AQ16" s="29">
        <v>5.4027397260273968</v>
      </c>
      <c r="AR16" s="27">
        <v>488.25</v>
      </c>
      <c r="AS16" s="30">
        <v>6338.2491428571429</v>
      </c>
      <c r="AT16" s="31">
        <v>1056.3748571428571</v>
      </c>
      <c r="AU16" s="33">
        <v>4713.7494285714292</v>
      </c>
      <c r="AW16" s="27">
        <v>4713.7494285714292</v>
      </c>
      <c r="AX16" s="16"/>
      <c r="AY16" s="16"/>
      <c r="AZ16" s="28">
        <v>5.5972602739726032</v>
      </c>
      <c r="BA16" s="29">
        <v>4.4027397260273968</v>
      </c>
      <c r="BB16" s="27">
        <v>488.25</v>
      </c>
      <c r="BC16" s="30">
        <v>5281.8742857142861</v>
      </c>
      <c r="BD16" s="34">
        <v>1056.3748571428571</v>
      </c>
      <c r="BE16" s="33">
        <v>3657.3745714285724</v>
      </c>
      <c r="BF16" s="33"/>
      <c r="BG16" s="27">
        <v>3657.3745714285724</v>
      </c>
      <c r="BH16" s="16"/>
      <c r="BI16" s="16"/>
      <c r="BJ16" s="28">
        <v>6.5972602739726032</v>
      </c>
      <c r="BK16" s="29">
        <v>3.4027397260273968</v>
      </c>
      <c r="BL16" s="27">
        <v>488.25</v>
      </c>
      <c r="BM16" s="30">
        <v>3169.1245714285724</v>
      </c>
      <c r="BN16" s="34">
        <v>1056.3748571428571</v>
      </c>
      <c r="BO16" s="35">
        <v>2600.9997142857155</v>
      </c>
      <c r="BP16" s="36"/>
      <c r="BQ16" s="27">
        <v>2600.9997142857155</v>
      </c>
      <c r="BR16" s="16"/>
      <c r="BS16" s="16"/>
      <c r="BT16" s="28">
        <v>7.5972602739726032</v>
      </c>
      <c r="BU16" s="29">
        <v>2.4027397260273968</v>
      </c>
      <c r="BV16" s="27">
        <v>488.25</v>
      </c>
      <c r="BW16" s="30">
        <v>2112.7497142857155</v>
      </c>
      <c r="BX16" s="34">
        <v>1056.3748571428571</v>
      </c>
      <c r="BY16" s="35">
        <v>1544.6248571428584</v>
      </c>
      <c r="CA16" s="35">
        <v>1544.6248571428584</v>
      </c>
      <c r="CB16" s="16"/>
      <c r="CC16" s="16"/>
      <c r="CD16" s="28">
        <v>8.6</v>
      </c>
      <c r="CE16" s="29">
        <v>1.4000000000000004</v>
      </c>
      <c r="CF16" s="27">
        <v>488.25</v>
      </c>
      <c r="CG16" s="30">
        <v>1056.3748571428584</v>
      </c>
      <c r="CH16" s="31">
        <v>1056.3748571428571</v>
      </c>
      <c r="CI16" s="35">
        <v>488.25000000000136</v>
      </c>
      <c r="CK16" s="36">
        <v>1.3642420526593924E-12</v>
      </c>
      <c r="CL16" s="35">
        <v>488.25000000000136</v>
      </c>
      <c r="CM16" s="16"/>
      <c r="CN16" s="16"/>
      <c r="CO16" s="28">
        <v>9.6</v>
      </c>
      <c r="CP16" s="29">
        <v>0.40000000000000036</v>
      </c>
      <c r="CQ16" s="27">
        <v>488.25</v>
      </c>
      <c r="CR16" s="34">
        <v>1.3642420526593924E-12</v>
      </c>
      <c r="CS16" s="34">
        <v>0</v>
      </c>
      <c r="CT16" s="35">
        <v>488.25000000000136</v>
      </c>
      <c r="CV16" s="35">
        <v>1.3642420526593924E-12</v>
      </c>
      <c r="CW16" s="35">
        <v>488.25000000000136</v>
      </c>
      <c r="CX16" s="16"/>
      <c r="CY16" s="16"/>
      <c r="CZ16" s="28">
        <v>11.6</v>
      </c>
      <c r="DA16" s="29">
        <v>-1.5999999999999996</v>
      </c>
      <c r="DB16" s="27">
        <v>488.25</v>
      </c>
      <c r="DC16" s="34">
        <v>0</v>
      </c>
      <c r="DD16" s="34">
        <v>0</v>
      </c>
      <c r="DE16" s="35">
        <v>488.25000000000136</v>
      </c>
      <c r="DG16" s="35">
        <v>9765</v>
      </c>
      <c r="DH16" s="35">
        <v>9276.7499999999982</v>
      </c>
      <c r="DI16" s="35">
        <f t="shared" si="0"/>
        <v>488.25000000000182</v>
      </c>
      <c r="DJ16" s="132">
        <f t="shared" si="1"/>
        <v>488.25000000000182</v>
      </c>
      <c r="DK16" s="132">
        <f t="shared" si="2"/>
        <v>0</v>
      </c>
      <c r="DL16" s="132">
        <f t="shared" si="3"/>
        <v>-4.5474735088646412E-13</v>
      </c>
    </row>
    <row r="17" spans="2:116" s="4" customFormat="1" ht="39" x14ac:dyDescent="0.25">
      <c r="B17" s="13" t="s">
        <v>4</v>
      </c>
      <c r="C17" s="14" t="s">
        <v>4</v>
      </c>
      <c r="D17" s="15" t="s">
        <v>101</v>
      </c>
      <c r="E17" s="15" t="s">
        <v>136</v>
      </c>
      <c r="F17" s="16" t="s">
        <v>137</v>
      </c>
      <c r="G17" s="11" t="s">
        <v>111</v>
      </c>
      <c r="H17" s="17">
        <v>40786</v>
      </c>
      <c r="I17" s="18" t="s">
        <v>419</v>
      </c>
      <c r="J17" s="19">
        <v>3</v>
      </c>
      <c r="K17" s="20">
        <v>10</v>
      </c>
      <c r="L17" s="21">
        <v>7</v>
      </c>
      <c r="M17" s="22">
        <v>20520</v>
      </c>
      <c r="N17" s="23">
        <v>3938.1679999999997</v>
      </c>
      <c r="O17" s="24">
        <v>16581.832000000002</v>
      </c>
      <c r="P17" s="24"/>
      <c r="Q17" s="25">
        <v>7</v>
      </c>
      <c r="R17" s="26">
        <v>1026</v>
      </c>
      <c r="S17" s="25">
        <v>15555.832000000002</v>
      </c>
      <c r="T17" s="25">
        <v>2222.2617142857148</v>
      </c>
      <c r="U17" s="25"/>
      <c r="V17" s="25">
        <v>0</v>
      </c>
      <c r="W17" s="25">
        <v>2222.2617142857148</v>
      </c>
      <c r="X17" s="25">
        <v>2222.2617142857148</v>
      </c>
      <c r="Y17" s="25">
        <v>0</v>
      </c>
      <c r="Z17" s="24">
        <v>16581.832000000002</v>
      </c>
      <c r="AA17" s="27">
        <v>14359.570285714288</v>
      </c>
      <c r="AB17" s="16"/>
      <c r="AC17" s="27">
        <v>14359.570285714288</v>
      </c>
      <c r="AD17" s="16"/>
      <c r="AE17" s="16"/>
      <c r="AF17" s="28">
        <v>3.5835616438356164</v>
      </c>
      <c r="AG17" s="29">
        <v>6.4164383561643836</v>
      </c>
      <c r="AH17" s="27">
        <v>1026</v>
      </c>
      <c r="AI17" s="30">
        <v>15555.832000000002</v>
      </c>
      <c r="AJ17" s="31">
        <v>2222.2617142857148</v>
      </c>
      <c r="AK17" s="32">
        <v>12137.308571428573</v>
      </c>
      <c r="AL17" s="16"/>
      <c r="AM17" s="27">
        <v>12137.308571428573</v>
      </c>
      <c r="AN17" s="16"/>
      <c r="AO17" s="16"/>
      <c r="AP17" s="28">
        <v>4.5863013698630137</v>
      </c>
      <c r="AQ17" s="29">
        <v>5.4136986301369863</v>
      </c>
      <c r="AR17" s="27">
        <v>1026</v>
      </c>
      <c r="AS17" s="30">
        <v>13333.570285714288</v>
      </c>
      <c r="AT17" s="31">
        <v>2222.2617142857148</v>
      </c>
      <c r="AU17" s="33">
        <v>9915.0468571428592</v>
      </c>
      <c r="AW17" s="27">
        <v>9915.0468571428592</v>
      </c>
      <c r="AX17" s="16"/>
      <c r="AY17" s="16"/>
      <c r="AZ17" s="28">
        <v>5.5863013698630137</v>
      </c>
      <c r="BA17" s="29">
        <v>4.4136986301369863</v>
      </c>
      <c r="BB17" s="27">
        <v>1026</v>
      </c>
      <c r="BC17" s="30">
        <v>11111.308571428573</v>
      </c>
      <c r="BD17" s="34">
        <v>2222.2617142857148</v>
      </c>
      <c r="BE17" s="33">
        <v>7692.7851428571448</v>
      </c>
      <c r="BF17" s="33"/>
      <c r="BG17" s="27">
        <v>7692.7851428571448</v>
      </c>
      <c r="BH17" s="16"/>
      <c r="BI17" s="16"/>
      <c r="BJ17" s="28">
        <v>6.5863013698630137</v>
      </c>
      <c r="BK17" s="29">
        <v>3.4136986301369863</v>
      </c>
      <c r="BL17" s="27">
        <v>1026</v>
      </c>
      <c r="BM17" s="30">
        <v>6666.7851428571448</v>
      </c>
      <c r="BN17" s="34">
        <v>2222.2617142857148</v>
      </c>
      <c r="BO17" s="35">
        <v>5470.5234285714305</v>
      </c>
      <c r="BP17" s="36"/>
      <c r="BQ17" s="27">
        <v>5470.5234285714305</v>
      </c>
      <c r="BR17" s="16"/>
      <c r="BS17" s="16"/>
      <c r="BT17" s="28">
        <v>7.5863013698630137</v>
      </c>
      <c r="BU17" s="29">
        <v>2.4136986301369863</v>
      </c>
      <c r="BV17" s="27">
        <v>1026</v>
      </c>
      <c r="BW17" s="30">
        <v>4444.5234285714305</v>
      </c>
      <c r="BX17" s="34">
        <v>2222.2617142857148</v>
      </c>
      <c r="BY17" s="35">
        <v>3248.2617142857157</v>
      </c>
      <c r="CA17" s="35">
        <v>3248.2617142857157</v>
      </c>
      <c r="CB17" s="16"/>
      <c r="CC17" s="16"/>
      <c r="CD17" s="28">
        <v>8.5890410958904102</v>
      </c>
      <c r="CE17" s="29">
        <v>1.4109589041095898</v>
      </c>
      <c r="CF17" s="27">
        <v>1026</v>
      </c>
      <c r="CG17" s="30">
        <v>2222.2617142857157</v>
      </c>
      <c r="CH17" s="31">
        <v>2222.2617142857148</v>
      </c>
      <c r="CI17" s="35">
        <v>1026.0000000000009</v>
      </c>
      <c r="CK17" s="36">
        <v>0</v>
      </c>
      <c r="CL17" s="35">
        <v>1026.0000000000009</v>
      </c>
      <c r="CM17" s="16"/>
      <c r="CN17" s="16"/>
      <c r="CO17" s="28">
        <v>9.5890410958904102</v>
      </c>
      <c r="CP17" s="29">
        <v>0.4109589041095898</v>
      </c>
      <c r="CQ17" s="27">
        <v>1026</v>
      </c>
      <c r="CR17" s="34">
        <v>9.0949470177292824E-13</v>
      </c>
      <c r="CS17" s="34">
        <v>0</v>
      </c>
      <c r="CT17" s="35">
        <v>1026.0000000000009</v>
      </c>
      <c r="CV17" s="35">
        <v>0</v>
      </c>
      <c r="CW17" s="35">
        <v>1026.0000000000009</v>
      </c>
      <c r="CX17" s="16"/>
      <c r="CY17" s="16"/>
      <c r="CZ17" s="28">
        <v>11.58904109589041</v>
      </c>
      <c r="DA17" s="29">
        <v>-1.5890410958904102</v>
      </c>
      <c r="DB17" s="27">
        <v>1026</v>
      </c>
      <c r="DC17" s="34">
        <v>0</v>
      </c>
      <c r="DD17" s="34">
        <v>0</v>
      </c>
      <c r="DE17" s="35">
        <v>1026.0000000000009</v>
      </c>
      <c r="DG17" s="35">
        <v>20520</v>
      </c>
      <c r="DH17" s="35">
        <v>19494.000000000004</v>
      </c>
      <c r="DI17" s="35">
        <f t="shared" si="0"/>
        <v>1025.9999999999964</v>
      </c>
      <c r="DJ17" s="132">
        <f t="shared" si="1"/>
        <v>1025.9999999999964</v>
      </c>
      <c r="DK17" s="132">
        <f t="shared" si="2"/>
        <v>0</v>
      </c>
      <c r="DL17" s="132">
        <f t="shared" si="3"/>
        <v>4.5474735088646412E-12</v>
      </c>
    </row>
    <row r="18" spans="2:116" s="4" customFormat="1" ht="39" x14ac:dyDescent="0.25">
      <c r="B18" s="13" t="s">
        <v>4</v>
      </c>
      <c r="C18" s="14" t="s">
        <v>4</v>
      </c>
      <c r="D18" s="15" t="s">
        <v>101</v>
      </c>
      <c r="E18" s="15" t="s">
        <v>138</v>
      </c>
      <c r="F18" s="16" t="s">
        <v>139</v>
      </c>
      <c r="G18" s="11" t="s">
        <v>111</v>
      </c>
      <c r="H18" s="17">
        <v>40808</v>
      </c>
      <c r="I18" s="18" t="s">
        <v>419</v>
      </c>
      <c r="J18" s="19">
        <v>3</v>
      </c>
      <c r="K18" s="20">
        <v>10</v>
      </c>
      <c r="L18" s="21">
        <v>7</v>
      </c>
      <c r="M18" s="22">
        <v>54400</v>
      </c>
      <c r="N18" s="23">
        <v>10195.959999999999</v>
      </c>
      <c r="O18" s="24">
        <v>44204.04</v>
      </c>
      <c r="P18" s="24"/>
      <c r="Q18" s="25">
        <v>7</v>
      </c>
      <c r="R18" s="26">
        <v>2720</v>
      </c>
      <c r="S18" s="25">
        <v>41484.04</v>
      </c>
      <c r="T18" s="25">
        <v>5926.2914285714287</v>
      </c>
      <c r="U18" s="25"/>
      <c r="V18" s="25">
        <v>0</v>
      </c>
      <c r="W18" s="25">
        <v>5926.2914285714287</v>
      </c>
      <c r="X18" s="25">
        <v>5926.2914285714287</v>
      </c>
      <c r="Y18" s="25">
        <v>0</v>
      </c>
      <c r="Z18" s="24">
        <v>44204.04</v>
      </c>
      <c r="AA18" s="27">
        <v>38277.748571428572</v>
      </c>
      <c r="AB18" s="16"/>
      <c r="AC18" s="27">
        <v>38277.748571428572</v>
      </c>
      <c r="AD18" s="16"/>
      <c r="AE18" s="16"/>
      <c r="AF18" s="28">
        <v>3.5232876712328767</v>
      </c>
      <c r="AG18" s="29">
        <v>6.4767123287671229</v>
      </c>
      <c r="AH18" s="27">
        <v>2720</v>
      </c>
      <c r="AI18" s="30">
        <v>41484.04</v>
      </c>
      <c r="AJ18" s="31">
        <v>5926.2914285714287</v>
      </c>
      <c r="AK18" s="32">
        <v>32351.457142857143</v>
      </c>
      <c r="AL18" s="16"/>
      <c r="AM18" s="27">
        <v>32351.457142857143</v>
      </c>
      <c r="AN18" s="16"/>
      <c r="AO18" s="16"/>
      <c r="AP18" s="28">
        <v>4.5260273972602736</v>
      </c>
      <c r="AQ18" s="29">
        <v>5.4739726027397264</v>
      </c>
      <c r="AR18" s="27">
        <v>2720</v>
      </c>
      <c r="AS18" s="30">
        <v>35557.748571428572</v>
      </c>
      <c r="AT18" s="31">
        <v>5926.2914285714287</v>
      </c>
      <c r="AU18" s="33">
        <v>26425.165714285715</v>
      </c>
      <c r="AW18" s="27">
        <v>26425.165714285715</v>
      </c>
      <c r="AX18" s="16"/>
      <c r="AY18" s="16"/>
      <c r="AZ18" s="28">
        <v>5.5260273972602736</v>
      </c>
      <c r="BA18" s="29">
        <v>4.4739726027397264</v>
      </c>
      <c r="BB18" s="27">
        <v>2720</v>
      </c>
      <c r="BC18" s="30">
        <v>29631.457142857143</v>
      </c>
      <c r="BD18" s="34">
        <v>5926.2914285714287</v>
      </c>
      <c r="BE18" s="33">
        <v>20498.874285714286</v>
      </c>
      <c r="BF18" s="33"/>
      <c r="BG18" s="27">
        <v>20498.874285714286</v>
      </c>
      <c r="BH18" s="16"/>
      <c r="BI18" s="16"/>
      <c r="BJ18" s="28">
        <v>6.5260273972602736</v>
      </c>
      <c r="BK18" s="29">
        <v>3.4739726027397264</v>
      </c>
      <c r="BL18" s="27">
        <v>2720</v>
      </c>
      <c r="BM18" s="30">
        <v>17778.874285714286</v>
      </c>
      <c r="BN18" s="34">
        <v>5926.2914285714287</v>
      </c>
      <c r="BO18" s="35">
        <v>14572.582857142857</v>
      </c>
      <c r="BP18" s="36"/>
      <c r="BQ18" s="27">
        <v>14572.582857142857</v>
      </c>
      <c r="BR18" s="16"/>
      <c r="BS18" s="16"/>
      <c r="BT18" s="28">
        <v>7.5260273972602736</v>
      </c>
      <c r="BU18" s="29">
        <v>2.4739726027397264</v>
      </c>
      <c r="BV18" s="27">
        <v>2720</v>
      </c>
      <c r="BW18" s="30">
        <v>11852.582857142857</v>
      </c>
      <c r="BX18" s="34">
        <v>5926.2914285714287</v>
      </c>
      <c r="BY18" s="35">
        <v>8646.2914285714287</v>
      </c>
      <c r="CA18" s="35">
        <v>8646.2914285714287</v>
      </c>
      <c r="CB18" s="16"/>
      <c r="CC18" s="16"/>
      <c r="CD18" s="28">
        <v>8.5287671232876718</v>
      </c>
      <c r="CE18" s="29">
        <v>1.4712328767123282</v>
      </c>
      <c r="CF18" s="27">
        <v>2720</v>
      </c>
      <c r="CG18" s="30">
        <v>5926.2914285714287</v>
      </c>
      <c r="CH18" s="31">
        <v>5926.2914285714287</v>
      </c>
      <c r="CI18" s="35">
        <v>2720</v>
      </c>
      <c r="CK18" s="36">
        <v>0</v>
      </c>
      <c r="CL18" s="35">
        <v>2720</v>
      </c>
      <c r="CM18" s="16"/>
      <c r="CN18" s="16"/>
      <c r="CO18" s="28">
        <v>9.5287671232876718</v>
      </c>
      <c r="CP18" s="29">
        <v>0.47123287671232816</v>
      </c>
      <c r="CQ18" s="27">
        <v>2720</v>
      </c>
      <c r="CR18" s="34">
        <v>0</v>
      </c>
      <c r="CS18" s="34">
        <v>0</v>
      </c>
      <c r="CT18" s="35">
        <v>2720</v>
      </c>
      <c r="CV18" s="35">
        <v>0</v>
      </c>
      <c r="CW18" s="35">
        <v>2720</v>
      </c>
      <c r="CX18" s="16"/>
      <c r="CY18" s="16"/>
      <c r="CZ18" s="28">
        <v>11.528767123287672</v>
      </c>
      <c r="DA18" s="29">
        <v>-1.5287671232876718</v>
      </c>
      <c r="DB18" s="27">
        <v>2720</v>
      </c>
      <c r="DC18" s="34">
        <v>0</v>
      </c>
      <c r="DD18" s="34">
        <v>0</v>
      </c>
      <c r="DE18" s="35">
        <v>2720</v>
      </c>
      <c r="DG18" s="35">
        <v>54400</v>
      </c>
      <c r="DH18" s="35">
        <v>51680</v>
      </c>
      <c r="DI18" s="35">
        <f t="shared" si="0"/>
        <v>2720</v>
      </c>
      <c r="DJ18" s="132">
        <f t="shared" si="1"/>
        <v>2720</v>
      </c>
      <c r="DK18" s="132">
        <f t="shared" si="2"/>
        <v>0</v>
      </c>
      <c r="DL18" s="132">
        <f t="shared" si="3"/>
        <v>0</v>
      </c>
    </row>
    <row r="19" spans="2:116" s="4" customFormat="1" ht="39" x14ac:dyDescent="0.25">
      <c r="B19" s="13" t="s">
        <v>4</v>
      </c>
      <c r="C19" s="14" t="s">
        <v>4</v>
      </c>
      <c r="D19" s="15" t="s">
        <v>101</v>
      </c>
      <c r="E19" s="15" t="s">
        <v>140</v>
      </c>
      <c r="F19" s="16" t="s">
        <v>141</v>
      </c>
      <c r="G19" s="11" t="s">
        <v>111</v>
      </c>
      <c r="H19" s="17">
        <v>40816</v>
      </c>
      <c r="I19" s="18" t="s">
        <v>419</v>
      </c>
      <c r="J19" s="19">
        <v>3</v>
      </c>
      <c r="K19" s="20">
        <v>10</v>
      </c>
      <c r="L19" s="21">
        <v>7</v>
      </c>
      <c r="M19" s="22">
        <v>26758</v>
      </c>
      <c r="N19" s="23">
        <v>4819.8872000000001</v>
      </c>
      <c r="O19" s="24">
        <v>21938.112799999999</v>
      </c>
      <c r="P19" s="24"/>
      <c r="Q19" s="25">
        <v>7</v>
      </c>
      <c r="R19" s="26">
        <v>1337.9</v>
      </c>
      <c r="S19" s="25">
        <v>20600.212799999998</v>
      </c>
      <c r="T19" s="25">
        <v>2942.8875428571423</v>
      </c>
      <c r="U19" s="25"/>
      <c r="V19" s="25">
        <v>0</v>
      </c>
      <c r="W19" s="25">
        <v>2942.8875428571423</v>
      </c>
      <c r="X19" s="25">
        <v>2942.8875428571423</v>
      </c>
      <c r="Y19" s="25">
        <v>0</v>
      </c>
      <c r="Z19" s="24">
        <v>21938.112799999999</v>
      </c>
      <c r="AA19" s="27">
        <v>18995.225257142858</v>
      </c>
      <c r="AB19" s="16"/>
      <c r="AC19" s="27">
        <v>18995.225257142858</v>
      </c>
      <c r="AD19" s="16"/>
      <c r="AE19" s="16"/>
      <c r="AF19" s="28">
        <v>3.5013698630136987</v>
      </c>
      <c r="AG19" s="29">
        <v>6.4986301369863018</v>
      </c>
      <c r="AH19" s="27">
        <v>1337.9</v>
      </c>
      <c r="AI19" s="30">
        <v>20600.212799999998</v>
      </c>
      <c r="AJ19" s="31">
        <v>2942.8875428571423</v>
      </c>
      <c r="AK19" s="32">
        <v>16052.337714285715</v>
      </c>
      <c r="AL19" s="16"/>
      <c r="AM19" s="27">
        <v>16052.337714285715</v>
      </c>
      <c r="AN19" s="16"/>
      <c r="AO19" s="16"/>
      <c r="AP19" s="28">
        <v>4.5041095890410956</v>
      </c>
      <c r="AQ19" s="29">
        <v>5.4958904109589044</v>
      </c>
      <c r="AR19" s="27">
        <v>1337.9</v>
      </c>
      <c r="AS19" s="30">
        <v>17657.325257142857</v>
      </c>
      <c r="AT19" s="31">
        <v>2942.8875428571423</v>
      </c>
      <c r="AU19" s="33">
        <v>13109.450171428573</v>
      </c>
      <c r="AW19" s="27">
        <v>13109.450171428573</v>
      </c>
      <c r="AX19" s="16"/>
      <c r="AY19" s="16"/>
      <c r="AZ19" s="28">
        <v>5.5041095890410956</v>
      </c>
      <c r="BA19" s="29">
        <v>4.4958904109589044</v>
      </c>
      <c r="BB19" s="27">
        <v>1337.9</v>
      </c>
      <c r="BC19" s="30">
        <v>14714.437714285716</v>
      </c>
      <c r="BD19" s="34">
        <v>2942.8875428571423</v>
      </c>
      <c r="BE19" s="33">
        <v>10166.56262857143</v>
      </c>
      <c r="BF19" s="33"/>
      <c r="BG19" s="27">
        <v>10166.56262857143</v>
      </c>
      <c r="BH19" s="16"/>
      <c r="BI19" s="16"/>
      <c r="BJ19" s="28">
        <v>6.5041095890410956</v>
      </c>
      <c r="BK19" s="29">
        <v>3.4958904109589044</v>
      </c>
      <c r="BL19" s="27">
        <v>1337.9</v>
      </c>
      <c r="BM19" s="30">
        <v>8828.6626285714301</v>
      </c>
      <c r="BN19" s="34">
        <v>2942.8875428571423</v>
      </c>
      <c r="BO19" s="35">
        <v>7223.675085714287</v>
      </c>
      <c r="BP19" s="36"/>
      <c r="BQ19" s="27">
        <v>7223.675085714287</v>
      </c>
      <c r="BR19" s="16"/>
      <c r="BS19" s="16"/>
      <c r="BT19" s="28">
        <v>7.5041095890410956</v>
      </c>
      <c r="BU19" s="29">
        <v>2.4958904109589044</v>
      </c>
      <c r="BV19" s="27">
        <v>1337.9</v>
      </c>
      <c r="BW19" s="30">
        <v>5885.7750857142873</v>
      </c>
      <c r="BX19" s="34">
        <v>2942.8875428571423</v>
      </c>
      <c r="BY19" s="35">
        <v>4280.7875428571442</v>
      </c>
      <c r="CA19" s="35">
        <v>4280.7875428571442</v>
      </c>
      <c r="CB19" s="16"/>
      <c r="CC19" s="16"/>
      <c r="CD19" s="28">
        <v>8.506849315068493</v>
      </c>
      <c r="CE19" s="29">
        <v>1.493150684931507</v>
      </c>
      <c r="CF19" s="27">
        <v>1337.9</v>
      </c>
      <c r="CG19" s="30">
        <v>2942.8875428571441</v>
      </c>
      <c r="CH19" s="31">
        <v>2942.8875428571423</v>
      </c>
      <c r="CI19" s="35">
        <v>1337.9000000000019</v>
      </c>
      <c r="CK19" s="36">
        <v>1.8189894035458565E-12</v>
      </c>
      <c r="CL19" s="35">
        <v>1337.9000000000019</v>
      </c>
      <c r="CM19" s="16"/>
      <c r="CN19" s="16"/>
      <c r="CO19" s="28">
        <v>9.506849315068493</v>
      </c>
      <c r="CP19" s="29">
        <v>0.49315068493150704</v>
      </c>
      <c r="CQ19" s="27">
        <v>1337.9</v>
      </c>
      <c r="CR19" s="34">
        <v>1.8189894035458565E-12</v>
      </c>
      <c r="CS19" s="34">
        <v>0</v>
      </c>
      <c r="CT19" s="35">
        <v>1337.9000000000019</v>
      </c>
      <c r="CV19" s="35">
        <v>1.8189894035458565E-12</v>
      </c>
      <c r="CW19" s="35">
        <v>1337.9000000000019</v>
      </c>
      <c r="CX19" s="16"/>
      <c r="CY19" s="16"/>
      <c r="CZ19" s="28">
        <v>11.506849315068493</v>
      </c>
      <c r="DA19" s="29">
        <v>-1.506849315068493</v>
      </c>
      <c r="DB19" s="27">
        <v>1337.9</v>
      </c>
      <c r="DC19" s="34">
        <v>0</v>
      </c>
      <c r="DD19" s="34">
        <v>0</v>
      </c>
      <c r="DE19" s="35">
        <v>1337.9000000000019</v>
      </c>
      <c r="DG19" s="35">
        <v>26758</v>
      </c>
      <c r="DH19" s="35">
        <v>25420.099999999991</v>
      </c>
      <c r="DI19" s="35">
        <f t="shared" si="0"/>
        <v>1337.9000000000087</v>
      </c>
      <c r="DJ19" s="132">
        <f t="shared" si="1"/>
        <v>1337.9000000000087</v>
      </c>
      <c r="DK19" s="132">
        <f t="shared" si="2"/>
        <v>0</v>
      </c>
      <c r="DL19" s="132">
        <f t="shared" si="3"/>
        <v>-6.8212102632969618E-12</v>
      </c>
    </row>
    <row r="20" spans="2:116" s="4" customFormat="1" ht="39" x14ac:dyDescent="0.25">
      <c r="B20" s="13" t="s">
        <v>4</v>
      </c>
      <c r="C20" s="14" t="s">
        <v>4</v>
      </c>
      <c r="D20" s="15" t="s">
        <v>101</v>
      </c>
      <c r="E20" s="15" t="s">
        <v>142</v>
      </c>
      <c r="F20" s="16" t="s">
        <v>141</v>
      </c>
      <c r="G20" s="11" t="s">
        <v>111</v>
      </c>
      <c r="H20" s="17">
        <v>40816</v>
      </c>
      <c r="I20" s="18" t="s">
        <v>419</v>
      </c>
      <c r="J20" s="19">
        <v>3</v>
      </c>
      <c r="K20" s="20">
        <v>10</v>
      </c>
      <c r="L20" s="21">
        <v>7</v>
      </c>
      <c r="M20" s="22">
        <v>26758</v>
      </c>
      <c r="N20" s="23">
        <v>4819.8872000000001</v>
      </c>
      <c r="O20" s="24">
        <v>21938.112799999999</v>
      </c>
      <c r="P20" s="24"/>
      <c r="Q20" s="25">
        <v>7</v>
      </c>
      <c r="R20" s="26">
        <v>1337.9</v>
      </c>
      <c r="S20" s="25">
        <v>20600.212799999998</v>
      </c>
      <c r="T20" s="25">
        <v>2942.8875428571423</v>
      </c>
      <c r="U20" s="25"/>
      <c r="V20" s="25">
        <v>0</v>
      </c>
      <c r="W20" s="25">
        <v>2942.8875428571423</v>
      </c>
      <c r="X20" s="25">
        <v>2942.8875428571423</v>
      </c>
      <c r="Y20" s="25">
        <v>0</v>
      </c>
      <c r="Z20" s="24">
        <v>21938.112799999999</v>
      </c>
      <c r="AA20" s="27">
        <v>18995.225257142858</v>
      </c>
      <c r="AB20" s="16"/>
      <c r="AC20" s="27">
        <v>18995.225257142858</v>
      </c>
      <c r="AD20" s="16"/>
      <c r="AE20" s="16"/>
      <c r="AF20" s="28">
        <v>3.5013698630136987</v>
      </c>
      <c r="AG20" s="29">
        <v>6.4986301369863018</v>
      </c>
      <c r="AH20" s="27">
        <v>1337.9</v>
      </c>
      <c r="AI20" s="30">
        <v>20600.212799999998</v>
      </c>
      <c r="AJ20" s="31">
        <v>2942.8875428571423</v>
      </c>
      <c r="AK20" s="32">
        <v>16052.337714285715</v>
      </c>
      <c r="AL20" s="16"/>
      <c r="AM20" s="27">
        <v>16052.337714285715</v>
      </c>
      <c r="AN20" s="16"/>
      <c r="AO20" s="16"/>
      <c r="AP20" s="28">
        <v>4.5041095890410956</v>
      </c>
      <c r="AQ20" s="29">
        <v>5.4958904109589044</v>
      </c>
      <c r="AR20" s="27">
        <v>1337.9</v>
      </c>
      <c r="AS20" s="30">
        <v>17657.325257142857</v>
      </c>
      <c r="AT20" s="31">
        <v>2942.8875428571423</v>
      </c>
      <c r="AU20" s="33">
        <v>13109.450171428573</v>
      </c>
      <c r="AW20" s="27">
        <v>13109.450171428573</v>
      </c>
      <c r="AX20" s="16"/>
      <c r="AY20" s="16"/>
      <c r="AZ20" s="28">
        <v>5.5041095890410956</v>
      </c>
      <c r="BA20" s="29">
        <v>4.4958904109589044</v>
      </c>
      <c r="BB20" s="27">
        <v>1337.9</v>
      </c>
      <c r="BC20" s="30">
        <v>14714.437714285716</v>
      </c>
      <c r="BD20" s="34">
        <v>2942.8875428571423</v>
      </c>
      <c r="BE20" s="33">
        <v>10166.56262857143</v>
      </c>
      <c r="BF20" s="33"/>
      <c r="BG20" s="27">
        <v>10166.56262857143</v>
      </c>
      <c r="BH20" s="16"/>
      <c r="BI20" s="16"/>
      <c r="BJ20" s="28">
        <v>6.5041095890410956</v>
      </c>
      <c r="BK20" s="29">
        <v>3.4958904109589044</v>
      </c>
      <c r="BL20" s="27">
        <v>1337.9</v>
      </c>
      <c r="BM20" s="30">
        <v>8828.6626285714301</v>
      </c>
      <c r="BN20" s="34">
        <v>2942.8875428571423</v>
      </c>
      <c r="BO20" s="35">
        <v>7223.675085714287</v>
      </c>
      <c r="BP20" s="36"/>
      <c r="BQ20" s="27">
        <v>7223.675085714287</v>
      </c>
      <c r="BR20" s="16"/>
      <c r="BS20" s="16"/>
      <c r="BT20" s="28">
        <v>7.5041095890410956</v>
      </c>
      <c r="BU20" s="29">
        <v>2.4958904109589044</v>
      </c>
      <c r="BV20" s="27">
        <v>1337.9</v>
      </c>
      <c r="BW20" s="30">
        <v>5885.7750857142873</v>
      </c>
      <c r="BX20" s="34">
        <v>2942.8875428571423</v>
      </c>
      <c r="BY20" s="35">
        <v>4280.7875428571442</v>
      </c>
      <c r="CA20" s="35">
        <v>4280.7875428571442</v>
      </c>
      <c r="CB20" s="16"/>
      <c r="CC20" s="16"/>
      <c r="CD20" s="28">
        <v>8.506849315068493</v>
      </c>
      <c r="CE20" s="29">
        <v>1.493150684931507</v>
      </c>
      <c r="CF20" s="27">
        <v>1337.9</v>
      </c>
      <c r="CG20" s="30">
        <v>2942.8875428571441</v>
      </c>
      <c r="CH20" s="31">
        <v>2942.8875428571423</v>
      </c>
      <c r="CI20" s="35">
        <v>1337.9000000000019</v>
      </c>
      <c r="CK20" s="36">
        <v>1.8189894035458565E-12</v>
      </c>
      <c r="CL20" s="35">
        <v>1337.9000000000019</v>
      </c>
      <c r="CM20" s="16"/>
      <c r="CN20" s="16"/>
      <c r="CO20" s="28">
        <v>9.506849315068493</v>
      </c>
      <c r="CP20" s="29">
        <v>0.49315068493150704</v>
      </c>
      <c r="CQ20" s="27">
        <v>1337.9</v>
      </c>
      <c r="CR20" s="34">
        <v>1.8189894035458565E-12</v>
      </c>
      <c r="CS20" s="34">
        <v>0</v>
      </c>
      <c r="CT20" s="35">
        <v>1337.9000000000019</v>
      </c>
      <c r="CV20" s="35">
        <v>1.8189894035458565E-12</v>
      </c>
      <c r="CW20" s="35">
        <v>1337.9000000000019</v>
      </c>
      <c r="CX20" s="16"/>
      <c r="CY20" s="16"/>
      <c r="CZ20" s="28">
        <v>11.506849315068493</v>
      </c>
      <c r="DA20" s="29">
        <v>-1.506849315068493</v>
      </c>
      <c r="DB20" s="27">
        <v>1337.9</v>
      </c>
      <c r="DC20" s="34">
        <v>0</v>
      </c>
      <c r="DD20" s="34">
        <v>0</v>
      </c>
      <c r="DE20" s="35">
        <v>1337.9000000000019</v>
      </c>
      <c r="DG20" s="35">
        <v>26758</v>
      </c>
      <c r="DH20" s="35">
        <v>25420.099999999991</v>
      </c>
      <c r="DI20" s="35">
        <f t="shared" si="0"/>
        <v>1337.9000000000087</v>
      </c>
      <c r="DJ20" s="132">
        <f t="shared" si="1"/>
        <v>1337.9000000000087</v>
      </c>
      <c r="DK20" s="132">
        <f t="shared" si="2"/>
        <v>0</v>
      </c>
      <c r="DL20" s="132">
        <f t="shared" si="3"/>
        <v>-6.8212102632969618E-12</v>
      </c>
    </row>
    <row r="21" spans="2:116" s="4" customFormat="1" ht="39" x14ac:dyDescent="0.25">
      <c r="B21" s="13" t="s">
        <v>4</v>
      </c>
      <c r="C21" s="14" t="s">
        <v>4</v>
      </c>
      <c r="D21" s="15" t="s">
        <v>101</v>
      </c>
      <c r="E21" s="15" t="s">
        <v>143</v>
      </c>
      <c r="F21" s="16" t="s">
        <v>144</v>
      </c>
      <c r="G21" s="11" t="s">
        <v>111</v>
      </c>
      <c r="H21" s="17">
        <v>40844</v>
      </c>
      <c r="I21" s="18" t="s">
        <v>419</v>
      </c>
      <c r="J21" s="19">
        <v>3</v>
      </c>
      <c r="K21" s="20">
        <v>10</v>
      </c>
      <c r="L21" s="21">
        <v>7</v>
      </c>
      <c r="M21" s="22">
        <v>16560</v>
      </c>
      <c r="N21" s="23">
        <v>2982.5039999999999</v>
      </c>
      <c r="O21" s="24">
        <v>13577.495999999999</v>
      </c>
      <c r="P21" s="24"/>
      <c r="Q21" s="25">
        <v>7</v>
      </c>
      <c r="R21" s="26">
        <v>828</v>
      </c>
      <c r="S21" s="25">
        <v>12749.495999999999</v>
      </c>
      <c r="T21" s="25">
        <v>1821.3565714285712</v>
      </c>
      <c r="U21" s="25"/>
      <c r="V21" s="25">
        <v>0</v>
      </c>
      <c r="W21" s="25">
        <v>1821.3565714285712</v>
      </c>
      <c r="X21" s="25">
        <v>1821.3565714285712</v>
      </c>
      <c r="Y21" s="25">
        <v>0</v>
      </c>
      <c r="Z21" s="24">
        <v>13577.495999999999</v>
      </c>
      <c r="AA21" s="27">
        <v>11756.139428571429</v>
      </c>
      <c r="AB21" s="16"/>
      <c r="AC21" s="27">
        <v>11756.139428571429</v>
      </c>
      <c r="AD21" s="16"/>
      <c r="AE21" s="16"/>
      <c r="AF21" s="28">
        <v>3.4246575342465753</v>
      </c>
      <c r="AG21" s="29">
        <v>6.5753424657534243</v>
      </c>
      <c r="AH21" s="27">
        <v>828</v>
      </c>
      <c r="AI21" s="30">
        <v>12749.495999999999</v>
      </c>
      <c r="AJ21" s="31">
        <v>1821.3565714285712</v>
      </c>
      <c r="AK21" s="32">
        <v>9934.7828571428581</v>
      </c>
      <c r="AL21" s="16"/>
      <c r="AM21" s="27">
        <v>9934.7828571428581</v>
      </c>
      <c r="AN21" s="16"/>
      <c r="AO21" s="16"/>
      <c r="AP21" s="28">
        <v>4.4273972602739722</v>
      </c>
      <c r="AQ21" s="29">
        <v>5.5726027397260278</v>
      </c>
      <c r="AR21" s="27">
        <v>828</v>
      </c>
      <c r="AS21" s="30">
        <v>10928.139428571429</v>
      </c>
      <c r="AT21" s="31">
        <v>1821.3565714285712</v>
      </c>
      <c r="AU21" s="33">
        <v>8113.4262857142867</v>
      </c>
      <c r="AW21" s="27">
        <v>8113.4262857142867</v>
      </c>
      <c r="AX21" s="16"/>
      <c r="AY21" s="16"/>
      <c r="AZ21" s="28">
        <v>5.4273972602739722</v>
      </c>
      <c r="BA21" s="29">
        <v>4.5726027397260278</v>
      </c>
      <c r="BB21" s="27">
        <v>828</v>
      </c>
      <c r="BC21" s="30">
        <v>9106.7828571428581</v>
      </c>
      <c r="BD21" s="34">
        <v>1821.3565714285712</v>
      </c>
      <c r="BE21" s="33">
        <v>6292.0697142857152</v>
      </c>
      <c r="BF21" s="33"/>
      <c r="BG21" s="27">
        <v>6292.0697142857152</v>
      </c>
      <c r="BH21" s="16"/>
      <c r="BI21" s="16"/>
      <c r="BJ21" s="28">
        <v>6.4273972602739722</v>
      </c>
      <c r="BK21" s="29">
        <v>3.5726027397260278</v>
      </c>
      <c r="BL21" s="27">
        <v>828</v>
      </c>
      <c r="BM21" s="30">
        <v>5464.0697142857152</v>
      </c>
      <c r="BN21" s="34">
        <v>1821.3565714285712</v>
      </c>
      <c r="BO21" s="35">
        <v>4470.7131428571438</v>
      </c>
      <c r="BP21" s="36"/>
      <c r="BQ21" s="27">
        <v>4470.7131428571438</v>
      </c>
      <c r="BR21" s="16"/>
      <c r="BS21" s="16"/>
      <c r="BT21" s="28">
        <v>7.4273972602739722</v>
      </c>
      <c r="BU21" s="29">
        <v>2.5726027397260278</v>
      </c>
      <c r="BV21" s="27">
        <v>828</v>
      </c>
      <c r="BW21" s="30">
        <v>3642.7131428571438</v>
      </c>
      <c r="BX21" s="34">
        <v>1821.3565714285712</v>
      </c>
      <c r="BY21" s="35">
        <v>2649.3565714285724</v>
      </c>
      <c r="CA21" s="35">
        <v>2649.3565714285724</v>
      </c>
      <c r="CB21" s="16"/>
      <c r="CC21" s="16"/>
      <c r="CD21" s="28">
        <v>8.4301369863013704</v>
      </c>
      <c r="CE21" s="29">
        <v>1.5698630136986296</v>
      </c>
      <c r="CF21" s="27">
        <v>828</v>
      </c>
      <c r="CG21" s="30">
        <v>1821.3565714285724</v>
      </c>
      <c r="CH21" s="31">
        <v>1821.3565714285712</v>
      </c>
      <c r="CI21" s="35">
        <v>828.00000000000114</v>
      </c>
      <c r="CK21" s="36">
        <v>1.1368683772161603E-12</v>
      </c>
      <c r="CL21" s="35">
        <v>828.00000000000114</v>
      </c>
      <c r="CM21" s="16"/>
      <c r="CN21" s="16"/>
      <c r="CO21" s="28">
        <v>9.4301369863013704</v>
      </c>
      <c r="CP21" s="29">
        <v>0.56986301369862957</v>
      </c>
      <c r="CQ21" s="27">
        <v>828</v>
      </c>
      <c r="CR21" s="34">
        <v>1.1368683772161603E-12</v>
      </c>
      <c r="CS21" s="34">
        <v>0</v>
      </c>
      <c r="CT21" s="35">
        <v>828.00000000000114</v>
      </c>
      <c r="CV21" s="35">
        <v>1.1368683772161603E-12</v>
      </c>
      <c r="CW21" s="35">
        <v>828.00000000000114</v>
      </c>
      <c r="CX21" s="16"/>
      <c r="CY21" s="16"/>
      <c r="CZ21" s="28">
        <v>11.43013698630137</v>
      </c>
      <c r="DA21" s="29">
        <v>-1.4301369863013704</v>
      </c>
      <c r="DB21" s="27">
        <v>828</v>
      </c>
      <c r="DC21" s="34">
        <v>0</v>
      </c>
      <c r="DD21" s="34">
        <v>0</v>
      </c>
      <c r="DE21" s="35">
        <v>828.00000000000114</v>
      </c>
      <c r="DG21" s="35">
        <v>16560</v>
      </c>
      <c r="DH21" s="35">
        <v>15731.999999999996</v>
      </c>
      <c r="DI21" s="35">
        <f t="shared" si="0"/>
        <v>828.00000000000364</v>
      </c>
      <c r="DJ21" s="132">
        <f t="shared" si="1"/>
        <v>828.00000000000364</v>
      </c>
      <c r="DK21" s="132">
        <f t="shared" si="2"/>
        <v>0</v>
      </c>
      <c r="DL21" s="132">
        <f t="shared" si="3"/>
        <v>-2.5011104298755527E-12</v>
      </c>
    </row>
    <row r="22" spans="2:116" s="4" customFormat="1" ht="39" x14ac:dyDescent="0.25">
      <c r="B22" s="13" t="s">
        <v>4</v>
      </c>
      <c r="C22" s="14" t="s">
        <v>4</v>
      </c>
      <c r="D22" s="15" t="s">
        <v>101</v>
      </c>
      <c r="E22" s="15" t="s">
        <v>147</v>
      </c>
      <c r="F22" s="16" t="s">
        <v>148</v>
      </c>
      <c r="G22" s="11" t="s">
        <v>111</v>
      </c>
      <c r="H22" s="17">
        <v>40847</v>
      </c>
      <c r="I22" s="18" t="s">
        <v>419</v>
      </c>
      <c r="J22" s="19">
        <v>3</v>
      </c>
      <c r="K22" s="20">
        <v>10</v>
      </c>
      <c r="L22" s="21">
        <v>7</v>
      </c>
      <c r="M22" s="22">
        <v>26758</v>
      </c>
      <c r="N22" s="23">
        <v>4813.8872000000001</v>
      </c>
      <c r="O22" s="24">
        <v>21944.112799999999</v>
      </c>
      <c r="P22" s="24"/>
      <c r="Q22" s="25">
        <v>7</v>
      </c>
      <c r="R22" s="26">
        <v>1337.9</v>
      </c>
      <c r="S22" s="25">
        <v>20606.212799999998</v>
      </c>
      <c r="T22" s="25">
        <v>2943.7446857142854</v>
      </c>
      <c r="U22" s="25"/>
      <c r="V22" s="25">
        <v>0</v>
      </c>
      <c r="W22" s="25">
        <v>2943.7446857142854</v>
      </c>
      <c r="X22" s="25">
        <v>2943.7446857142854</v>
      </c>
      <c r="Y22" s="25">
        <v>0</v>
      </c>
      <c r="Z22" s="24">
        <v>21944.112799999999</v>
      </c>
      <c r="AA22" s="27">
        <v>19000.368114285713</v>
      </c>
      <c r="AB22" s="16"/>
      <c r="AC22" s="27">
        <v>19000.368114285713</v>
      </c>
      <c r="AD22" s="16"/>
      <c r="AE22" s="16"/>
      <c r="AF22" s="28">
        <v>3.4164383561643836</v>
      </c>
      <c r="AG22" s="29">
        <v>6.5835616438356164</v>
      </c>
      <c r="AH22" s="27">
        <v>1337.9</v>
      </c>
      <c r="AI22" s="30">
        <v>20606.212799999998</v>
      </c>
      <c r="AJ22" s="31">
        <v>2943.7446857142854</v>
      </c>
      <c r="AK22" s="32">
        <v>16056.623428571427</v>
      </c>
      <c r="AL22" s="16"/>
      <c r="AM22" s="27">
        <v>16056.623428571427</v>
      </c>
      <c r="AN22" s="16"/>
      <c r="AO22" s="16"/>
      <c r="AP22" s="28">
        <v>4.419178082191781</v>
      </c>
      <c r="AQ22" s="29">
        <v>5.580821917808219</v>
      </c>
      <c r="AR22" s="27">
        <v>1337.9</v>
      </c>
      <c r="AS22" s="30">
        <v>17662.468114285712</v>
      </c>
      <c r="AT22" s="31">
        <v>2943.7446857142854</v>
      </c>
      <c r="AU22" s="33">
        <v>13112.878742857141</v>
      </c>
      <c r="AW22" s="27">
        <v>13112.878742857141</v>
      </c>
      <c r="AX22" s="16"/>
      <c r="AY22" s="16"/>
      <c r="AZ22" s="28">
        <v>5.419178082191781</v>
      </c>
      <c r="BA22" s="29">
        <v>4.580821917808219</v>
      </c>
      <c r="BB22" s="27">
        <v>1337.9</v>
      </c>
      <c r="BC22" s="30">
        <v>14718.723428571428</v>
      </c>
      <c r="BD22" s="34">
        <v>2943.7446857142854</v>
      </c>
      <c r="BE22" s="33">
        <v>10169.134057142855</v>
      </c>
      <c r="BF22" s="33"/>
      <c r="BG22" s="27">
        <v>10169.134057142855</v>
      </c>
      <c r="BH22" s="16"/>
      <c r="BI22" s="16"/>
      <c r="BJ22" s="28">
        <v>6.419178082191781</v>
      </c>
      <c r="BK22" s="29">
        <v>3.580821917808219</v>
      </c>
      <c r="BL22" s="27">
        <v>1337.9</v>
      </c>
      <c r="BM22" s="30">
        <v>8831.2340571428558</v>
      </c>
      <c r="BN22" s="34">
        <v>2943.7446857142854</v>
      </c>
      <c r="BO22" s="35">
        <v>7225.3893714285696</v>
      </c>
      <c r="BP22" s="36"/>
      <c r="BQ22" s="27">
        <v>7225.3893714285696</v>
      </c>
      <c r="BR22" s="16"/>
      <c r="BS22" s="16"/>
      <c r="BT22" s="28">
        <v>7.419178082191781</v>
      </c>
      <c r="BU22" s="29">
        <v>2.580821917808219</v>
      </c>
      <c r="BV22" s="27">
        <v>1337.9</v>
      </c>
      <c r="BW22" s="30">
        <v>5887.4893714285699</v>
      </c>
      <c r="BX22" s="34">
        <v>2943.7446857142854</v>
      </c>
      <c r="BY22" s="35">
        <v>4281.6446857142837</v>
      </c>
      <c r="CA22" s="35">
        <v>4281.6446857142837</v>
      </c>
      <c r="CB22" s="16"/>
      <c r="CC22" s="16"/>
      <c r="CD22" s="28">
        <v>8.4219178082191775</v>
      </c>
      <c r="CE22" s="29">
        <v>1.5780821917808225</v>
      </c>
      <c r="CF22" s="27">
        <v>1337.9</v>
      </c>
      <c r="CG22" s="30">
        <v>2943.7446857142836</v>
      </c>
      <c r="CH22" s="31">
        <v>2943.7446857142854</v>
      </c>
      <c r="CI22" s="35">
        <v>1337.8999999999983</v>
      </c>
      <c r="CK22" s="36">
        <v>-1.8189894035458565E-12</v>
      </c>
      <c r="CL22" s="35">
        <v>1337.8999999999983</v>
      </c>
      <c r="CM22" s="16"/>
      <c r="CN22" s="16"/>
      <c r="CO22" s="28">
        <v>9.4219178082191775</v>
      </c>
      <c r="CP22" s="29">
        <v>0.57808219178082254</v>
      </c>
      <c r="CQ22" s="27">
        <v>1337.9</v>
      </c>
      <c r="CR22" s="34">
        <v>0</v>
      </c>
      <c r="CS22" s="34">
        <v>0</v>
      </c>
      <c r="CT22" s="35">
        <v>1337.8999999999983</v>
      </c>
      <c r="CV22" s="35">
        <v>-1.8189894035458565E-12</v>
      </c>
      <c r="CW22" s="35">
        <v>1337.8999999999983</v>
      </c>
      <c r="CX22" s="16"/>
      <c r="CY22" s="16"/>
      <c r="CZ22" s="28">
        <v>11.421917808219177</v>
      </c>
      <c r="DA22" s="29">
        <v>-1.4219178082191775</v>
      </c>
      <c r="DB22" s="27">
        <v>1337.9</v>
      </c>
      <c r="DC22" s="34">
        <v>0</v>
      </c>
      <c r="DD22" s="34">
        <v>0</v>
      </c>
      <c r="DE22" s="35">
        <v>1337.8999999999983</v>
      </c>
      <c r="DG22" s="35">
        <v>26758</v>
      </c>
      <c r="DH22" s="35">
        <v>25420.1</v>
      </c>
      <c r="DI22" s="35">
        <f t="shared" si="0"/>
        <v>1337.9000000000015</v>
      </c>
      <c r="DJ22" s="132">
        <f t="shared" si="1"/>
        <v>1337.9000000000015</v>
      </c>
      <c r="DK22" s="132">
        <f t="shared" si="2"/>
        <v>0</v>
      </c>
      <c r="DL22" s="132">
        <f t="shared" si="3"/>
        <v>-3.1832314562052488E-12</v>
      </c>
    </row>
    <row r="23" spans="2:116" s="4" customFormat="1" ht="39" x14ac:dyDescent="0.25">
      <c r="B23" s="13" t="s">
        <v>4</v>
      </c>
      <c r="C23" s="14" t="s">
        <v>4</v>
      </c>
      <c r="D23" s="15" t="s">
        <v>101</v>
      </c>
      <c r="E23" s="15" t="s">
        <v>149</v>
      </c>
      <c r="F23" s="16" t="s">
        <v>150</v>
      </c>
      <c r="G23" s="11" t="s">
        <v>111</v>
      </c>
      <c r="H23" s="17">
        <v>40847</v>
      </c>
      <c r="I23" s="18" t="s">
        <v>419</v>
      </c>
      <c r="J23" s="19">
        <v>3</v>
      </c>
      <c r="K23" s="20">
        <v>10</v>
      </c>
      <c r="L23" s="21">
        <v>7</v>
      </c>
      <c r="M23" s="22">
        <v>31680</v>
      </c>
      <c r="N23" s="23">
        <v>5687.3119999999999</v>
      </c>
      <c r="O23" s="24">
        <v>25992.688000000002</v>
      </c>
      <c r="P23" s="24"/>
      <c r="Q23" s="25">
        <v>7</v>
      </c>
      <c r="R23" s="26">
        <v>1584</v>
      </c>
      <c r="S23" s="25">
        <v>24408.688000000002</v>
      </c>
      <c r="T23" s="25">
        <v>3486.9554285714289</v>
      </c>
      <c r="U23" s="25"/>
      <c r="V23" s="25">
        <v>0</v>
      </c>
      <c r="W23" s="25">
        <v>3486.9554285714289</v>
      </c>
      <c r="X23" s="25">
        <v>3486.9554285714289</v>
      </c>
      <c r="Y23" s="25">
        <v>0</v>
      </c>
      <c r="Z23" s="24">
        <v>25992.688000000002</v>
      </c>
      <c r="AA23" s="27">
        <v>22505.732571428573</v>
      </c>
      <c r="AB23" s="16"/>
      <c r="AC23" s="27">
        <v>22505.732571428573</v>
      </c>
      <c r="AD23" s="16"/>
      <c r="AE23" s="16"/>
      <c r="AF23" s="28">
        <v>3.4164383561643836</v>
      </c>
      <c r="AG23" s="29">
        <v>6.5835616438356164</v>
      </c>
      <c r="AH23" s="27">
        <v>1584</v>
      </c>
      <c r="AI23" s="30">
        <v>24408.688000000002</v>
      </c>
      <c r="AJ23" s="31">
        <v>3486.9554285714289</v>
      </c>
      <c r="AK23" s="32">
        <v>19018.777142857143</v>
      </c>
      <c r="AL23" s="16"/>
      <c r="AM23" s="27">
        <v>19018.777142857143</v>
      </c>
      <c r="AN23" s="16"/>
      <c r="AO23" s="16"/>
      <c r="AP23" s="28">
        <v>4.419178082191781</v>
      </c>
      <c r="AQ23" s="29">
        <v>5.580821917808219</v>
      </c>
      <c r="AR23" s="27">
        <v>1584</v>
      </c>
      <c r="AS23" s="30">
        <v>20921.732571428573</v>
      </c>
      <c r="AT23" s="31">
        <v>3486.9554285714289</v>
      </c>
      <c r="AU23" s="33">
        <v>15531.821714285714</v>
      </c>
      <c r="AW23" s="27">
        <v>15531.821714285714</v>
      </c>
      <c r="AX23" s="16"/>
      <c r="AY23" s="16"/>
      <c r="AZ23" s="28">
        <v>5.419178082191781</v>
      </c>
      <c r="BA23" s="29">
        <v>4.580821917808219</v>
      </c>
      <c r="BB23" s="27">
        <v>1584</v>
      </c>
      <c r="BC23" s="30">
        <v>17434.777142857143</v>
      </c>
      <c r="BD23" s="34">
        <v>3486.9554285714289</v>
      </c>
      <c r="BE23" s="33">
        <v>12044.866285714284</v>
      </c>
      <c r="BF23" s="33"/>
      <c r="BG23" s="27">
        <v>12044.866285714284</v>
      </c>
      <c r="BH23" s="16"/>
      <c r="BI23" s="16"/>
      <c r="BJ23" s="28">
        <v>6.419178082191781</v>
      </c>
      <c r="BK23" s="29">
        <v>3.580821917808219</v>
      </c>
      <c r="BL23" s="27">
        <v>1584</v>
      </c>
      <c r="BM23" s="30">
        <v>10460.866285714284</v>
      </c>
      <c r="BN23" s="34">
        <v>3486.9554285714289</v>
      </c>
      <c r="BO23" s="35">
        <v>8557.9108571428551</v>
      </c>
      <c r="BP23" s="36"/>
      <c r="BQ23" s="27">
        <v>8557.9108571428551</v>
      </c>
      <c r="BR23" s="16"/>
      <c r="BS23" s="16"/>
      <c r="BT23" s="28">
        <v>7.419178082191781</v>
      </c>
      <c r="BU23" s="29">
        <v>2.580821917808219</v>
      </c>
      <c r="BV23" s="27">
        <v>1584</v>
      </c>
      <c r="BW23" s="30">
        <v>6973.9108571428551</v>
      </c>
      <c r="BX23" s="34">
        <v>3486.9554285714289</v>
      </c>
      <c r="BY23" s="35">
        <v>5070.9554285714257</v>
      </c>
      <c r="CA23" s="35">
        <v>5070.9554285714257</v>
      </c>
      <c r="CB23" s="16"/>
      <c r="CC23" s="16"/>
      <c r="CD23" s="28">
        <v>8.4219178082191775</v>
      </c>
      <c r="CE23" s="29">
        <v>1.5780821917808225</v>
      </c>
      <c r="CF23" s="27">
        <v>1584</v>
      </c>
      <c r="CG23" s="30">
        <v>3486.9554285714257</v>
      </c>
      <c r="CH23" s="31">
        <v>3486.9554285714289</v>
      </c>
      <c r="CI23" s="35">
        <v>1583.9999999999968</v>
      </c>
      <c r="CK23" s="36">
        <v>-3.1832314562052488E-12</v>
      </c>
      <c r="CL23" s="35">
        <v>1583.9999999999968</v>
      </c>
      <c r="CM23" s="16"/>
      <c r="CN23" s="16"/>
      <c r="CO23" s="28">
        <v>9.4219178082191775</v>
      </c>
      <c r="CP23" s="29">
        <v>0.57808219178082254</v>
      </c>
      <c r="CQ23" s="27">
        <v>1584</v>
      </c>
      <c r="CR23" s="34">
        <v>0</v>
      </c>
      <c r="CS23" s="34">
        <v>0</v>
      </c>
      <c r="CT23" s="35">
        <v>1583.9999999999968</v>
      </c>
      <c r="CV23" s="35">
        <v>-3.1832314562052488E-12</v>
      </c>
      <c r="CW23" s="35">
        <v>1583.9999999999968</v>
      </c>
      <c r="CX23" s="16"/>
      <c r="CY23" s="16"/>
      <c r="CZ23" s="28">
        <v>11.421917808219177</v>
      </c>
      <c r="DA23" s="29">
        <v>-1.4219178082191775</v>
      </c>
      <c r="DB23" s="27">
        <v>1584</v>
      </c>
      <c r="DC23" s="34">
        <v>0</v>
      </c>
      <c r="DD23" s="34">
        <v>0</v>
      </c>
      <c r="DE23" s="35">
        <v>1583.9999999999968</v>
      </c>
      <c r="DG23" s="35">
        <v>31680</v>
      </c>
      <c r="DH23" s="35">
        <v>30096.000000000004</v>
      </c>
      <c r="DI23" s="35">
        <f t="shared" si="0"/>
        <v>1583.9999999999964</v>
      </c>
      <c r="DJ23" s="132">
        <f t="shared" si="1"/>
        <v>1583.9999999999964</v>
      </c>
      <c r="DK23" s="132">
        <f t="shared" si="2"/>
        <v>0</v>
      </c>
      <c r="DL23" s="132">
        <f t="shared" si="3"/>
        <v>0</v>
      </c>
    </row>
    <row r="24" spans="2:116" s="4" customFormat="1" ht="39" x14ac:dyDescent="0.25">
      <c r="B24" s="13" t="s">
        <v>4</v>
      </c>
      <c r="C24" s="14" t="s">
        <v>4</v>
      </c>
      <c r="D24" s="15" t="s">
        <v>101</v>
      </c>
      <c r="E24" s="15" t="s">
        <v>151</v>
      </c>
      <c r="F24" s="16" t="s">
        <v>152</v>
      </c>
      <c r="G24" s="11" t="s">
        <v>111</v>
      </c>
      <c r="H24" s="17">
        <v>40512</v>
      </c>
      <c r="I24" s="18" t="s">
        <v>418</v>
      </c>
      <c r="J24" s="19">
        <v>4</v>
      </c>
      <c r="K24" s="20">
        <v>10</v>
      </c>
      <c r="L24" s="21">
        <v>6</v>
      </c>
      <c r="M24" s="22">
        <v>29250</v>
      </c>
      <c r="N24" s="23">
        <v>8316.7000000000007</v>
      </c>
      <c r="O24" s="24">
        <v>20933.3</v>
      </c>
      <c r="P24" s="24"/>
      <c r="Q24" s="25">
        <v>6</v>
      </c>
      <c r="R24" s="26">
        <v>1462.5</v>
      </c>
      <c r="S24" s="25">
        <v>19470.8</v>
      </c>
      <c r="T24" s="25">
        <v>3245.1333333333332</v>
      </c>
      <c r="U24" s="25"/>
      <c r="V24" s="25">
        <v>0</v>
      </c>
      <c r="W24" s="25">
        <v>3245.1333333333332</v>
      </c>
      <c r="X24" s="25">
        <v>3245.1333333333332</v>
      </c>
      <c r="Y24" s="25">
        <v>0</v>
      </c>
      <c r="Z24" s="24">
        <v>20933.3</v>
      </c>
      <c r="AA24" s="27">
        <v>17688.166666666664</v>
      </c>
      <c r="AB24" s="16"/>
      <c r="AC24" s="27">
        <v>17688.166666666664</v>
      </c>
      <c r="AD24" s="16"/>
      <c r="AE24" s="16"/>
      <c r="AF24" s="28">
        <v>4.3342465753424655</v>
      </c>
      <c r="AG24" s="29">
        <v>5.6657534246575345</v>
      </c>
      <c r="AH24" s="27">
        <v>1462.5</v>
      </c>
      <c r="AI24" s="30">
        <v>19470.8</v>
      </c>
      <c r="AJ24" s="31">
        <v>3245.1333333333332</v>
      </c>
      <c r="AK24" s="32">
        <v>14443.033333333331</v>
      </c>
      <c r="AL24" s="16"/>
      <c r="AM24" s="27">
        <v>14443.033333333331</v>
      </c>
      <c r="AN24" s="16"/>
      <c r="AO24" s="16"/>
      <c r="AP24" s="28">
        <v>5.3369863013698629</v>
      </c>
      <c r="AQ24" s="29">
        <v>4.6630136986301371</v>
      </c>
      <c r="AR24" s="27">
        <v>1462.5</v>
      </c>
      <c r="AS24" s="30">
        <v>16225.666666666664</v>
      </c>
      <c r="AT24" s="31">
        <v>3245.1333333333332</v>
      </c>
      <c r="AU24" s="33">
        <v>11197.899999999998</v>
      </c>
      <c r="AW24" s="27">
        <v>11197.899999999998</v>
      </c>
      <c r="AX24" s="16"/>
      <c r="AY24" s="16"/>
      <c r="AZ24" s="28">
        <v>6.3369863013698629</v>
      </c>
      <c r="BA24" s="29">
        <v>3.6630136986301371</v>
      </c>
      <c r="BB24" s="27">
        <v>1462.5</v>
      </c>
      <c r="BC24" s="30">
        <v>12980.533333333331</v>
      </c>
      <c r="BD24" s="34">
        <v>3245.1333333333332</v>
      </c>
      <c r="BE24" s="33">
        <v>7952.7666666666646</v>
      </c>
      <c r="BF24" s="33"/>
      <c r="BG24" s="27">
        <v>7952.7666666666646</v>
      </c>
      <c r="BH24" s="16"/>
      <c r="BI24" s="16"/>
      <c r="BJ24" s="28">
        <v>7.3369863013698629</v>
      </c>
      <c r="BK24" s="29">
        <v>2.6630136986301371</v>
      </c>
      <c r="BL24" s="27">
        <v>1462.5</v>
      </c>
      <c r="BM24" s="30">
        <v>6490.2666666666646</v>
      </c>
      <c r="BN24" s="34">
        <v>3245.1333333333332</v>
      </c>
      <c r="BO24" s="35">
        <v>4707.6333333333314</v>
      </c>
      <c r="BP24" s="36"/>
      <c r="BQ24" s="27">
        <v>4707.6333333333314</v>
      </c>
      <c r="BR24" s="16"/>
      <c r="BS24" s="16"/>
      <c r="BT24" s="28">
        <v>8.3369863013698637</v>
      </c>
      <c r="BU24" s="29">
        <v>1.6630136986301363</v>
      </c>
      <c r="BV24" s="27">
        <v>1462.5</v>
      </c>
      <c r="BW24" s="30">
        <v>3245.1333333333314</v>
      </c>
      <c r="BX24" s="34">
        <v>3245.1333333333332</v>
      </c>
      <c r="BY24" s="35">
        <v>1462.4999999999982</v>
      </c>
      <c r="CA24" s="35">
        <v>1462.4999999999982</v>
      </c>
      <c r="CB24" s="16"/>
      <c r="CC24" s="16"/>
      <c r="CD24" s="28">
        <v>9.3397260273972602</v>
      </c>
      <c r="CE24" s="29">
        <v>0.66027397260273979</v>
      </c>
      <c r="CF24" s="27">
        <v>1462.5</v>
      </c>
      <c r="CG24" s="30">
        <v>0</v>
      </c>
      <c r="CH24" s="31"/>
      <c r="CI24" s="35">
        <v>1462.4999999999982</v>
      </c>
      <c r="CK24" s="36">
        <v>-1.8189894035458565E-12</v>
      </c>
      <c r="CL24" s="35">
        <v>1462.4999999999982</v>
      </c>
      <c r="CM24" s="16"/>
      <c r="CN24" s="16"/>
      <c r="CO24" s="28">
        <v>10.33972602739726</v>
      </c>
      <c r="CP24" s="29">
        <v>-0.33972602739726021</v>
      </c>
      <c r="CQ24" s="27">
        <v>1462.5</v>
      </c>
      <c r="CR24" s="34">
        <v>0</v>
      </c>
      <c r="CS24" s="34">
        <v>0</v>
      </c>
      <c r="CT24" s="35">
        <v>1462.4999999999982</v>
      </c>
      <c r="CV24" s="35">
        <v>-1.8189894035458565E-12</v>
      </c>
      <c r="CW24" s="35">
        <v>1462.4999999999982</v>
      </c>
      <c r="CX24" s="16"/>
      <c r="CY24" s="16"/>
      <c r="CZ24" s="28">
        <v>12.33972602739726</v>
      </c>
      <c r="DA24" s="29">
        <v>-2.3397260273972602</v>
      </c>
      <c r="DB24" s="27">
        <v>1462.5</v>
      </c>
      <c r="DC24" s="34">
        <v>0</v>
      </c>
      <c r="DD24" s="34">
        <v>0</v>
      </c>
      <c r="DE24" s="35">
        <v>1462.4999999999982</v>
      </c>
      <c r="DG24" s="35">
        <v>29250</v>
      </c>
      <c r="DH24" s="35">
        <v>27787.499999999993</v>
      </c>
      <c r="DI24" s="35">
        <f t="shared" si="0"/>
        <v>1462.5000000000073</v>
      </c>
      <c r="DJ24" s="132">
        <f t="shared" si="1"/>
        <v>1462.5000000000073</v>
      </c>
      <c r="DK24" s="132">
        <f t="shared" si="2"/>
        <v>0</v>
      </c>
      <c r="DL24" s="132">
        <f t="shared" si="3"/>
        <v>-9.0949470177292824E-12</v>
      </c>
    </row>
    <row r="25" spans="2:116" s="4" customFormat="1" ht="39" x14ac:dyDescent="0.25">
      <c r="B25" s="13" t="s">
        <v>4</v>
      </c>
      <c r="C25" s="14" t="s">
        <v>4</v>
      </c>
      <c r="D25" s="15" t="s">
        <v>101</v>
      </c>
      <c r="E25" s="15" t="s">
        <v>153</v>
      </c>
      <c r="F25" s="16" t="s">
        <v>154</v>
      </c>
      <c r="G25" s="11" t="s">
        <v>111</v>
      </c>
      <c r="H25" s="17">
        <v>40908</v>
      </c>
      <c r="I25" s="18" t="s">
        <v>419</v>
      </c>
      <c r="J25" s="19">
        <v>3</v>
      </c>
      <c r="K25" s="20">
        <v>10</v>
      </c>
      <c r="L25" s="21">
        <v>7</v>
      </c>
      <c r="M25" s="22">
        <v>350857</v>
      </c>
      <c r="N25" s="23">
        <v>57777.178800000002</v>
      </c>
      <c r="O25" s="24">
        <v>293079.82120000001</v>
      </c>
      <c r="P25" s="24"/>
      <c r="Q25" s="25">
        <v>7</v>
      </c>
      <c r="R25" s="26">
        <v>17542.850000000002</v>
      </c>
      <c r="S25" s="25">
        <v>275536.97120000003</v>
      </c>
      <c r="T25" s="25">
        <v>39362.424457142864</v>
      </c>
      <c r="U25" s="25"/>
      <c r="V25" s="25">
        <v>0</v>
      </c>
      <c r="W25" s="25">
        <v>39362.424457142864</v>
      </c>
      <c r="X25" s="25">
        <v>39362.424457142864</v>
      </c>
      <c r="Y25" s="25">
        <v>0</v>
      </c>
      <c r="Z25" s="24">
        <v>293079.82120000001</v>
      </c>
      <c r="AA25" s="27">
        <v>253717.39674285715</v>
      </c>
      <c r="AB25" s="16"/>
      <c r="AC25" s="27">
        <v>253717.39674285715</v>
      </c>
      <c r="AD25" s="16"/>
      <c r="AE25" s="16"/>
      <c r="AF25" s="28">
        <v>3.2493150684931509</v>
      </c>
      <c r="AG25" s="29">
        <v>6.7506849315068491</v>
      </c>
      <c r="AH25" s="27">
        <v>17542.850000000002</v>
      </c>
      <c r="AI25" s="30">
        <v>275536.97120000003</v>
      </c>
      <c r="AJ25" s="31">
        <v>39362.424457142864</v>
      </c>
      <c r="AK25" s="32">
        <v>214354.97228571429</v>
      </c>
      <c r="AL25" s="16"/>
      <c r="AM25" s="27">
        <v>214354.97228571429</v>
      </c>
      <c r="AN25" s="16"/>
      <c r="AO25" s="16"/>
      <c r="AP25" s="28">
        <v>4.2520547945205482</v>
      </c>
      <c r="AQ25" s="29">
        <v>5.7479452054794518</v>
      </c>
      <c r="AR25" s="27">
        <v>17542.850000000002</v>
      </c>
      <c r="AS25" s="30">
        <v>236174.54674285714</v>
      </c>
      <c r="AT25" s="31">
        <v>39362.424457142864</v>
      </c>
      <c r="AU25" s="33">
        <v>174992.54782857143</v>
      </c>
      <c r="AW25" s="27">
        <v>174992.54782857143</v>
      </c>
      <c r="AX25" s="16"/>
      <c r="AY25" s="16"/>
      <c r="AZ25" s="28">
        <v>5.2520547945205482</v>
      </c>
      <c r="BA25" s="29">
        <v>4.7479452054794518</v>
      </c>
      <c r="BB25" s="27">
        <v>17542.850000000002</v>
      </c>
      <c r="BC25" s="30">
        <v>196812.12228571429</v>
      </c>
      <c r="BD25" s="34">
        <v>39362.424457142864</v>
      </c>
      <c r="BE25" s="33">
        <v>135630.12337142858</v>
      </c>
      <c r="BF25" s="33"/>
      <c r="BG25" s="27">
        <v>135630.12337142858</v>
      </c>
      <c r="BH25" s="16"/>
      <c r="BI25" s="16"/>
      <c r="BJ25" s="28">
        <v>6.2520547945205482</v>
      </c>
      <c r="BK25" s="29">
        <v>3.7479452054794518</v>
      </c>
      <c r="BL25" s="27">
        <v>17542.850000000002</v>
      </c>
      <c r="BM25" s="30">
        <v>118087.27337142857</v>
      </c>
      <c r="BN25" s="34">
        <v>39362.424457142864</v>
      </c>
      <c r="BO25" s="35">
        <v>96267.69891428572</v>
      </c>
      <c r="BP25" s="36"/>
      <c r="BQ25" s="27">
        <v>96267.69891428572</v>
      </c>
      <c r="BR25" s="16"/>
      <c r="BS25" s="16"/>
      <c r="BT25" s="28">
        <v>7.2520547945205482</v>
      </c>
      <c r="BU25" s="29">
        <v>2.7479452054794518</v>
      </c>
      <c r="BV25" s="27">
        <v>17542.850000000002</v>
      </c>
      <c r="BW25" s="30">
        <v>78724.848914285714</v>
      </c>
      <c r="BX25" s="34">
        <v>39362.424457142864</v>
      </c>
      <c r="BY25" s="35">
        <v>56905.274457142856</v>
      </c>
      <c r="CA25" s="35">
        <v>56905.274457142856</v>
      </c>
      <c r="CB25" s="16"/>
      <c r="CC25" s="16"/>
      <c r="CD25" s="28">
        <v>8.2547945205479447</v>
      </c>
      <c r="CE25" s="29">
        <v>1.7452054794520553</v>
      </c>
      <c r="CF25" s="27">
        <v>17542.850000000002</v>
      </c>
      <c r="CG25" s="30">
        <v>39362.424457142857</v>
      </c>
      <c r="CH25" s="31">
        <v>39362.424457142864</v>
      </c>
      <c r="CI25" s="35">
        <v>17542.849999999991</v>
      </c>
      <c r="CK25" s="36">
        <v>0</v>
      </c>
      <c r="CL25" s="35">
        <v>17542.849999999991</v>
      </c>
      <c r="CM25" s="16"/>
      <c r="CN25" s="16"/>
      <c r="CO25" s="28">
        <v>9.2547945205479447</v>
      </c>
      <c r="CP25" s="29">
        <v>0.74520547945205529</v>
      </c>
      <c r="CQ25" s="27">
        <v>17542.850000000002</v>
      </c>
      <c r="CR25" s="34">
        <v>0</v>
      </c>
      <c r="CS25" s="34">
        <v>0</v>
      </c>
      <c r="CT25" s="35">
        <v>17542.849999999991</v>
      </c>
      <c r="CV25" s="35">
        <v>0</v>
      </c>
      <c r="CW25" s="35">
        <v>17542.849999999991</v>
      </c>
      <c r="CX25" s="16"/>
      <c r="CY25" s="16"/>
      <c r="CZ25" s="28">
        <v>11.254794520547945</v>
      </c>
      <c r="DA25" s="29">
        <v>-1.2547945205479447</v>
      </c>
      <c r="DB25" s="27">
        <v>17542.850000000002</v>
      </c>
      <c r="DC25" s="34">
        <v>0</v>
      </c>
      <c r="DD25" s="34">
        <v>0</v>
      </c>
      <c r="DE25" s="35">
        <v>17542.849999999991</v>
      </c>
      <c r="DG25" s="35">
        <v>350857</v>
      </c>
      <c r="DH25" s="35">
        <v>333314.15000000008</v>
      </c>
      <c r="DI25" s="35">
        <f t="shared" si="0"/>
        <v>17542.849999999919</v>
      </c>
      <c r="DJ25" s="132">
        <f t="shared" si="1"/>
        <v>17542.849999999919</v>
      </c>
      <c r="DK25" s="132">
        <f t="shared" si="2"/>
        <v>0</v>
      </c>
      <c r="DL25" s="132">
        <f t="shared" si="3"/>
        <v>7.2759576141834259E-11</v>
      </c>
    </row>
    <row r="26" spans="2:116" s="4" customFormat="1" ht="39" x14ac:dyDescent="0.25">
      <c r="B26" s="13" t="s">
        <v>4</v>
      </c>
      <c r="C26" s="14" t="s">
        <v>4</v>
      </c>
      <c r="D26" s="15" t="s">
        <v>101</v>
      </c>
      <c r="E26" s="15" t="s">
        <v>155</v>
      </c>
      <c r="F26" s="16" t="s">
        <v>156</v>
      </c>
      <c r="G26" s="11" t="s">
        <v>111</v>
      </c>
      <c r="H26" s="17">
        <v>40908</v>
      </c>
      <c r="I26" s="18" t="s">
        <v>419</v>
      </c>
      <c r="J26" s="19">
        <v>3</v>
      </c>
      <c r="K26" s="20">
        <v>10</v>
      </c>
      <c r="L26" s="21">
        <v>7</v>
      </c>
      <c r="M26" s="22">
        <v>11235</v>
      </c>
      <c r="N26" s="23">
        <v>1877.2740000000003</v>
      </c>
      <c r="O26" s="24">
        <v>9357.7259999999987</v>
      </c>
      <c r="P26" s="24"/>
      <c r="Q26" s="25">
        <v>7</v>
      </c>
      <c r="R26" s="26">
        <v>561.75</v>
      </c>
      <c r="S26" s="25">
        <v>8795.9759999999987</v>
      </c>
      <c r="T26" s="25">
        <v>1256.5679999999998</v>
      </c>
      <c r="U26" s="25"/>
      <c r="V26" s="25">
        <v>0</v>
      </c>
      <c r="W26" s="25">
        <v>1256.5679999999998</v>
      </c>
      <c r="X26" s="25">
        <v>1256.5679999999998</v>
      </c>
      <c r="Y26" s="25">
        <v>0</v>
      </c>
      <c r="Z26" s="24">
        <v>9357.7259999999987</v>
      </c>
      <c r="AA26" s="27">
        <v>8101.1579999999994</v>
      </c>
      <c r="AB26" s="16"/>
      <c r="AC26" s="27">
        <v>8101.1579999999994</v>
      </c>
      <c r="AD26" s="16"/>
      <c r="AE26" s="16"/>
      <c r="AF26" s="28">
        <v>3.2493150684931509</v>
      </c>
      <c r="AG26" s="29">
        <v>6.7506849315068491</v>
      </c>
      <c r="AH26" s="27">
        <v>561.75</v>
      </c>
      <c r="AI26" s="30">
        <v>8795.9759999999987</v>
      </c>
      <c r="AJ26" s="31">
        <v>1256.5679999999998</v>
      </c>
      <c r="AK26" s="32">
        <v>6844.59</v>
      </c>
      <c r="AL26" s="16"/>
      <c r="AM26" s="27">
        <v>6844.59</v>
      </c>
      <c r="AN26" s="16"/>
      <c r="AO26" s="16"/>
      <c r="AP26" s="28">
        <v>4.2520547945205482</v>
      </c>
      <c r="AQ26" s="29">
        <v>5.7479452054794518</v>
      </c>
      <c r="AR26" s="27">
        <v>561.75</v>
      </c>
      <c r="AS26" s="30">
        <v>7539.4079999999994</v>
      </c>
      <c r="AT26" s="31">
        <v>1256.5679999999998</v>
      </c>
      <c r="AU26" s="33">
        <v>5588.0220000000008</v>
      </c>
      <c r="AW26" s="27">
        <v>5588.0220000000008</v>
      </c>
      <c r="AX26" s="16"/>
      <c r="AY26" s="16"/>
      <c r="AZ26" s="28">
        <v>5.2520547945205482</v>
      </c>
      <c r="BA26" s="29">
        <v>4.7479452054794518</v>
      </c>
      <c r="BB26" s="27">
        <v>561.75</v>
      </c>
      <c r="BC26" s="30">
        <v>6282.84</v>
      </c>
      <c r="BD26" s="34">
        <v>1256.5679999999998</v>
      </c>
      <c r="BE26" s="33">
        <v>4331.4540000000015</v>
      </c>
      <c r="BF26" s="33"/>
      <c r="BG26" s="27">
        <v>4331.4540000000015</v>
      </c>
      <c r="BH26" s="16"/>
      <c r="BI26" s="16"/>
      <c r="BJ26" s="28">
        <v>6.2520547945205482</v>
      </c>
      <c r="BK26" s="29">
        <v>3.7479452054794518</v>
      </c>
      <c r="BL26" s="27">
        <v>561.75</v>
      </c>
      <c r="BM26" s="30">
        <v>3769.7040000000015</v>
      </c>
      <c r="BN26" s="34">
        <v>1256.5679999999998</v>
      </c>
      <c r="BO26" s="35">
        <v>3074.8860000000018</v>
      </c>
      <c r="BP26" s="36"/>
      <c r="BQ26" s="27">
        <v>3074.8860000000018</v>
      </c>
      <c r="BR26" s="16"/>
      <c r="BS26" s="16"/>
      <c r="BT26" s="28">
        <v>7.2520547945205482</v>
      </c>
      <c r="BU26" s="29">
        <v>2.7479452054794518</v>
      </c>
      <c r="BV26" s="27">
        <v>561.75</v>
      </c>
      <c r="BW26" s="30">
        <v>2513.1360000000018</v>
      </c>
      <c r="BX26" s="34">
        <v>1256.5679999999998</v>
      </c>
      <c r="BY26" s="35">
        <v>1818.318000000002</v>
      </c>
      <c r="CA26" s="35">
        <v>1818.318000000002</v>
      </c>
      <c r="CB26" s="16"/>
      <c r="CC26" s="16"/>
      <c r="CD26" s="28">
        <v>8.2547945205479447</v>
      </c>
      <c r="CE26" s="29">
        <v>1.7452054794520553</v>
      </c>
      <c r="CF26" s="27">
        <v>561.75</v>
      </c>
      <c r="CG26" s="30">
        <v>1256.568000000002</v>
      </c>
      <c r="CH26" s="31">
        <v>1256.5679999999998</v>
      </c>
      <c r="CI26" s="35">
        <v>561.75000000000227</v>
      </c>
      <c r="CK26" s="36">
        <v>2.2737367544323206E-12</v>
      </c>
      <c r="CL26" s="35">
        <v>561.75000000000227</v>
      </c>
      <c r="CM26" s="16"/>
      <c r="CN26" s="16"/>
      <c r="CO26" s="28">
        <v>9.2547945205479447</v>
      </c>
      <c r="CP26" s="29">
        <v>0.74520547945205529</v>
      </c>
      <c r="CQ26" s="27">
        <v>561.75</v>
      </c>
      <c r="CR26" s="34">
        <v>2.2737367544323206E-12</v>
      </c>
      <c r="CS26" s="34">
        <v>0</v>
      </c>
      <c r="CT26" s="35">
        <v>561.75000000000227</v>
      </c>
      <c r="CV26" s="35">
        <v>2.2737367544323206E-12</v>
      </c>
      <c r="CW26" s="35">
        <v>561.75000000000227</v>
      </c>
      <c r="CX26" s="16"/>
      <c r="CY26" s="16"/>
      <c r="CZ26" s="28">
        <v>11.254794520547945</v>
      </c>
      <c r="DA26" s="29">
        <v>-1.2547945205479447</v>
      </c>
      <c r="DB26" s="27">
        <v>561.75</v>
      </c>
      <c r="DC26" s="34">
        <v>0</v>
      </c>
      <c r="DD26" s="34">
        <v>0</v>
      </c>
      <c r="DE26" s="35">
        <v>561.75000000000227</v>
      </c>
      <c r="DG26" s="35">
        <v>11235</v>
      </c>
      <c r="DH26" s="35">
        <v>10673.249999999996</v>
      </c>
      <c r="DI26" s="35">
        <f t="shared" si="0"/>
        <v>561.75000000000364</v>
      </c>
      <c r="DJ26" s="132">
        <f t="shared" si="1"/>
        <v>561.75000000000364</v>
      </c>
      <c r="DK26" s="132">
        <f t="shared" si="2"/>
        <v>0</v>
      </c>
      <c r="DL26" s="132">
        <f t="shared" si="3"/>
        <v>-1.3642420526593924E-12</v>
      </c>
    </row>
    <row r="27" spans="2:116" s="4" customFormat="1" ht="39" x14ac:dyDescent="0.25">
      <c r="B27" s="13" t="s">
        <v>4</v>
      </c>
      <c r="C27" s="14" t="s">
        <v>4</v>
      </c>
      <c r="D27" s="15" t="s">
        <v>101</v>
      </c>
      <c r="E27" s="15" t="s">
        <v>157</v>
      </c>
      <c r="F27" s="16" t="s">
        <v>158</v>
      </c>
      <c r="G27" s="11" t="s">
        <v>111</v>
      </c>
      <c r="H27" s="17">
        <v>40939</v>
      </c>
      <c r="I27" s="18" t="s">
        <v>419</v>
      </c>
      <c r="J27" s="19">
        <v>2</v>
      </c>
      <c r="K27" s="20">
        <v>10</v>
      </c>
      <c r="L27" s="21">
        <v>8</v>
      </c>
      <c r="M27" s="22">
        <v>6234</v>
      </c>
      <c r="N27" s="23">
        <v>1002.1256000000001</v>
      </c>
      <c r="O27" s="24">
        <v>5231.8743999999997</v>
      </c>
      <c r="P27" s="24"/>
      <c r="Q27" s="25">
        <v>8</v>
      </c>
      <c r="R27" s="26">
        <v>311.70000000000005</v>
      </c>
      <c r="S27" s="25">
        <v>4920.1743999999999</v>
      </c>
      <c r="T27" s="25">
        <v>615.02179999999998</v>
      </c>
      <c r="U27" s="25"/>
      <c r="V27" s="25">
        <v>0</v>
      </c>
      <c r="W27" s="25">
        <v>615.02179999999998</v>
      </c>
      <c r="X27" s="25">
        <v>615.02179999999998</v>
      </c>
      <c r="Y27" s="25">
        <v>0</v>
      </c>
      <c r="Z27" s="24">
        <v>5231.8743999999997</v>
      </c>
      <c r="AA27" s="27">
        <v>4616.8526000000002</v>
      </c>
      <c r="AB27" s="16"/>
      <c r="AC27" s="27">
        <v>4616.8526000000002</v>
      </c>
      <c r="AD27" s="16"/>
      <c r="AE27" s="16"/>
      <c r="AF27" s="28">
        <v>3.1643835616438358</v>
      </c>
      <c r="AG27" s="29">
        <v>6.8356164383561637</v>
      </c>
      <c r="AH27" s="27">
        <v>311.70000000000005</v>
      </c>
      <c r="AI27" s="30">
        <v>4920.1743999999999</v>
      </c>
      <c r="AJ27" s="31">
        <v>615.02179999999998</v>
      </c>
      <c r="AK27" s="32">
        <v>4001.8308000000002</v>
      </c>
      <c r="AL27" s="16"/>
      <c r="AM27" s="27">
        <v>4001.8308000000002</v>
      </c>
      <c r="AN27" s="16"/>
      <c r="AO27" s="16"/>
      <c r="AP27" s="28">
        <v>4.1671232876712327</v>
      </c>
      <c r="AQ27" s="29">
        <v>5.8328767123287673</v>
      </c>
      <c r="AR27" s="27">
        <v>311.70000000000005</v>
      </c>
      <c r="AS27" s="30">
        <v>4305.1526000000003</v>
      </c>
      <c r="AT27" s="31">
        <v>615.02179999999998</v>
      </c>
      <c r="AU27" s="33">
        <v>3386.8090000000002</v>
      </c>
      <c r="AW27" s="27">
        <v>3386.8090000000002</v>
      </c>
      <c r="AX27" s="16"/>
      <c r="AY27" s="16"/>
      <c r="AZ27" s="28">
        <v>5.1671232876712327</v>
      </c>
      <c r="BA27" s="29">
        <v>4.8328767123287673</v>
      </c>
      <c r="BB27" s="27">
        <v>311.70000000000005</v>
      </c>
      <c r="BC27" s="30">
        <v>3690.1307999999999</v>
      </c>
      <c r="BD27" s="34">
        <v>615.02179999999998</v>
      </c>
      <c r="BE27" s="33">
        <v>2771.7872000000002</v>
      </c>
      <c r="BF27" s="33"/>
      <c r="BG27" s="27">
        <v>2771.7872000000002</v>
      </c>
      <c r="BH27" s="16"/>
      <c r="BI27" s="16"/>
      <c r="BJ27" s="28">
        <v>6.1671232876712327</v>
      </c>
      <c r="BK27" s="29">
        <v>3.8328767123287673</v>
      </c>
      <c r="BL27" s="27">
        <v>311.70000000000005</v>
      </c>
      <c r="BM27" s="30">
        <v>2460.0871999999999</v>
      </c>
      <c r="BN27" s="34">
        <v>615.02179999999998</v>
      </c>
      <c r="BO27" s="35">
        <v>2156.7654000000002</v>
      </c>
      <c r="BP27" s="36"/>
      <c r="BQ27" s="27">
        <v>2156.7654000000002</v>
      </c>
      <c r="BR27" s="16"/>
      <c r="BS27" s="16"/>
      <c r="BT27" s="28">
        <v>7.1671232876712327</v>
      </c>
      <c r="BU27" s="29">
        <v>2.8328767123287673</v>
      </c>
      <c r="BV27" s="27">
        <v>311.70000000000005</v>
      </c>
      <c r="BW27" s="30">
        <v>1845.0654000000002</v>
      </c>
      <c r="BX27" s="34">
        <v>615.02179999999998</v>
      </c>
      <c r="BY27" s="35">
        <v>1541.7436000000002</v>
      </c>
      <c r="CA27" s="35">
        <v>1541.7436000000002</v>
      </c>
      <c r="CB27" s="16"/>
      <c r="CC27" s="16"/>
      <c r="CD27" s="28">
        <v>8.169863013698631</v>
      </c>
      <c r="CE27" s="29">
        <v>1.830136986301369</v>
      </c>
      <c r="CF27" s="27">
        <v>311.70000000000005</v>
      </c>
      <c r="CG27" s="30">
        <v>1230.0436000000002</v>
      </c>
      <c r="CH27" s="31">
        <v>615.02179999999998</v>
      </c>
      <c r="CI27" s="35">
        <v>926.72180000000026</v>
      </c>
      <c r="CK27" s="36">
        <v>615.02180000000021</v>
      </c>
      <c r="CL27" s="35">
        <v>926.72180000000026</v>
      </c>
      <c r="CM27" s="16"/>
      <c r="CN27" s="16"/>
      <c r="CO27" s="28">
        <v>9.169863013698631</v>
      </c>
      <c r="CP27" s="29">
        <v>0.83013698630136901</v>
      </c>
      <c r="CQ27" s="27">
        <v>311.70000000000005</v>
      </c>
      <c r="CR27" s="34">
        <v>615.02180000000021</v>
      </c>
      <c r="CS27" s="34">
        <v>615.02180000000021</v>
      </c>
      <c r="CT27" s="35">
        <v>311.70000000000005</v>
      </c>
      <c r="CV27" s="35">
        <v>0</v>
      </c>
      <c r="CW27" s="35">
        <v>311.70000000000005</v>
      </c>
      <c r="CX27" s="16"/>
      <c r="CY27" s="16"/>
      <c r="CZ27" s="28">
        <v>11.169863013698631</v>
      </c>
      <c r="DA27" s="29">
        <v>-1.169863013698631</v>
      </c>
      <c r="DB27" s="27">
        <v>311.70000000000005</v>
      </c>
      <c r="DC27" s="34">
        <v>0</v>
      </c>
      <c r="DD27" s="34"/>
      <c r="DE27" s="35">
        <v>311.70000000000005</v>
      </c>
      <c r="DG27" s="35">
        <v>6234</v>
      </c>
      <c r="DH27" s="35">
        <v>5922.3000000000011</v>
      </c>
      <c r="DI27" s="35">
        <f t="shared" si="0"/>
        <v>311.69999999999891</v>
      </c>
      <c r="DJ27" s="132">
        <f t="shared" si="1"/>
        <v>311.69999999999891</v>
      </c>
      <c r="DK27" s="132">
        <f t="shared" si="2"/>
        <v>0</v>
      </c>
      <c r="DL27" s="132">
        <f t="shared" si="3"/>
        <v>1.1368683772161603E-12</v>
      </c>
    </row>
    <row r="28" spans="2:116" s="4" customFormat="1" ht="39" x14ac:dyDescent="0.25">
      <c r="B28" s="13" t="s">
        <v>4</v>
      </c>
      <c r="C28" s="14" t="s">
        <v>4</v>
      </c>
      <c r="D28" s="15" t="s">
        <v>101</v>
      </c>
      <c r="E28" s="15" t="s">
        <v>159</v>
      </c>
      <c r="F28" s="16" t="s">
        <v>160</v>
      </c>
      <c r="G28" s="11" t="s">
        <v>111</v>
      </c>
      <c r="H28" s="17">
        <v>40939</v>
      </c>
      <c r="I28" s="18" t="s">
        <v>419</v>
      </c>
      <c r="J28" s="19">
        <v>2</v>
      </c>
      <c r="K28" s="20">
        <v>10</v>
      </c>
      <c r="L28" s="21">
        <v>8</v>
      </c>
      <c r="M28" s="22">
        <v>26758</v>
      </c>
      <c r="N28" s="23">
        <v>4302.8872000000001</v>
      </c>
      <c r="O28" s="24">
        <v>22455.112799999999</v>
      </c>
      <c r="P28" s="24"/>
      <c r="Q28" s="25">
        <v>8</v>
      </c>
      <c r="R28" s="26">
        <v>1337.9</v>
      </c>
      <c r="S28" s="25">
        <v>21117.212799999998</v>
      </c>
      <c r="T28" s="25">
        <v>2639.6515999999997</v>
      </c>
      <c r="U28" s="25"/>
      <c r="V28" s="25">
        <v>0</v>
      </c>
      <c r="W28" s="25">
        <v>2639.6515999999997</v>
      </c>
      <c r="X28" s="25">
        <v>2639.6515999999997</v>
      </c>
      <c r="Y28" s="25">
        <v>0</v>
      </c>
      <c r="Z28" s="24">
        <v>22455.112799999999</v>
      </c>
      <c r="AA28" s="27">
        <v>19815.461199999998</v>
      </c>
      <c r="AB28" s="16"/>
      <c r="AC28" s="27">
        <v>19815.461199999998</v>
      </c>
      <c r="AD28" s="16"/>
      <c r="AE28" s="16"/>
      <c r="AF28" s="28">
        <v>3.1643835616438358</v>
      </c>
      <c r="AG28" s="29">
        <v>6.8356164383561637</v>
      </c>
      <c r="AH28" s="27">
        <v>1337.9</v>
      </c>
      <c r="AI28" s="30">
        <v>21117.212799999998</v>
      </c>
      <c r="AJ28" s="31">
        <v>2639.6515999999997</v>
      </c>
      <c r="AK28" s="32">
        <v>17175.809599999997</v>
      </c>
      <c r="AL28" s="16"/>
      <c r="AM28" s="27">
        <v>17175.809599999997</v>
      </c>
      <c r="AN28" s="16"/>
      <c r="AO28" s="16"/>
      <c r="AP28" s="28">
        <v>4.1671232876712327</v>
      </c>
      <c r="AQ28" s="29">
        <v>5.8328767123287673</v>
      </c>
      <c r="AR28" s="27">
        <v>1337.9</v>
      </c>
      <c r="AS28" s="30">
        <v>18477.561199999996</v>
      </c>
      <c r="AT28" s="31">
        <v>2639.6515999999997</v>
      </c>
      <c r="AU28" s="33">
        <v>14536.157999999998</v>
      </c>
      <c r="AW28" s="27">
        <v>14536.157999999998</v>
      </c>
      <c r="AX28" s="16"/>
      <c r="AY28" s="16"/>
      <c r="AZ28" s="28">
        <v>5.1671232876712327</v>
      </c>
      <c r="BA28" s="29">
        <v>4.8328767123287673</v>
      </c>
      <c r="BB28" s="27">
        <v>1337.9</v>
      </c>
      <c r="BC28" s="30">
        <v>15837.909599999997</v>
      </c>
      <c r="BD28" s="34">
        <v>2639.6515999999997</v>
      </c>
      <c r="BE28" s="33">
        <v>11896.506399999998</v>
      </c>
      <c r="BF28" s="33"/>
      <c r="BG28" s="27">
        <v>11896.506399999998</v>
      </c>
      <c r="BH28" s="16"/>
      <c r="BI28" s="16"/>
      <c r="BJ28" s="28">
        <v>6.1671232876712327</v>
      </c>
      <c r="BK28" s="29">
        <v>3.8328767123287673</v>
      </c>
      <c r="BL28" s="27">
        <v>1337.9</v>
      </c>
      <c r="BM28" s="30">
        <v>10558.606399999999</v>
      </c>
      <c r="BN28" s="34">
        <v>2639.6515999999997</v>
      </c>
      <c r="BO28" s="35">
        <v>9256.8547999999992</v>
      </c>
      <c r="BP28" s="36"/>
      <c r="BQ28" s="27">
        <v>9256.8547999999992</v>
      </c>
      <c r="BR28" s="16"/>
      <c r="BS28" s="16"/>
      <c r="BT28" s="28">
        <v>7.1671232876712327</v>
      </c>
      <c r="BU28" s="29">
        <v>2.8328767123287673</v>
      </c>
      <c r="BV28" s="27">
        <v>1337.9</v>
      </c>
      <c r="BW28" s="30">
        <v>7918.9547999999995</v>
      </c>
      <c r="BX28" s="34">
        <v>2639.6515999999997</v>
      </c>
      <c r="BY28" s="35">
        <v>6617.2031999999999</v>
      </c>
      <c r="CA28" s="35">
        <v>6617.2031999999999</v>
      </c>
      <c r="CB28" s="16"/>
      <c r="CC28" s="16"/>
      <c r="CD28" s="28">
        <v>8.169863013698631</v>
      </c>
      <c r="CE28" s="29">
        <v>1.830136986301369</v>
      </c>
      <c r="CF28" s="27">
        <v>1337.9</v>
      </c>
      <c r="CG28" s="30">
        <v>5279.3032000000003</v>
      </c>
      <c r="CH28" s="31">
        <v>2639.6515999999997</v>
      </c>
      <c r="CI28" s="35">
        <v>3977.5516000000002</v>
      </c>
      <c r="CK28" s="36">
        <v>2639.6516000000001</v>
      </c>
      <c r="CL28" s="35">
        <v>3977.5516000000002</v>
      </c>
      <c r="CM28" s="16"/>
      <c r="CN28" s="16"/>
      <c r="CO28" s="28">
        <v>9.169863013698631</v>
      </c>
      <c r="CP28" s="29">
        <v>0.83013698630136901</v>
      </c>
      <c r="CQ28" s="27">
        <v>1337.9</v>
      </c>
      <c r="CR28" s="34">
        <v>2639.6516000000001</v>
      </c>
      <c r="CS28" s="34">
        <v>2639.6515999999997</v>
      </c>
      <c r="CT28" s="35">
        <v>1337.9000000000005</v>
      </c>
      <c r="CV28" s="35">
        <v>0</v>
      </c>
      <c r="CW28" s="35">
        <v>1337.9000000000005</v>
      </c>
      <c r="CX28" s="16"/>
      <c r="CY28" s="16"/>
      <c r="CZ28" s="28">
        <v>11.169863013698631</v>
      </c>
      <c r="DA28" s="29">
        <v>-1.169863013698631</v>
      </c>
      <c r="DB28" s="27">
        <v>1337.9</v>
      </c>
      <c r="DC28" s="34">
        <v>0</v>
      </c>
      <c r="DD28" s="34"/>
      <c r="DE28" s="35">
        <v>1337.9000000000005</v>
      </c>
      <c r="DG28" s="35">
        <v>26758</v>
      </c>
      <c r="DH28" s="35">
        <v>25420.100000000002</v>
      </c>
      <c r="DI28" s="35">
        <f t="shared" si="0"/>
        <v>1337.8999999999978</v>
      </c>
      <c r="DJ28" s="132">
        <f t="shared" si="1"/>
        <v>1337.8999999999978</v>
      </c>
      <c r="DK28" s="132">
        <f t="shared" si="2"/>
        <v>0</v>
      </c>
      <c r="DL28" s="132">
        <f t="shared" si="3"/>
        <v>2.7284841053187847E-12</v>
      </c>
    </row>
    <row r="29" spans="2:116" s="4" customFormat="1" ht="39" x14ac:dyDescent="0.25">
      <c r="B29" s="13" t="s">
        <v>4</v>
      </c>
      <c r="C29" s="14" t="s">
        <v>4</v>
      </c>
      <c r="D29" s="15" t="s">
        <v>101</v>
      </c>
      <c r="E29" s="15" t="s">
        <v>161</v>
      </c>
      <c r="F29" s="16" t="s">
        <v>150</v>
      </c>
      <c r="G29" s="11" t="s">
        <v>111</v>
      </c>
      <c r="H29" s="17">
        <v>40968</v>
      </c>
      <c r="I29" s="18" t="s">
        <v>419</v>
      </c>
      <c r="J29" s="19">
        <v>2</v>
      </c>
      <c r="K29" s="20">
        <v>10</v>
      </c>
      <c r="L29" s="21">
        <v>8</v>
      </c>
      <c r="M29" s="22">
        <v>19230</v>
      </c>
      <c r="N29" s="23">
        <v>3091.732</v>
      </c>
      <c r="O29" s="24">
        <v>16138.268</v>
      </c>
      <c r="P29" s="24"/>
      <c r="Q29" s="25">
        <v>8</v>
      </c>
      <c r="R29" s="26">
        <v>961.5</v>
      </c>
      <c r="S29" s="25">
        <v>15176.768</v>
      </c>
      <c r="T29" s="25">
        <v>1897.096</v>
      </c>
      <c r="U29" s="25"/>
      <c r="V29" s="25">
        <v>0</v>
      </c>
      <c r="W29" s="25">
        <v>1897.096</v>
      </c>
      <c r="X29" s="25">
        <v>1897.096</v>
      </c>
      <c r="Y29" s="25">
        <v>0</v>
      </c>
      <c r="Z29" s="24">
        <v>16138.268</v>
      </c>
      <c r="AA29" s="27">
        <v>14241.172</v>
      </c>
      <c r="AB29" s="16"/>
      <c r="AC29" s="27">
        <v>14241.172</v>
      </c>
      <c r="AD29" s="16"/>
      <c r="AE29" s="16"/>
      <c r="AF29" s="28">
        <v>3.0849315068493151</v>
      </c>
      <c r="AG29" s="29">
        <v>6.9150684931506845</v>
      </c>
      <c r="AH29" s="27">
        <v>961.5</v>
      </c>
      <c r="AI29" s="30">
        <v>15176.768</v>
      </c>
      <c r="AJ29" s="31">
        <v>1897.096</v>
      </c>
      <c r="AK29" s="32">
        <v>12344.076000000001</v>
      </c>
      <c r="AL29" s="16"/>
      <c r="AM29" s="27">
        <v>12344.076000000001</v>
      </c>
      <c r="AN29" s="16"/>
      <c r="AO29" s="16"/>
      <c r="AP29" s="28">
        <v>4.087671232876712</v>
      </c>
      <c r="AQ29" s="29">
        <v>5.912328767123288</v>
      </c>
      <c r="AR29" s="27">
        <v>961.5</v>
      </c>
      <c r="AS29" s="30">
        <v>13279.672</v>
      </c>
      <c r="AT29" s="31">
        <v>1897.096</v>
      </c>
      <c r="AU29" s="33">
        <v>10446.980000000001</v>
      </c>
      <c r="AW29" s="27">
        <v>10446.980000000001</v>
      </c>
      <c r="AX29" s="16"/>
      <c r="AY29" s="16"/>
      <c r="AZ29" s="28">
        <v>5.087671232876712</v>
      </c>
      <c r="BA29" s="29">
        <v>4.912328767123288</v>
      </c>
      <c r="BB29" s="27">
        <v>961.5</v>
      </c>
      <c r="BC29" s="30">
        <v>11382.576000000001</v>
      </c>
      <c r="BD29" s="34">
        <v>1897.096</v>
      </c>
      <c r="BE29" s="33">
        <v>8549.8840000000018</v>
      </c>
      <c r="BF29" s="33"/>
      <c r="BG29" s="27">
        <v>8549.8840000000018</v>
      </c>
      <c r="BH29" s="16"/>
      <c r="BI29" s="16"/>
      <c r="BJ29" s="28">
        <v>6.087671232876712</v>
      </c>
      <c r="BK29" s="29">
        <v>3.912328767123288</v>
      </c>
      <c r="BL29" s="27">
        <v>961.5</v>
      </c>
      <c r="BM29" s="30">
        <v>7588.3840000000018</v>
      </c>
      <c r="BN29" s="34">
        <v>1897.096</v>
      </c>
      <c r="BO29" s="35">
        <v>6652.7880000000023</v>
      </c>
      <c r="BP29" s="36"/>
      <c r="BQ29" s="27">
        <v>6652.7880000000023</v>
      </c>
      <c r="BR29" s="16"/>
      <c r="BS29" s="16"/>
      <c r="BT29" s="28">
        <v>7.087671232876712</v>
      </c>
      <c r="BU29" s="29">
        <v>2.912328767123288</v>
      </c>
      <c r="BV29" s="27">
        <v>961.5</v>
      </c>
      <c r="BW29" s="30">
        <v>5691.2880000000023</v>
      </c>
      <c r="BX29" s="34">
        <v>1897.096</v>
      </c>
      <c r="BY29" s="35">
        <v>4755.6920000000027</v>
      </c>
      <c r="CA29" s="35">
        <v>4755.6920000000027</v>
      </c>
      <c r="CB29" s="16"/>
      <c r="CC29" s="16"/>
      <c r="CD29" s="28">
        <v>8.0904109589041102</v>
      </c>
      <c r="CE29" s="29">
        <v>1.9095890410958898</v>
      </c>
      <c r="CF29" s="27">
        <v>961.5</v>
      </c>
      <c r="CG29" s="30">
        <v>3794.1920000000027</v>
      </c>
      <c r="CH29" s="31">
        <v>1897.096</v>
      </c>
      <c r="CI29" s="35">
        <v>2858.5960000000027</v>
      </c>
      <c r="CK29" s="36">
        <v>1897.0960000000027</v>
      </c>
      <c r="CL29" s="35">
        <v>2858.5960000000027</v>
      </c>
      <c r="CM29" s="16"/>
      <c r="CN29" s="16"/>
      <c r="CO29" s="28">
        <v>9.0904109589041102</v>
      </c>
      <c r="CP29" s="29">
        <v>0.90958904109588978</v>
      </c>
      <c r="CQ29" s="27">
        <v>961.5</v>
      </c>
      <c r="CR29" s="34">
        <v>1897.0960000000027</v>
      </c>
      <c r="CS29" s="34">
        <v>1897.096</v>
      </c>
      <c r="CT29" s="35">
        <v>961.50000000000273</v>
      </c>
      <c r="CV29" s="35">
        <v>2.7284841053187847E-12</v>
      </c>
      <c r="CW29" s="35">
        <v>961.50000000000273</v>
      </c>
      <c r="CX29" s="16"/>
      <c r="CY29" s="16"/>
      <c r="CZ29" s="28">
        <v>11.09041095890411</v>
      </c>
      <c r="DA29" s="29">
        <v>-1.0904109589041102</v>
      </c>
      <c r="DB29" s="27">
        <v>961.5</v>
      </c>
      <c r="DC29" s="34">
        <v>0</v>
      </c>
      <c r="DD29" s="34"/>
      <c r="DE29" s="35">
        <v>961.50000000000273</v>
      </c>
      <c r="DG29" s="35">
        <v>19230</v>
      </c>
      <c r="DH29" s="35">
        <v>18268.499999999996</v>
      </c>
      <c r="DI29" s="35">
        <f t="shared" si="0"/>
        <v>961.50000000000364</v>
      </c>
      <c r="DJ29" s="132">
        <f t="shared" si="1"/>
        <v>961.50000000000364</v>
      </c>
      <c r="DK29" s="132">
        <f t="shared" si="2"/>
        <v>0</v>
      </c>
      <c r="DL29" s="132">
        <f t="shared" si="3"/>
        <v>-9.0949470177292824E-13</v>
      </c>
    </row>
    <row r="30" spans="2:116" s="4" customFormat="1" ht="39" x14ac:dyDescent="0.25">
      <c r="B30" s="13" t="s">
        <v>4</v>
      </c>
      <c r="C30" s="14" t="s">
        <v>4</v>
      </c>
      <c r="D30" s="15" t="s">
        <v>101</v>
      </c>
      <c r="E30" s="15" t="s">
        <v>162</v>
      </c>
      <c r="F30" s="16" t="s">
        <v>130</v>
      </c>
      <c r="G30" s="11" t="s">
        <v>111</v>
      </c>
      <c r="H30" s="17">
        <v>40999</v>
      </c>
      <c r="I30" s="18" t="s">
        <v>419</v>
      </c>
      <c r="J30" s="19">
        <v>2</v>
      </c>
      <c r="K30" s="20">
        <v>10</v>
      </c>
      <c r="L30" s="21">
        <v>8</v>
      </c>
      <c r="M30" s="22">
        <v>18720</v>
      </c>
      <c r="N30" s="23">
        <v>2782.0480000000002</v>
      </c>
      <c r="O30" s="24">
        <v>15937.951999999999</v>
      </c>
      <c r="P30" s="24"/>
      <c r="Q30" s="25">
        <v>8</v>
      </c>
      <c r="R30" s="26">
        <v>936</v>
      </c>
      <c r="S30" s="25">
        <v>15001.951999999999</v>
      </c>
      <c r="T30" s="25">
        <v>1875.2439999999999</v>
      </c>
      <c r="U30" s="25"/>
      <c r="V30" s="25">
        <v>0</v>
      </c>
      <c r="W30" s="25">
        <v>1875.2439999999999</v>
      </c>
      <c r="X30" s="25">
        <v>1875.2439999999999</v>
      </c>
      <c r="Y30" s="25">
        <v>0</v>
      </c>
      <c r="Z30" s="24">
        <v>15937.951999999999</v>
      </c>
      <c r="AA30" s="27">
        <v>14062.707999999999</v>
      </c>
      <c r="AB30" s="16"/>
      <c r="AC30" s="27">
        <v>14062.707999999999</v>
      </c>
      <c r="AD30" s="16"/>
      <c r="AE30" s="16"/>
      <c r="AF30" s="28">
        <v>3</v>
      </c>
      <c r="AG30" s="29">
        <v>7</v>
      </c>
      <c r="AH30" s="27">
        <v>936</v>
      </c>
      <c r="AI30" s="30">
        <v>15001.951999999999</v>
      </c>
      <c r="AJ30" s="31">
        <v>1875.2439999999999</v>
      </c>
      <c r="AK30" s="32">
        <v>12187.463999999998</v>
      </c>
      <c r="AL30" s="16"/>
      <c r="AM30" s="27">
        <v>12187.463999999998</v>
      </c>
      <c r="AN30" s="16"/>
      <c r="AO30" s="16"/>
      <c r="AP30" s="28">
        <v>4.0027397260273974</v>
      </c>
      <c r="AQ30" s="29">
        <v>5.9972602739726026</v>
      </c>
      <c r="AR30" s="27">
        <v>936</v>
      </c>
      <c r="AS30" s="30">
        <v>13126.707999999999</v>
      </c>
      <c r="AT30" s="31">
        <v>1875.2439999999999</v>
      </c>
      <c r="AU30" s="33">
        <v>10312.219999999998</v>
      </c>
      <c r="AW30" s="27">
        <v>10312.219999999998</v>
      </c>
      <c r="AX30" s="16"/>
      <c r="AY30" s="16"/>
      <c r="AZ30" s="28">
        <v>5.0027397260273974</v>
      </c>
      <c r="BA30" s="29">
        <v>4.9972602739726026</v>
      </c>
      <c r="BB30" s="27">
        <v>936</v>
      </c>
      <c r="BC30" s="30">
        <v>11251.463999999998</v>
      </c>
      <c r="BD30" s="34">
        <v>1875.2439999999999</v>
      </c>
      <c r="BE30" s="33">
        <v>8436.9759999999969</v>
      </c>
      <c r="BF30" s="33"/>
      <c r="BG30" s="27">
        <v>8436.9759999999969</v>
      </c>
      <c r="BH30" s="16"/>
      <c r="BI30" s="16"/>
      <c r="BJ30" s="28">
        <v>6.0027397260273974</v>
      </c>
      <c r="BK30" s="29">
        <v>3.9972602739726026</v>
      </c>
      <c r="BL30" s="27">
        <v>936</v>
      </c>
      <c r="BM30" s="30">
        <v>7500.9759999999969</v>
      </c>
      <c r="BN30" s="34">
        <v>1875.2439999999999</v>
      </c>
      <c r="BO30" s="35">
        <v>6561.7319999999972</v>
      </c>
      <c r="BP30" s="36"/>
      <c r="BQ30" s="27">
        <v>6561.7319999999972</v>
      </c>
      <c r="BR30" s="16"/>
      <c r="BS30" s="16"/>
      <c r="BT30" s="28">
        <v>7.0027397260273974</v>
      </c>
      <c r="BU30" s="29">
        <v>2.9972602739726026</v>
      </c>
      <c r="BV30" s="27">
        <v>936</v>
      </c>
      <c r="BW30" s="30">
        <v>5625.7319999999972</v>
      </c>
      <c r="BX30" s="34">
        <v>1875.2439999999999</v>
      </c>
      <c r="BY30" s="35">
        <v>4686.4879999999976</v>
      </c>
      <c r="CA30" s="35">
        <v>4686.4879999999976</v>
      </c>
      <c r="CB30" s="16"/>
      <c r="CC30" s="16"/>
      <c r="CD30" s="28">
        <v>8.0054794520547947</v>
      </c>
      <c r="CE30" s="29">
        <v>1.9945205479452053</v>
      </c>
      <c r="CF30" s="27">
        <v>936</v>
      </c>
      <c r="CG30" s="30">
        <v>3750.4879999999976</v>
      </c>
      <c r="CH30" s="31">
        <v>1875.2439999999999</v>
      </c>
      <c r="CI30" s="35">
        <v>2811.2439999999979</v>
      </c>
      <c r="CK30" s="36">
        <v>1875.2439999999979</v>
      </c>
      <c r="CL30" s="35">
        <v>2811.2439999999979</v>
      </c>
      <c r="CM30" s="16"/>
      <c r="CN30" s="16"/>
      <c r="CO30" s="28">
        <v>9.0054794520547947</v>
      </c>
      <c r="CP30" s="29">
        <v>0.99452054794520528</v>
      </c>
      <c r="CQ30" s="27">
        <v>936</v>
      </c>
      <c r="CR30" s="34">
        <v>1875.2439999999979</v>
      </c>
      <c r="CS30" s="34">
        <v>1875.2439999999999</v>
      </c>
      <c r="CT30" s="35">
        <v>935.99999999999795</v>
      </c>
      <c r="CV30" s="35">
        <v>-2.0463630789890885E-12</v>
      </c>
      <c r="CW30" s="35">
        <v>935.99999999999795</v>
      </c>
      <c r="CX30" s="16"/>
      <c r="CY30" s="16"/>
      <c r="CZ30" s="28">
        <v>11.005479452054795</v>
      </c>
      <c r="DA30" s="29">
        <v>-1.0054794520547947</v>
      </c>
      <c r="DB30" s="27">
        <v>936</v>
      </c>
      <c r="DC30" s="34">
        <v>0</v>
      </c>
      <c r="DD30" s="34"/>
      <c r="DE30" s="35">
        <v>935.99999999999795</v>
      </c>
      <c r="DG30" s="35">
        <v>18720</v>
      </c>
      <c r="DH30" s="35">
        <v>17784.000000000004</v>
      </c>
      <c r="DI30" s="35">
        <f t="shared" si="0"/>
        <v>935.99999999999636</v>
      </c>
      <c r="DJ30" s="132">
        <f t="shared" si="1"/>
        <v>935.99999999999636</v>
      </c>
      <c r="DK30" s="132">
        <f t="shared" si="2"/>
        <v>0</v>
      </c>
      <c r="DL30" s="132">
        <f t="shared" si="3"/>
        <v>1.5916157281026244E-12</v>
      </c>
    </row>
    <row r="31" spans="2:116" s="4" customFormat="1" ht="39" x14ac:dyDescent="0.25">
      <c r="B31" s="13" t="s">
        <v>4</v>
      </c>
      <c r="C31" s="14" t="s">
        <v>4</v>
      </c>
      <c r="D31" s="15" t="s">
        <v>101</v>
      </c>
      <c r="E31" s="15" t="s">
        <v>163</v>
      </c>
      <c r="F31" s="16" t="s">
        <v>164</v>
      </c>
      <c r="G31" s="11" t="s">
        <v>111</v>
      </c>
      <c r="H31" s="17">
        <v>40999</v>
      </c>
      <c r="I31" s="18" t="s">
        <v>419</v>
      </c>
      <c r="J31" s="19">
        <v>2</v>
      </c>
      <c r="K31" s="20">
        <v>10</v>
      </c>
      <c r="L31" s="21">
        <v>8</v>
      </c>
      <c r="M31" s="22">
        <v>15075</v>
      </c>
      <c r="N31" s="23">
        <v>2240.13</v>
      </c>
      <c r="O31" s="24">
        <v>12834.869999999999</v>
      </c>
      <c r="P31" s="24"/>
      <c r="Q31" s="25">
        <v>8</v>
      </c>
      <c r="R31" s="26">
        <v>753.75</v>
      </c>
      <c r="S31" s="25">
        <v>12081.119999999999</v>
      </c>
      <c r="T31" s="25">
        <v>1510.1399999999999</v>
      </c>
      <c r="U31" s="25"/>
      <c r="V31" s="25">
        <v>0</v>
      </c>
      <c r="W31" s="25">
        <v>1510.1399999999999</v>
      </c>
      <c r="X31" s="25">
        <v>1510.1399999999999</v>
      </c>
      <c r="Y31" s="25">
        <v>0</v>
      </c>
      <c r="Z31" s="24">
        <v>12834.869999999999</v>
      </c>
      <c r="AA31" s="27">
        <v>11324.73</v>
      </c>
      <c r="AB31" s="16"/>
      <c r="AC31" s="27">
        <v>11324.73</v>
      </c>
      <c r="AD31" s="16"/>
      <c r="AE31" s="16"/>
      <c r="AF31" s="28">
        <v>3</v>
      </c>
      <c r="AG31" s="29">
        <v>7</v>
      </c>
      <c r="AH31" s="27">
        <v>753.75</v>
      </c>
      <c r="AI31" s="30">
        <v>12081.119999999999</v>
      </c>
      <c r="AJ31" s="31">
        <v>1510.1399999999999</v>
      </c>
      <c r="AK31" s="32">
        <v>9814.59</v>
      </c>
      <c r="AL31" s="16"/>
      <c r="AM31" s="27">
        <v>9814.59</v>
      </c>
      <c r="AN31" s="16"/>
      <c r="AO31" s="16"/>
      <c r="AP31" s="28">
        <v>4.0027397260273974</v>
      </c>
      <c r="AQ31" s="29">
        <v>5.9972602739726026</v>
      </c>
      <c r="AR31" s="27">
        <v>753.75</v>
      </c>
      <c r="AS31" s="30">
        <v>10570.98</v>
      </c>
      <c r="AT31" s="31">
        <v>1510.1399999999999</v>
      </c>
      <c r="AU31" s="33">
        <v>8304.4500000000007</v>
      </c>
      <c r="AW31" s="27">
        <v>8304.4500000000007</v>
      </c>
      <c r="AX31" s="16"/>
      <c r="AY31" s="16"/>
      <c r="AZ31" s="28">
        <v>5.0027397260273974</v>
      </c>
      <c r="BA31" s="29">
        <v>4.9972602739726026</v>
      </c>
      <c r="BB31" s="27">
        <v>753.75</v>
      </c>
      <c r="BC31" s="30">
        <v>9060.84</v>
      </c>
      <c r="BD31" s="34">
        <v>1510.1399999999999</v>
      </c>
      <c r="BE31" s="33">
        <v>6794.3100000000013</v>
      </c>
      <c r="BF31" s="33"/>
      <c r="BG31" s="27">
        <v>6794.3100000000013</v>
      </c>
      <c r="BH31" s="16"/>
      <c r="BI31" s="16"/>
      <c r="BJ31" s="28">
        <v>6.0027397260273974</v>
      </c>
      <c r="BK31" s="29">
        <v>3.9972602739726026</v>
      </c>
      <c r="BL31" s="27">
        <v>753.75</v>
      </c>
      <c r="BM31" s="30">
        <v>6040.5600000000013</v>
      </c>
      <c r="BN31" s="34">
        <v>1510.1399999999999</v>
      </c>
      <c r="BO31" s="35">
        <v>5284.1700000000019</v>
      </c>
      <c r="BP31" s="36"/>
      <c r="BQ31" s="27">
        <v>5284.1700000000019</v>
      </c>
      <c r="BR31" s="16"/>
      <c r="BS31" s="16"/>
      <c r="BT31" s="28">
        <v>7.0027397260273974</v>
      </c>
      <c r="BU31" s="29">
        <v>2.9972602739726026</v>
      </c>
      <c r="BV31" s="27">
        <v>753.75</v>
      </c>
      <c r="BW31" s="30">
        <v>4530.4200000000019</v>
      </c>
      <c r="BX31" s="34">
        <v>1510.1399999999999</v>
      </c>
      <c r="BY31" s="35">
        <v>3774.030000000002</v>
      </c>
      <c r="CA31" s="35">
        <v>3774.030000000002</v>
      </c>
      <c r="CB31" s="16"/>
      <c r="CC31" s="16"/>
      <c r="CD31" s="28">
        <v>8.0054794520547947</v>
      </c>
      <c r="CE31" s="29">
        <v>1.9945205479452053</v>
      </c>
      <c r="CF31" s="27">
        <v>753.75</v>
      </c>
      <c r="CG31" s="30">
        <v>3020.280000000002</v>
      </c>
      <c r="CH31" s="31">
        <v>1510.1399999999999</v>
      </c>
      <c r="CI31" s="35">
        <v>2263.8900000000021</v>
      </c>
      <c r="CK31" s="36">
        <v>1510.1400000000021</v>
      </c>
      <c r="CL31" s="35">
        <v>2263.8900000000021</v>
      </c>
      <c r="CM31" s="16"/>
      <c r="CN31" s="16"/>
      <c r="CO31" s="28">
        <v>9.0054794520547947</v>
      </c>
      <c r="CP31" s="29">
        <v>0.99452054794520528</v>
      </c>
      <c r="CQ31" s="27">
        <v>753.75</v>
      </c>
      <c r="CR31" s="34">
        <v>1510.1400000000021</v>
      </c>
      <c r="CS31" s="34">
        <v>1510.1399999999999</v>
      </c>
      <c r="CT31" s="35">
        <v>753.75000000000227</v>
      </c>
      <c r="CV31" s="35">
        <v>2.2737367544323206E-12</v>
      </c>
      <c r="CW31" s="35">
        <v>753.75000000000227</v>
      </c>
      <c r="CX31" s="16"/>
      <c r="CY31" s="16"/>
      <c r="CZ31" s="28">
        <v>11.005479452054795</v>
      </c>
      <c r="DA31" s="29">
        <v>-1.0054794520547947</v>
      </c>
      <c r="DB31" s="27">
        <v>753.75</v>
      </c>
      <c r="DC31" s="34">
        <v>0</v>
      </c>
      <c r="DD31" s="34"/>
      <c r="DE31" s="35">
        <v>753.75000000000227</v>
      </c>
      <c r="DG31" s="35">
        <v>15075</v>
      </c>
      <c r="DH31" s="35">
        <v>14321.249999999996</v>
      </c>
      <c r="DI31" s="35">
        <f t="shared" si="0"/>
        <v>753.75000000000364</v>
      </c>
      <c r="DJ31" s="132">
        <f t="shared" si="1"/>
        <v>753.75000000000364</v>
      </c>
      <c r="DK31" s="132">
        <f t="shared" si="2"/>
        <v>0</v>
      </c>
      <c r="DL31" s="132">
        <f t="shared" si="3"/>
        <v>-1.3642420526593924E-12</v>
      </c>
    </row>
    <row r="32" spans="2:116" s="4" customFormat="1" ht="39" x14ac:dyDescent="0.25">
      <c r="B32" s="13" t="s">
        <v>4</v>
      </c>
      <c r="C32" s="14" t="s">
        <v>4</v>
      </c>
      <c r="D32" s="15" t="s">
        <v>101</v>
      </c>
      <c r="E32" s="15" t="s">
        <v>165</v>
      </c>
      <c r="F32" s="16" t="s">
        <v>130</v>
      </c>
      <c r="G32" s="11" t="s">
        <v>111</v>
      </c>
      <c r="H32" s="17">
        <v>40999</v>
      </c>
      <c r="I32" s="18" t="s">
        <v>419</v>
      </c>
      <c r="J32" s="19">
        <v>2</v>
      </c>
      <c r="K32" s="20">
        <v>10</v>
      </c>
      <c r="L32" s="21">
        <v>8</v>
      </c>
      <c r="M32" s="22">
        <v>26758</v>
      </c>
      <c r="N32" s="23">
        <v>3975.8872000000001</v>
      </c>
      <c r="O32" s="24">
        <v>22782.112799999999</v>
      </c>
      <c r="P32" s="24"/>
      <c r="Q32" s="25">
        <v>8</v>
      </c>
      <c r="R32" s="26">
        <v>1337.9</v>
      </c>
      <c r="S32" s="25">
        <v>21444.212799999998</v>
      </c>
      <c r="T32" s="25">
        <v>2680.5265999999997</v>
      </c>
      <c r="U32" s="25"/>
      <c r="V32" s="25">
        <v>0</v>
      </c>
      <c r="W32" s="25">
        <v>2680.5265999999997</v>
      </c>
      <c r="X32" s="25">
        <v>2680.5265999999997</v>
      </c>
      <c r="Y32" s="25">
        <v>0</v>
      </c>
      <c r="Z32" s="24">
        <v>22782.112799999999</v>
      </c>
      <c r="AA32" s="27">
        <v>20101.586199999998</v>
      </c>
      <c r="AB32" s="16"/>
      <c r="AC32" s="27">
        <v>20101.586199999998</v>
      </c>
      <c r="AD32" s="16"/>
      <c r="AE32" s="16"/>
      <c r="AF32" s="28">
        <v>3</v>
      </c>
      <c r="AG32" s="29">
        <v>7</v>
      </c>
      <c r="AH32" s="27">
        <v>1337.9</v>
      </c>
      <c r="AI32" s="30">
        <v>21444.212799999998</v>
      </c>
      <c r="AJ32" s="31">
        <v>2680.5265999999997</v>
      </c>
      <c r="AK32" s="32">
        <v>17421.059599999997</v>
      </c>
      <c r="AL32" s="16"/>
      <c r="AM32" s="27">
        <v>17421.059599999997</v>
      </c>
      <c r="AN32" s="16"/>
      <c r="AO32" s="16"/>
      <c r="AP32" s="28">
        <v>4.0027397260273974</v>
      </c>
      <c r="AQ32" s="29">
        <v>5.9972602739726026</v>
      </c>
      <c r="AR32" s="27">
        <v>1337.9</v>
      </c>
      <c r="AS32" s="30">
        <v>18763.686199999996</v>
      </c>
      <c r="AT32" s="31">
        <v>2680.5265999999997</v>
      </c>
      <c r="AU32" s="33">
        <v>14740.532999999998</v>
      </c>
      <c r="AW32" s="27">
        <v>14740.532999999998</v>
      </c>
      <c r="AX32" s="16"/>
      <c r="AY32" s="16"/>
      <c r="AZ32" s="28">
        <v>5.0027397260273974</v>
      </c>
      <c r="BA32" s="29">
        <v>4.9972602739726026</v>
      </c>
      <c r="BB32" s="27">
        <v>1337.9</v>
      </c>
      <c r="BC32" s="30">
        <v>16083.159599999997</v>
      </c>
      <c r="BD32" s="34">
        <v>2680.5265999999997</v>
      </c>
      <c r="BE32" s="33">
        <v>12060.006399999998</v>
      </c>
      <c r="BF32" s="33"/>
      <c r="BG32" s="27">
        <v>12060.006399999998</v>
      </c>
      <c r="BH32" s="16"/>
      <c r="BI32" s="16"/>
      <c r="BJ32" s="28">
        <v>6.0027397260273974</v>
      </c>
      <c r="BK32" s="29">
        <v>3.9972602739726026</v>
      </c>
      <c r="BL32" s="27">
        <v>1337.9</v>
      </c>
      <c r="BM32" s="30">
        <v>10722.106399999999</v>
      </c>
      <c r="BN32" s="34">
        <v>2680.5265999999997</v>
      </c>
      <c r="BO32" s="35">
        <v>9379.4797999999992</v>
      </c>
      <c r="BP32" s="36"/>
      <c r="BQ32" s="27">
        <v>9379.4797999999992</v>
      </c>
      <c r="BR32" s="16"/>
      <c r="BS32" s="16"/>
      <c r="BT32" s="28">
        <v>7.0027397260273974</v>
      </c>
      <c r="BU32" s="29">
        <v>2.9972602739726026</v>
      </c>
      <c r="BV32" s="27">
        <v>1337.9</v>
      </c>
      <c r="BW32" s="30">
        <v>8041.5797999999995</v>
      </c>
      <c r="BX32" s="34">
        <v>2680.5265999999997</v>
      </c>
      <c r="BY32" s="35">
        <v>6698.9531999999999</v>
      </c>
      <c r="CA32" s="35">
        <v>6698.9531999999999</v>
      </c>
      <c r="CB32" s="16"/>
      <c r="CC32" s="16"/>
      <c r="CD32" s="28">
        <v>8.0054794520547947</v>
      </c>
      <c r="CE32" s="29">
        <v>1.9945205479452053</v>
      </c>
      <c r="CF32" s="27">
        <v>1337.9</v>
      </c>
      <c r="CG32" s="30">
        <v>5361.0532000000003</v>
      </c>
      <c r="CH32" s="31">
        <v>2680.5265999999997</v>
      </c>
      <c r="CI32" s="35">
        <v>4018.4266000000002</v>
      </c>
      <c r="CK32" s="36">
        <v>2680.5266000000001</v>
      </c>
      <c r="CL32" s="35">
        <v>4018.4266000000002</v>
      </c>
      <c r="CM32" s="16"/>
      <c r="CN32" s="16"/>
      <c r="CO32" s="28">
        <v>9.0054794520547947</v>
      </c>
      <c r="CP32" s="29">
        <v>0.99452054794520528</v>
      </c>
      <c r="CQ32" s="27">
        <v>1337.9</v>
      </c>
      <c r="CR32" s="34">
        <v>2680.5266000000001</v>
      </c>
      <c r="CS32" s="34">
        <v>2680.5265999999997</v>
      </c>
      <c r="CT32" s="35">
        <v>1337.9000000000005</v>
      </c>
      <c r="CV32" s="35">
        <v>0</v>
      </c>
      <c r="CW32" s="35">
        <v>1337.9000000000005</v>
      </c>
      <c r="CX32" s="16"/>
      <c r="CY32" s="16"/>
      <c r="CZ32" s="28">
        <v>11.005479452054795</v>
      </c>
      <c r="DA32" s="29">
        <v>-1.0054794520547947</v>
      </c>
      <c r="DB32" s="27">
        <v>1337.9</v>
      </c>
      <c r="DC32" s="34">
        <v>0</v>
      </c>
      <c r="DD32" s="34"/>
      <c r="DE32" s="35">
        <v>1337.9000000000005</v>
      </c>
      <c r="DG32" s="35">
        <v>26758</v>
      </c>
      <c r="DH32" s="35">
        <v>25420.100000000002</v>
      </c>
      <c r="DI32" s="35">
        <f t="shared" si="0"/>
        <v>1337.8999999999978</v>
      </c>
      <c r="DJ32" s="132">
        <f t="shared" si="1"/>
        <v>1337.8999999999978</v>
      </c>
      <c r="DK32" s="132">
        <f t="shared" si="2"/>
        <v>0</v>
      </c>
      <c r="DL32" s="132">
        <f t="shared" si="3"/>
        <v>2.7284841053187847E-12</v>
      </c>
    </row>
    <row r="33" spans="2:116" s="4" customFormat="1" ht="39" x14ac:dyDescent="0.25">
      <c r="B33" s="13" t="s">
        <v>4</v>
      </c>
      <c r="C33" s="14" t="s">
        <v>4</v>
      </c>
      <c r="D33" s="15" t="s">
        <v>101</v>
      </c>
      <c r="E33" s="15" t="s">
        <v>166</v>
      </c>
      <c r="F33" s="16" t="s">
        <v>167</v>
      </c>
      <c r="G33" s="11" t="s">
        <v>111</v>
      </c>
      <c r="H33" s="17">
        <v>41011</v>
      </c>
      <c r="I33" s="18" t="s">
        <v>420</v>
      </c>
      <c r="J33" s="19">
        <v>2</v>
      </c>
      <c r="K33" s="20">
        <v>10</v>
      </c>
      <c r="L33" s="21">
        <v>8</v>
      </c>
      <c r="M33" s="22">
        <v>5617</v>
      </c>
      <c r="N33" s="23">
        <v>821.78140000000008</v>
      </c>
      <c r="O33" s="24">
        <v>4795.2186000000002</v>
      </c>
      <c r="P33" s="24"/>
      <c r="Q33" s="25">
        <v>8</v>
      </c>
      <c r="R33" s="26">
        <v>280.85000000000002</v>
      </c>
      <c r="S33" s="25">
        <v>4514.3685999999998</v>
      </c>
      <c r="T33" s="25">
        <v>564.29607499999997</v>
      </c>
      <c r="U33" s="25"/>
      <c r="V33" s="25">
        <v>0</v>
      </c>
      <c r="W33" s="25">
        <v>564.29607499999997</v>
      </c>
      <c r="X33" s="25">
        <v>564.29607499999997</v>
      </c>
      <c r="Y33" s="25">
        <v>0</v>
      </c>
      <c r="Z33" s="24">
        <v>4795.2186000000002</v>
      </c>
      <c r="AA33" s="27">
        <v>4230.922525</v>
      </c>
      <c r="AB33" s="16"/>
      <c r="AC33" s="27">
        <v>4230.922525</v>
      </c>
      <c r="AD33" s="16"/>
      <c r="AE33" s="16"/>
      <c r="AF33" s="28">
        <v>2.967123287671233</v>
      </c>
      <c r="AG33" s="29">
        <v>7.0328767123287665</v>
      </c>
      <c r="AH33" s="27">
        <v>280.85000000000002</v>
      </c>
      <c r="AI33" s="30">
        <v>4514.3685999999998</v>
      </c>
      <c r="AJ33" s="31">
        <v>564.29607499999997</v>
      </c>
      <c r="AK33" s="32">
        <v>3666.6264499999997</v>
      </c>
      <c r="AL33" s="16"/>
      <c r="AM33" s="27">
        <v>3666.6264499999997</v>
      </c>
      <c r="AN33" s="16"/>
      <c r="AO33" s="16"/>
      <c r="AP33" s="28">
        <v>3.9698630136986299</v>
      </c>
      <c r="AQ33" s="29">
        <v>6.0301369863013701</v>
      </c>
      <c r="AR33" s="27">
        <v>280.85000000000002</v>
      </c>
      <c r="AS33" s="30">
        <v>3950.072525</v>
      </c>
      <c r="AT33" s="31">
        <v>564.29607499999997</v>
      </c>
      <c r="AU33" s="33">
        <v>3102.3303749999995</v>
      </c>
      <c r="AW33" s="27">
        <v>3102.3303749999995</v>
      </c>
      <c r="AX33" s="16"/>
      <c r="AY33" s="16"/>
      <c r="AZ33" s="28">
        <v>4.9698630136986299</v>
      </c>
      <c r="BA33" s="29">
        <v>5.0301369863013701</v>
      </c>
      <c r="BB33" s="27">
        <v>280.85000000000002</v>
      </c>
      <c r="BC33" s="30">
        <v>3385.7764499999998</v>
      </c>
      <c r="BD33" s="34">
        <v>564.29607499999997</v>
      </c>
      <c r="BE33" s="33">
        <v>2538.0342999999993</v>
      </c>
      <c r="BF33" s="33"/>
      <c r="BG33" s="27">
        <v>2538.0342999999993</v>
      </c>
      <c r="BH33" s="16"/>
      <c r="BI33" s="16"/>
      <c r="BJ33" s="28">
        <v>5.9698630136986299</v>
      </c>
      <c r="BK33" s="29">
        <v>4.0301369863013701</v>
      </c>
      <c r="BL33" s="27">
        <v>280.85000000000002</v>
      </c>
      <c r="BM33" s="30">
        <v>2257.1842999999994</v>
      </c>
      <c r="BN33" s="34">
        <v>564.29607499999997</v>
      </c>
      <c r="BO33" s="35">
        <v>1973.7382249999994</v>
      </c>
      <c r="BP33" s="36"/>
      <c r="BQ33" s="27">
        <v>1973.7382249999994</v>
      </c>
      <c r="BR33" s="16"/>
      <c r="BS33" s="16"/>
      <c r="BT33" s="28">
        <v>6.9698630136986299</v>
      </c>
      <c r="BU33" s="29">
        <v>3.0301369863013701</v>
      </c>
      <c r="BV33" s="27">
        <v>280.85000000000002</v>
      </c>
      <c r="BW33" s="30">
        <v>1692.8882249999992</v>
      </c>
      <c r="BX33" s="34">
        <v>564.29607499999997</v>
      </c>
      <c r="BY33" s="35">
        <v>1409.4421499999994</v>
      </c>
      <c r="CA33" s="35">
        <v>1409.4421499999994</v>
      </c>
      <c r="CB33" s="16"/>
      <c r="CC33" s="16"/>
      <c r="CD33" s="28">
        <v>7.9726027397260273</v>
      </c>
      <c r="CE33" s="29">
        <v>2.0273972602739727</v>
      </c>
      <c r="CF33" s="27">
        <v>280.85000000000002</v>
      </c>
      <c r="CG33" s="30">
        <v>1128.5921499999995</v>
      </c>
      <c r="CH33" s="31">
        <v>564.29607499999997</v>
      </c>
      <c r="CI33" s="35">
        <v>845.14607499999943</v>
      </c>
      <c r="CK33" s="36">
        <v>564.29607499999941</v>
      </c>
      <c r="CL33" s="35">
        <v>845.14607499999943</v>
      </c>
      <c r="CM33" s="16"/>
      <c r="CN33" s="16"/>
      <c r="CO33" s="28">
        <v>8.9726027397260282</v>
      </c>
      <c r="CP33" s="29">
        <v>1.0273972602739718</v>
      </c>
      <c r="CQ33" s="27">
        <v>280.85000000000002</v>
      </c>
      <c r="CR33" s="34">
        <v>564.29607499999941</v>
      </c>
      <c r="CS33" s="34">
        <v>564.29607499999997</v>
      </c>
      <c r="CT33" s="35">
        <v>280.84999999999945</v>
      </c>
      <c r="CV33" s="35">
        <v>-5.6843418860808015E-13</v>
      </c>
      <c r="CW33" s="35">
        <v>280.84999999999945</v>
      </c>
      <c r="CX33" s="16"/>
      <c r="CY33" s="16"/>
      <c r="CZ33" s="28">
        <v>10.972602739726028</v>
      </c>
      <c r="DA33" s="29">
        <v>-0.97260273972602818</v>
      </c>
      <c r="DB33" s="27">
        <v>280.85000000000002</v>
      </c>
      <c r="DC33" s="34">
        <v>0</v>
      </c>
      <c r="DD33" s="34"/>
      <c r="DE33" s="35">
        <v>280.84999999999945</v>
      </c>
      <c r="DG33" s="35">
        <v>5617</v>
      </c>
      <c r="DH33" s="35">
        <v>5336.1500000000005</v>
      </c>
      <c r="DI33" s="35">
        <f t="shared" si="0"/>
        <v>280.84999999999945</v>
      </c>
      <c r="DJ33" s="132">
        <f t="shared" si="1"/>
        <v>280.84999999999945</v>
      </c>
      <c r="DK33" s="132">
        <f t="shared" si="2"/>
        <v>0</v>
      </c>
      <c r="DL33" s="132">
        <f t="shared" si="3"/>
        <v>0</v>
      </c>
    </row>
    <row r="34" spans="2:116" s="4" customFormat="1" ht="39" x14ac:dyDescent="0.25">
      <c r="B34" s="13" t="s">
        <v>4</v>
      </c>
      <c r="C34" s="14" t="s">
        <v>4</v>
      </c>
      <c r="D34" s="15" t="s">
        <v>101</v>
      </c>
      <c r="E34" s="15" t="s">
        <v>168</v>
      </c>
      <c r="F34" s="16" t="s">
        <v>169</v>
      </c>
      <c r="G34" s="11" t="s">
        <v>111</v>
      </c>
      <c r="H34" s="17">
        <v>41067</v>
      </c>
      <c r="I34" s="18" t="s">
        <v>420</v>
      </c>
      <c r="J34" s="19">
        <v>2</v>
      </c>
      <c r="K34" s="20">
        <v>10</v>
      </c>
      <c r="L34" s="21">
        <v>8</v>
      </c>
      <c r="M34" s="22">
        <v>32906</v>
      </c>
      <c r="N34" s="23">
        <v>4433.6252000000004</v>
      </c>
      <c r="O34" s="24">
        <v>28472.374799999998</v>
      </c>
      <c r="P34" s="24"/>
      <c r="Q34" s="25">
        <v>8</v>
      </c>
      <c r="R34" s="26">
        <v>1645.3000000000002</v>
      </c>
      <c r="S34" s="25">
        <v>26827.074799999999</v>
      </c>
      <c r="T34" s="25">
        <v>3353.3843499999998</v>
      </c>
      <c r="U34" s="25"/>
      <c r="V34" s="25">
        <v>0</v>
      </c>
      <c r="W34" s="25">
        <v>3353.3843499999998</v>
      </c>
      <c r="X34" s="25">
        <v>3353.3843499999998</v>
      </c>
      <c r="Y34" s="25">
        <v>0</v>
      </c>
      <c r="Z34" s="24">
        <v>28472.374799999998</v>
      </c>
      <c r="AA34" s="27">
        <v>25118.990449999998</v>
      </c>
      <c r="AB34" s="16"/>
      <c r="AC34" s="27">
        <v>25118.990449999998</v>
      </c>
      <c r="AD34" s="16"/>
      <c r="AE34" s="16"/>
      <c r="AF34" s="28">
        <v>2.8136986301369862</v>
      </c>
      <c r="AG34" s="29">
        <v>7.1863013698630134</v>
      </c>
      <c r="AH34" s="27">
        <v>1645.3000000000002</v>
      </c>
      <c r="AI34" s="30">
        <v>26827.074799999999</v>
      </c>
      <c r="AJ34" s="31">
        <v>3353.3843499999998</v>
      </c>
      <c r="AK34" s="32">
        <v>21765.606099999997</v>
      </c>
      <c r="AL34" s="16"/>
      <c r="AM34" s="27">
        <v>21765.606099999997</v>
      </c>
      <c r="AN34" s="16"/>
      <c r="AO34" s="16"/>
      <c r="AP34" s="28">
        <v>3.8164383561643835</v>
      </c>
      <c r="AQ34" s="29">
        <v>6.1835616438356169</v>
      </c>
      <c r="AR34" s="27">
        <v>1645.3000000000002</v>
      </c>
      <c r="AS34" s="30">
        <v>23473.690449999998</v>
      </c>
      <c r="AT34" s="31">
        <v>3353.3843499999998</v>
      </c>
      <c r="AU34" s="33">
        <v>18412.221749999997</v>
      </c>
      <c r="AW34" s="27">
        <v>18412.221749999997</v>
      </c>
      <c r="AX34" s="16"/>
      <c r="AY34" s="16"/>
      <c r="AZ34" s="28">
        <v>4.816438356164384</v>
      </c>
      <c r="BA34" s="29">
        <v>5.183561643835616</v>
      </c>
      <c r="BB34" s="27">
        <v>1645.3000000000002</v>
      </c>
      <c r="BC34" s="30">
        <v>20120.306099999998</v>
      </c>
      <c r="BD34" s="34">
        <v>3353.3843499999998</v>
      </c>
      <c r="BE34" s="33">
        <v>15058.837399999997</v>
      </c>
      <c r="BF34" s="33"/>
      <c r="BG34" s="27">
        <v>15058.837399999997</v>
      </c>
      <c r="BH34" s="16"/>
      <c r="BI34" s="16"/>
      <c r="BJ34" s="28">
        <v>5.816438356164384</v>
      </c>
      <c r="BK34" s="29">
        <v>4.183561643835616</v>
      </c>
      <c r="BL34" s="27">
        <v>1645.3000000000002</v>
      </c>
      <c r="BM34" s="30">
        <v>13413.537399999997</v>
      </c>
      <c r="BN34" s="34">
        <v>3353.3843499999998</v>
      </c>
      <c r="BO34" s="35">
        <v>11705.453049999996</v>
      </c>
      <c r="BP34" s="36"/>
      <c r="BQ34" s="27">
        <v>11705.453049999996</v>
      </c>
      <c r="BR34" s="16"/>
      <c r="BS34" s="16"/>
      <c r="BT34" s="28">
        <v>6.816438356164384</v>
      </c>
      <c r="BU34" s="29">
        <v>3.183561643835616</v>
      </c>
      <c r="BV34" s="27">
        <v>1645.3000000000002</v>
      </c>
      <c r="BW34" s="30">
        <v>10060.153049999997</v>
      </c>
      <c r="BX34" s="34">
        <v>3353.3843499999998</v>
      </c>
      <c r="BY34" s="35">
        <v>8352.0686999999962</v>
      </c>
      <c r="CA34" s="35">
        <v>8352.0686999999962</v>
      </c>
      <c r="CB34" s="16"/>
      <c r="CC34" s="16"/>
      <c r="CD34" s="28">
        <v>7.8191780821917805</v>
      </c>
      <c r="CE34" s="29">
        <v>2.1808219178082195</v>
      </c>
      <c r="CF34" s="27">
        <v>1645.3000000000002</v>
      </c>
      <c r="CG34" s="30">
        <v>6706.768699999996</v>
      </c>
      <c r="CH34" s="31">
        <v>3353.3843499999998</v>
      </c>
      <c r="CI34" s="35">
        <v>4998.6843499999959</v>
      </c>
      <c r="CK34" s="36">
        <v>3353.3843499999957</v>
      </c>
      <c r="CL34" s="35">
        <v>4998.6843499999959</v>
      </c>
      <c r="CM34" s="16"/>
      <c r="CN34" s="16"/>
      <c r="CO34" s="28">
        <v>8.8191780821917813</v>
      </c>
      <c r="CP34" s="29">
        <v>1.1808219178082187</v>
      </c>
      <c r="CQ34" s="27">
        <v>1645.3000000000002</v>
      </c>
      <c r="CR34" s="34">
        <v>3353.3843499999957</v>
      </c>
      <c r="CS34" s="34">
        <v>3353.3843499999998</v>
      </c>
      <c r="CT34" s="35">
        <v>1645.2999999999961</v>
      </c>
      <c r="CV34" s="35">
        <v>-4.0927261579781771E-12</v>
      </c>
      <c r="CW34" s="35">
        <v>1645.2999999999961</v>
      </c>
      <c r="CX34" s="16"/>
      <c r="CY34" s="16"/>
      <c r="CZ34" s="28">
        <v>10.819178082191781</v>
      </c>
      <c r="DA34" s="29">
        <v>-0.81917808219178134</v>
      </c>
      <c r="DB34" s="27">
        <v>1645.3000000000002</v>
      </c>
      <c r="DC34" s="34">
        <v>0</v>
      </c>
      <c r="DD34" s="34"/>
      <c r="DE34" s="35">
        <v>1645.2999999999961</v>
      </c>
      <c r="DG34" s="35">
        <v>32906</v>
      </c>
      <c r="DH34" s="35">
        <v>31260.7</v>
      </c>
      <c r="DI34" s="35">
        <f t="shared" si="0"/>
        <v>1645.2999999999993</v>
      </c>
      <c r="DJ34" s="132">
        <f t="shared" si="1"/>
        <v>1645.2999999999993</v>
      </c>
      <c r="DK34" s="132">
        <f t="shared" si="2"/>
        <v>0</v>
      </c>
      <c r="DL34" s="132">
        <f t="shared" si="3"/>
        <v>-3.1832314562052488E-12</v>
      </c>
    </row>
    <row r="35" spans="2:116" s="4" customFormat="1" ht="39" x14ac:dyDescent="0.25">
      <c r="B35" s="13" t="s">
        <v>4</v>
      </c>
      <c r="C35" s="14" t="s">
        <v>4</v>
      </c>
      <c r="D35" s="15" t="s">
        <v>101</v>
      </c>
      <c r="E35" s="15" t="s">
        <v>170</v>
      </c>
      <c r="F35" s="16" t="s">
        <v>171</v>
      </c>
      <c r="G35" s="11" t="s">
        <v>111</v>
      </c>
      <c r="H35" s="17">
        <v>41067</v>
      </c>
      <c r="I35" s="18" t="s">
        <v>420</v>
      </c>
      <c r="J35" s="19">
        <v>2</v>
      </c>
      <c r="K35" s="20">
        <v>10</v>
      </c>
      <c r="L35" s="21">
        <v>8</v>
      </c>
      <c r="M35" s="22">
        <v>24554</v>
      </c>
      <c r="N35" s="23">
        <v>3308.9067999999997</v>
      </c>
      <c r="O35" s="24">
        <v>21245.093199999999</v>
      </c>
      <c r="P35" s="24"/>
      <c r="Q35" s="25">
        <v>8</v>
      </c>
      <c r="R35" s="26">
        <v>1227.7</v>
      </c>
      <c r="S35" s="25">
        <v>20017.393199999999</v>
      </c>
      <c r="T35" s="25">
        <v>2502.1741499999998</v>
      </c>
      <c r="U35" s="25"/>
      <c r="V35" s="25">
        <v>0</v>
      </c>
      <c r="W35" s="25">
        <v>2502.1741499999998</v>
      </c>
      <c r="X35" s="25">
        <v>2502.1741499999998</v>
      </c>
      <c r="Y35" s="25">
        <v>0</v>
      </c>
      <c r="Z35" s="24">
        <v>21245.093199999999</v>
      </c>
      <c r="AA35" s="27">
        <v>18742.91905</v>
      </c>
      <c r="AB35" s="16"/>
      <c r="AC35" s="27">
        <v>18742.91905</v>
      </c>
      <c r="AD35" s="16"/>
      <c r="AE35" s="16"/>
      <c r="AF35" s="28">
        <v>2.8136986301369862</v>
      </c>
      <c r="AG35" s="29">
        <v>7.1863013698630134</v>
      </c>
      <c r="AH35" s="27">
        <v>1227.7</v>
      </c>
      <c r="AI35" s="30">
        <v>20017.393199999999</v>
      </c>
      <c r="AJ35" s="31">
        <v>2502.1741499999998</v>
      </c>
      <c r="AK35" s="32">
        <v>16240.744900000002</v>
      </c>
      <c r="AL35" s="16"/>
      <c r="AM35" s="27">
        <v>16240.744900000002</v>
      </c>
      <c r="AN35" s="16"/>
      <c r="AO35" s="16"/>
      <c r="AP35" s="28">
        <v>3.8164383561643835</v>
      </c>
      <c r="AQ35" s="29">
        <v>6.1835616438356169</v>
      </c>
      <c r="AR35" s="27">
        <v>1227.7</v>
      </c>
      <c r="AS35" s="30">
        <v>17515.21905</v>
      </c>
      <c r="AT35" s="31">
        <v>2502.1741499999998</v>
      </c>
      <c r="AU35" s="33">
        <v>13738.570750000003</v>
      </c>
      <c r="AW35" s="27">
        <v>13738.570750000003</v>
      </c>
      <c r="AX35" s="16"/>
      <c r="AY35" s="16"/>
      <c r="AZ35" s="28">
        <v>4.816438356164384</v>
      </c>
      <c r="BA35" s="29">
        <v>5.183561643835616</v>
      </c>
      <c r="BB35" s="27">
        <v>1227.7</v>
      </c>
      <c r="BC35" s="30">
        <v>15013.044900000001</v>
      </c>
      <c r="BD35" s="34">
        <v>2502.1741499999998</v>
      </c>
      <c r="BE35" s="33">
        <v>11236.396600000004</v>
      </c>
      <c r="BF35" s="33"/>
      <c r="BG35" s="27">
        <v>11236.396600000004</v>
      </c>
      <c r="BH35" s="16"/>
      <c r="BI35" s="16"/>
      <c r="BJ35" s="28">
        <v>5.816438356164384</v>
      </c>
      <c r="BK35" s="29">
        <v>4.183561643835616</v>
      </c>
      <c r="BL35" s="27">
        <v>1227.7</v>
      </c>
      <c r="BM35" s="30">
        <v>10008.696600000003</v>
      </c>
      <c r="BN35" s="34">
        <v>2502.1741499999998</v>
      </c>
      <c r="BO35" s="35">
        <v>8734.2224500000048</v>
      </c>
      <c r="BP35" s="36"/>
      <c r="BQ35" s="27">
        <v>8734.2224500000048</v>
      </c>
      <c r="BR35" s="16"/>
      <c r="BS35" s="16"/>
      <c r="BT35" s="28">
        <v>6.816438356164384</v>
      </c>
      <c r="BU35" s="29">
        <v>3.183561643835616</v>
      </c>
      <c r="BV35" s="27">
        <v>1227.7</v>
      </c>
      <c r="BW35" s="30">
        <v>7506.5224500000049</v>
      </c>
      <c r="BX35" s="34">
        <v>2502.1741499999998</v>
      </c>
      <c r="BY35" s="35">
        <v>6232.0483000000049</v>
      </c>
      <c r="CA35" s="35">
        <v>6232.0483000000049</v>
      </c>
      <c r="CB35" s="16"/>
      <c r="CC35" s="16"/>
      <c r="CD35" s="28">
        <v>7.8191780821917805</v>
      </c>
      <c r="CE35" s="29">
        <v>2.1808219178082195</v>
      </c>
      <c r="CF35" s="27">
        <v>1227.7</v>
      </c>
      <c r="CG35" s="30">
        <v>5004.3483000000051</v>
      </c>
      <c r="CH35" s="31">
        <v>2502.1741499999998</v>
      </c>
      <c r="CI35" s="35">
        <v>3729.8741500000051</v>
      </c>
      <c r="CK35" s="36">
        <v>2502.1741500000053</v>
      </c>
      <c r="CL35" s="35">
        <v>3729.8741500000051</v>
      </c>
      <c r="CM35" s="16"/>
      <c r="CN35" s="16"/>
      <c r="CO35" s="28">
        <v>8.8191780821917813</v>
      </c>
      <c r="CP35" s="29">
        <v>1.1808219178082187</v>
      </c>
      <c r="CQ35" s="27">
        <v>1227.7</v>
      </c>
      <c r="CR35" s="34">
        <v>2502.1741500000053</v>
      </c>
      <c r="CS35" s="34">
        <v>2502.1741499999998</v>
      </c>
      <c r="CT35" s="35">
        <v>1227.7000000000053</v>
      </c>
      <c r="CV35" s="35">
        <v>5.2295945351943374E-12</v>
      </c>
      <c r="CW35" s="35">
        <v>1227.7000000000053</v>
      </c>
      <c r="CX35" s="16"/>
      <c r="CY35" s="16"/>
      <c r="CZ35" s="28">
        <v>10.819178082191781</v>
      </c>
      <c r="DA35" s="29">
        <v>-0.81917808219178134</v>
      </c>
      <c r="DB35" s="27">
        <v>1227.7</v>
      </c>
      <c r="DC35" s="34">
        <v>0</v>
      </c>
      <c r="DD35" s="34"/>
      <c r="DE35" s="35">
        <v>1227.7000000000053</v>
      </c>
      <c r="DG35" s="35">
        <v>24554</v>
      </c>
      <c r="DH35" s="35">
        <v>23326.299999999992</v>
      </c>
      <c r="DI35" s="35">
        <f t="shared" si="0"/>
        <v>1227.700000000008</v>
      </c>
      <c r="DJ35" s="132">
        <f t="shared" si="1"/>
        <v>1227.700000000008</v>
      </c>
      <c r="DK35" s="132">
        <f t="shared" si="2"/>
        <v>0</v>
      </c>
      <c r="DL35" s="132">
        <f t="shared" si="3"/>
        <v>-2.7284841053187847E-12</v>
      </c>
    </row>
    <row r="36" spans="2:116" s="4" customFormat="1" ht="39" x14ac:dyDescent="0.25">
      <c r="B36" s="13" t="s">
        <v>4</v>
      </c>
      <c r="C36" s="14" t="s">
        <v>4</v>
      </c>
      <c r="D36" s="15" t="s">
        <v>101</v>
      </c>
      <c r="E36" s="15" t="s">
        <v>172</v>
      </c>
      <c r="F36" s="16" t="s">
        <v>173</v>
      </c>
      <c r="G36" s="11" t="s">
        <v>111</v>
      </c>
      <c r="H36" s="17">
        <v>41068</v>
      </c>
      <c r="I36" s="18" t="s">
        <v>420</v>
      </c>
      <c r="J36" s="19">
        <v>2</v>
      </c>
      <c r="K36" s="20">
        <v>10</v>
      </c>
      <c r="L36" s="21">
        <v>8</v>
      </c>
      <c r="M36" s="22">
        <v>10028</v>
      </c>
      <c r="N36" s="23">
        <v>1349.0776000000001</v>
      </c>
      <c r="O36" s="24">
        <v>8678.9223999999995</v>
      </c>
      <c r="P36" s="24"/>
      <c r="Q36" s="25">
        <v>8</v>
      </c>
      <c r="R36" s="26">
        <v>501.40000000000003</v>
      </c>
      <c r="S36" s="25">
        <v>8177.5223999999998</v>
      </c>
      <c r="T36" s="25">
        <v>1022.1903</v>
      </c>
      <c r="U36" s="25"/>
      <c r="V36" s="25">
        <v>0</v>
      </c>
      <c r="W36" s="25">
        <v>1022.1903</v>
      </c>
      <c r="X36" s="25">
        <v>1022.1903</v>
      </c>
      <c r="Y36" s="25">
        <v>0</v>
      </c>
      <c r="Z36" s="24">
        <v>8678.9223999999995</v>
      </c>
      <c r="AA36" s="27">
        <v>7656.7320999999993</v>
      </c>
      <c r="AB36" s="16"/>
      <c r="AC36" s="27">
        <v>7656.7320999999993</v>
      </c>
      <c r="AD36" s="16"/>
      <c r="AE36" s="16"/>
      <c r="AF36" s="28">
        <v>2.8109589041095893</v>
      </c>
      <c r="AG36" s="29">
        <v>7.1890410958904107</v>
      </c>
      <c r="AH36" s="27">
        <v>501.40000000000003</v>
      </c>
      <c r="AI36" s="30">
        <v>8177.5223999999998</v>
      </c>
      <c r="AJ36" s="31">
        <v>1022.1903</v>
      </c>
      <c r="AK36" s="32">
        <v>6634.5417999999991</v>
      </c>
      <c r="AL36" s="16"/>
      <c r="AM36" s="27">
        <v>6634.5417999999991</v>
      </c>
      <c r="AN36" s="16"/>
      <c r="AO36" s="16"/>
      <c r="AP36" s="28">
        <v>3.8136986301369862</v>
      </c>
      <c r="AQ36" s="29">
        <v>6.1863013698630134</v>
      </c>
      <c r="AR36" s="27">
        <v>501.40000000000003</v>
      </c>
      <c r="AS36" s="30">
        <v>7155.3320999999996</v>
      </c>
      <c r="AT36" s="31">
        <v>1022.1903</v>
      </c>
      <c r="AU36" s="33">
        <v>5612.3514999999989</v>
      </c>
      <c r="AW36" s="27">
        <v>5612.3514999999989</v>
      </c>
      <c r="AX36" s="16"/>
      <c r="AY36" s="16"/>
      <c r="AZ36" s="28">
        <v>4.8136986301369866</v>
      </c>
      <c r="BA36" s="29">
        <v>5.1863013698630134</v>
      </c>
      <c r="BB36" s="27">
        <v>501.40000000000003</v>
      </c>
      <c r="BC36" s="30">
        <v>6133.1417999999994</v>
      </c>
      <c r="BD36" s="34">
        <v>1022.1903</v>
      </c>
      <c r="BE36" s="33">
        <v>4590.1611999999986</v>
      </c>
      <c r="BF36" s="33"/>
      <c r="BG36" s="27">
        <v>4590.1611999999986</v>
      </c>
      <c r="BH36" s="16"/>
      <c r="BI36" s="16"/>
      <c r="BJ36" s="28">
        <v>5.8136986301369866</v>
      </c>
      <c r="BK36" s="29">
        <v>4.1863013698630134</v>
      </c>
      <c r="BL36" s="27">
        <v>501.40000000000003</v>
      </c>
      <c r="BM36" s="30">
        <v>4088.7611999999986</v>
      </c>
      <c r="BN36" s="34">
        <v>1022.1903</v>
      </c>
      <c r="BO36" s="35">
        <v>3567.9708999999984</v>
      </c>
      <c r="BP36" s="36"/>
      <c r="BQ36" s="27">
        <v>3567.9708999999984</v>
      </c>
      <c r="BR36" s="16"/>
      <c r="BS36" s="16"/>
      <c r="BT36" s="28">
        <v>6.8136986301369866</v>
      </c>
      <c r="BU36" s="29">
        <v>3.1863013698630134</v>
      </c>
      <c r="BV36" s="27">
        <v>501.40000000000003</v>
      </c>
      <c r="BW36" s="30">
        <v>3066.5708999999983</v>
      </c>
      <c r="BX36" s="34">
        <v>1022.1903</v>
      </c>
      <c r="BY36" s="35">
        <v>2545.7805999999982</v>
      </c>
      <c r="CA36" s="35">
        <v>2545.7805999999982</v>
      </c>
      <c r="CB36" s="16"/>
      <c r="CC36" s="16"/>
      <c r="CD36" s="28">
        <v>7.816438356164384</v>
      </c>
      <c r="CE36" s="29">
        <v>2.183561643835616</v>
      </c>
      <c r="CF36" s="27">
        <v>501.40000000000003</v>
      </c>
      <c r="CG36" s="30">
        <v>2044.3805999999981</v>
      </c>
      <c r="CH36" s="31">
        <v>1022.1903</v>
      </c>
      <c r="CI36" s="35">
        <v>1523.5902999999983</v>
      </c>
      <c r="CK36" s="36">
        <v>1022.1902999999982</v>
      </c>
      <c r="CL36" s="35">
        <v>1523.5902999999983</v>
      </c>
      <c r="CM36" s="16"/>
      <c r="CN36" s="16"/>
      <c r="CO36" s="28">
        <v>8.8164383561643831</v>
      </c>
      <c r="CP36" s="29">
        <v>1.1835616438356169</v>
      </c>
      <c r="CQ36" s="27">
        <v>501.40000000000003</v>
      </c>
      <c r="CR36" s="34">
        <v>1022.1902999999982</v>
      </c>
      <c r="CS36" s="34">
        <v>1022.1903</v>
      </c>
      <c r="CT36" s="35">
        <v>501.39999999999827</v>
      </c>
      <c r="CV36" s="35">
        <v>-1.7621459846850485E-12</v>
      </c>
      <c r="CW36" s="35">
        <v>501.39999999999827</v>
      </c>
      <c r="CX36" s="16"/>
      <c r="CY36" s="16"/>
      <c r="CZ36" s="28">
        <v>10.816438356164383</v>
      </c>
      <c r="DA36" s="29">
        <v>-0.81643835616438309</v>
      </c>
      <c r="DB36" s="27">
        <v>501.40000000000003</v>
      </c>
      <c r="DC36" s="34">
        <v>0</v>
      </c>
      <c r="DD36" s="34"/>
      <c r="DE36" s="35">
        <v>501.39999999999827</v>
      </c>
      <c r="DG36" s="35">
        <v>10028</v>
      </c>
      <c r="DH36" s="35">
        <v>9526.6</v>
      </c>
      <c r="DI36" s="35">
        <f t="shared" si="0"/>
        <v>501.39999999999964</v>
      </c>
      <c r="DJ36" s="132">
        <f t="shared" si="1"/>
        <v>501.39999999999964</v>
      </c>
      <c r="DK36" s="132">
        <f t="shared" si="2"/>
        <v>0</v>
      </c>
      <c r="DL36" s="132">
        <f t="shared" si="3"/>
        <v>-1.3642420526593924E-12</v>
      </c>
    </row>
    <row r="37" spans="2:116" s="4" customFormat="1" ht="39" x14ac:dyDescent="0.25">
      <c r="B37" s="13" t="s">
        <v>4</v>
      </c>
      <c r="C37" s="14" t="s">
        <v>4</v>
      </c>
      <c r="D37" s="15" t="s">
        <v>101</v>
      </c>
      <c r="E37" s="15" t="s">
        <v>174</v>
      </c>
      <c r="F37" s="16" t="s">
        <v>175</v>
      </c>
      <c r="G37" s="11" t="s">
        <v>111</v>
      </c>
      <c r="H37" s="17">
        <v>41088</v>
      </c>
      <c r="I37" s="18" t="s">
        <v>420</v>
      </c>
      <c r="J37" s="19">
        <v>2</v>
      </c>
      <c r="K37" s="20">
        <v>10</v>
      </c>
      <c r="L37" s="21">
        <v>8</v>
      </c>
      <c r="M37" s="22">
        <v>6683</v>
      </c>
      <c r="N37" s="23">
        <v>871.87860000000001</v>
      </c>
      <c r="O37" s="24">
        <v>5811.1214</v>
      </c>
      <c r="P37" s="24"/>
      <c r="Q37" s="25">
        <v>8</v>
      </c>
      <c r="R37" s="26">
        <v>334.15000000000003</v>
      </c>
      <c r="S37" s="25">
        <v>5476.9714000000004</v>
      </c>
      <c r="T37" s="25">
        <v>684.62142500000004</v>
      </c>
      <c r="U37" s="25"/>
      <c r="V37" s="25">
        <v>0</v>
      </c>
      <c r="W37" s="25">
        <v>684.62142500000004</v>
      </c>
      <c r="X37" s="25">
        <v>684.62142500000004</v>
      </c>
      <c r="Y37" s="25">
        <v>0</v>
      </c>
      <c r="Z37" s="24">
        <v>5811.1214</v>
      </c>
      <c r="AA37" s="27">
        <v>5126.4999749999997</v>
      </c>
      <c r="AB37" s="16"/>
      <c r="AC37" s="27">
        <v>5126.4999749999997</v>
      </c>
      <c r="AD37" s="16"/>
      <c r="AE37" s="16"/>
      <c r="AF37" s="28">
        <v>2.7561643835616438</v>
      </c>
      <c r="AG37" s="29">
        <v>7.2438356164383562</v>
      </c>
      <c r="AH37" s="27">
        <v>334.15000000000003</v>
      </c>
      <c r="AI37" s="30">
        <v>5476.9714000000004</v>
      </c>
      <c r="AJ37" s="31">
        <v>684.62142500000004</v>
      </c>
      <c r="AK37" s="32">
        <v>4441.8785499999994</v>
      </c>
      <c r="AL37" s="16"/>
      <c r="AM37" s="27">
        <v>4441.8785499999994</v>
      </c>
      <c r="AN37" s="16"/>
      <c r="AO37" s="16"/>
      <c r="AP37" s="28">
        <v>3.7589041095890412</v>
      </c>
      <c r="AQ37" s="29">
        <v>6.2410958904109588</v>
      </c>
      <c r="AR37" s="27">
        <v>334.15000000000003</v>
      </c>
      <c r="AS37" s="30">
        <v>4792.3499750000001</v>
      </c>
      <c r="AT37" s="31">
        <v>684.62142500000004</v>
      </c>
      <c r="AU37" s="33">
        <v>3757.2571249999992</v>
      </c>
      <c r="AW37" s="27">
        <v>3757.2571249999992</v>
      </c>
      <c r="AX37" s="16"/>
      <c r="AY37" s="16"/>
      <c r="AZ37" s="28">
        <v>4.7589041095890412</v>
      </c>
      <c r="BA37" s="29">
        <v>5.2410958904109588</v>
      </c>
      <c r="BB37" s="27">
        <v>334.15000000000003</v>
      </c>
      <c r="BC37" s="30">
        <v>4107.7285499999998</v>
      </c>
      <c r="BD37" s="34">
        <v>684.62142500000004</v>
      </c>
      <c r="BE37" s="33">
        <v>3072.6356999999989</v>
      </c>
      <c r="BF37" s="33"/>
      <c r="BG37" s="27">
        <v>3072.6356999999989</v>
      </c>
      <c r="BH37" s="16"/>
      <c r="BI37" s="16"/>
      <c r="BJ37" s="28">
        <v>5.7589041095890412</v>
      </c>
      <c r="BK37" s="29">
        <v>4.2410958904109588</v>
      </c>
      <c r="BL37" s="27">
        <v>334.15000000000003</v>
      </c>
      <c r="BM37" s="30">
        <v>2738.4856999999988</v>
      </c>
      <c r="BN37" s="34">
        <v>684.62142500000004</v>
      </c>
      <c r="BO37" s="35">
        <v>2388.0142749999986</v>
      </c>
      <c r="BP37" s="36"/>
      <c r="BQ37" s="27">
        <v>2388.0142749999986</v>
      </c>
      <c r="BR37" s="16"/>
      <c r="BS37" s="16"/>
      <c r="BT37" s="28">
        <v>6.7589041095890412</v>
      </c>
      <c r="BU37" s="29">
        <v>3.2410958904109588</v>
      </c>
      <c r="BV37" s="27">
        <v>334.15000000000003</v>
      </c>
      <c r="BW37" s="30">
        <v>2053.8642749999985</v>
      </c>
      <c r="BX37" s="34">
        <v>684.62142500000004</v>
      </c>
      <c r="BY37" s="35">
        <v>1703.3928499999986</v>
      </c>
      <c r="CA37" s="35">
        <v>1703.3928499999986</v>
      </c>
      <c r="CB37" s="16"/>
      <c r="CC37" s="16"/>
      <c r="CD37" s="28">
        <v>7.7616438356164386</v>
      </c>
      <c r="CE37" s="29">
        <v>2.2383561643835614</v>
      </c>
      <c r="CF37" s="27">
        <v>334.15000000000003</v>
      </c>
      <c r="CG37" s="30">
        <v>1369.2428499999985</v>
      </c>
      <c r="CH37" s="31">
        <v>684.62142500000004</v>
      </c>
      <c r="CI37" s="35">
        <v>1018.7714249999985</v>
      </c>
      <c r="CK37" s="36">
        <v>684.62142499999845</v>
      </c>
      <c r="CL37" s="35">
        <v>1018.7714249999985</v>
      </c>
      <c r="CM37" s="16"/>
      <c r="CN37" s="16"/>
      <c r="CO37" s="28">
        <v>8.7616438356164377</v>
      </c>
      <c r="CP37" s="29">
        <v>1.2383561643835623</v>
      </c>
      <c r="CQ37" s="27">
        <v>334.15000000000003</v>
      </c>
      <c r="CR37" s="34">
        <v>684.62142499999845</v>
      </c>
      <c r="CS37" s="34">
        <v>684.62142500000004</v>
      </c>
      <c r="CT37" s="35">
        <v>334.1499999999985</v>
      </c>
      <c r="CV37" s="35">
        <v>-1.5347723092418164E-12</v>
      </c>
      <c r="CW37" s="35">
        <v>334.1499999999985</v>
      </c>
      <c r="CX37" s="16"/>
      <c r="CY37" s="16"/>
      <c r="CZ37" s="28">
        <v>10.761643835616438</v>
      </c>
      <c r="DA37" s="29">
        <v>-0.76164383561643767</v>
      </c>
      <c r="DB37" s="27">
        <v>334.15000000000003</v>
      </c>
      <c r="DC37" s="34">
        <v>0</v>
      </c>
      <c r="DD37" s="34"/>
      <c r="DE37" s="35">
        <v>334.1499999999985</v>
      </c>
      <c r="DG37" s="35">
        <v>6683</v>
      </c>
      <c r="DH37" s="35">
        <v>6348.8500000000013</v>
      </c>
      <c r="DI37" s="35">
        <f t="shared" si="0"/>
        <v>334.14999999999873</v>
      </c>
      <c r="DJ37" s="132">
        <f t="shared" si="1"/>
        <v>334.14999999999873</v>
      </c>
      <c r="DK37" s="132">
        <f t="shared" si="2"/>
        <v>0</v>
      </c>
      <c r="DL37" s="132">
        <f t="shared" si="3"/>
        <v>0</v>
      </c>
    </row>
    <row r="38" spans="2:116" s="4" customFormat="1" ht="39" x14ac:dyDescent="0.25">
      <c r="B38" s="13" t="s">
        <v>4</v>
      </c>
      <c r="C38" s="14" t="s">
        <v>4</v>
      </c>
      <c r="D38" s="15" t="s">
        <v>101</v>
      </c>
      <c r="E38" s="15" t="s">
        <v>178</v>
      </c>
      <c r="F38" s="16" t="s">
        <v>179</v>
      </c>
      <c r="G38" s="11" t="s">
        <v>111</v>
      </c>
      <c r="H38" s="17">
        <v>41088</v>
      </c>
      <c r="I38" s="18" t="s">
        <v>420</v>
      </c>
      <c r="J38" s="19">
        <v>2</v>
      </c>
      <c r="K38" s="20">
        <v>10</v>
      </c>
      <c r="L38" s="21">
        <v>8</v>
      </c>
      <c r="M38" s="22">
        <v>10840</v>
      </c>
      <c r="N38" s="23">
        <v>1413.328</v>
      </c>
      <c r="O38" s="24">
        <v>9426.6720000000005</v>
      </c>
      <c r="P38" s="24"/>
      <c r="Q38" s="25">
        <v>8</v>
      </c>
      <c r="R38" s="26">
        <v>542</v>
      </c>
      <c r="S38" s="25">
        <v>8884.6720000000005</v>
      </c>
      <c r="T38" s="25">
        <v>1110.5840000000001</v>
      </c>
      <c r="U38" s="25"/>
      <c r="V38" s="25">
        <v>0</v>
      </c>
      <c r="W38" s="25">
        <v>1110.5840000000001</v>
      </c>
      <c r="X38" s="25">
        <v>1110.5840000000001</v>
      </c>
      <c r="Y38" s="25">
        <v>0</v>
      </c>
      <c r="Z38" s="24">
        <v>9426.6720000000005</v>
      </c>
      <c r="AA38" s="27">
        <v>8316.0879999999997</v>
      </c>
      <c r="AB38" s="16"/>
      <c r="AC38" s="27">
        <v>8316.0879999999997</v>
      </c>
      <c r="AD38" s="16"/>
      <c r="AE38" s="16"/>
      <c r="AF38" s="28">
        <v>2.7561643835616438</v>
      </c>
      <c r="AG38" s="29">
        <v>7.2438356164383562</v>
      </c>
      <c r="AH38" s="27">
        <v>542</v>
      </c>
      <c r="AI38" s="30">
        <v>8884.6720000000005</v>
      </c>
      <c r="AJ38" s="31">
        <v>1110.5840000000001</v>
      </c>
      <c r="AK38" s="32">
        <v>7205.5039999999999</v>
      </c>
      <c r="AL38" s="16"/>
      <c r="AM38" s="27">
        <v>7205.5039999999999</v>
      </c>
      <c r="AN38" s="16"/>
      <c r="AO38" s="16"/>
      <c r="AP38" s="28">
        <v>3.7589041095890412</v>
      </c>
      <c r="AQ38" s="29">
        <v>6.2410958904109588</v>
      </c>
      <c r="AR38" s="27">
        <v>542</v>
      </c>
      <c r="AS38" s="30">
        <v>7774.0879999999997</v>
      </c>
      <c r="AT38" s="31">
        <v>1110.5840000000001</v>
      </c>
      <c r="AU38" s="33">
        <v>6094.92</v>
      </c>
      <c r="AW38" s="27">
        <v>6094.92</v>
      </c>
      <c r="AX38" s="16"/>
      <c r="AY38" s="16"/>
      <c r="AZ38" s="28">
        <v>4.7589041095890412</v>
      </c>
      <c r="BA38" s="29">
        <v>5.2410958904109588</v>
      </c>
      <c r="BB38" s="27">
        <v>542</v>
      </c>
      <c r="BC38" s="30">
        <v>6663.5039999999999</v>
      </c>
      <c r="BD38" s="34">
        <v>1110.5840000000001</v>
      </c>
      <c r="BE38" s="33">
        <v>4984.3360000000002</v>
      </c>
      <c r="BF38" s="33"/>
      <c r="BG38" s="27">
        <v>4984.3360000000002</v>
      </c>
      <c r="BH38" s="16"/>
      <c r="BI38" s="16"/>
      <c r="BJ38" s="28">
        <v>5.7589041095890412</v>
      </c>
      <c r="BK38" s="29">
        <v>4.2410958904109588</v>
      </c>
      <c r="BL38" s="27">
        <v>542</v>
      </c>
      <c r="BM38" s="30">
        <v>4442.3360000000002</v>
      </c>
      <c r="BN38" s="34">
        <v>1110.5840000000001</v>
      </c>
      <c r="BO38" s="35">
        <v>3873.7520000000004</v>
      </c>
      <c r="BP38" s="36"/>
      <c r="BQ38" s="27">
        <v>3873.7520000000004</v>
      </c>
      <c r="BR38" s="16"/>
      <c r="BS38" s="16"/>
      <c r="BT38" s="28">
        <v>6.7589041095890412</v>
      </c>
      <c r="BU38" s="29">
        <v>3.2410958904109588</v>
      </c>
      <c r="BV38" s="27">
        <v>542</v>
      </c>
      <c r="BW38" s="30">
        <v>3331.7520000000004</v>
      </c>
      <c r="BX38" s="34">
        <v>1110.5840000000001</v>
      </c>
      <c r="BY38" s="35">
        <v>2763.1680000000006</v>
      </c>
      <c r="CA38" s="35">
        <v>2763.1680000000006</v>
      </c>
      <c r="CB38" s="16"/>
      <c r="CC38" s="16"/>
      <c r="CD38" s="28">
        <v>7.7616438356164386</v>
      </c>
      <c r="CE38" s="29">
        <v>2.2383561643835614</v>
      </c>
      <c r="CF38" s="27">
        <v>542</v>
      </c>
      <c r="CG38" s="30">
        <v>2221.1680000000006</v>
      </c>
      <c r="CH38" s="31">
        <v>1110.5840000000001</v>
      </c>
      <c r="CI38" s="35">
        <v>1652.5840000000005</v>
      </c>
      <c r="CK38" s="36">
        <v>1110.5840000000005</v>
      </c>
      <c r="CL38" s="35">
        <v>1652.5840000000005</v>
      </c>
      <c r="CM38" s="16"/>
      <c r="CN38" s="16"/>
      <c r="CO38" s="28">
        <v>8.7616438356164377</v>
      </c>
      <c r="CP38" s="29">
        <v>1.2383561643835623</v>
      </c>
      <c r="CQ38" s="27">
        <v>542</v>
      </c>
      <c r="CR38" s="34">
        <v>1110.5840000000005</v>
      </c>
      <c r="CS38" s="34">
        <v>1110.5840000000001</v>
      </c>
      <c r="CT38" s="35">
        <v>542.00000000000045</v>
      </c>
      <c r="CV38" s="35">
        <v>0</v>
      </c>
      <c r="CW38" s="35">
        <v>542.00000000000045</v>
      </c>
      <c r="CX38" s="16"/>
      <c r="CY38" s="16"/>
      <c r="CZ38" s="28">
        <v>10.761643835616438</v>
      </c>
      <c r="DA38" s="29">
        <v>-0.76164383561643767</v>
      </c>
      <c r="DB38" s="27">
        <v>542</v>
      </c>
      <c r="DC38" s="34">
        <v>0</v>
      </c>
      <c r="DD38" s="34"/>
      <c r="DE38" s="35">
        <v>542.00000000000045</v>
      </c>
      <c r="DG38" s="35">
        <v>10840</v>
      </c>
      <c r="DH38" s="35">
        <v>10298</v>
      </c>
      <c r="DI38" s="35">
        <f t="shared" si="0"/>
        <v>542</v>
      </c>
      <c r="DJ38" s="132">
        <f t="shared" si="1"/>
        <v>542</v>
      </c>
      <c r="DK38" s="132">
        <f t="shared" si="2"/>
        <v>0</v>
      </c>
      <c r="DL38" s="132">
        <f t="shared" si="3"/>
        <v>0</v>
      </c>
    </row>
    <row r="39" spans="2:116" s="4" customFormat="1" ht="39" x14ac:dyDescent="0.25">
      <c r="B39" s="13" t="s">
        <v>4</v>
      </c>
      <c r="C39" s="14" t="s">
        <v>4</v>
      </c>
      <c r="D39" s="15" t="s">
        <v>101</v>
      </c>
      <c r="E39" s="15" t="s">
        <v>180</v>
      </c>
      <c r="F39" s="16" t="s">
        <v>181</v>
      </c>
      <c r="G39" s="11" t="s">
        <v>111</v>
      </c>
      <c r="H39" s="17">
        <v>41067</v>
      </c>
      <c r="I39" s="18" t="s">
        <v>420</v>
      </c>
      <c r="J39" s="19">
        <v>2</v>
      </c>
      <c r="K39" s="20">
        <v>10</v>
      </c>
      <c r="L39" s="21">
        <v>8</v>
      </c>
      <c r="M39" s="22">
        <v>16500</v>
      </c>
      <c r="N39" s="23">
        <v>2222.3000000000002</v>
      </c>
      <c r="O39" s="24">
        <v>14277.7</v>
      </c>
      <c r="P39" s="24"/>
      <c r="Q39" s="25">
        <v>8</v>
      </c>
      <c r="R39" s="26">
        <v>825</v>
      </c>
      <c r="S39" s="25">
        <v>13452.7</v>
      </c>
      <c r="T39" s="25">
        <v>1681.5875000000001</v>
      </c>
      <c r="U39" s="25"/>
      <c r="V39" s="25">
        <v>0</v>
      </c>
      <c r="W39" s="25">
        <v>1681.5875000000001</v>
      </c>
      <c r="X39" s="25">
        <v>1681.5875000000001</v>
      </c>
      <c r="Y39" s="25">
        <v>0</v>
      </c>
      <c r="Z39" s="24">
        <v>14277.7</v>
      </c>
      <c r="AA39" s="27">
        <v>12596.112500000001</v>
      </c>
      <c r="AB39" s="16"/>
      <c r="AC39" s="27">
        <v>12596.112500000001</v>
      </c>
      <c r="AD39" s="16"/>
      <c r="AE39" s="16"/>
      <c r="AF39" s="28">
        <v>2.8136986301369862</v>
      </c>
      <c r="AG39" s="29">
        <v>7.1863013698630134</v>
      </c>
      <c r="AH39" s="27">
        <v>825</v>
      </c>
      <c r="AI39" s="30">
        <v>13452.7</v>
      </c>
      <c r="AJ39" s="31">
        <v>1681.5875000000001</v>
      </c>
      <c r="AK39" s="32">
        <v>10914.525000000001</v>
      </c>
      <c r="AL39" s="16"/>
      <c r="AM39" s="27">
        <v>10914.525000000001</v>
      </c>
      <c r="AN39" s="16"/>
      <c r="AO39" s="16"/>
      <c r="AP39" s="28">
        <v>3.8164383561643835</v>
      </c>
      <c r="AQ39" s="29">
        <v>6.1835616438356169</v>
      </c>
      <c r="AR39" s="27">
        <v>825</v>
      </c>
      <c r="AS39" s="30">
        <v>11771.112500000001</v>
      </c>
      <c r="AT39" s="31">
        <v>1681.5875000000001</v>
      </c>
      <c r="AU39" s="33">
        <v>9232.9375000000018</v>
      </c>
      <c r="AW39" s="27">
        <v>9232.9375000000018</v>
      </c>
      <c r="AX39" s="16"/>
      <c r="AY39" s="16"/>
      <c r="AZ39" s="28">
        <v>4.816438356164384</v>
      </c>
      <c r="BA39" s="29">
        <v>5.183561643835616</v>
      </c>
      <c r="BB39" s="27">
        <v>825</v>
      </c>
      <c r="BC39" s="30">
        <v>10089.525000000001</v>
      </c>
      <c r="BD39" s="34">
        <v>1681.5875000000001</v>
      </c>
      <c r="BE39" s="33">
        <v>7551.3500000000022</v>
      </c>
      <c r="BF39" s="33"/>
      <c r="BG39" s="27">
        <v>7551.3500000000022</v>
      </c>
      <c r="BH39" s="16"/>
      <c r="BI39" s="16"/>
      <c r="BJ39" s="28">
        <v>5.816438356164384</v>
      </c>
      <c r="BK39" s="29">
        <v>4.183561643835616</v>
      </c>
      <c r="BL39" s="27">
        <v>825</v>
      </c>
      <c r="BM39" s="30">
        <v>6726.3500000000022</v>
      </c>
      <c r="BN39" s="34">
        <v>1681.5875000000001</v>
      </c>
      <c r="BO39" s="35">
        <v>5869.7625000000025</v>
      </c>
      <c r="BP39" s="36"/>
      <c r="BQ39" s="27">
        <v>5869.7625000000025</v>
      </c>
      <c r="BR39" s="16"/>
      <c r="BS39" s="16"/>
      <c r="BT39" s="28">
        <v>6.816438356164384</v>
      </c>
      <c r="BU39" s="29">
        <v>3.183561643835616</v>
      </c>
      <c r="BV39" s="27">
        <v>825</v>
      </c>
      <c r="BW39" s="30">
        <v>5044.7625000000025</v>
      </c>
      <c r="BX39" s="34">
        <v>1681.5875000000001</v>
      </c>
      <c r="BY39" s="35">
        <v>4188.1750000000029</v>
      </c>
      <c r="CA39" s="35">
        <v>4188.1750000000029</v>
      </c>
      <c r="CB39" s="16"/>
      <c r="CC39" s="16"/>
      <c r="CD39" s="28">
        <v>7.8191780821917805</v>
      </c>
      <c r="CE39" s="29">
        <v>2.1808219178082195</v>
      </c>
      <c r="CF39" s="27">
        <v>825</v>
      </c>
      <c r="CG39" s="30">
        <v>3363.1750000000029</v>
      </c>
      <c r="CH39" s="31">
        <v>1681.5875000000001</v>
      </c>
      <c r="CI39" s="35">
        <v>2506.5875000000028</v>
      </c>
      <c r="CK39" s="36">
        <v>1681.5875000000028</v>
      </c>
      <c r="CL39" s="35">
        <v>2506.5875000000028</v>
      </c>
      <c r="CM39" s="16"/>
      <c r="CN39" s="16"/>
      <c r="CO39" s="28">
        <v>8.8191780821917813</v>
      </c>
      <c r="CP39" s="29">
        <v>1.1808219178082187</v>
      </c>
      <c r="CQ39" s="27">
        <v>825</v>
      </c>
      <c r="CR39" s="34">
        <v>1681.5875000000028</v>
      </c>
      <c r="CS39" s="34">
        <v>1681.5875000000001</v>
      </c>
      <c r="CT39" s="35">
        <v>825.00000000000273</v>
      </c>
      <c r="CV39" s="35">
        <v>2.7284841053187847E-12</v>
      </c>
      <c r="CW39" s="35">
        <v>825.00000000000273</v>
      </c>
      <c r="CX39" s="16"/>
      <c r="CY39" s="16"/>
      <c r="CZ39" s="28">
        <v>10.819178082191781</v>
      </c>
      <c r="DA39" s="29">
        <v>-0.81917808219178134</v>
      </c>
      <c r="DB39" s="27">
        <v>825</v>
      </c>
      <c r="DC39" s="34">
        <v>0</v>
      </c>
      <c r="DD39" s="34"/>
      <c r="DE39" s="35">
        <v>825.00000000000273</v>
      </c>
      <c r="DG39" s="35">
        <v>16500</v>
      </c>
      <c r="DH39" s="35">
        <v>15674.999999999998</v>
      </c>
      <c r="DI39" s="35">
        <f t="shared" si="0"/>
        <v>825.00000000000182</v>
      </c>
      <c r="DJ39" s="132">
        <f t="shared" si="1"/>
        <v>825.00000000000182</v>
      </c>
      <c r="DK39" s="132">
        <f t="shared" si="2"/>
        <v>0</v>
      </c>
      <c r="DL39" s="132">
        <f t="shared" si="3"/>
        <v>9.0949470177292824E-13</v>
      </c>
    </row>
    <row r="40" spans="2:116" s="4" customFormat="1" ht="39" x14ac:dyDescent="0.25">
      <c r="B40" s="13" t="s">
        <v>4</v>
      </c>
      <c r="C40" s="14" t="s">
        <v>4</v>
      </c>
      <c r="D40" s="15" t="s">
        <v>101</v>
      </c>
      <c r="E40" s="15" t="s">
        <v>182</v>
      </c>
      <c r="F40" s="16" t="s">
        <v>183</v>
      </c>
      <c r="G40" s="11" t="s">
        <v>111</v>
      </c>
      <c r="H40" s="17">
        <v>41106</v>
      </c>
      <c r="I40" s="18" t="s">
        <v>420</v>
      </c>
      <c r="J40" s="19">
        <v>2</v>
      </c>
      <c r="K40" s="20">
        <v>10</v>
      </c>
      <c r="L40" s="21">
        <v>8</v>
      </c>
      <c r="M40" s="22">
        <v>20115</v>
      </c>
      <c r="N40" s="23">
        <v>2548.5330000000004</v>
      </c>
      <c r="O40" s="24">
        <v>17566.467000000001</v>
      </c>
      <c r="P40" s="24"/>
      <c r="Q40" s="25">
        <v>8</v>
      </c>
      <c r="R40" s="26">
        <v>1005.75</v>
      </c>
      <c r="S40" s="25">
        <v>16560.717000000001</v>
      </c>
      <c r="T40" s="25">
        <v>2070.0896250000001</v>
      </c>
      <c r="U40" s="25"/>
      <c r="V40" s="25">
        <v>0</v>
      </c>
      <c r="W40" s="25">
        <v>2070.0896250000001</v>
      </c>
      <c r="X40" s="25">
        <v>2070.0896250000001</v>
      </c>
      <c r="Y40" s="25">
        <v>0</v>
      </c>
      <c r="Z40" s="24">
        <v>17566.467000000001</v>
      </c>
      <c r="AA40" s="27">
        <v>15496.377375</v>
      </c>
      <c r="AB40" s="16"/>
      <c r="AC40" s="27">
        <v>15496.377375</v>
      </c>
      <c r="AD40" s="16"/>
      <c r="AE40" s="16"/>
      <c r="AF40" s="28">
        <v>2.7068493150684931</v>
      </c>
      <c r="AG40" s="29">
        <v>7.2931506849315069</v>
      </c>
      <c r="AH40" s="27">
        <v>1005.75</v>
      </c>
      <c r="AI40" s="30">
        <v>16560.717000000001</v>
      </c>
      <c r="AJ40" s="31">
        <v>2070.0896250000001</v>
      </c>
      <c r="AK40" s="32">
        <v>13426.28775</v>
      </c>
      <c r="AL40" s="16"/>
      <c r="AM40" s="27">
        <v>13426.28775</v>
      </c>
      <c r="AN40" s="16"/>
      <c r="AO40" s="16"/>
      <c r="AP40" s="28">
        <v>3.7095890410958905</v>
      </c>
      <c r="AQ40" s="29">
        <v>6.2904109589041095</v>
      </c>
      <c r="AR40" s="27">
        <v>1005.75</v>
      </c>
      <c r="AS40" s="30">
        <v>14490.627375</v>
      </c>
      <c r="AT40" s="31">
        <v>2070.0896250000001</v>
      </c>
      <c r="AU40" s="33">
        <v>11356.198124999999</v>
      </c>
      <c r="AW40" s="27">
        <v>11356.198124999999</v>
      </c>
      <c r="AX40" s="16"/>
      <c r="AY40" s="16"/>
      <c r="AZ40" s="28">
        <v>4.7095890410958905</v>
      </c>
      <c r="BA40" s="29">
        <v>5.2904109589041095</v>
      </c>
      <c r="BB40" s="27">
        <v>1005.75</v>
      </c>
      <c r="BC40" s="30">
        <v>12420.53775</v>
      </c>
      <c r="BD40" s="34">
        <v>2070.0896250000001</v>
      </c>
      <c r="BE40" s="33">
        <v>9286.1084999999985</v>
      </c>
      <c r="BF40" s="33"/>
      <c r="BG40" s="27">
        <v>9286.1084999999985</v>
      </c>
      <c r="BH40" s="16"/>
      <c r="BI40" s="16"/>
      <c r="BJ40" s="28">
        <v>5.7095890410958905</v>
      </c>
      <c r="BK40" s="29">
        <v>4.2904109589041095</v>
      </c>
      <c r="BL40" s="27">
        <v>1005.75</v>
      </c>
      <c r="BM40" s="30">
        <v>8280.3584999999985</v>
      </c>
      <c r="BN40" s="34">
        <v>2070.0896250000001</v>
      </c>
      <c r="BO40" s="35">
        <v>7216.0188749999979</v>
      </c>
      <c r="BP40" s="36"/>
      <c r="BQ40" s="27">
        <v>7216.0188749999979</v>
      </c>
      <c r="BR40" s="16"/>
      <c r="BS40" s="16"/>
      <c r="BT40" s="28">
        <v>6.7095890410958905</v>
      </c>
      <c r="BU40" s="29">
        <v>3.2904109589041095</v>
      </c>
      <c r="BV40" s="27">
        <v>1005.75</v>
      </c>
      <c r="BW40" s="30">
        <v>6210.2688749999979</v>
      </c>
      <c r="BX40" s="34">
        <v>2070.0896250000001</v>
      </c>
      <c r="BY40" s="35">
        <v>5145.9292499999974</v>
      </c>
      <c r="CA40" s="35">
        <v>5145.9292499999974</v>
      </c>
      <c r="CB40" s="16"/>
      <c r="CC40" s="16"/>
      <c r="CD40" s="28">
        <v>7.7123287671232879</v>
      </c>
      <c r="CE40" s="29">
        <v>2.2876712328767121</v>
      </c>
      <c r="CF40" s="27">
        <v>1005.75</v>
      </c>
      <c r="CG40" s="30">
        <v>4140.1792499999974</v>
      </c>
      <c r="CH40" s="31">
        <v>2070.0896250000001</v>
      </c>
      <c r="CI40" s="35">
        <v>3075.8396249999973</v>
      </c>
      <c r="CK40" s="36">
        <v>2070.0896249999973</v>
      </c>
      <c r="CL40" s="35">
        <v>3075.8396249999973</v>
      </c>
      <c r="CM40" s="16"/>
      <c r="CN40" s="16"/>
      <c r="CO40" s="28">
        <v>8.712328767123287</v>
      </c>
      <c r="CP40" s="29">
        <v>1.287671232876713</v>
      </c>
      <c r="CQ40" s="27">
        <v>1005.75</v>
      </c>
      <c r="CR40" s="34">
        <v>2070.0896249999973</v>
      </c>
      <c r="CS40" s="34">
        <v>2070.0896250000001</v>
      </c>
      <c r="CT40" s="35">
        <v>1005.7499999999973</v>
      </c>
      <c r="CV40" s="35">
        <v>-2.7284841053187847E-12</v>
      </c>
      <c r="CW40" s="35">
        <v>1005.7499999999973</v>
      </c>
      <c r="CX40" s="16"/>
      <c r="CY40" s="16"/>
      <c r="CZ40" s="28">
        <v>10.712328767123287</v>
      </c>
      <c r="DA40" s="29">
        <v>-0.71232876712328697</v>
      </c>
      <c r="DB40" s="27">
        <v>1005.75</v>
      </c>
      <c r="DC40" s="34">
        <v>0</v>
      </c>
      <c r="DD40" s="34"/>
      <c r="DE40" s="35">
        <v>1005.7499999999973</v>
      </c>
      <c r="DG40" s="35">
        <v>20115</v>
      </c>
      <c r="DH40" s="35">
        <v>19109.250000000004</v>
      </c>
      <c r="DI40" s="35">
        <f t="shared" si="0"/>
        <v>1005.7499999999964</v>
      </c>
      <c r="DJ40" s="132">
        <f t="shared" si="1"/>
        <v>1005.7499999999964</v>
      </c>
      <c r="DK40" s="132">
        <f t="shared" si="2"/>
        <v>0</v>
      </c>
      <c r="DL40" s="132">
        <f t="shared" si="3"/>
        <v>9.0949470177292824E-13</v>
      </c>
    </row>
    <row r="41" spans="2:116" s="4" customFormat="1" ht="39" x14ac:dyDescent="0.25">
      <c r="B41" s="13" t="s">
        <v>4</v>
      </c>
      <c r="C41" s="14" t="s">
        <v>4</v>
      </c>
      <c r="D41" s="15" t="s">
        <v>101</v>
      </c>
      <c r="E41" s="15" t="s">
        <v>184</v>
      </c>
      <c r="F41" s="16" t="s">
        <v>185</v>
      </c>
      <c r="G41" s="11" t="s">
        <v>111</v>
      </c>
      <c r="H41" s="17">
        <v>41097</v>
      </c>
      <c r="I41" s="18" t="s">
        <v>420</v>
      </c>
      <c r="J41" s="19">
        <v>2</v>
      </c>
      <c r="K41" s="20">
        <v>10</v>
      </c>
      <c r="L41" s="21">
        <v>8</v>
      </c>
      <c r="M41" s="22">
        <v>10192</v>
      </c>
      <c r="N41" s="23">
        <v>1310.2464</v>
      </c>
      <c r="O41" s="24">
        <v>8881.7536</v>
      </c>
      <c r="P41" s="24"/>
      <c r="Q41" s="25">
        <v>8</v>
      </c>
      <c r="R41" s="26">
        <v>509.6</v>
      </c>
      <c r="S41" s="25">
        <v>8372.1535999999996</v>
      </c>
      <c r="T41" s="25">
        <v>1046.5192</v>
      </c>
      <c r="U41" s="25"/>
      <c r="V41" s="25">
        <v>0</v>
      </c>
      <c r="W41" s="25">
        <v>1046.5192</v>
      </c>
      <c r="X41" s="25">
        <v>1046.5192</v>
      </c>
      <c r="Y41" s="25">
        <v>0</v>
      </c>
      <c r="Z41" s="24">
        <v>8881.7536</v>
      </c>
      <c r="AA41" s="27">
        <v>7835.2344000000003</v>
      </c>
      <c r="AB41" s="16"/>
      <c r="AC41" s="27">
        <v>7835.2344000000003</v>
      </c>
      <c r="AD41" s="16"/>
      <c r="AE41" s="16"/>
      <c r="AF41" s="28">
        <v>2.7315068493150685</v>
      </c>
      <c r="AG41" s="29">
        <v>7.2684931506849315</v>
      </c>
      <c r="AH41" s="27">
        <v>509.6</v>
      </c>
      <c r="AI41" s="30">
        <v>8372.1535999999996</v>
      </c>
      <c r="AJ41" s="31">
        <v>1046.5192</v>
      </c>
      <c r="AK41" s="32">
        <v>6788.7152000000006</v>
      </c>
      <c r="AL41" s="16"/>
      <c r="AM41" s="27">
        <v>6788.7152000000006</v>
      </c>
      <c r="AN41" s="16"/>
      <c r="AO41" s="16"/>
      <c r="AP41" s="28">
        <v>3.7342465753424658</v>
      </c>
      <c r="AQ41" s="29">
        <v>6.2657534246575342</v>
      </c>
      <c r="AR41" s="27">
        <v>509.6</v>
      </c>
      <c r="AS41" s="30">
        <v>7325.6343999999999</v>
      </c>
      <c r="AT41" s="31">
        <v>1046.5192</v>
      </c>
      <c r="AU41" s="33">
        <v>5742.1960000000008</v>
      </c>
      <c r="AW41" s="27">
        <v>5742.1960000000008</v>
      </c>
      <c r="AX41" s="16"/>
      <c r="AY41" s="16"/>
      <c r="AZ41" s="28">
        <v>4.7342465753424658</v>
      </c>
      <c r="BA41" s="29">
        <v>5.2657534246575342</v>
      </c>
      <c r="BB41" s="27">
        <v>509.6</v>
      </c>
      <c r="BC41" s="30">
        <v>6279.1152000000002</v>
      </c>
      <c r="BD41" s="34">
        <v>1046.5192</v>
      </c>
      <c r="BE41" s="33">
        <v>4695.6768000000011</v>
      </c>
      <c r="BF41" s="33"/>
      <c r="BG41" s="27">
        <v>4695.6768000000011</v>
      </c>
      <c r="BH41" s="16"/>
      <c r="BI41" s="16"/>
      <c r="BJ41" s="28">
        <v>5.7342465753424658</v>
      </c>
      <c r="BK41" s="29">
        <v>4.2657534246575342</v>
      </c>
      <c r="BL41" s="27">
        <v>509.6</v>
      </c>
      <c r="BM41" s="30">
        <v>4186.0768000000007</v>
      </c>
      <c r="BN41" s="34">
        <v>1046.5192</v>
      </c>
      <c r="BO41" s="35">
        <v>3649.1576000000014</v>
      </c>
      <c r="BP41" s="36"/>
      <c r="BQ41" s="27">
        <v>3649.1576000000014</v>
      </c>
      <c r="BR41" s="16"/>
      <c r="BS41" s="16"/>
      <c r="BT41" s="28">
        <v>6.7342465753424658</v>
      </c>
      <c r="BU41" s="29">
        <v>3.2657534246575342</v>
      </c>
      <c r="BV41" s="27">
        <v>509.6</v>
      </c>
      <c r="BW41" s="30">
        <v>3139.5576000000015</v>
      </c>
      <c r="BX41" s="34">
        <v>1046.5192</v>
      </c>
      <c r="BY41" s="35">
        <v>2602.6384000000016</v>
      </c>
      <c r="CA41" s="35">
        <v>2602.6384000000016</v>
      </c>
      <c r="CB41" s="16"/>
      <c r="CC41" s="16"/>
      <c r="CD41" s="28">
        <v>7.7369863013698632</v>
      </c>
      <c r="CE41" s="29">
        <v>2.2630136986301368</v>
      </c>
      <c r="CF41" s="27">
        <v>509.6</v>
      </c>
      <c r="CG41" s="30">
        <v>2093.0384000000017</v>
      </c>
      <c r="CH41" s="31">
        <v>1046.5192</v>
      </c>
      <c r="CI41" s="35">
        <v>1556.1192000000017</v>
      </c>
      <c r="CK41" s="36">
        <v>1046.5192000000015</v>
      </c>
      <c r="CL41" s="35">
        <v>1556.1192000000017</v>
      </c>
      <c r="CM41" s="16"/>
      <c r="CN41" s="16"/>
      <c r="CO41" s="28">
        <v>8.7369863013698623</v>
      </c>
      <c r="CP41" s="29">
        <v>1.2630136986301377</v>
      </c>
      <c r="CQ41" s="27">
        <v>509.6</v>
      </c>
      <c r="CR41" s="34">
        <v>1046.5192000000015</v>
      </c>
      <c r="CS41" s="34">
        <v>1046.5192</v>
      </c>
      <c r="CT41" s="35">
        <v>509.60000000000173</v>
      </c>
      <c r="CV41" s="35">
        <v>1.7053025658242404E-12</v>
      </c>
      <c r="CW41" s="35">
        <v>509.60000000000173</v>
      </c>
      <c r="CX41" s="16"/>
      <c r="CY41" s="16"/>
      <c r="CZ41" s="28">
        <v>10.736986301369862</v>
      </c>
      <c r="DA41" s="29">
        <v>-0.73698630136986232</v>
      </c>
      <c r="DB41" s="27">
        <v>509.6</v>
      </c>
      <c r="DC41" s="34">
        <v>0</v>
      </c>
      <c r="DD41" s="34"/>
      <c r="DE41" s="35">
        <v>509.60000000000173</v>
      </c>
      <c r="DG41" s="35">
        <v>10192</v>
      </c>
      <c r="DH41" s="35">
        <v>9682.4</v>
      </c>
      <c r="DI41" s="35">
        <f t="shared" si="0"/>
        <v>509.60000000000036</v>
      </c>
      <c r="DJ41" s="132">
        <f t="shared" si="1"/>
        <v>509.60000000000036</v>
      </c>
      <c r="DK41" s="132">
        <f t="shared" si="2"/>
        <v>0</v>
      </c>
      <c r="DL41" s="132">
        <f t="shared" si="3"/>
        <v>1.3642420526593924E-12</v>
      </c>
    </row>
    <row r="42" spans="2:116" s="4" customFormat="1" ht="39" x14ac:dyDescent="0.25">
      <c r="B42" s="13" t="s">
        <v>4</v>
      </c>
      <c r="C42" s="14" t="s">
        <v>4</v>
      </c>
      <c r="D42" s="15" t="s">
        <v>101</v>
      </c>
      <c r="E42" s="15" t="s">
        <v>186</v>
      </c>
      <c r="F42" s="16" t="s">
        <v>187</v>
      </c>
      <c r="G42" s="11" t="s">
        <v>111</v>
      </c>
      <c r="H42" s="17">
        <v>41107</v>
      </c>
      <c r="I42" s="18" t="s">
        <v>420</v>
      </c>
      <c r="J42" s="19">
        <v>2</v>
      </c>
      <c r="K42" s="20">
        <v>10</v>
      </c>
      <c r="L42" s="21">
        <v>8</v>
      </c>
      <c r="M42" s="22">
        <v>7548</v>
      </c>
      <c r="N42" s="23">
        <v>955.0616</v>
      </c>
      <c r="O42" s="24">
        <v>6592.9384</v>
      </c>
      <c r="P42" s="24"/>
      <c r="Q42" s="25">
        <v>8</v>
      </c>
      <c r="R42" s="26">
        <v>377.40000000000003</v>
      </c>
      <c r="S42" s="25">
        <v>6215.5384000000004</v>
      </c>
      <c r="T42" s="25">
        <v>776.94230000000005</v>
      </c>
      <c r="U42" s="25"/>
      <c r="V42" s="25">
        <v>0</v>
      </c>
      <c r="W42" s="25">
        <v>776.94230000000005</v>
      </c>
      <c r="X42" s="25">
        <v>776.94230000000005</v>
      </c>
      <c r="Y42" s="25">
        <v>0</v>
      </c>
      <c r="Z42" s="24">
        <v>6592.9384</v>
      </c>
      <c r="AA42" s="27">
        <v>5815.9961000000003</v>
      </c>
      <c r="AB42" s="16"/>
      <c r="AC42" s="27">
        <v>5815.9961000000003</v>
      </c>
      <c r="AD42" s="16"/>
      <c r="AE42" s="16"/>
      <c r="AF42" s="28">
        <v>2.7041095890410958</v>
      </c>
      <c r="AG42" s="29">
        <v>7.2958904109589042</v>
      </c>
      <c r="AH42" s="27">
        <v>377.40000000000003</v>
      </c>
      <c r="AI42" s="30">
        <v>6215.5384000000004</v>
      </c>
      <c r="AJ42" s="31">
        <v>776.94230000000005</v>
      </c>
      <c r="AK42" s="32">
        <v>5039.0538000000006</v>
      </c>
      <c r="AL42" s="16"/>
      <c r="AM42" s="27">
        <v>5039.0538000000006</v>
      </c>
      <c r="AN42" s="16"/>
      <c r="AO42" s="16"/>
      <c r="AP42" s="28">
        <v>3.7068493150684931</v>
      </c>
      <c r="AQ42" s="29">
        <v>6.2931506849315069</v>
      </c>
      <c r="AR42" s="27">
        <v>377.40000000000003</v>
      </c>
      <c r="AS42" s="30">
        <v>5438.5961000000007</v>
      </c>
      <c r="AT42" s="31">
        <v>776.94230000000005</v>
      </c>
      <c r="AU42" s="33">
        <v>4262.1115000000009</v>
      </c>
      <c r="AW42" s="27">
        <v>4262.1115000000009</v>
      </c>
      <c r="AX42" s="16"/>
      <c r="AY42" s="16"/>
      <c r="AZ42" s="28">
        <v>4.7068493150684931</v>
      </c>
      <c r="BA42" s="29">
        <v>5.2931506849315069</v>
      </c>
      <c r="BB42" s="27">
        <v>377.40000000000003</v>
      </c>
      <c r="BC42" s="30">
        <v>4661.653800000001</v>
      </c>
      <c r="BD42" s="34">
        <v>776.94230000000005</v>
      </c>
      <c r="BE42" s="33">
        <v>3485.1692000000007</v>
      </c>
      <c r="BF42" s="33"/>
      <c r="BG42" s="27">
        <v>3485.1692000000007</v>
      </c>
      <c r="BH42" s="16"/>
      <c r="BI42" s="16"/>
      <c r="BJ42" s="28">
        <v>5.7068493150684931</v>
      </c>
      <c r="BK42" s="29">
        <v>4.2931506849315069</v>
      </c>
      <c r="BL42" s="27">
        <v>377.40000000000003</v>
      </c>
      <c r="BM42" s="30">
        <v>3107.7692000000006</v>
      </c>
      <c r="BN42" s="34">
        <v>776.94230000000005</v>
      </c>
      <c r="BO42" s="35">
        <v>2708.2269000000006</v>
      </c>
      <c r="BP42" s="36"/>
      <c r="BQ42" s="27">
        <v>2708.2269000000006</v>
      </c>
      <c r="BR42" s="16"/>
      <c r="BS42" s="16"/>
      <c r="BT42" s="28">
        <v>6.7068493150684931</v>
      </c>
      <c r="BU42" s="29">
        <v>3.2931506849315069</v>
      </c>
      <c r="BV42" s="27">
        <v>377.40000000000003</v>
      </c>
      <c r="BW42" s="30">
        <v>2330.8269000000005</v>
      </c>
      <c r="BX42" s="34">
        <v>776.94230000000005</v>
      </c>
      <c r="BY42" s="35">
        <v>1931.2846000000004</v>
      </c>
      <c r="CA42" s="35">
        <v>1931.2846000000004</v>
      </c>
      <c r="CB42" s="16"/>
      <c r="CC42" s="16"/>
      <c r="CD42" s="28">
        <v>7.7095890410958905</v>
      </c>
      <c r="CE42" s="29">
        <v>2.2904109589041095</v>
      </c>
      <c r="CF42" s="27">
        <v>377.40000000000003</v>
      </c>
      <c r="CG42" s="30">
        <v>1553.8846000000003</v>
      </c>
      <c r="CH42" s="31">
        <v>776.94230000000005</v>
      </c>
      <c r="CI42" s="35">
        <v>1154.3423000000003</v>
      </c>
      <c r="CK42" s="36">
        <v>776.94230000000016</v>
      </c>
      <c r="CL42" s="35">
        <v>1154.3423000000003</v>
      </c>
      <c r="CM42" s="16"/>
      <c r="CN42" s="16"/>
      <c r="CO42" s="28">
        <v>8.7095890410958905</v>
      </c>
      <c r="CP42" s="29">
        <v>1.2904109589041095</v>
      </c>
      <c r="CQ42" s="27">
        <v>377.40000000000003</v>
      </c>
      <c r="CR42" s="34">
        <v>776.94230000000016</v>
      </c>
      <c r="CS42" s="34">
        <v>776.94230000000005</v>
      </c>
      <c r="CT42" s="35">
        <v>377.4000000000002</v>
      </c>
      <c r="CV42" s="35">
        <v>0</v>
      </c>
      <c r="CW42" s="35">
        <v>377.4000000000002</v>
      </c>
      <c r="CX42" s="16"/>
      <c r="CY42" s="16"/>
      <c r="CZ42" s="28">
        <v>10.70958904109589</v>
      </c>
      <c r="DA42" s="29">
        <v>-0.70958904109589049</v>
      </c>
      <c r="DB42" s="27">
        <v>377.40000000000003</v>
      </c>
      <c r="DC42" s="34">
        <v>0</v>
      </c>
      <c r="DD42" s="34"/>
      <c r="DE42" s="35">
        <v>377.4000000000002</v>
      </c>
      <c r="DG42" s="35">
        <v>7548</v>
      </c>
      <c r="DH42" s="35">
        <v>7170.5999999999995</v>
      </c>
      <c r="DI42" s="35">
        <f t="shared" si="0"/>
        <v>377.40000000000055</v>
      </c>
      <c r="DJ42" s="132">
        <f t="shared" si="1"/>
        <v>377.40000000000055</v>
      </c>
      <c r="DK42" s="132">
        <f t="shared" si="2"/>
        <v>0</v>
      </c>
      <c r="DL42" s="132">
        <f t="shared" si="3"/>
        <v>0</v>
      </c>
    </row>
    <row r="43" spans="2:116" s="4" customFormat="1" ht="39" x14ac:dyDescent="0.25">
      <c r="B43" s="13" t="s">
        <v>4</v>
      </c>
      <c r="C43" s="14" t="s">
        <v>4</v>
      </c>
      <c r="D43" s="15" t="s">
        <v>101</v>
      </c>
      <c r="E43" s="15" t="s">
        <v>188</v>
      </c>
      <c r="F43" s="16" t="s">
        <v>189</v>
      </c>
      <c r="G43" s="11" t="s">
        <v>111</v>
      </c>
      <c r="H43" s="17">
        <v>40812</v>
      </c>
      <c r="I43" s="18" t="s">
        <v>419</v>
      </c>
      <c r="J43" s="19">
        <v>3</v>
      </c>
      <c r="K43" s="20">
        <v>10</v>
      </c>
      <c r="L43" s="21">
        <v>7</v>
      </c>
      <c r="M43" s="22">
        <v>8596741</v>
      </c>
      <c r="N43" s="23">
        <v>1599483.39906561</v>
      </c>
      <c r="O43" s="24">
        <v>6997257.60093439</v>
      </c>
      <c r="P43" s="24"/>
      <c r="Q43" s="25">
        <v>7</v>
      </c>
      <c r="R43" s="26">
        <v>429837.05000000005</v>
      </c>
      <c r="S43" s="25">
        <v>6567420.5509343902</v>
      </c>
      <c r="T43" s="25">
        <v>938202.93584777007</v>
      </c>
      <c r="U43" s="25"/>
      <c r="V43" s="25">
        <v>0</v>
      </c>
      <c r="W43" s="25">
        <v>938202.93584777007</v>
      </c>
      <c r="X43" s="25">
        <v>938202.93584777007</v>
      </c>
      <c r="Y43" s="25">
        <v>0</v>
      </c>
      <c r="Z43" s="24">
        <v>6997257.60093439</v>
      </c>
      <c r="AA43" s="27">
        <v>6059054.6650866196</v>
      </c>
      <c r="AB43" s="16"/>
      <c r="AC43" s="27">
        <v>6059054.6650866196</v>
      </c>
      <c r="AD43" s="16"/>
      <c r="AE43" s="16"/>
      <c r="AF43" s="28">
        <v>3.5123287671232877</v>
      </c>
      <c r="AG43" s="29">
        <v>6.4876712328767123</v>
      </c>
      <c r="AH43" s="27">
        <v>429837.05000000005</v>
      </c>
      <c r="AI43" s="30">
        <v>6567420.5509343902</v>
      </c>
      <c r="AJ43" s="31">
        <v>938202.93584777007</v>
      </c>
      <c r="AK43" s="32">
        <v>5120851.7292388491</v>
      </c>
      <c r="AL43" s="16"/>
      <c r="AM43" s="27">
        <v>5120851.7292388491</v>
      </c>
      <c r="AN43" s="16"/>
      <c r="AO43" s="16"/>
      <c r="AP43" s="28">
        <v>4.515068493150685</v>
      </c>
      <c r="AQ43" s="29">
        <v>5.484931506849315</v>
      </c>
      <c r="AR43" s="27">
        <v>429837.05000000005</v>
      </c>
      <c r="AS43" s="30">
        <v>5629217.6150866197</v>
      </c>
      <c r="AT43" s="31">
        <v>938202.93584777007</v>
      </c>
      <c r="AU43" s="33">
        <v>4182648.7933910792</v>
      </c>
      <c r="AW43" s="27">
        <v>4182648.7933910792</v>
      </c>
      <c r="AX43" s="16"/>
      <c r="AY43" s="16"/>
      <c r="AZ43" s="28">
        <v>5.515068493150685</v>
      </c>
      <c r="BA43" s="29">
        <v>4.484931506849315</v>
      </c>
      <c r="BB43" s="27">
        <v>429837.05000000005</v>
      </c>
      <c r="BC43" s="30">
        <v>3752811.7433910789</v>
      </c>
      <c r="BD43" s="34">
        <v>836760.10161132796</v>
      </c>
      <c r="BE43" s="33">
        <v>3345888.6917797513</v>
      </c>
      <c r="BF43" s="33"/>
      <c r="BG43" s="27">
        <v>3345888.6917797513</v>
      </c>
      <c r="BH43" s="16"/>
      <c r="BI43" s="16"/>
      <c r="BJ43" s="28">
        <v>6.515068493150685</v>
      </c>
      <c r="BK43" s="29">
        <v>3.484931506849315</v>
      </c>
      <c r="BL43" s="27">
        <v>429837.05000000005</v>
      </c>
      <c r="BM43" s="30">
        <v>2916051.6417797515</v>
      </c>
      <c r="BN43" s="34">
        <v>836760.10161132796</v>
      </c>
      <c r="BO43" s="35">
        <v>2509128.5901684235</v>
      </c>
      <c r="BP43" s="36"/>
      <c r="BQ43" s="27">
        <v>2509128.5901684235</v>
      </c>
      <c r="BR43" s="16"/>
      <c r="BS43" s="16"/>
      <c r="BT43" s="28">
        <v>7.515068493150685</v>
      </c>
      <c r="BU43" s="29">
        <v>2.484931506849315</v>
      </c>
      <c r="BV43" s="27">
        <v>429837.05000000005</v>
      </c>
      <c r="BW43" s="30">
        <v>2079291.5401684234</v>
      </c>
      <c r="BX43" s="34">
        <v>836760.10161132796</v>
      </c>
      <c r="BY43" s="35">
        <v>1672368.4885570956</v>
      </c>
      <c r="CA43" s="35">
        <v>1672368.4885570956</v>
      </c>
      <c r="CB43" s="16"/>
      <c r="CC43" s="16"/>
      <c r="CD43" s="28">
        <v>8.5178082191780824</v>
      </c>
      <c r="CE43" s="29">
        <v>1.4821917808219176</v>
      </c>
      <c r="CF43" s="27">
        <v>429837.05000000005</v>
      </c>
      <c r="CG43" s="30">
        <v>1242531.4385570956</v>
      </c>
      <c r="CH43" s="31">
        <v>836760.10161132796</v>
      </c>
      <c r="CI43" s="35">
        <v>835608.38694576768</v>
      </c>
      <c r="CK43" s="36">
        <v>405771.33694576763</v>
      </c>
      <c r="CL43" s="35">
        <v>835608.38694576768</v>
      </c>
      <c r="CM43" s="16"/>
      <c r="CN43" s="16"/>
      <c r="CO43" s="28">
        <v>9.5178082191780824</v>
      </c>
      <c r="CP43" s="29">
        <v>0.4821917808219176</v>
      </c>
      <c r="CQ43" s="27">
        <v>429837.05000000005</v>
      </c>
      <c r="CR43" s="34">
        <v>405771.33694576763</v>
      </c>
      <c r="CS43" s="34">
        <v>405771.33694576763</v>
      </c>
      <c r="CT43" s="35">
        <v>429837.05000000005</v>
      </c>
      <c r="CV43" s="35">
        <v>0</v>
      </c>
      <c r="CW43" s="35">
        <v>429837.05000000005</v>
      </c>
      <c r="CX43" s="16"/>
      <c r="CY43" s="16"/>
      <c r="CZ43" s="28">
        <v>11.517808219178082</v>
      </c>
      <c r="DA43" s="29">
        <v>-1.5178082191780824</v>
      </c>
      <c r="DB43" s="27">
        <v>429837.05000000005</v>
      </c>
      <c r="DC43" s="34">
        <v>0</v>
      </c>
      <c r="DD43" s="34"/>
      <c r="DE43" s="35">
        <v>429837.05000000005</v>
      </c>
      <c r="DG43" s="35">
        <v>8596741</v>
      </c>
      <c r="DH43" s="35">
        <v>8166903.9500000011</v>
      </c>
      <c r="DI43" s="35">
        <f t="shared" si="0"/>
        <v>429837.04999999888</v>
      </c>
      <c r="DJ43" s="132">
        <f t="shared" si="1"/>
        <v>429837.04999999888</v>
      </c>
      <c r="DK43" s="132">
        <f t="shared" si="2"/>
        <v>0</v>
      </c>
      <c r="DL43" s="132">
        <f t="shared" si="3"/>
        <v>1.1641532182693481E-9</v>
      </c>
    </row>
    <row r="44" spans="2:116" s="4" customFormat="1" ht="39" x14ac:dyDescent="0.25">
      <c r="B44" s="13" t="s">
        <v>4</v>
      </c>
      <c r="C44" s="14" t="s">
        <v>4</v>
      </c>
      <c r="D44" s="15" t="s">
        <v>101</v>
      </c>
      <c r="E44" s="15" t="s">
        <v>190</v>
      </c>
      <c r="F44" s="16" t="s">
        <v>191</v>
      </c>
      <c r="G44" s="11" t="s">
        <v>111</v>
      </c>
      <c r="H44" s="17">
        <v>41185</v>
      </c>
      <c r="I44" s="18" t="s">
        <v>420</v>
      </c>
      <c r="J44" s="19">
        <v>2</v>
      </c>
      <c r="K44" s="20">
        <v>10</v>
      </c>
      <c r="L44" s="21">
        <v>8</v>
      </c>
      <c r="M44" s="22">
        <v>14175</v>
      </c>
      <c r="N44" s="23">
        <v>1572.2535236301369</v>
      </c>
      <c r="O44" s="24">
        <v>12602.746476369863</v>
      </c>
      <c r="P44" s="24"/>
      <c r="Q44" s="25">
        <v>8</v>
      </c>
      <c r="R44" s="26">
        <v>708.75</v>
      </c>
      <c r="S44" s="25">
        <v>11893.996476369863</v>
      </c>
      <c r="T44" s="25">
        <v>1486.7495595462328</v>
      </c>
      <c r="U44" s="25"/>
      <c r="V44" s="25">
        <v>0</v>
      </c>
      <c r="W44" s="25">
        <v>1486.7495595462328</v>
      </c>
      <c r="X44" s="25">
        <v>1486.7495595462328</v>
      </c>
      <c r="Y44" s="25">
        <v>0</v>
      </c>
      <c r="Z44" s="24">
        <v>12602.746476369863</v>
      </c>
      <c r="AA44" s="27">
        <v>11115.996916823629</v>
      </c>
      <c r="AB44" s="16"/>
      <c r="AC44" s="27">
        <v>11115.996916823629</v>
      </c>
      <c r="AD44" s="16"/>
      <c r="AE44" s="16"/>
      <c r="AF44" s="28">
        <v>2.4904109589041097</v>
      </c>
      <c r="AG44" s="29">
        <v>7.5095890410958903</v>
      </c>
      <c r="AH44" s="27">
        <v>708.75</v>
      </c>
      <c r="AI44" s="30">
        <v>11893.996476369863</v>
      </c>
      <c r="AJ44" s="31">
        <v>1486.7495595462328</v>
      </c>
      <c r="AK44" s="32">
        <v>9629.2473572773961</v>
      </c>
      <c r="AL44" s="16"/>
      <c r="AM44" s="27">
        <v>9629.2473572773961</v>
      </c>
      <c r="AN44" s="16"/>
      <c r="AO44" s="16"/>
      <c r="AP44" s="28">
        <v>3.493150684931507</v>
      </c>
      <c r="AQ44" s="29">
        <v>6.506849315068493</v>
      </c>
      <c r="AR44" s="27">
        <v>708.75</v>
      </c>
      <c r="AS44" s="30">
        <v>10407.246916823629</v>
      </c>
      <c r="AT44" s="31">
        <v>1486.7495595462328</v>
      </c>
      <c r="AU44" s="33">
        <v>8142.4977977311628</v>
      </c>
      <c r="AW44" s="27">
        <v>8142.4977977311628</v>
      </c>
      <c r="AX44" s="16"/>
      <c r="AY44" s="16"/>
      <c r="AZ44" s="28">
        <v>4.493150684931507</v>
      </c>
      <c r="BA44" s="29">
        <v>5.506849315068493</v>
      </c>
      <c r="BB44" s="27">
        <v>708.75</v>
      </c>
      <c r="BC44" s="30">
        <v>8920.4973572773961</v>
      </c>
      <c r="BD44" s="34">
        <v>1486.7495595462328</v>
      </c>
      <c r="BE44" s="33">
        <v>6655.7482381849295</v>
      </c>
      <c r="BF44" s="33"/>
      <c r="BG44" s="27">
        <v>6655.7482381849295</v>
      </c>
      <c r="BH44" s="16"/>
      <c r="BI44" s="16"/>
      <c r="BJ44" s="28">
        <v>5.493150684931507</v>
      </c>
      <c r="BK44" s="29">
        <v>4.506849315068493</v>
      </c>
      <c r="BL44" s="27">
        <v>708.75</v>
      </c>
      <c r="BM44" s="30">
        <v>5946.9982381849295</v>
      </c>
      <c r="BN44" s="34">
        <v>1486.7495595462328</v>
      </c>
      <c r="BO44" s="35">
        <v>5168.9986786386962</v>
      </c>
      <c r="BP44" s="36"/>
      <c r="BQ44" s="27">
        <v>5168.9986786386962</v>
      </c>
      <c r="BR44" s="16"/>
      <c r="BS44" s="16"/>
      <c r="BT44" s="28">
        <v>6.493150684931507</v>
      </c>
      <c r="BU44" s="29">
        <v>3.506849315068493</v>
      </c>
      <c r="BV44" s="27">
        <v>708.75</v>
      </c>
      <c r="BW44" s="30">
        <v>4460.2486786386962</v>
      </c>
      <c r="BX44" s="34">
        <v>1486.7495595462328</v>
      </c>
      <c r="BY44" s="35">
        <v>3682.2491190924634</v>
      </c>
      <c r="CA44" s="35">
        <v>3682.2491190924634</v>
      </c>
      <c r="CB44" s="16"/>
      <c r="CC44" s="16"/>
      <c r="CD44" s="28">
        <v>7.4958904109589044</v>
      </c>
      <c r="CE44" s="29">
        <v>2.5041095890410956</v>
      </c>
      <c r="CF44" s="27">
        <v>708.75</v>
      </c>
      <c r="CG44" s="30">
        <v>2973.4991190924634</v>
      </c>
      <c r="CH44" s="31">
        <v>1486.7495595462328</v>
      </c>
      <c r="CI44" s="35">
        <v>2195.4995595462306</v>
      </c>
      <c r="CK44" s="36">
        <v>1486.7495595462306</v>
      </c>
      <c r="CL44" s="35">
        <v>2195.4995595462306</v>
      </c>
      <c r="CM44" s="16"/>
      <c r="CN44" s="16"/>
      <c r="CO44" s="28">
        <v>8.4958904109589035</v>
      </c>
      <c r="CP44" s="29">
        <v>1.5041095890410965</v>
      </c>
      <c r="CQ44" s="27">
        <v>708.75</v>
      </c>
      <c r="CR44" s="34">
        <v>1486.7495595462306</v>
      </c>
      <c r="CS44" s="34">
        <v>1486.7495595462328</v>
      </c>
      <c r="CT44" s="35">
        <v>708.74999999999773</v>
      </c>
      <c r="CV44" s="35">
        <v>-2.2737367544323206E-12</v>
      </c>
      <c r="CW44" s="35">
        <v>708.74999999999773</v>
      </c>
      <c r="CX44" s="16"/>
      <c r="CY44" s="16"/>
      <c r="CZ44" s="28">
        <v>10.495890410958904</v>
      </c>
      <c r="DA44" s="29">
        <v>-0.49589041095890352</v>
      </c>
      <c r="DB44" s="27">
        <v>708.75</v>
      </c>
      <c r="DC44" s="34">
        <v>0</v>
      </c>
      <c r="DD44" s="34"/>
      <c r="DE44" s="35">
        <v>708.74999999999773</v>
      </c>
      <c r="DG44" s="35">
        <v>14175</v>
      </c>
      <c r="DH44" s="35">
        <v>13466.250000000002</v>
      </c>
      <c r="DI44" s="35">
        <f t="shared" si="0"/>
        <v>708.74999999999818</v>
      </c>
      <c r="DJ44" s="132">
        <f t="shared" si="1"/>
        <v>708.74999999999818</v>
      </c>
      <c r="DK44" s="132">
        <f t="shared" si="2"/>
        <v>0</v>
      </c>
      <c r="DL44" s="132">
        <f t="shared" si="3"/>
        <v>0</v>
      </c>
    </row>
    <row r="45" spans="2:116" s="4" customFormat="1" ht="39" x14ac:dyDescent="0.25">
      <c r="B45" s="13" t="s">
        <v>4</v>
      </c>
      <c r="C45" s="14" t="s">
        <v>4</v>
      </c>
      <c r="D45" s="15" t="s">
        <v>101</v>
      </c>
      <c r="E45" s="15" t="s">
        <v>192</v>
      </c>
      <c r="F45" s="16" t="s">
        <v>193</v>
      </c>
      <c r="G45" s="11" t="s">
        <v>111</v>
      </c>
      <c r="H45" s="17">
        <v>41194</v>
      </c>
      <c r="I45" s="18" t="s">
        <v>420</v>
      </c>
      <c r="J45" s="19">
        <v>2</v>
      </c>
      <c r="K45" s="20">
        <v>10</v>
      </c>
      <c r="L45" s="21">
        <v>8</v>
      </c>
      <c r="M45" s="22">
        <v>3987641</v>
      </c>
      <c r="N45" s="23">
        <v>434889.0902978137</v>
      </c>
      <c r="O45" s="24">
        <v>3552751.9097021865</v>
      </c>
      <c r="P45" s="24"/>
      <c r="Q45" s="25">
        <v>8</v>
      </c>
      <c r="R45" s="26">
        <v>199382.05000000002</v>
      </c>
      <c r="S45" s="25">
        <v>3353369.8597021867</v>
      </c>
      <c r="T45" s="25">
        <v>419171.23246277333</v>
      </c>
      <c r="U45" s="25"/>
      <c r="V45" s="25">
        <v>0</v>
      </c>
      <c r="W45" s="25">
        <v>419171.23246277333</v>
      </c>
      <c r="X45" s="25">
        <v>419171.23246277333</v>
      </c>
      <c r="Y45" s="25">
        <v>0</v>
      </c>
      <c r="Z45" s="24">
        <v>3552751.9097021865</v>
      </c>
      <c r="AA45" s="27">
        <v>3133580.6772394134</v>
      </c>
      <c r="AB45" s="16"/>
      <c r="AC45" s="27">
        <v>3133580.6772394134</v>
      </c>
      <c r="AD45" s="16"/>
      <c r="AE45" s="16"/>
      <c r="AF45" s="28">
        <v>2.4657534246575343</v>
      </c>
      <c r="AG45" s="29">
        <v>7.5342465753424657</v>
      </c>
      <c r="AH45" s="27">
        <v>199382.05000000002</v>
      </c>
      <c r="AI45" s="30">
        <v>3353369.8597021867</v>
      </c>
      <c r="AJ45" s="31">
        <v>419171.23246277333</v>
      </c>
      <c r="AK45" s="32">
        <v>2714409.4447766403</v>
      </c>
      <c r="AL45" s="16"/>
      <c r="AM45" s="27">
        <v>2714409.4447766403</v>
      </c>
      <c r="AN45" s="16"/>
      <c r="AO45" s="16"/>
      <c r="AP45" s="28">
        <v>3.4684931506849317</v>
      </c>
      <c r="AQ45" s="29">
        <v>6.5315068493150683</v>
      </c>
      <c r="AR45" s="27">
        <v>199382.05000000002</v>
      </c>
      <c r="AS45" s="30">
        <v>2934198.6272394136</v>
      </c>
      <c r="AT45" s="31">
        <v>419171.23246277333</v>
      </c>
      <c r="AU45" s="33">
        <v>2295238.2123138672</v>
      </c>
      <c r="AW45" s="27">
        <v>2295238.2123138672</v>
      </c>
      <c r="AX45" s="16"/>
      <c r="AY45" s="16"/>
      <c r="AZ45" s="28">
        <v>4.4684931506849317</v>
      </c>
      <c r="BA45" s="29">
        <v>5.5315068493150683</v>
      </c>
      <c r="BB45" s="27">
        <v>199382.05000000002</v>
      </c>
      <c r="BC45" s="30">
        <v>2095856.1623138671</v>
      </c>
      <c r="BD45" s="34">
        <v>378894.25420731131</v>
      </c>
      <c r="BE45" s="33">
        <v>1916343.958106556</v>
      </c>
      <c r="BF45" s="33"/>
      <c r="BG45" s="27">
        <v>1916343.958106556</v>
      </c>
      <c r="BH45" s="16"/>
      <c r="BI45" s="16"/>
      <c r="BJ45" s="28">
        <v>5.4684931506849317</v>
      </c>
      <c r="BK45" s="29">
        <v>4.5315068493150683</v>
      </c>
      <c r="BL45" s="27">
        <v>199382.05000000002</v>
      </c>
      <c r="BM45" s="30">
        <v>1716961.9081065559</v>
      </c>
      <c r="BN45" s="34">
        <v>378894.25420731131</v>
      </c>
      <c r="BO45" s="35">
        <v>1537449.7038992448</v>
      </c>
      <c r="BP45" s="36"/>
      <c r="BQ45" s="27">
        <v>1537449.7038992448</v>
      </c>
      <c r="BR45" s="16"/>
      <c r="BS45" s="16"/>
      <c r="BT45" s="28">
        <v>6.4684931506849317</v>
      </c>
      <c r="BU45" s="29">
        <v>3.5315068493150683</v>
      </c>
      <c r="BV45" s="27">
        <v>199382.05000000002</v>
      </c>
      <c r="BW45" s="30">
        <v>1338067.6538992447</v>
      </c>
      <c r="BX45" s="34">
        <v>378894.25420731131</v>
      </c>
      <c r="BY45" s="35">
        <v>1158555.4496919336</v>
      </c>
      <c r="CA45" s="35">
        <v>1158555.4496919336</v>
      </c>
      <c r="CB45" s="16"/>
      <c r="CC45" s="16"/>
      <c r="CD45" s="28">
        <v>7.4712328767123291</v>
      </c>
      <c r="CE45" s="29">
        <v>2.5287671232876709</v>
      </c>
      <c r="CF45" s="27">
        <v>199382.05000000002</v>
      </c>
      <c r="CG45" s="30">
        <v>959173.39969193353</v>
      </c>
      <c r="CH45" s="31">
        <v>378894.25420731131</v>
      </c>
      <c r="CI45" s="35">
        <v>779661.19548462227</v>
      </c>
      <c r="CK45" s="36">
        <v>580279.14548462222</v>
      </c>
      <c r="CL45" s="35">
        <v>779661.19548462227</v>
      </c>
      <c r="CM45" s="16"/>
      <c r="CN45" s="16"/>
      <c r="CO45" s="28">
        <v>8.4712328767123282</v>
      </c>
      <c r="CP45" s="29">
        <v>1.5287671232876718</v>
      </c>
      <c r="CQ45" s="27">
        <v>199382.05000000002</v>
      </c>
      <c r="CR45" s="34">
        <v>580279.14548462222</v>
      </c>
      <c r="CS45" s="34">
        <v>378894.25420731131</v>
      </c>
      <c r="CT45" s="35">
        <v>400766.94127731095</v>
      </c>
      <c r="CV45" s="35">
        <v>201384.89127731093</v>
      </c>
      <c r="CW45" s="35">
        <v>400766.94127731095</v>
      </c>
      <c r="CX45" s="16"/>
      <c r="CY45" s="16"/>
      <c r="CZ45" s="28">
        <v>10.471232876712328</v>
      </c>
      <c r="DA45" s="29">
        <v>-0.47123287671232816</v>
      </c>
      <c r="DB45" s="27">
        <v>199382.05000000002</v>
      </c>
      <c r="DC45" s="34">
        <v>0</v>
      </c>
      <c r="DD45" s="34">
        <v>0</v>
      </c>
      <c r="DE45" s="35">
        <v>400766.94127731095</v>
      </c>
      <c r="DG45" s="35">
        <v>3987641</v>
      </c>
      <c r="DH45" s="35">
        <v>3586874.0587226897</v>
      </c>
      <c r="DI45" s="35">
        <f t="shared" si="0"/>
        <v>400766.94127731025</v>
      </c>
      <c r="DJ45" s="132">
        <f t="shared" si="1"/>
        <v>400766.94127731025</v>
      </c>
      <c r="DK45" s="132">
        <f t="shared" si="2"/>
        <v>0</v>
      </c>
      <c r="DL45" s="132">
        <f t="shared" si="3"/>
        <v>6.9849193096160889E-10</v>
      </c>
    </row>
    <row r="46" spans="2:116" s="4" customFormat="1" ht="39" x14ac:dyDescent="0.25">
      <c r="B46" s="13" t="s">
        <v>4</v>
      </c>
      <c r="C46" s="14" t="s">
        <v>4</v>
      </c>
      <c r="D46" s="15" t="s">
        <v>101</v>
      </c>
      <c r="E46" s="15" t="s">
        <v>194</v>
      </c>
      <c r="F46" s="16" t="s">
        <v>195</v>
      </c>
      <c r="G46" s="11" t="s">
        <v>111</v>
      </c>
      <c r="H46" s="17">
        <v>41221</v>
      </c>
      <c r="I46" s="18" t="s">
        <v>420</v>
      </c>
      <c r="J46" s="19">
        <v>2</v>
      </c>
      <c r="K46" s="20">
        <v>10</v>
      </c>
      <c r="L46" s="21">
        <v>8</v>
      </c>
      <c r="M46" s="22">
        <v>19284</v>
      </c>
      <c r="N46" s="23">
        <v>1997.3187970191782</v>
      </c>
      <c r="O46" s="24">
        <v>17286.681202980821</v>
      </c>
      <c r="P46" s="24"/>
      <c r="Q46" s="25">
        <v>8</v>
      </c>
      <c r="R46" s="26">
        <v>964.2</v>
      </c>
      <c r="S46" s="25">
        <v>16322.48120298082</v>
      </c>
      <c r="T46" s="25">
        <v>2040.3101503726025</v>
      </c>
      <c r="U46" s="25"/>
      <c r="V46" s="25">
        <v>0</v>
      </c>
      <c r="W46" s="25">
        <v>2040.3101503726025</v>
      </c>
      <c r="X46" s="25">
        <v>2040.3101503726025</v>
      </c>
      <c r="Y46" s="25">
        <v>0</v>
      </c>
      <c r="Z46" s="24">
        <v>17286.681202980821</v>
      </c>
      <c r="AA46" s="27">
        <v>15246.371052608218</v>
      </c>
      <c r="AB46" s="16"/>
      <c r="AC46" s="27">
        <v>15246.371052608218</v>
      </c>
      <c r="AD46" s="16"/>
      <c r="AE46" s="16"/>
      <c r="AF46" s="28">
        <v>2.3917808219178083</v>
      </c>
      <c r="AG46" s="29">
        <v>7.6082191780821917</v>
      </c>
      <c r="AH46" s="27">
        <v>964.2</v>
      </c>
      <c r="AI46" s="30">
        <v>16322.48120298082</v>
      </c>
      <c r="AJ46" s="31">
        <v>2040.3101503726025</v>
      </c>
      <c r="AK46" s="32">
        <v>13206.060902235615</v>
      </c>
      <c r="AL46" s="16"/>
      <c r="AM46" s="27">
        <v>13206.060902235615</v>
      </c>
      <c r="AN46" s="16"/>
      <c r="AO46" s="16"/>
      <c r="AP46" s="28">
        <v>3.3945205479452056</v>
      </c>
      <c r="AQ46" s="29">
        <v>6.6054794520547944</v>
      </c>
      <c r="AR46" s="27">
        <v>964.2</v>
      </c>
      <c r="AS46" s="30">
        <v>14282.171052608217</v>
      </c>
      <c r="AT46" s="31">
        <v>2040.3101503726025</v>
      </c>
      <c r="AU46" s="33">
        <v>11165.750751863012</v>
      </c>
      <c r="AW46" s="27">
        <v>11165.750751863012</v>
      </c>
      <c r="AX46" s="16"/>
      <c r="AY46" s="16"/>
      <c r="AZ46" s="28">
        <v>4.3945205479452056</v>
      </c>
      <c r="BA46" s="29">
        <v>5.6054794520547944</v>
      </c>
      <c r="BB46" s="27">
        <v>964.2</v>
      </c>
      <c r="BC46" s="30">
        <v>12241.860902235614</v>
      </c>
      <c r="BD46" s="34">
        <v>2040.3101503726025</v>
      </c>
      <c r="BE46" s="33">
        <v>9125.4406014904089</v>
      </c>
      <c r="BF46" s="33"/>
      <c r="BG46" s="27">
        <v>9125.4406014904089</v>
      </c>
      <c r="BH46" s="16"/>
      <c r="BI46" s="16"/>
      <c r="BJ46" s="28">
        <v>5.3945205479452056</v>
      </c>
      <c r="BK46" s="29">
        <v>4.6054794520547944</v>
      </c>
      <c r="BL46" s="27">
        <v>964.2</v>
      </c>
      <c r="BM46" s="30">
        <v>8161.2406014904091</v>
      </c>
      <c r="BN46" s="34">
        <v>2040.3101503726025</v>
      </c>
      <c r="BO46" s="35">
        <v>7085.1304511178059</v>
      </c>
      <c r="BP46" s="36"/>
      <c r="BQ46" s="27">
        <v>7085.1304511178059</v>
      </c>
      <c r="BR46" s="16"/>
      <c r="BS46" s="16"/>
      <c r="BT46" s="28">
        <v>6.3945205479452056</v>
      </c>
      <c r="BU46" s="29">
        <v>3.6054794520547944</v>
      </c>
      <c r="BV46" s="27">
        <v>964.2</v>
      </c>
      <c r="BW46" s="30">
        <v>6120.9304511178061</v>
      </c>
      <c r="BX46" s="34">
        <v>2040.3101503726025</v>
      </c>
      <c r="BY46" s="35">
        <v>5044.820300745203</v>
      </c>
      <c r="CA46" s="35">
        <v>5044.820300745203</v>
      </c>
      <c r="CB46" s="16"/>
      <c r="CC46" s="16"/>
      <c r="CD46" s="28">
        <v>7.397260273972603</v>
      </c>
      <c r="CE46" s="29">
        <v>2.602739726027397</v>
      </c>
      <c r="CF46" s="27">
        <v>964.2</v>
      </c>
      <c r="CG46" s="30">
        <v>4080.6203007452032</v>
      </c>
      <c r="CH46" s="31">
        <v>2040.3101503726025</v>
      </c>
      <c r="CI46" s="35">
        <v>3004.5101503726005</v>
      </c>
      <c r="CK46" s="36">
        <v>2040.3101503726004</v>
      </c>
      <c r="CL46" s="35">
        <v>3004.5101503726005</v>
      </c>
      <c r="CM46" s="16"/>
      <c r="CN46" s="16"/>
      <c r="CO46" s="28">
        <v>8.3972602739726021</v>
      </c>
      <c r="CP46" s="29">
        <v>1.6027397260273979</v>
      </c>
      <c r="CQ46" s="27">
        <v>964.2</v>
      </c>
      <c r="CR46" s="34">
        <v>2040.3101503726004</v>
      </c>
      <c r="CS46" s="34">
        <v>2040.3101503726025</v>
      </c>
      <c r="CT46" s="35">
        <v>964.199999999998</v>
      </c>
      <c r="CV46" s="35">
        <v>-2.0463630789890885E-12</v>
      </c>
      <c r="CW46" s="35">
        <v>964.199999999998</v>
      </c>
      <c r="CX46" s="16"/>
      <c r="CY46" s="16"/>
      <c r="CZ46" s="28">
        <v>10.397260273972602</v>
      </c>
      <c r="DA46" s="29">
        <v>-0.39726027397260211</v>
      </c>
      <c r="DB46" s="27">
        <v>964.2</v>
      </c>
      <c r="DC46" s="34">
        <v>0</v>
      </c>
      <c r="DD46" s="34"/>
      <c r="DE46" s="35">
        <v>964.199999999998</v>
      </c>
      <c r="DG46" s="35">
        <v>19284</v>
      </c>
      <c r="DH46" s="35">
        <v>18319.8</v>
      </c>
      <c r="DI46" s="35">
        <f t="shared" si="0"/>
        <v>964.20000000000073</v>
      </c>
      <c r="DJ46" s="132">
        <f t="shared" si="1"/>
        <v>964.20000000000073</v>
      </c>
      <c r="DK46" s="132">
        <f t="shared" si="2"/>
        <v>0</v>
      </c>
      <c r="DL46" s="132">
        <f t="shared" si="3"/>
        <v>-2.7284841053187847E-12</v>
      </c>
    </row>
    <row r="47" spans="2:116" s="4" customFormat="1" ht="39" x14ac:dyDescent="0.25">
      <c r="B47" s="13" t="s">
        <v>4</v>
      </c>
      <c r="C47" s="14" t="s">
        <v>4</v>
      </c>
      <c r="D47" s="15" t="s">
        <v>101</v>
      </c>
      <c r="E47" s="15" t="s">
        <v>196</v>
      </c>
      <c r="F47" s="16" t="s">
        <v>195</v>
      </c>
      <c r="G47" s="11" t="s">
        <v>111</v>
      </c>
      <c r="H47" s="17">
        <v>41221</v>
      </c>
      <c r="I47" s="18" t="s">
        <v>420</v>
      </c>
      <c r="J47" s="19">
        <v>2</v>
      </c>
      <c r="K47" s="20">
        <v>10</v>
      </c>
      <c r="L47" s="21">
        <v>8</v>
      </c>
      <c r="M47" s="22">
        <v>19284</v>
      </c>
      <c r="N47" s="23">
        <v>1997.3187970191782</v>
      </c>
      <c r="O47" s="24">
        <v>17286.681202980821</v>
      </c>
      <c r="P47" s="24"/>
      <c r="Q47" s="25">
        <v>8</v>
      </c>
      <c r="R47" s="26">
        <v>964.2</v>
      </c>
      <c r="S47" s="25">
        <v>16322.48120298082</v>
      </c>
      <c r="T47" s="25">
        <v>2040.3101503726025</v>
      </c>
      <c r="U47" s="25"/>
      <c r="V47" s="25">
        <v>0</v>
      </c>
      <c r="W47" s="25">
        <v>2040.3101503726025</v>
      </c>
      <c r="X47" s="25">
        <v>2040.3101503726025</v>
      </c>
      <c r="Y47" s="25">
        <v>0</v>
      </c>
      <c r="Z47" s="24">
        <v>17286.681202980821</v>
      </c>
      <c r="AA47" s="27">
        <v>15246.371052608218</v>
      </c>
      <c r="AB47" s="16"/>
      <c r="AC47" s="27">
        <v>15246.371052608218</v>
      </c>
      <c r="AD47" s="16"/>
      <c r="AE47" s="16"/>
      <c r="AF47" s="28">
        <v>2.3917808219178083</v>
      </c>
      <c r="AG47" s="29">
        <v>7.6082191780821917</v>
      </c>
      <c r="AH47" s="27">
        <v>964.2</v>
      </c>
      <c r="AI47" s="30">
        <v>16322.48120298082</v>
      </c>
      <c r="AJ47" s="31">
        <v>2040.3101503726025</v>
      </c>
      <c r="AK47" s="32">
        <v>13206.060902235615</v>
      </c>
      <c r="AL47" s="16"/>
      <c r="AM47" s="27">
        <v>13206.060902235615</v>
      </c>
      <c r="AN47" s="16"/>
      <c r="AO47" s="16"/>
      <c r="AP47" s="28">
        <v>3.3945205479452056</v>
      </c>
      <c r="AQ47" s="29">
        <v>6.6054794520547944</v>
      </c>
      <c r="AR47" s="27">
        <v>964.2</v>
      </c>
      <c r="AS47" s="30">
        <v>14282.171052608217</v>
      </c>
      <c r="AT47" s="31">
        <v>2040.3101503726025</v>
      </c>
      <c r="AU47" s="33">
        <v>11165.750751863012</v>
      </c>
      <c r="AW47" s="27">
        <v>11165.750751863012</v>
      </c>
      <c r="AX47" s="16"/>
      <c r="AY47" s="16"/>
      <c r="AZ47" s="28">
        <v>4.3945205479452056</v>
      </c>
      <c r="BA47" s="29">
        <v>5.6054794520547944</v>
      </c>
      <c r="BB47" s="27">
        <v>964.2</v>
      </c>
      <c r="BC47" s="30">
        <v>12241.860902235614</v>
      </c>
      <c r="BD47" s="34">
        <v>2040.3101503726025</v>
      </c>
      <c r="BE47" s="33">
        <v>9125.4406014904089</v>
      </c>
      <c r="BF47" s="33"/>
      <c r="BG47" s="27">
        <v>9125.4406014904089</v>
      </c>
      <c r="BH47" s="16"/>
      <c r="BI47" s="16"/>
      <c r="BJ47" s="28">
        <v>5.3945205479452056</v>
      </c>
      <c r="BK47" s="29">
        <v>4.6054794520547944</v>
      </c>
      <c r="BL47" s="27">
        <v>964.2</v>
      </c>
      <c r="BM47" s="30">
        <v>8161.2406014904091</v>
      </c>
      <c r="BN47" s="34">
        <v>2040.3101503726025</v>
      </c>
      <c r="BO47" s="35">
        <v>7085.1304511178059</v>
      </c>
      <c r="BP47" s="36"/>
      <c r="BQ47" s="27">
        <v>7085.1304511178059</v>
      </c>
      <c r="BR47" s="16"/>
      <c r="BS47" s="16"/>
      <c r="BT47" s="28">
        <v>6.3945205479452056</v>
      </c>
      <c r="BU47" s="29">
        <v>3.6054794520547944</v>
      </c>
      <c r="BV47" s="27">
        <v>964.2</v>
      </c>
      <c r="BW47" s="30">
        <v>6120.9304511178061</v>
      </c>
      <c r="BX47" s="34">
        <v>2040.3101503726025</v>
      </c>
      <c r="BY47" s="35">
        <v>5044.820300745203</v>
      </c>
      <c r="CA47" s="35">
        <v>5044.820300745203</v>
      </c>
      <c r="CB47" s="16"/>
      <c r="CC47" s="16"/>
      <c r="CD47" s="28">
        <v>7.397260273972603</v>
      </c>
      <c r="CE47" s="29">
        <v>2.602739726027397</v>
      </c>
      <c r="CF47" s="27">
        <v>964.2</v>
      </c>
      <c r="CG47" s="30">
        <v>4080.6203007452032</v>
      </c>
      <c r="CH47" s="31">
        <v>2040.3101503726025</v>
      </c>
      <c r="CI47" s="35">
        <v>3004.5101503726005</v>
      </c>
      <c r="CK47" s="36">
        <v>2040.3101503726004</v>
      </c>
      <c r="CL47" s="35">
        <v>3004.5101503726005</v>
      </c>
      <c r="CM47" s="16"/>
      <c r="CN47" s="16"/>
      <c r="CO47" s="28">
        <v>8.3972602739726021</v>
      </c>
      <c r="CP47" s="29">
        <v>1.6027397260273979</v>
      </c>
      <c r="CQ47" s="27">
        <v>964.2</v>
      </c>
      <c r="CR47" s="34">
        <v>2040.3101503726004</v>
      </c>
      <c r="CS47" s="34">
        <v>2040.3101503726025</v>
      </c>
      <c r="CT47" s="35">
        <v>964.199999999998</v>
      </c>
      <c r="CV47" s="35">
        <v>-2.0463630789890885E-12</v>
      </c>
      <c r="CW47" s="35">
        <v>964.199999999998</v>
      </c>
      <c r="CX47" s="16"/>
      <c r="CY47" s="16"/>
      <c r="CZ47" s="28">
        <v>10.397260273972602</v>
      </c>
      <c r="DA47" s="29">
        <v>-0.39726027397260211</v>
      </c>
      <c r="DB47" s="27">
        <v>964.2</v>
      </c>
      <c r="DC47" s="34">
        <v>0</v>
      </c>
      <c r="DD47" s="34"/>
      <c r="DE47" s="35">
        <v>964.199999999998</v>
      </c>
      <c r="DG47" s="35">
        <v>19284</v>
      </c>
      <c r="DH47" s="35">
        <v>18319.8</v>
      </c>
      <c r="DI47" s="35">
        <f t="shared" si="0"/>
        <v>964.20000000000073</v>
      </c>
      <c r="DJ47" s="132">
        <f t="shared" si="1"/>
        <v>964.20000000000073</v>
      </c>
      <c r="DK47" s="132">
        <f t="shared" si="2"/>
        <v>0</v>
      </c>
      <c r="DL47" s="132">
        <f t="shared" si="3"/>
        <v>-2.7284841053187847E-12</v>
      </c>
    </row>
    <row r="48" spans="2:116" s="4" customFormat="1" ht="39" x14ac:dyDescent="0.25">
      <c r="B48" s="13" t="s">
        <v>4</v>
      </c>
      <c r="C48" s="14" t="s">
        <v>4</v>
      </c>
      <c r="D48" s="15" t="s">
        <v>101</v>
      </c>
      <c r="E48" s="15" t="s">
        <v>197</v>
      </c>
      <c r="F48" s="16" t="s">
        <v>191</v>
      </c>
      <c r="G48" s="11" t="s">
        <v>111</v>
      </c>
      <c r="H48" s="17">
        <v>41264</v>
      </c>
      <c r="I48" s="18" t="s">
        <v>420</v>
      </c>
      <c r="J48" s="19">
        <v>2</v>
      </c>
      <c r="K48" s="20">
        <v>10</v>
      </c>
      <c r="L48" s="21">
        <v>8</v>
      </c>
      <c r="M48" s="22">
        <v>21091</v>
      </c>
      <c r="N48" s="23">
        <v>1997.2377853342464</v>
      </c>
      <c r="O48" s="24">
        <v>19093.762214665752</v>
      </c>
      <c r="P48" s="24"/>
      <c r="Q48" s="25">
        <v>8</v>
      </c>
      <c r="R48" s="26">
        <v>1054.55</v>
      </c>
      <c r="S48" s="25">
        <v>18039.212214665753</v>
      </c>
      <c r="T48" s="25">
        <v>2254.9015268332191</v>
      </c>
      <c r="U48" s="25"/>
      <c r="V48" s="25">
        <v>0</v>
      </c>
      <c r="W48" s="25">
        <v>2254.9015268332191</v>
      </c>
      <c r="X48" s="25">
        <v>2254.9015268332191</v>
      </c>
      <c r="Y48" s="25">
        <v>0</v>
      </c>
      <c r="Z48" s="24">
        <v>19093.762214665752</v>
      </c>
      <c r="AA48" s="27">
        <v>16838.860687832534</v>
      </c>
      <c r="AB48" s="16"/>
      <c r="AC48" s="27">
        <v>16838.860687832534</v>
      </c>
      <c r="AD48" s="16"/>
      <c r="AE48" s="16"/>
      <c r="AF48" s="28">
        <v>2.2739726027397262</v>
      </c>
      <c r="AG48" s="29">
        <v>7.7260273972602738</v>
      </c>
      <c r="AH48" s="27">
        <v>1054.55</v>
      </c>
      <c r="AI48" s="30">
        <v>18039.212214665753</v>
      </c>
      <c r="AJ48" s="31">
        <v>2254.9015268332191</v>
      </c>
      <c r="AK48" s="32">
        <v>14583.959160999315</v>
      </c>
      <c r="AL48" s="16"/>
      <c r="AM48" s="27">
        <v>14583.959160999315</v>
      </c>
      <c r="AN48" s="16"/>
      <c r="AO48" s="16"/>
      <c r="AP48" s="28">
        <v>3.2767123287671232</v>
      </c>
      <c r="AQ48" s="29">
        <v>6.7232876712328764</v>
      </c>
      <c r="AR48" s="27">
        <v>1054.55</v>
      </c>
      <c r="AS48" s="30">
        <v>15784.310687832534</v>
      </c>
      <c r="AT48" s="31">
        <v>2254.9015268332191</v>
      </c>
      <c r="AU48" s="33">
        <v>12329.057634166096</v>
      </c>
      <c r="AW48" s="27">
        <v>12329.057634166096</v>
      </c>
      <c r="AX48" s="16"/>
      <c r="AY48" s="16"/>
      <c r="AZ48" s="28">
        <v>4.2767123287671236</v>
      </c>
      <c r="BA48" s="29">
        <v>5.7232876712328764</v>
      </c>
      <c r="BB48" s="27">
        <v>1054.55</v>
      </c>
      <c r="BC48" s="30">
        <v>13529.409160999316</v>
      </c>
      <c r="BD48" s="34">
        <v>2254.9015268332191</v>
      </c>
      <c r="BE48" s="33">
        <v>10074.156107332878</v>
      </c>
      <c r="BF48" s="33"/>
      <c r="BG48" s="27">
        <v>10074.156107332878</v>
      </c>
      <c r="BH48" s="16"/>
      <c r="BI48" s="16"/>
      <c r="BJ48" s="28">
        <v>5.2767123287671236</v>
      </c>
      <c r="BK48" s="29">
        <v>4.7232876712328764</v>
      </c>
      <c r="BL48" s="27">
        <v>1054.55</v>
      </c>
      <c r="BM48" s="30">
        <v>9019.6061073328783</v>
      </c>
      <c r="BN48" s="34">
        <v>2254.9015268332191</v>
      </c>
      <c r="BO48" s="35">
        <v>7819.2545804996589</v>
      </c>
      <c r="BP48" s="36"/>
      <c r="BQ48" s="27">
        <v>7819.2545804996589</v>
      </c>
      <c r="BR48" s="16"/>
      <c r="BS48" s="16"/>
      <c r="BT48" s="28">
        <v>6.2767123287671236</v>
      </c>
      <c r="BU48" s="29">
        <v>3.7232876712328764</v>
      </c>
      <c r="BV48" s="27">
        <v>1054.55</v>
      </c>
      <c r="BW48" s="30">
        <v>6764.7045804996587</v>
      </c>
      <c r="BX48" s="34">
        <v>2254.9015268332191</v>
      </c>
      <c r="BY48" s="35">
        <v>5564.3530536664402</v>
      </c>
      <c r="CA48" s="35">
        <v>5564.3530536664402</v>
      </c>
      <c r="CB48" s="16"/>
      <c r="CC48" s="16"/>
      <c r="CD48" s="28">
        <v>7.279452054794521</v>
      </c>
      <c r="CE48" s="29">
        <v>2.720547945205479</v>
      </c>
      <c r="CF48" s="27">
        <v>1054.55</v>
      </c>
      <c r="CG48" s="30">
        <v>4509.8030536664401</v>
      </c>
      <c r="CH48" s="31">
        <v>2254.9015268332191</v>
      </c>
      <c r="CI48" s="35">
        <v>3309.4515268332211</v>
      </c>
      <c r="CK48" s="36">
        <v>2254.9015268332214</v>
      </c>
      <c r="CL48" s="35">
        <v>3309.4515268332211</v>
      </c>
      <c r="CM48" s="16"/>
      <c r="CN48" s="16"/>
      <c r="CO48" s="28">
        <v>8.2794520547945201</v>
      </c>
      <c r="CP48" s="29">
        <v>1.7205479452054799</v>
      </c>
      <c r="CQ48" s="27">
        <v>1054.55</v>
      </c>
      <c r="CR48" s="34">
        <v>2254.9015268332214</v>
      </c>
      <c r="CS48" s="34">
        <v>2254.9015268332191</v>
      </c>
      <c r="CT48" s="35">
        <v>1054.550000000002</v>
      </c>
      <c r="CV48" s="35">
        <v>2.0463630789890885E-12</v>
      </c>
      <c r="CW48" s="35">
        <v>1054.550000000002</v>
      </c>
      <c r="CX48" s="16"/>
      <c r="CY48" s="16"/>
      <c r="CZ48" s="28">
        <v>10.27945205479452</v>
      </c>
      <c r="DA48" s="29">
        <v>-0.27945205479452007</v>
      </c>
      <c r="DB48" s="27">
        <v>1054.55</v>
      </c>
      <c r="DC48" s="34">
        <v>0</v>
      </c>
      <c r="DD48" s="34"/>
      <c r="DE48" s="35">
        <v>1054.550000000002</v>
      </c>
      <c r="DG48" s="35">
        <v>21091</v>
      </c>
      <c r="DH48" s="35">
        <v>20036.449999999997</v>
      </c>
      <c r="DI48" s="35">
        <f t="shared" si="0"/>
        <v>1054.5500000000029</v>
      </c>
      <c r="DJ48" s="132">
        <f t="shared" si="1"/>
        <v>1054.5500000000029</v>
      </c>
      <c r="DK48" s="132">
        <f t="shared" si="2"/>
        <v>0</v>
      </c>
      <c r="DL48" s="132">
        <f t="shared" si="3"/>
        <v>0</v>
      </c>
    </row>
    <row r="49" spans="2:116" s="4" customFormat="1" ht="39" x14ac:dyDescent="0.25">
      <c r="B49" s="13" t="s">
        <v>4</v>
      </c>
      <c r="C49" s="14" t="s">
        <v>4</v>
      </c>
      <c r="D49" s="15" t="s">
        <v>101</v>
      </c>
      <c r="E49" s="15" t="s">
        <v>198</v>
      </c>
      <c r="F49" s="16" t="s">
        <v>191</v>
      </c>
      <c r="G49" s="11" t="s">
        <v>111</v>
      </c>
      <c r="H49" s="17">
        <v>41302</v>
      </c>
      <c r="I49" s="18" t="s">
        <v>420</v>
      </c>
      <c r="J49" s="19">
        <v>1</v>
      </c>
      <c r="K49" s="20">
        <v>10</v>
      </c>
      <c r="L49" s="21">
        <v>9</v>
      </c>
      <c r="M49" s="22">
        <v>12940</v>
      </c>
      <c r="N49" s="23">
        <v>1127.3046510684931</v>
      </c>
      <c r="O49" s="24">
        <v>11812.695348931507</v>
      </c>
      <c r="P49" s="24"/>
      <c r="Q49" s="25">
        <v>9</v>
      </c>
      <c r="R49" s="26">
        <v>647</v>
      </c>
      <c r="S49" s="25">
        <v>11165.695348931507</v>
      </c>
      <c r="T49" s="25">
        <v>1240.6328165479454</v>
      </c>
      <c r="U49" s="25"/>
      <c r="V49" s="25">
        <v>0</v>
      </c>
      <c r="W49" s="25">
        <v>1240.6328165479454</v>
      </c>
      <c r="X49" s="25">
        <v>1240.6328165479454</v>
      </c>
      <c r="Y49" s="25">
        <v>0</v>
      </c>
      <c r="Z49" s="24">
        <v>11812.695348931507</v>
      </c>
      <c r="AA49" s="27">
        <v>10572.062532383563</v>
      </c>
      <c r="AB49" s="16"/>
      <c r="AC49" s="27">
        <v>10572.062532383563</v>
      </c>
      <c r="AD49" s="16"/>
      <c r="AE49" s="16"/>
      <c r="AF49" s="28">
        <v>2.1698630136986301</v>
      </c>
      <c r="AG49" s="29">
        <v>7.8301369863013699</v>
      </c>
      <c r="AH49" s="27">
        <v>647</v>
      </c>
      <c r="AI49" s="30">
        <v>11165.695348931507</v>
      </c>
      <c r="AJ49" s="31">
        <v>1240.6328165479454</v>
      </c>
      <c r="AK49" s="32">
        <v>9331.4297158356167</v>
      </c>
      <c r="AL49" s="16"/>
      <c r="AM49" s="27">
        <v>9331.4297158356167</v>
      </c>
      <c r="AN49" s="16"/>
      <c r="AO49" s="16"/>
      <c r="AP49" s="28">
        <v>3.1726027397260275</v>
      </c>
      <c r="AQ49" s="29">
        <v>6.8273972602739725</v>
      </c>
      <c r="AR49" s="27">
        <v>647</v>
      </c>
      <c r="AS49" s="30">
        <v>9925.0625323835629</v>
      </c>
      <c r="AT49" s="31">
        <v>1240.6328165479454</v>
      </c>
      <c r="AU49" s="33">
        <v>8090.7968992876713</v>
      </c>
      <c r="AW49" s="27">
        <v>8090.7968992876713</v>
      </c>
      <c r="AX49" s="16"/>
      <c r="AY49" s="16"/>
      <c r="AZ49" s="28">
        <v>4.1726027397260275</v>
      </c>
      <c r="BA49" s="29">
        <v>5.8273972602739725</v>
      </c>
      <c r="BB49" s="27">
        <v>647</v>
      </c>
      <c r="BC49" s="30">
        <v>8684.4297158356167</v>
      </c>
      <c r="BD49" s="34">
        <v>1240.6328165479454</v>
      </c>
      <c r="BE49" s="33">
        <v>6850.1640827397259</v>
      </c>
      <c r="BF49" s="33"/>
      <c r="BG49" s="27">
        <v>6850.1640827397259</v>
      </c>
      <c r="BH49" s="16"/>
      <c r="BI49" s="16"/>
      <c r="BJ49" s="28">
        <v>5.1726027397260275</v>
      </c>
      <c r="BK49" s="29">
        <v>4.8273972602739725</v>
      </c>
      <c r="BL49" s="27">
        <v>647</v>
      </c>
      <c r="BM49" s="30">
        <v>6203.1640827397259</v>
      </c>
      <c r="BN49" s="34">
        <v>1240.6328165479454</v>
      </c>
      <c r="BO49" s="35">
        <v>5609.5312661917806</v>
      </c>
      <c r="BP49" s="36"/>
      <c r="BQ49" s="27">
        <v>5609.5312661917806</v>
      </c>
      <c r="BR49" s="16"/>
      <c r="BS49" s="16"/>
      <c r="BT49" s="28">
        <v>6.1726027397260275</v>
      </c>
      <c r="BU49" s="29">
        <v>3.8273972602739725</v>
      </c>
      <c r="BV49" s="27">
        <v>647</v>
      </c>
      <c r="BW49" s="30">
        <v>4962.5312661917806</v>
      </c>
      <c r="BX49" s="34">
        <v>1240.6328165479454</v>
      </c>
      <c r="BY49" s="35">
        <v>4368.8984496438352</v>
      </c>
      <c r="CA49" s="35">
        <v>4368.8984496438352</v>
      </c>
      <c r="CB49" s="16"/>
      <c r="CC49" s="16"/>
      <c r="CD49" s="28">
        <v>7.1753424657534248</v>
      </c>
      <c r="CE49" s="29">
        <v>2.8246575342465752</v>
      </c>
      <c r="CF49" s="27">
        <v>647</v>
      </c>
      <c r="CG49" s="30">
        <v>3721.8984496438352</v>
      </c>
      <c r="CH49" s="31">
        <v>1240.6328165479454</v>
      </c>
      <c r="CI49" s="35">
        <v>3128.2656330958898</v>
      </c>
      <c r="CK49" s="36">
        <v>2481.2656330958898</v>
      </c>
      <c r="CL49" s="35">
        <v>3128.2656330958898</v>
      </c>
      <c r="CM49" s="16"/>
      <c r="CN49" s="16"/>
      <c r="CO49" s="28">
        <v>8.1753424657534239</v>
      </c>
      <c r="CP49" s="29">
        <v>1.8246575342465761</v>
      </c>
      <c r="CQ49" s="27">
        <v>647</v>
      </c>
      <c r="CR49" s="34">
        <v>2481.2656330958898</v>
      </c>
      <c r="CS49" s="34">
        <v>1240.6328165479454</v>
      </c>
      <c r="CT49" s="35">
        <v>1887.6328165479445</v>
      </c>
      <c r="CV49" s="35">
        <v>1240.6328165479445</v>
      </c>
      <c r="CW49" s="35">
        <v>1887.6328165479445</v>
      </c>
      <c r="CX49" s="16"/>
      <c r="CY49" s="16"/>
      <c r="CZ49" s="28">
        <v>10.175342465753424</v>
      </c>
      <c r="DA49" s="29">
        <v>-0.17534246575342394</v>
      </c>
      <c r="DB49" s="27">
        <v>647</v>
      </c>
      <c r="DC49" s="34">
        <v>0</v>
      </c>
      <c r="DD49" s="34">
        <v>1240.6328165479454</v>
      </c>
      <c r="DE49" s="35">
        <v>646.99999999999909</v>
      </c>
      <c r="DG49" s="35">
        <v>12940</v>
      </c>
      <c r="DH49" s="35">
        <v>12293.000000000004</v>
      </c>
      <c r="DI49" s="35">
        <f t="shared" si="0"/>
        <v>646.99999999999636</v>
      </c>
      <c r="DJ49" s="132">
        <f t="shared" si="1"/>
        <v>646.99999999999636</v>
      </c>
      <c r="DK49" s="132">
        <f t="shared" si="2"/>
        <v>0</v>
      </c>
      <c r="DL49" s="132">
        <f t="shared" si="3"/>
        <v>2.7284841053187847E-12</v>
      </c>
    </row>
    <row r="50" spans="2:116" s="4" customFormat="1" ht="39" x14ac:dyDescent="0.25">
      <c r="B50" s="13" t="s">
        <v>4</v>
      </c>
      <c r="C50" s="14" t="s">
        <v>4</v>
      </c>
      <c r="D50" s="15" t="s">
        <v>101</v>
      </c>
      <c r="E50" s="15" t="s">
        <v>199</v>
      </c>
      <c r="F50" s="16" t="s">
        <v>200</v>
      </c>
      <c r="G50" s="11" t="s">
        <v>111</v>
      </c>
      <c r="H50" s="17">
        <v>40183</v>
      </c>
      <c r="I50" s="18" t="s">
        <v>417</v>
      </c>
      <c r="J50" s="19">
        <v>4</v>
      </c>
      <c r="K50" s="20">
        <v>10</v>
      </c>
      <c r="L50" s="21">
        <v>6</v>
      </c>
      <c r="M50" s="22">
        <v>1158596</v>
      </c>
      <c r="N50" s="23">
        <v>436654.69355658098</v>
      </c>
      <c r="O50" s="24">
        <v>721941.30644341907</v>
      </c>
      <c r="P50" s="24"/>
      <c r="Q50" s="25">
        <v>6</v>
      </c>
      <c r="R50" s="26">
        <v>57929.8</v>
      </c>
      <c r="S50" s="25">
        <v>664011.50644341903</v>
      </c>
      <c r="T50" s="25">
        <v>110668.5844072365</v>
      </c>
      <c r="U50" s="25"/>
      <c r="V50" s="25">
        <v>0</v>
      </c>
      <c r="W50" s="25">
        <v>110668.5844072365</v>
      </c>
      <c r="X50" s="25">
        <v>110668.5844072365</v>
      </c>
      <c r="Y50" s="25">
        <v>0</v>
      </c>
      <c r="Z50" s="24">
        <v>721941.30644341907</v>
      </c>
      <c r="AA50" s="27">
        <v>611272.72203618253</v>
      </c>
      <c r="AB50" s="16"/>
      <c r="AC50" s="27">
        <v>611272.72203618253</v>
      </c>
      <c r="AD50" s="16"/>
      <c r="AE50" s="16"/>
      <c r="AF50" s="28">
        <v>5.2356164383561641</v>
      </c>
      <c r="AG50" s="29">
        <v>4.7643835616438359</v>
      </c>
      <c r="AH50" s="27">
        <v>57929.8</v>
      </c>
      <c r="AI50" s="30">
        <v>664011.50644341903</v>
      </c>
      <c r="AJ50" s="31">
        <v>110668.5844072365</v>
      </c>
      <c r="AK50" s="32">
        <v>500604.13762894605</v>
      </c>
      <c r="AL50" s="16"/>
      <c r="AM50" s="27">
        <v>500604.13762894605</v>
      </c>
      <c r="AN50" s="16"/>
      <c r="AO50" s="16"/>
      <c r="AP50" s="28">
        <v>6.2383561643835614</v>
      </c>
      <c r="AQ50" s="29">
        <v>3.7616438356164386</v>
      </c>
      <c r="AR50" s="27">
        <v>57929.8</v>
      </c>
      <c r="AS50" s="30">
        <v>553342.92203618248</v>
      </c>
      <c r="AT50" s="31">
        <v>110668.5844072365</v>
      </c>
      <c r="AU50" s="33">
        <v>389935.55322170956</v>
      </c>
      <c r="AW50" s="27">
        <v>389935.55322170956</v>
      </c>
      <c r="AX50" s="16"/>
      <c r="AY50" s="16"/>
      <c r="AZ50" s="28">
        <v>7.2383561643835614</v>
      </c>
      <c r="BA50" s="29">
        <v>2.7616438356164386</v>
      </c>
      <c r="BB50" s="27">
        <v>57929.8</v>
      </c>
      <c r="BC50" s="30">
        <v>442674.33762894606</v>
      </c>
      <c r="BD50" s="34">
        <v>110668.5844072365</v>
      </c>
      <c r="BE50" s="33">
        <v>279266.96881447308</v>
      </c>
      <c r="BF50" s="33"/>
      <c r="BG50" s="27">
        <v>279266.96881447308</v>
      </c>
      <c r="BH50" s="16"/>
      <c r="BI50" s="16"/>
      <c r="BJ50" s="28">
        <v>8.2383561643835623</v>
      </c>
      <c r="BK50" s="29">
        <v>1.7616438356164377</v>
      </c>
      <c r="BL50" s="27">
        <v>57929.8</v>
      </c>
      <c r="BM50" s="30">
        <v>221337.16881447309</v>
      </c>
      <c r="BN50" s="34">
        <v>110668.5844072365</v>
      </c>
      <c r="BO50" s="35">
        <v>168598.38440723659</v>
      </c>
      <c r="BP50" s="36"/>
      <c r="BQ50" s="27">
        <v>168598.38440723659</v>
      </c>
      <c r="BR50" s="16"/>
      <c r="BS50" s="16"/>
      <c r="BT50" s="28">
        <v>9.2383561643835623</v>
      </c>
      <c r="BU50" s="29">
        <v>0.76164383561643767</v>
      </c>
      <c r="BV50" s="27">
        <v>57929.8</v>
      </c>
      <c r="BW50" s="30">
        <v>110668.58440723659</v>
      </c>
      <c r="BX50" s="34">
        <v>110668.5844072365</v>
      </c>
      <c r="BY50" s="35">
        <v>57929.80000000009</v>
      </c>
      <c r="CA50" s="35">
        <v>57929.80000000009</v>
      </c>
      <c r="CB50" s="16"/>
      <c r="CC50" s="16"/>
      <c r="CD50" s="28">
        <v>10.241095890410959</v>
      </c>
      <c r="CE50" s="29">
        <v>-0.2410958904109588</v>
      </c>
      <c r="CF50" s="27">
        <v>57929.8</v>
      </c>
      <c r="CG50" s="30">
        <v>0</v>
      </c>
      <c r="CH50" s="31"/>
      <c r="CI50" s="35">
        <v>57929.80000000009</v>
      </c>
      <c r="CK50" s="36">
        <v>8.7311491370201111E-11</v>
      </c>
      <c r="CL50" s="35">
        <v>57929.80000000009</v>
      </c>
      <c r="CM50" s="16"/>
      <c r="CN50" s="16"/>
      <c r="CO50" s="28">
        <v>11.241095890410959</v>
      </c>
      <c r="CP50" s="29">
        <v>-1.2410958904109588</v>
      </c>
      <c r="CQ50" s="27">
        <v>57929.8</v>
      </c>
      <c r="CR50" s="34">
        <v>0</v>
      </c>
      <c r="CS50" s="34">
        <v>0</v>
      </c>
      <c r="CT50" s="35">
        <v>57929.80000000009</v>
      </c>
      <c r="CV50" s="35">
        <v>8.7311491370201111E-11</v>
      </c>
      <c r="CW50" s="35">
        <v>57929.80000000009</v>
      </c>
      <c r="CX50" s="16"/>
      <c r="CY50" s="16"/>
      <c r="CZ50" s="28">
        <v>13.241095890410959</v>
      </c>
      <c r="DA50" s="29">
        <v>-3.2410958904109588</v>
      </c>
      <c r="DB50" s="27">
        <v>57929.8</v>
      </c>
      <c r="DC50" s="34">
        <v>0</v>
      </c>
      <c r="DD50" s="34">
        <v>0</v>
      </c>
      <c r="DE50" s="35">
        <v>57929.80000000009</v>
      </c>
      <c r="DG50" s="35">
        <v>1158596</v>
      </c>
      <c r="DH50" s="35">
        <v>1100666.2000000002</v>
      </c>
      <c r="DI50" s="35">
        <f t="shared" si="0"/>
        <v>57929.799999999814</v>
      </c>
      <c r="DJ50" s="132">
        <f t="shared" si="1"/>
        <v>57929.799999999814</v>
      </c>
      <c r="DK50" s="132">
        <f t="shared" si="2"/>
        <v>0</v>
      </c>
      <c r="DL50" s="132">
        <f t="shared" si="3"/>
        <v>2.7648638933897018E-10</v>
      </c>
    </row>
    <row r="51" spans="2:116" s="4" customFormat="1" ht="39" x14ac:dyDescent="0.25">
      <c r="B51" s="13" t="s">
        <v>4</v>
      </c>
      <c r="C51" s="14" t="s">
        <v>4</v>
      </c>
      <c r="D51" s="15" t="s">
        <v>101</v>
      </c>
      <c r="E51" s="15" t="s">
        <v>201</v>
      </c>
      <c r="F51" s="16" t="s">
        <v>202</v>
      </c>
      <c r="G51" s="11" t="s">
        <v>111</v>
      </c>
      <c r="H51" s="17">
        <v>41352</v>
      </c>
      <c r="I51" s="18" t="s">
        <v>420</v>
      </c>
      <c r="J51" s="19">
        <v>1</v>
      </c>
      <c r="K51" s="20">
        <v>10</v>
      </c>
      <c r="L51" s="21">
        <v>9</v>
      </c>
      <c r="M51" s="22">
        <v>16000</v>
      </c>
      <c r="N51" s="23">
        <v>1230.1431671232876</v>
      </c>
      <c r="O51" s="24">
        <v>14769.856832876712</v>
      </c>
      <c r="P51" s="24"/>
      <c r="Q51" s="25">
        <v>9</v>
      </c>
      <c r="R51" s="26">
        <v>800</v>
      </c>
      <c r="S51" s="25">
        <v>13969.856832876712</v>
      </c>
      <c r="T51" s="25">
        <v>1552.2063147640793</v>
      </c>
      <c r="U51" s="25"/>
      <c r="V51" s="25">
        <v>0</v>
      </c>
      <c r="W51" s="25">
        <v>1552.2063147640793</v>
      </c>
      <c r="X51" s="25">
        <v>1552.2063147640793</v>
      </c>
      <c r="Y51" s="25">
        <v>0</v>
      </c>
      <c r="Z51" s="24">
        <v>14769.856832876712</v>
      </c>
      <c r="AA51" s="27">
        <v>13217.650518112634</v>
      </c>
      <c r="AB51" s="16"/>
      <c r="AC51" s="27">
        <v>13217.650518112634</v>
      </c>
      <c r="AD51" s="16"/>
      <c r="AE51" s="16"/>
      <c r="AF51" s="28">
        <v>2.032876712328767</v>
      </c>
      <c r="AG51" s="29">
        <v>7.9671232876712335</v>
      </c>
      <c r="AH51" s="27">
        <v>800</v>
      </c>
      <c r="AI51" s="30">
        <v>13969.856832876712</v>
      </c>
      <c r="AJ51" s="31">
        <v>1552.2063147640793</v>
      </c>
      <c r="AK51" s="32">
        <v>11665.444203348554</v>
      </c>
      <c r="AL51" s="16"/>
      <c r="AM51" s="27">
        <v>11665.444203348554</v>
      </c>
      <c r="AN51" s="16"/>
      <c r="AO51" s="16"/>
      <c r="AP51" s="28">
        <v>3.0356164383561643</v>
      </c>
      <c r="AQ51" s="29">
        <v>6.9643835616438352</v>
      </c>
      <c r="AR51" s="27">
        <v>800</v>
      </c>
      <c r="AS51" s="30">
        <v>12417.650518112634</v>
      </c>
      <c r="AT51" s="31">
        <v>1552.2063147640793</v>
      </c>
      <c r="AU51" s="33">
        <v>10113.237888584474</v>
      </c>
      <c r="AW51" s="27">
        <v>10113.237888584474</v>
      </c>
      <c r="AX51" s="16"/>
      <c r="AY51" s="16"/>
      <c r="AZ51" s="28">
        <v>4.0356164383561648</v>
      </c>
      <c r="BA51" s="29">
        <v>5.9643835616438352</v>
      </c>
      <c r="BB51" s="27">
        <v>800</v>
      </c>
      <c r="BC51" s="30">
        <v>10865.444203348554</v>
      </c>
      <c r="BD51" s="34">
        <v>1552.2063147640793</v>
      </c>
      <c r="BE51" s="33">
        <v>8561.0315738203935</v>
      </c>
      <c r="BF51" s="33"/>
      <c r="BG51" s="27">
        <v>8561.0315738203935</v>
      </c>
      <c r="BH51" s="16"/>
      <c r="BI51" s="16"/>
      <c r="BJ51" s="28">
        <v>5.0356164383561648</v>
      </c>
      <c r="BK51" s="29">
        <v>4.9643835616438352</v>
      </c>
      <c r="BL51" s="27">
        <v>800</v>
      </c>
      <c r="BM51" s="30">
        <v>7761.0315738203935</v>
      </c>
      <c r="BN51" s="34">
        <v>1552.2063147640793</v>
      </c>
      <c r="BO51" s="35">
        <v>7008.8252590563143</v>
      </c>
      <c r="BP51" s="36"/>
      <c r="BQ51" s="27">
        <v>7008.8252590563143</v>
      </c>
      <c r="BR51" s="16"/>
      <c r="BS51" s="16"/>
      <c r="BT51" s="28">
        <v>6.0356164383561648</v>
      </c>
      <c r="BU51" s="29">
        <v>3.9643835616438352</v>
      </c>
      <c r="BV51" s="27">
        <v>800</v>
      </c>
      <c r="BW51" s="30">
        <v>6208.8252590563143</v>
      </c>
      <c r="BX51" s="34">
        <v>1552.2063147640793</v>
      </c>
      <c r="BY51" s="35">
        <v>5456.618944292235</v>
      </c>
      <c r="CA51" s="35">
        <v>5456.618944292235</v>
      </c>
      <c r="CB51" s="16"/>
      <c r="CC51" s="16"/>
      <c r="CD51" s="28">
        <v>7.0383561643835613</v>
      </c>
      <c r="CE51" s="29">
        <v>2.9616438356164387</v>
      </c>
      <c r="CF51" s="27">
        <v>800</v>
      </c>
      <c r="CG51" s="30">
        <v>4656.618944292235</v>
      </c>
      <c r="CH51" s="31">
        <v>1552.2063147640793</v>
      </c>
      <c r="CI51" s="35">
        <v>3904.4126295281558</v>
      </c>
      <c r="CK51" s="36">
        <v>3104.4126295281558</v>
      </c>
      <c r="CL51" s="35">
        <v>3904.4126295281558</v>
      </c>
      <c r="CM51" s="16"/>
      <c r="CN51" s="16"/>
      <c r="CO51" s="28">
        <v>8.0383561643835613</v>
      </c>
      <c r="CP51" s="29">
        <v>1.9616438356164387</v>
      </c>
      <c r="CQ51" s="27">
        <v>800</v>
      </c>
      <c r="CR51" s="34">
        <v>3104.4126295281558</v>
      </c>
      <c r="CS51" s="34">
        <v>1552.2063147640793</v>
      </c>
      <c r="CT51" s="35">
        <v>2352.2063147640765</v>
      </c>
      <c r="CV51" s="35">
        <v>1552.2063147640765</v>
      </c>
      <c r="CW51" s="35">
        <v>2352.2063147640765</v>
      </c>
      <c r="CX51" s="16"/>
      <c r="CY51" s="16"/>
      <c r="CZ51" s="28">
        <v>10.038356164383561</v>
      </c>
      <c r="DA51" s="29">
        <v>-3.8356164383561264E-2</v>
      </c>
      <c r="DB51" s="27">
        <v>800</v>
      </c>
      <c r="DC51" s="34">
        <v>0</v>
      </c>
      <c r="DD51" s="34">
        <v>1552.2063147640793</v>
      </c>
      <c r="DE51" s="35">
        <v>799.99999999999727</v>
      </c>
      <c r="DG51" s="35">
        <v>16000</v>
      </c>
      <c r="DH51" s="35">
        <v>15200.000000000004</v>
      </c>
      <c r="DI51" s="35">
        <f t="shared" si="0"/>
        <v>799.99999999999636</v>
      </c>
      <c r="DJ51" s="132">
        <f t="shared" si="1"/>
        <v>799.99999999999636</v>
      </c>
      <c r="DK51" s="132">
        <f t="shared" si="2"/>
        <v>0</v>
      </c>
      <c r="DL51" s="132">
        <f t="shared" si="3"/>
        <v>9.0949470177292824E-13</v>
      </c>
    </row>
    <row r="52" spans="2:116" s="4" customFormat="1" ht="39" x14ac:dyDescent="0.25">
      <c r="B52" s="13" t="s">
        <v>4</v>
      </c>
      <c r="C52" s="14" t="s">
        <v>4</v>
      </c>
      <c r="D52" s="15" t="s">
        <v>101</v>
      </c>
      <c r="E52" s="15" t="s">
        <v>203</v>
      </c>
      <c r="F52" s="16" t="s">
        <v>191</v>
      </c>
      <c r="G52" s="11" t="s">
        <v>111</v>
      </c>
      <c r="H52" s="17">
        <v>41354</v>
      </c>
      <c r="I52" s="18" t="s">
        <v>420</v>
      </c>
      <c r="J52" s="19">
        <v>1</v>
      </c>
      <c r="K52" s="20">
        <v>10</v>
      </c>
      <c r="L52" s="21">
        <v>9</v>
      </c>
      <c r="M52" s="22">
        <v>20836</v>
      </c>
      <c r="N52" s="23">
        <v>1593.3504410191781</v>
      </c>
      <c r="O52" s="24">
        <v>19242.649558980822</v>
      </c>
      <c r="P52" s="24"/>
      <c r="Q52" s="25">
        <v>9</v>
      </c>
      <c r="R52" s="26">
        <v>1041.8</v>
      </c>
      <c r="S52" s="25">
        <v>18200.849558980823</v>
      </c>
      <c r="T52" s="25">
        <v>2022.3166176645359</v>
      </c>
      <c r="U52" s="25"/>
      <c r="V52" s="25">
        <v>0</v>
      </c>
      <c r="W52" s="25">
        <v>2022.3166176645359</v>
      </c>
      <c r="X52" s="25">
        <v>2022.3166176645359</v>
      </c>
      <c r="Y52" s="25">
        <v>0</v>
      </c>
      <c r="Z52" s="24">
        <v>19242.649558980822</v>
      </c>
      <c r="AA52" s="27">
        <v>17220.332941316286</v>
      </c>
      <c r="AB52" s="16"/>
      <c r="AC52" s="27">
        <v>17220.332941316286</v>
      </c>
      <c r="AD52" s="16"/>
      <c r="AE52" s="16"/>
      <c r="AF52" s="28">
        <v>2.0273972602739727</v>
      </c>
      <c r="AG52" s="29">
        <v>7.9726027397260273</v>
      </c>
      <c r="AH52" s="27">
        <v>1041.8</v>
      </c>
      <c r="AI52" s="30">
        <v>18200.849558980823</v>
      </c>
      <c r="AJ52" s="31">
        <v>2022.3166176645359</v>
      </c>
      <c r="AK52" s="32">
        <v>15198.016323651751</v>
      </c>
      <c r="AL52" s="16"/>
      <c r="AM52" s="27">
        <v>15198.016323651751</v>
      </c>
      <c r="AN52" s="16"/>
      <c r="AO52" s="16"/>
      <c r="AP52" s="28">
        <v>3.0301369863013701</v>
      </c>
      <c r="AQ52" s="29">
        <v>6.9698630136986299</v>
      </c>
      <c r="AR52" s="27">
        <v>1041.8</v>
      </c>
      <c r="AS52" s="30">
        <v>16178.532941316287</v>
      </c>
      <c r="AT52" s="31">
        <v>2022.3166176645359</v>
      </c>
      <c r="AU52" s="33">
        <v>13175.699705987216</v>
      </c>
      <c r="AW52" s="27">
        <v>13175.699705987216</v>
      </c>
      <c r="AX52" s="16"/>
      <c r="AY52" s="16"/>
      <c r="AZ52" s="28">
        <v>4.0301369863013701</v>
      </c>
      <c r="BA52" s="29">
        <v>5.9698630136986299</v>
      </c>
      <c r="BB52" s="27">
        <v>1041.8</v>
      </c>
      <c r="BC52" s="30">
        <v>14156.216323651752</v>
      </c>
      <c r="BD52" s="34">
        <v>2022.3166176645359</v>
      </c>
      <c r="BE52" s="33">
        <v>11153.38308832268</v>
      </c>
      <c r="BF52" s="33"/>
      <c r="BG52" s="27">
        <v>11153.38308832268</v>
      </c>
      <c r="BH52" s="16"/>
      <c r="BI52" s="16"/>
      <c r="BJ52" s="28">
        <v>5.0301369863013701</v>
      </c>
      <c r="BK52" s="29">
        <v>4.9698630136986299</v>
      </c>
      <c r="BL52" s="27">
        <v>1041.8</v>
      </c>
      <c r="BM52" s="30">
        <v>10111.583088322681</v>
      </c>
      <c r="BN52" s="34">
        <v>2022.3166176645359</v>
      </c>
      <c r="BO52" s="35">
        <v>9131.0664706581447</v>
      </c>
      <c r="BP52" s="36"/>
      <c r="BQ52" s="27">
        <v>9131.0664706581447</v>
      </c>
      <c r="BR52" s="16"/>
      <c r="BS52" s="16"/>
      <c r="BT52" s="28">
        <v>6.0301369863013701</v>
      </c>
      <c r="BU52" s="29">
        <v>3.9698630136986299</v>
      </c>
      <c r="BV52" s="27">
        <v>1041.8</v>
      </c>
      <c r="BW52" s="30">
        <v>8089.2664706581445</v>
      </c>
      <c r="BX52" s="34">
        <v>2022.3166176645359</v>
      </c>
      <c r="BY52" s="35">
        <v>7108.7498529936092</v>
      </c>
      <c r="CA52" s="35">
        <v>7108.7498529936092</v>
      </c>
      <c r="CB52" s="16"/>
      <c r="CC52" s="16"/>
      <c r="CD52" s="28">
        <v>7.0328767123287674</v>
      </c>
      <c r="CE52" s="29">
        <v>2.9671232876712326</v>
      </c>
      <c r="CF52" s="27">
        <v>1041.8</v>
      </c>
      <c r="CG52" s="30">
        <v>6066.9498529936091</v>
      </c>
      <c r="CH52" s="31">
        <v>2022.3166176645359</v>
      </c>
      <c r="CI52" s="35">
        <v>5086.4332353290738</v>
      </c>
      <c r="CK52" s="36">
        <v>4044.6332353290736</v>
      </c>
      <c r="CL52" s="35">
        <v>5086.4332353290738</v>
      </c>
      <c r="CM52" s="16"/>
      <c r="CN52" s="16"/>
      <c r="CO52" s="28">
        <v>8.0328767123287665</v>
      </c>
      <c r="CP52" s="29">
        <v>1.9671232876712335</v>
      </c>
      <c r="CQ52" s="27">
        <v>1041.8</v>
      </c>
      <c r="CR52" s="34">
        <v>4044.6332353290736</v>
      </c>
      <c r="CS52" s="34">
        <v>2022.3166176645359</v>
      </c>
      <c r="CT52" s="35">
        <v>3064.1166176645379</v>
      </c>
      <c r="CV52" s="35">
        <v>2022.3166176645379</v>
      </c>
      <c r="CW52" s="35">
        <v>3064.1166176645379</v>
      </c>
      <c r="CX52" s="16"/>
      <c r="CY52" s="16"/>
      <c r="CZ52" s="28">
        <v>10.032876712328767</v>
      </c>
      <c r="DA52" s="29">
        <v>-3.2876712328766544E-2</v>
      </c>
      <c r="DB52" s="27">
        <v>1041.8</v>
      </c>
      <c r="DC52" s="34">
        <v>0</v>
      </c>
      <c r="DD52" s="34">
        <v>2022.3166176645359</v>
      </c>
      <c r="DE52" s="35">
        <v>1041.800000000002</v>
      </c>
      <c r="DG52" s="35">
        <v>20836</v>
      </c>
      <c r="DH52" s="35">
        <v>19794.2</v>
      </c>
      <c r="DI52" s="35">
        <f t="shared" si="0"/>
        <v>1041.7999999999993</v>
      </c>
      <c r="DJ52" s="132">
        <f t="shared" si="1"/>
        <v>1041.7999999999993</v>
      </c>
      <c r="DK52" s="132">
        <f t="shared" si="2"/>
        <v>0</v>
      </c>
      <c r="DL52" s="132">
        <f t="shared" si="3"/>
        <v>2.7284841053187847E-12</v>
      </c>
    </row>
    <row r="53" spans="2:116" s="4" customFormat="1" ht="39" x14ac:dyDescent="0.25">
      <c r="B53" s="13" t="s">
        <v>4</v>
      </c>
      <c r="C53" s="14" t="s">
        <v>4</v>
      </c>
      <c r="D53" s="15" t="s">
        <v>101</v>
      </c>
      <c r="E53" s="15" t="s">
        <v>204</v>
      </c>
      <c r="F53" s="16" t="s">
        <v>205</v>
      </c>
      <c r="G53" s="11" t="s">
        <v>111</v>
      </c>
      <c r="H53" s="17">
        <v>41383</v>
      </c>
      <c r="I53" s="18" t="s">
        <v>421</v>
      </c>
      <c r="J53" s="19">
        <v>1</v>
      </c>
      <c r="K53" s="20">
        <v>10</v>
      </c>
      <c r="L53" s="21">
        <v>9</v>
      </c>
      <c r="M53" s="22">
        <v>242400</v>
      </c>
      <c r="N53" s="23">
        <v>17106.838086575342</v>
      </c>
      <c r="O53" s="24">
        <v>225293.16191342467</v>
      </c>
      <c r="P53" s="24"/>
      <c r="Q53" s="25">
        <v>9</v>
      </c>
      <c r="R53" s="26">
        <v>12120</v>
      </c>
      <c r="S53" s="25">
        <v>213173.16191342467</v>
      </c>
      <c r="T53" s="25">
        <v>23685.906879269409</v>
      </c>
      <c r="U53" s="25"/>
      <c r="V53" s="25">
        <v>0</v>
      </c>
      <c r="W53" s="25">
        <v>23685.906879269409</v>
      </c>
      <c r="X53" s="25">
        <v>23685.906879269409</v>
      </c>
      <c r="Y53" s="25">
        <v>0</v>
      </c>
      <c r="Z53" s="24">
        <v>225293.16191342467</v>
      </c>
      <c r="AA53" s="27">
        <v>201607.25503415527</v>
      </c>
      <c r="AB53" s="16"/>
      <c r="AC53" s="27">
        <v>201607.25503415527</v>
      </c>
      <c r="AD53" s="16"/>
      <c r="AE53" s="16"/>
      <c r="AF53" s="28">
        <v>1.9479452054794522</v>
      </c>
      <c r="AG53" s="29">
        <v>8.0520547945205472</v>
      </c>
      <c r="AH53" s="27">
        <v>12120</v>
      </c>
      <c r="AI53" s="30">
        <v>213173.16191342467</v>
      </c>
      <c r="AJ53" s="31">
        <v>23685.906879269409</v>
      </c>
      <c r="AK53" s="32">
        <v>177921.34815488587</v>
      </c>
      <c r="AL53" s="16"/>
      <c r="AM53" s="27">
        <v>177921.34815488587</v>
      </c>
      <c r="AN53" s="16"/>
      <c r="AO53" s="16"/>
      <c r="AP53" s="28">
        <v>2.9506849315068493</v>
      </c>
      <c r="AQ53" s="29">
        <v>7.0493150684931507</v>
      </c>
      <c r="AR53" s="27">
        <v>12120</v>
      </c>
      <c r="AS53" s="30">
        <v>189487.25503415527</v>
      </c>
      <c r="AT53" s="31">
        <v>23685.906879269409</v>
      </c>
      <c r="AU53" s="33">
        <v>154235.44127561647</v>
      </c>
      <c r="AW53" s="27">
        <v>154235.44127561647</v>
      </c>
      <c r="AX53" s="16"/>
      <c r="AY53" s="16"/>
      <c r="AZ53" s="28">
        <v>3.9506849315068493</v>
      </c>
      <c r="BA53" s="29">
        <v>6.0493150684931507</v>
      </c>
      <c r="BB53" s="27">
        <v>12120</v>
      </c>
      <c r="BC53" s="30">
        <v>165801.34815488587</v>
      </c>
      <c r="BD53" s="34">
        <v>23685.906879269409</v>
      </c>
      <c r="BE53" s="33">
        <v>130549.53439634707</v>
      </c>
      <c r="BF53" s="33"/>
      <c r="BG53" s="27">
        <v>130549.53439634707</v>
      </c>
      <c r="BH53" s="16"/>
      <c r="BI53" s="16"/>
      <c r="BJ53" s="28">
        <v>4.9506849315068493</v>
      </c>
      <c r="BK53" s="29">
        <v>5.0493150684931507</v>
      </c>
      <c r="BL53" s="27">
        <v>12120</v>
      </c>
      <c r="BM53" s="30">
        <v>118429.53439634707</v>
      </c>
      <c r="BN53" s="34">
        <v>23685.906879269409</v>
      </c>
      <c r="BO53" s="35">
        <v>106863.62751707766</v>
      </c>
      <c r="BP53" s="36"/>
      <c r="BQ53" s="27">
        <v>106863.62751707766</v>
      </c>
      <c r="BR53" s="16"/>
      <c r="BS53" s="16"/>
      <c r="BT53" s="28">
        <v>5.9506849315068493</v>
      </c>
      <c r="BU53" s="29">
        <v>4.0493150684931507</v>
      </c>
      <c r="BV53" s="27">
        <v>12120</v>
      </c>
      <c r="BW53" s="30">
        <v>94743.627517077664</v>
      </c>
      <c r="BX53" s="34">
        <v>23685.906879269409</v>
      </c>
      <c r="BY53" s="35">
        <v>83177.720637808263</v>
      </c>
      <c r="CA53" s="35">
        <v>83177.720637808263</v>
      </c>
      <c r="CB53" s="16"/>
      <c r="CC53" s="16"/>
      <c r="CD53" s="28">
        <v>6.9534246575342467</v>
      </c>
      <c r="CE53" s="29">
        <v>3.0465753424657533</v>
      </c>
      <c r="CF53" s="27">
        <v>12120</v>
      </c>
      <c r="CG53" s="30">
        <v>71057.720637808263</v>
      </c>
      <c r="CH53" s="31">
        <v>23685.906879269409</v>
      </c>
      <c r="CI53" s="35">
        <v>59491.813758538854</v>
      </c>
      <c r="CK53" s="36">
        <v>47371.813758538854</v>
      </c>
      <c r="CL53" s="35">
        <v>59491.813758538854</v>
      </c>
      <c r="CM53" s="16"/>
      <c r="CN53" s="16"/>
      <c r="CO53" s="28">
        <v>7.9534246575342467</v>
      </c>
      <c r="CP53" s="29">
        <v>2.0465753424657533</v>
      </c>
      <c r="CQ53" s="27">
        <v>12120</v>
      </c>
      <c r="CR53" s="34">
        <v>47371.813758538854</v>
      </c>
      <c r="CS53" s="34">
        <v>23685.906879269409</v>
      </c>
      <c r="CT53" s="35">
        <v>35805.906879269445</v>
      </c>
      <c r="CV53" s="35">
        <v>23685.906879269445</v>
      </c>
      <c r="CW53" s="35">
        <v>35805.906879269445</v>
      </c>
      <c r="CX53" s="16"/>
      <c r="CY53" s="16"/>
      <c r="CZ53" s="28">
        <v>9.9534246575342458</v>
      </c>
      <c r="DA53" s="29">
        <v>4.6575342465754233E-2</v>
      </c>
      <c r="DB53" s="27">
        <v>12120</v>
      </c>
      <c r="DC53" s="34">
        <v>23685.906879269445</v>
      </c>
      <c r="DD53" s="34">
        <v>23685.906879269409</v>
      </c>
      <c r="DE53" s="35">
        <v>12120.000000000036</v>
      </c>
      <c r="DG53" s="35">
        <v>242400</v>
      </c>
      <c r="DH53" s="35">
        <v>230279.99999999997</v>
      </c>
      <c r="DI53" s="35">
        <f t="shared" si="0"/>
        <v>12120.000000000029</v>
      </c>
      <c r="DJ53" s="132">
        <f t="shared" si="1"/>
        <v>12120.000000000029</v>
      </c>
      <c r="DK53" s="132">
        <f t="shared" si="2"/>
        <v>0</v>
      </c>
      <c r="DL53" s="132">
        <f t="shared" si="3"/>
        <v>0</v>
      </c>
    </row>
    <row r="54" spans="2:116" s="4" customFormat="1" ht="39" x14ac:dyDescent="0.25">
      <c r="B54" s="13" t="s">
        <v>4</v>
      </c>
      <c r="C54" s="14" t="s">
        <v>4</v>
      </c>
      <c r="D54" s="15" t="s">
        <v>101</v>
      </c>
      <c r="E54" s="15" t="s">
        <v>206</v>
      </c>
      <c r="F54" s="16" t="s">
        <v>207</v>
      </c>
      <c r="G54" s="11" t="s">
        <v>111</v>
      </c>
      <c r="H54" s="17">
        <v>41401</v>
      </c>
      <c r="I54" s="18" t="s">
        <v>421</v>
      </c>
      <c r="J54" s="19">
        <v>1</v>
      </c>
      <c r="K54" s="20">
        <v>10</v>
      </c>
      <c r="L54" s="21">
        <v>9</v>
      </c>
      <c r="M54" s="22">
        <v>919705</v>
      </c>
      <c r="N54" s="23">
        <v>62143.11374976713</v>
      </c>
      <c r="O54" s="24">
        <v>857561.88625023281</v>
      </c>
      <c r="P54" s="24"/>
      <c r="Q54" s="25">
        <v>9</v>
      </c>
      <c r="R54" s="26">
        <v>45985.25</v>
      </c>
      <c r="S54" s="25">
        <v>811576.63625023281</v>
      </c>
      <c r="T54" s="25">
        <v>90175.181805581422</v>
      </c>
      <c r="U54" s="25"/>
      <c r="V54" s="25">
        <v>0</v>
      </c>
      <c r="W54" s="25">
        <v>90175.181805581422</v>
      </c>
      <c r="X54" s="25">
        <v>90175.181805581422</v>
      </c>
      <c r="Y54" s="25">
        <v>0</v>
      </c>
      <c r="Z54" s="24">
        <v>857561.88625023281</v>
      </c>
      <c r="AA54" s="27">
        <v>767386.70444465138</v>
      </c>
      <c r="AB54" s="16"/>
      <c r="AC54" s="27">
        <v>767386.70444465138</v>
      </c>
      <c r="AD54" s="16"/>
      <c r="AE54" s="16"/>
      <c r="AF54" s="28">
        <v>1.8986301369863015</v>
      </c>
      <c r="AG54" s="29">
        <v>8.1013698630136979</v>
      </c>
      <c r="AH54" s="27">
        <v>45985.25</v>
      </c>
      <c r="AI54" s="30">
        <v>811576.63625023281</v>
      </c>
      <c r="AJ54" s="31">
        <v>90175.181805581422</v>
      </c>
      <c r="AK54" s="32">
        <v>677211.52263906994</v>
      </c>
      <c r="AL54" s="16"/>
      <c r="AM54" s="27">
        <v>677211.52263906994</v>
      </c>
      <c r="AN54" s="16"/>
      <c r="AO54" s="16"/>
      <c r="AP54" s="28">
        <v>2.9013698630136986</v>
      </c>
      <c r="AQ54" s="29">
        <v>7.0986301369863014</v>
      </c>
      <c r="AR54" s="27">
        <v>45985.25</v>
      </c>
      <c r="AS54" s="30">
        <v>721401.45444465138</v>
      </c>
      <c r="AT54" s="31">
        <v>90175.181805581422</v>
      </c>
      <c r="AU54" s="33">
        <v>587061.3408334885</v>
      </c>
      <c r="AW54" s="27">
        <v>587061.3408334885</v>
      </c>
      <c r="AX54" s="16"/>
      <c r="AY54" s="16"/>
      <c r="AZ54" s="28">
        <v>3.9013698630136986</v>
      </c>
      <c r="BA54" s="29">
        <v>6.0986301369863014</v>
      </c>
      <c r="BB54" s="27">
        <v>45985.25</v>
      </c>
      <c r="BC54" s="30">
        <v>631226.27263906994</v>
      </c>
      <c r="BD54" s="34">
        <v>90175.181805581422</v>
      </c>
      <c r="BE54" s="33">
        <v>496886.15902790707</v>
      </c>
      <c r="BF54" s="33"/>
      <c r="BG54" s="27">
        <v>496886.15902790707</v>
      </c>
      <c r="BH54" s="16"/>
      <c r="BI54" s="16"/>
      <c r="BJ54" s="28">
        <v>4.9013698630136986</v>
      </c>
      <c r="BK54" s="29">
        <v>5.0986301369863014</v>
      </c>
      <c r="BL54" s="27">
        <v>45985.25</v>
      </c>
      <c r="BM54" s="30">
        <v>450900.90902790707</v>
      </c>
      <c r="BN54" s="34">
        <v>90175.181805581422</v>
      </c>
      <c r="BO54" s="35">
        <v>406710.97722232563</v>
      </c>
      <c r="BP54" s="36"/>
      <c r="BQ54" s="27">
        <v>406710.97722232563</v>
      </c>
      <c r="BR54" s="16"/>
      <c r="BS54" s="16"/>
      <c r="BT54" s="28">
        <v>5.9013698630136986</v>
      </c>
      <c r="BU54" s="29">
        <v>4.0986301369863014</v>
      </c>
      <c r="BV54" s="27">
        <v>45985.25</v>
      </c>
      <c r="BW54" s="30">
        <v>360725.72722232563</v>
      </c>
      <c r="BX54" s="34">
        <v>90175.181805581422</v>
      </c>
      <c r="BY54" s="35">
        <v>316535.79541674419</v>
      </c>
      <c r="CA54" s="35">
        <v>316535.79541674419</v>
      </c>
      <c r="CB54" s="16"/>
      <c r="CC54" s="16"/>
      <c r="CD54" s="28">
        <v>6.904109589041096</v>
      </c>
      <c r="CE54" s="29">
        <v>3.095890410958904</v>
      </c>
      <c r="CF54" s="27">
        <v>45985.25</v>
      </c>
      <c r="CG54" s="30">
        <v>270550.54541674419</v>
      </c>
      <c r="CH54" s="31">
        <v>90175.181805581422</v>
      </c>
      <c r="CI54" s="35">
        <v>226360.61361116276</v>
      </c>
      <c r="CK54" s="36">
        <v>180375.36361116276</v>
      </c>
      <c r="CL54" s="35">
        <v>226360.61361116276</v>
      </c>
      <c r="CM54" s="16"/>
      <c r="CN54" s="16"/>
      <c r="CO54" s="28">
        <v>7.904109589041096</v>
      </c>
      <c r="CP54" s="29">
        <v>2.095890410958904</v>
      </c>
      <c r="CQ54" s="27">
        <v>45985.25</v>
      </c>
      <c r="CR54" s="34">
        <v>180375.36361116276</v>
      </c>
      <c r="CS54" s="34">
        <v>90175.181805581422</v>
      </c>
      <c r="CT54" s="35">
        <v>136185.43180558132</v>
      </c>
      <c r="CV54" s="35">
        <v>90200.18180558132</v>
      </c>
      <c r="CW54" s="35">
        <v>136185.43180558132</v>
      </c>
      <c r="CX54" s="16"/>
      <c r="CY54" s="16"/>
      <c r="CZ54" s="28">
        <v>9.9041095890410951</v>
      </c>
      <c r="DA54" s="29">
        <v>9.5890410958904937E-2</v>
      </c>
      <c r="DB54" s="27">
        <v>45985.25</v>
      </c>
      <c r="DC54" s="34">
        <v>90200.18180558132</v>
      </c>
      <c r="DD54" s="34">
        <v>90175.181805581422</v>
      </c>
      <c r="DE54" s="35">
        <v>46010.249999999898</v>
      </c>
      <c r="DG54" s="35">
        <v>919705</v>
      </c>
      <c r="DH54" s="35">
        <v>873719.75</v>
      </c>
      <c r="DI54" s="35">
        <f t="shared" si="0"/>
        <v>45985.25</v>
      </c>
      <c r="DJ54" s="132">
        <f t="shared" si="1"/>
        <v>45985.25</v>
      </c>
      <c r="DK54" s="132">
        <f t="shared" si="2"/>
        <v>0</v>
      </c>
      <c r="DL54" s="132">
        <f t="shared" si="3"/>
        <v>24.999999999898137</v>
      </c>
    </row>
    <row r="55" spans="2:116" s="4" customFormat="1" ht="39" x14ac:dyDescent="0.25">
      <c r="B55" s="13" t="s">
        <v>4</v>
      </c>
      <c r="C55" s="14" t="s">
        <v>4</v>
      </c>
      <c r="D55" s="15" t="s">
        <v>101</v>
      </c>
      <c r="E55" s="15" t="s">
        <v>208</v>
      </c>
      <c r="F55" s="16" t="s">
        <v>209</v>
      </c>
      <c r="G55" s="11" t="s">
        <v>111</v>
      </c>
      <c r="H55" s="17">
        <v>41401</v>
      </c>
      <c r="I55" s="18" t="s">
        <v>421</v>
      </c>
      <c r="J55" s="19">
        <v>1</v>
      </c>
      <c r="K55" s="20">
        <v>10</v>
      </c>
      <c r="L55" s="21">
        <v>9</v>
      </c>
      <c r="M55" s="22">
        <v>467875</v>
      </c>
      <c r="N55" s="23">
        <v>31613.625396917807</v>
      </c>
      <c r="O55" s="24">
        <v>436261.37460308219</v>
      </c>
      <c r="P55" s="24"/>
      <c r="Q55" s="25">
        <v>9</v>
      </c>
      <c r="R55" s="26">
        <v>23393.75</v>
      </c>
      <c r="S55" s="25">
        <v>412867.62460308219</v>
      </c>
      <c r="T55" s="25">
        <v>45874.180511453575</v>
      </c>
      <c r="U55" s="25"/>
      <c r="V55" s="25">
        <v>0</v>
      </c>
      <c r="W55" s="25">
        <v>45874.180511453575</v>
      </c>
      <c r="X55" s="25">
        <v>45874.180511453575</v>
      </c>
      <c r="Y55" s="25">
        <v>0</v>
      </c>
      <c r="Z55" s="24">
        <v>436261.37460308219</v>
      </c>
      <c r="AA55" s="27">
        <v>390387.1940916286</v>
      </c>
      <c r="AB55" s="16"/>
      <c r="AC55" s="27">
        <v>390387.1940916286</v>
      </c>
      <c r="AD55" s="16"/>
      <c r="AE55" s="16"/>
      <c r="AF55" s="28">
        <v>1.8986301369863015</v>
      </c>
      <c r="AG55" s="29">
        <v>8.1013698630136979</v>
      </c>
      <c r="AH55" s="27">
        <v>23393.75</v>
      </c>
      <c r="AI55" s="30">
        <v>412867.62460308219</v>
      </c>
      <c r="AJ55" s="31">
        <v>45874.180511453575</v>
      </c>
      <c r="AK55" s="32">
        <v>344513.013580175</v>
      </c>
      <c r="AL55" s="16"/>
      <c r="AM55" s="27">
        <v>344513.013580175</v>
      </c>
      <c r="AN55" s="16"/>
      <c r="AO55" s="16"/>
      <c r="AP55" s="28">
        <v>2.9013698630136986</v>
      </c>
      <c r="AQ55" s="29">
        <v>7.0986301369863014</v>
      </c>
      <c r="AR55" s="27">
        <v>23393.75</v>
      </c>
      <c r="AS55" s="30">
        <v>366993.4440916286</v>
      </c>
      <c r="AT55" s="31">
        <v>45874.180511453575</v>
      </c>
      <c r="AU55" s="33">
        <v>298638.8330687214</v>
      </c>
      <c r="AW55" s="27">
        <v>298638.8330687214</v>
      </c>
      <c r="AX55" s="16"/>
      <c r="AY55" s="16"/>
      <c r="AZ55" s="28">
        <v>3.9013698630136986</v>
      </c>
      <c r="BA55" s="29">
        <v>6.0986301369863014</v>
      </c>
      <c r="BB55" s="27">
        <v>23393.75</v>
      </c>
      <c r="BC55" s="30">
        <v>321119.263580175</v>
      </c>
      <c r="BD55" s="34">
        <v>45874.180511453575</v>
      </c>
      <c r="BE55" s="33">
        <v>252764.65255726784</v>
      </c>
      <c r="BF55" s="33"/>
      <c r="BG55" s="27">
        <v>252764.65255726784</v>
      </c>
      <c r="BH55" s="16"/>
      <c r="BI55" s="16"/>
      <c r="BJ55" s="28">
        <v>4.9013698630136986</v>
      </c>
      <c r="BK55" s="29">
        <v>5.0986301369863014</v>
      </c>
      <c r="BL55" s="27">
        <v>23393.75</v>
      </c>
      <c r="BM55" s="30">
        <v>229370.90255726784</v>
      </c>
      <c r="BN55" s="34">
        <v>45874.180511453575</v>
      </c>
      <c r="BO55" s="35">
        <v>206890.47204581427</v>
      </c>
      <c r="BP55" s="36"/>
      <c r="BQ55" s="27">
        <v>206890.47204581427</v>
      </c>
      <c r="BR55" s="16"/>
      <c r="BS55" s="16"/>
      <c r="BT55" s="28">
        <v>5.9013698630136986</v>
      </c>
      <c r="BU55" s="29">
        <v>4.0986301369863014</v>
      </c>
      <c r="BV55" s="27">
        <v>23393.75</v>
      </c>
      <c r="BW55" s="30">
        <v>183496.72204581427</v>
      </c>
      <c r="BX55" s="34">
        <v>45874.180511453575</v>
      </c>
      <c r="BY55" s="35">
        <v>161016.2915343607</v>
      </c>
      <c r="CA55" s="35">
        <v>161016.2915343607</v>
      </c>
      <c r="CB55" s="16"/>
      <c r="CC55" s="16"/>
      <c r="CD55" s="28">
        <v>6.904109589041096</v>
      </c>
      <c r="CE55" s="29">
        <v>3.095890410958904</v>
      </c>
      <c r="CF55" s="27">
        <v>23393.75</v>
      </c>
      <c r="CG55" s="30">
        <v>137622.5415343607</v>
      </c>
      <c r="CH55" s="31">
        <v>45874.180511453575</v>
      </c>
      <c r="CI55" s="35">
        <v>115142.11102290713</v>
      </c>
      <c r="CK55" s="36">
        <v>91748.361022907135</v>
      </c>
      <c r="CL55" s="35">
        <v>115142.11102290713</v>
      </c>
      <c r="CM55" s="16"/>
      <c r="CN55" s="16"/>
      <c r="CO55" s="28">
        <v>7.904109589041096</v>
      </c>
      <c r="CP55" s="29">
        <v>2.095890410958904</v>
      </c>
      <c r="CQ55" s="27">
        <v>23393.75</v>
      </c>
      <c r="CR55" s="34">
        <v>91748.361022907135</v>
      </c>
      <c r="CS55" s="34">
        <v>45874.180511453575</v>
      </c>
      <c r="CT55" s="35">
        <v>69267.930511453567</v>
      </c>
      <c r="CV55" s="35">
        <v>45874.180511453567</v>
      </c>
      <c r="CW55" s="35">
        <v>69267.930511453567</v>
      </c>
      <c r="CX55" s="16"/>
      <c r="CY55" s="16"/>
      <c r="CZ55" s="28">
        <v>9.9041095890410951</v>
      </c>
      <c r="DA55" s="29">
        <v>9.5890410958904937E-2</v>
      </c>
      <c r="DB55" s="27">
        <v>23393.75</v>
      </c>
      <c r="DC55" s="34">
        <v>45874.180511453567</v>
      </c>
      <c r="DD55" s="34">
        <v>45874.180511453575</v>
      </c>
      <c r="DE55" s="35">
        <v>23393.749999999993</v>
      </c>
      <c r="DG55" s="35">
        <v>467875</v>
      </c>
      <c r="DH55" s="35">
        <v>444481.25</v>
      </c>
      <c r="DI55" s="35">
        <f t="shared" si="0"/>
        <v>23393.75</v>
      </c>
      <c r="DJ55" s="132">
        <f t="shared" si="1"/>
        <v>23393.75</v>
      </c>
      <c r="DK55" s="132">
        <f t="shared" si="2"/>
        <v>0</v>
      </c>
      <c r="DL55" s="132">
        <f t="shared" si="3"/>
        <v>0</v>
      </c>
    </row>
    <row r="56" spans="2:116" s="4" customFormat="1" ht="17.25" customHeight="1" x14ac:dyDescent="0.25">
      <c r="B56" s="13" t="s">
        <v>4</v>
      </c>
      <c r="C56" s="14" t="s">
        <v>4</v>
      </c>
      <c r="D56" s="15" t="s">
        <v>101</v>
      </c>
      <c r="E56" s="15" t="s">
        <v>210</v>
      </c>
      <c r="F56" s="16" t="s">
        <v>211</v>
      </c>
      <c r="G56" s="11" t="s">
        <v>111</v>
      </c>
      <c r="H56" s="17">
        <v>41401</v>
      </c>
      <c r="I56" s="18" t="s">
        <v>421</v>
      </c>
      <c r="J56" s="19">
        <v>1</v>
      </c>
      <c r="K56" s="20">
        <v>10</v>
      </c>
      <c r="L56" s="21">
        <v>9</v>
      </c>
      <c r="M56" s="22">
        <v>98641</v>
      </c>
      <c r="N56" s="23">
        <v>25368.739262673975</v>
      </c>
      <c r="O56" s="24">
        <v>73272.260737326025</v>
      </c>
      <c r="P56" s="24"/>
      <c r="Q56" s="25">
        <v>9</v>
      </c>
      <c r="R56" s="26">
        <v>4932.05</v>
      </c>
      <c r="S56" s="25">
        <v>68340.210737326022</v>
      </c>
      <c r="T56" s="25">
        <v>7593.3567485917802</v>
      </c>
      <c r="U56" s="25"/>
      <c r="V56" s="25">
        <v>0</v>
      </c>
      <c r="W56" s="25">
        <v>7593.3567485917802</v>
      </c>
      <c r="X56" s="25">
        <v>7593.3567485917802</v>
      </c>
      <c r="Y56" s="25">
        <v>0</v>
      </c>
      <c r="Z56" s="24">
        <v>73272.260737326025</v>
      </c>
      <c r="AA56" s="27">
        <v>65678.903988734251</v>
      </c>
      <c r="AB56" s="16"/>
      <c r="AC56" s="27">
        <v>65678.903988734251</v>
      </c>
      <c r="AD56" s="16"/>
      <c r="AE56" s="16"/>
      <c r="AF56" s="28">
        <v>1.8986301369863015</v>
      </c>
      <c r="AG56" s="29">
        <v>8.1013698630136979</v>
      </c>
      <c r="AH56" s="27">
        <v>4932.05</v>
      </c>
      <c r="AI56" s="30">
        <v>68340.210737326022</v>
      </c>
      <c r="AJ56" s="31">
        <v>7593.3567485917802</v>
      </c>
      <c r="AK56" s="32">
        <v>58085.54724014247</v>
      </c>
      <c r="AL56" s="16"/>
      <c r="AM56" s="27">
        <v>58085.54724014247</v>
      </c>
      <c r="AN56" s="16"/>
      <c r="AO56" s="16"/>
      <c r="AP56" s="28">
        <v>2.9013698630136986</v>
      </c>
      <c r="AQ56" s="29">
        <v>7.0986301369863014</v>
      </c>
      <c r="AR56" s="27">
        <v>4932.05</v>
      </c>
      <c r="AS56" s="30">
        <v>60746.853988734249</v>
      </c>
      <c r="AT56" s="31">
        <v>7593.3567485917802</v>
      </c>
      <c r="AU56" s="33">
        <v>50492.190491550689</v>
      </c>
      <c r="AW56" s="27">
        <v>50492.190491550689</v>
      </c>
      <c r="AX56" s="16"/>
      <c r="AY56" s="16"/>
      <c r="AZ56" s="28">
        <v>3.9013698630136986</v>
      </c>
      <c r="BA56" s="29">
        <v>6.0986301369863014</v>
      </c>
      <c r="BB56" s="27">
        <v>4932.05</v>
      </c>
      <c r="BC56" s="30">
        <v>53153.497240142467</v>
      </c>
      <c r="BD56" s="34">
        <v>7593.3567485917802</v>
      </c>
      <c r="BE56" s="33">
        <v>42898.833742958908</v>
      </c>
      <c r="BF56" s="33"/>
      <c r="BG56" s="27">
        <v>42898.833742958908</v>
      </c>
      <c r="BH56" s="16"/>
      <c r="BI56" s="16"/>
      <c r="BJ56" s="28">
        <v>4.9013698630136986</v>
      </c>
      <c r="BK56" s="29">
        <v>5.0986301369863014</v>
      </c>
      <c r="BL56" s="27">
        <v>4932.05</v>
      </c>
      <c r="BM56" s="30">
        <v>37966.783742958905</v>
      </c>
      <c r="BN56" s="34">
        <v>7593.3567485917802</v>
      </c>
      <c r="BO56" s="35">
        <v>35305.476994367127</v>
      </c>
      <c r="BP56" s="36"/>
      <c r="BQ56" s="27">
        <v>35305.476994367127</v>
      </c>
      <c r="BR56" s="16"/>
      <c r="BS56" s="16"/>
      <c r="BT56" s="28">
        <v>5.9013698630136986</v>
      </c>
      <c r="BU56" s="29">
        <v>4.0986301369863014</v>
      </c>
      <c r="BV56" s="27">
        <v>4932.05</v>
      </c>
      <c r="BW56" s="30">
        <v>30373.426994367128</v>
      </c>
      <c r="BX56" s="34">
        <v>7593.3567485917802</v>
      </c>
      <c r="BY56" s="35">
        <v>27712.120245775346</v>
      </c>
      <c r="CA56" s="35">
        <v>27712.120245775346</v>
      </c>
      <c r="CB56" s="16"/>
      <c r="CC56" s="16"/>
      <c r="CD56" s="28">
        <v>6.904109589041096</v>
      </c>
      <c r="CE56" s="29">
        <v>3.095890410958904</v>
      </c>
      <c r="CF56" s="27">
        <v>4932.05</v>
      </c>
      <c r="CG56" s="30">
        <v>22780.070245775347</v>
      </c>
      <c r="CH56" s="31">
        <v>7593.3567485917802</v>
      </c>
      <c r="CI56" s="35">
        <v>20118.763497183565</v>
      </c>
      <c r="CK56" s="36">
        <v>15186.713497183566</v>
      </c>
      <c r="CL56" s="35">
        <v>20118.763497183565</v>
      </c>
      <c r="CM56" s="16"/>
      <c r="CN56" s="16"/>
      <c r="CO56" s="28">
        <v>7.904109589041096</v>
      </c>
      <c r="CP56" s="29">
        <v>2.095890410958904</v>
      </c>
      <c r="CQ56" s="27">
        <v>4932.05</v>
      </c>
      <c r="CR56" s="34">
        <v>15186.713497183566</v>
      </c>
      <c r="CS56" s="34">
        <v>7593.3567485917802</v>
      </c>
      <c r="CT56" s="35">
        <v>12525.406748591784</v>
      </c>
      <c r="CV56" s="35">
        <v>7593.3567485917838</v>
      </c>
      <c r="CW56" s="35">
        <v>12525.406748591784</v>
      </c>
      <c r="CX56" s="16"/>
      <c r="CY56" s="16"/>
      <c r="CZ56" s="28">
        <v>9.9041095890410951</v>
      </c>
      <c r="DA56" s="29">
        <v>9.5890410958904937E-2</v>
      </c>
      <c r="DB56" s="27">
        <v>4932.05</v>
      </c>
      <c r="DC56" s="34">
        <v>7593.3567485917838</v>
      </c>
      <c r="DD56" s="34">
        <v>7593.3567485917802</v>
      </c>
      <c r="DE56" s="35">
        <v>4932.0500000000038</v>
      </c>
      <c r="DG56" s="35">
        <v>98641</v>
      </c>
      <c r="DH56" s="35">
        <v>93708.949999999983</v>
      </c>
      <c r="DI56" s="35">
        <f t="shared" si="0"/>
        <v>4932.0500000000175</v>
      </c>
      <c r="DJ56" s="132">
        <f t="shared" si="1"/>
        <v>4932.0500000000175</v>
      </c>
      <c r="DK56" s="132">
        <f t="shared" si="2"/>
        <v>0</v>
      </c>
      <c r="DL56" s="132">
        <f t="shared" si="3"/>
        <v>-1.3642420526593924E-11</v>
      </c>
    </row>
    <row r="57" spans="2:116" s="4" customFormat="1" ht="17.25" customHeight="1" x14ac:dyDescent="0.25">
      <c r="B57" s="13" t="s">
        <v>4</v>
      </c>
      <c r="C57" s="14" t="s">
        <v>4</v>
      </c>
      <c r="D57" s="15" t="s">
        <v>101</v>
      </c>
      <c r="E57" s="15" t="s">
        <v>214</v>
      </c>
      <c r="F57" s="16" t="s">
        <v>215</v>
      </c>
      <c r="G57" s="11" t="s">
        <v>111</v>
      </c>
      <c r="H57" s="17">
        <v>41416</v>
      </c>
      <c r="I57" s="18" t="s">
        <v>421</v>
      </c>
      <c r="J57" s="19">
        <v>1</v>
      </c>
      <c r="K57" s="20">
        <v>10</v>
      </c>
      <c r="L57" s="21">
        <v>9</v>
      </c>
      <c r="M57" s="22">
        <v>19000</v>
      </c>
      <c r="N57" s="23">
        <v>1213.1246493150684</v>
      </c>
      <c r="O57" s="24">
        <v>17786.875350684932</v>
      </c>
      <c r="P57" s="24"/>
      <c r="Q57" s="25">
        <v>9</v>
      </c>
      <c r="R57" s="26">
        <v>950</v>
      </c>
      <c r="S57" s="25">
        <v>16836.875350684932</v>
      </c>
      <c r="T57" s="25">
        <v>1870.7639278538813</v>
      </c>
      <c r="U57" s="25"/>
      <c r="V57" s="25">
        <v>0</v>
      </c>
      <c r="W57" s="25">
        <v>1870.7639278538813</v>
      </c>
      <c r="X57" s="25">
        <v>1870.7639278538813</v>
      </c>
      <c r="Y57" s="25">
        <v>0</v>
      </c>
      <c r="Z57" s="24">
        <v>17786.875350684932</v>
      </c>
      <c r="AA57" s="27">
        <v>15916.111422831051</v>
      </c>
      <c r="AB57" s="16"/>
      <c r="AC57" s="27">
        <v>15916.111422831051</v>
      </c>
      <c r="AD57" s="16"/>
      <c r="AE57" s="16"/>
      <c r="AF57" s="28">
        <v>1.8575342465753424</v>
      </c>
      <c r="AG57" s="29">
        <v>8.1424657534246574</v>
      </c>
      <c r="AH57" s="27">
        <v>950</v>
      </c>
      <c r="AI57" s="30">
        <v>16836.875350684932</v>
      </c>
      <c r="AJ57" s="31">
        <v>1870.7639278538813</v>
      </c>
      <c r="AK57" s="32">
        <v>14045.34749497717</v>
      </c>
      <c r="AL57" s="16"/>
      <c r="AM57" s="27">
        <v>14045.34749497717</v>
      </c>
      <c r="AN57" s="16"/>
      <c r="AO57" s="16"/>
      <c r="AP57" s="28">
        <v>2.8602739726027395</v>
      </c>
      <c r="AQ57" s="29">
        <v>7.1397260273972609</v>
      </c>
      <c r="AR57" s="27">
        <v>950</v>
      </c>
      <c r="AS57" s="30">
        <v>14966.111422831051</v>
      </c>
      <c r="AT57" s="31">
        <v>1870.7639278538813</v>
      </c>
      <c r="AU57" s="33">
        <v>12174.583567123289</v>
      </c>
      <c r="AW57" s="27">
        <v>12174.583567123289</v>
      </c>
      <c r="AX57" s="16"/>
      <c r="AY57" s="16"/>
      <c r="AZ57" s="28">
        <v>3.8602739726027395</v>
      </c>
      <c r="BA57" s="29">
        <v>6.1397260273972609</v>
      </c>
      <c r="BB57" s="27">
        <v>950</v>
      </c>
      <c r="BC57" s="30">
        <v>13095.34749497717</v>
      </c>
      <c r="BD57" s="34">
        <v>1870.7639278538813</v>
      </c>
      <c r="BE57" s="33">
        <v>10303.819639269408</v>
      </c>
      <c r="BF57" s="33"/>
      <c r="BG57" s="27">
        <v>10303.819639269408</v>
      </c>
      <c r="BH57" s="16"/>
      <c r="BI57" s="16"/>
      <c r="BJ57" s="28">
        <v>4.86027397260274</v>
      </c>
      <c r="BK57" s="29">
        <v>5.13972602739726</v>
      </c>
      <c r="BL57" s="27">
        <v>950</v>
      </c>
      <c r="BM57" s="30">
        <v>9353.8196392694081</v>
      </c>
      <c r="BN57" s="34">
        <v>1870.7639278538813</v>
      </c>
      <c r="BO57" s="35">
        <v>8433.0557114155272</v>
      </c>
      <c r="BP57" s="36"/>
      <c r="BQ57" s="27">
        <v>8433.0557114155272</v>
      </c>
      <c r="BR57" s="16"/>
      <c r="BS57" s="16"/>
      <c r="BT57" s="28">
        <v>5.86027397260274</v>
      </c>
      <c r="BU57" s="29">
        <v>4.13972602739726</v>
      </c>
      <c r="BV57" s="27">
        <v>950</v>
      </c>
      <c r="BW57" s="30">
        <v>7483.0557114155272</v>
      </c>
      <c r="BX57" s="34">
        <v>1870.7639278538813</v>
      </c>
      <c r="BY57" s="35">
        <v>6562.2917835616463</v>
      </c>
      <c r="CA57" s="35">
        <v>6562.2917835616463</v>
      </c>
      <c r="CB57" s="16"/>
      <c r="CC57" s="16"/>
      <c r="CD57" s="28">
        <v>6.8630136986301373</v>
      </c>
      <c r="CE57" s="29">
        <v>3.1369863013698627</v>
      </c>
      <c r="CF57" s="27">
        <v>950</v>
      </c>
      <c r="CG57" s="30">
        <v>5612.2917835616463</v>
      </c>
      <c r="CH57" s="31">
        <v>1870.7639278538813</v>
      </c>
      <c r="CI57" s="35">
        <v>4691.5278557077654</v>
      </c>
      <c r="CK57" s="36">
        <v>3741.5278557077654</v>
      </c>
      <c r="CL57" s="35">
        <v>4691.5278557077654</v>
      </c>
      <c r="CM57" s="16"/>
      <c r="CN57" s="16"/>
      <c r="CO57" s="28">
        <v>7.8630136986301373</v>
      </c>
      <c r="CP57" s="29">
        <v>2.1369863013698627</v>
      </c>
      <c r="CQ57" s="27">
        <v>950</v>
      </c>
      <c r="CR57" s="34">
        <v>3741.5278557077654</v>
      </c>
      <c r="CS57" s="34">
        <v>1870.7639278538813</v>
      </c>
      <c r="CT57" s="35">
        <v>2820.7639278538841</v>
      </c>
      <c r="CV57" s="35">
        <v>1870.7639278538841</v>
      </c>
      <c r="CW57" s="35">
        <v>2820.7639278538841</v>
      </c>
      <c r="CX57" s="16"/>
      <c r="CY57" s="16"/>
      <c r="CZ57" s="28">
        <v>9.8630136986301373</v>
      </c>
      <c r="DA57" s="29">
        <v>0.13698630136986267</v>
      </c>
      <c r="DB57" s="27">
        <v>950</v>
      </c>
      <c r="DC57" s="34">
        <v>1870.7639278538841</v>
      </c>
      <c r="DD57" s="34">
        <v>1870.7639278538813</v>
      </c>
      <c r="DE57" s="35">
        <v>950.00000000000273</v>
      </c>
      <c r="DG57" s="35">
        <v>19000</v>
      </c>
      <c r="DH57" s="35">
        <v>18050</v>
      </c>
      <c r="DI57" s="35">
        <f t="shared" si="0"/>
        <v>950</v>
      </c>
      <c r="DJ57" s="132">
        <f t="shared" si="1"/>
        <v>950</v>
      </c>
      <c r="DK57" s="132">
        <f t="shared" si="2"/>
        <v>0</v>
      </c>
      <c r="DL57" s="132">
        <f t="shared" si="3"/>
        <v>2.7284841053187847E-12</v>
      </c>
    </row>
    <row r="58" spans="2:116" s="4" customFormat="1" ht="39" x14ac:dyDescent="0.25">
      <c r="B58" s="13" t="s">
        <v>4</v>
      </c>
      <c r="C58" s="14" t="s">
        <v>4</v>
      </c>
      <c r="D58" s="15" t="s">
        <v>101</v>
      </c>
      <c r="E58" s="15" t="s">
        <v>216</v>
      </c>
      <c r="F58" s="16" t="s">
        <v>217</v>
      </c>
      <c r="G58" s="11" t="s">
        <v>111</v>
      </c>
      <c r="H58" s="17">
        <v>41449</v>
      </c>
      <c r="I58" s="18" t="s">
        <v>421</v>
      </c>
      <c r="J58" s="19">
        <v>1</v>
      </c>
      <c r="K58" s="20">
        <v>10</v>
      </c>
      <c r="L58" s="21">
        <v>9</v>
      </c>
      <c r="M58" s="22">
        <v>15804</v>
      </c>
      <c r="N58" s="23">
        <v>901.39010281643846</v>
      </c>
      <c r="O58" s="24">
        <v>14902.609897183562</v>
      </c>
      <c r="P58" s="24"/>
      <c r="Q58" s="25">
        <v>9</v>
      </c>
      <c r="R58" s="26">
        <v>790.2</v>
      </c>
      <c r="S58" s="25">
        <v>14112.409897183561</v>
      </c>
      <c r="T58" s="25">
        <v>1568.0455441315069</v>
      </c>
      <c r="U58" s="25"/>
      <c r="V58" s="25">
        <v>0</v>
      </c>
      <c r="W58" s="25">
        <v>1568.0455441315069</v>
      </c>
      <c r="X58" s="25">
        <v>1568.0455441315069</v>
      </c>
      <c r="Y58" s="25">
        <v>0</v>
      </c>
      <c r="Z58" s="24">
        <v>14902.609897183562</v>
      </c>
      <c r="AA58" s="27">
        <v>13334.564353052056</v>
      </c>
      <c r="AB58" s="16"/>
      <c r="AC58" s="27">
        <v>13334.564353052056</v>
      </c>
      <c r="AD58" s="16"/>
      <c r="AE58" s="16"/>
      <c r="AF58" s="28">
        <v>1.7671232876712328</v>
      </c>
      <c r="AG58" s="29">
        <v>8.2328767123287676</v>
      </c>
      <c r="AH58" s="27">
        <v>790.2</v>
      </c>
      <c r="AI58" s="30">
        <v>14112.409897183561</v>
      </c>
      <c r="AJ58" s="31">
        <v>1568.0455441315069</v>
      </c>
      <c r="AK58" s="32">
        <v>11766.518808920549</v>
      </c>
      <c r="AL58" s="16"/>
      <c r="AM58" s="27">
        <v>11766.518808920549</v>
      </c>
      <c r="AN58" s="16"/>
      <c r="AO58" s="16"/>
      <c r="AP58" s="28">
        <v>2.7698630136986302</v>
      </c>
      <c r="AQ58" s="29">
        <v>7.2301369863013694</v>
      </c>
      <c r="AR58" s="27">
        <v>790.2</v>
      </c>
      <c r="AS58" s="30">
        <v>12544.364353052055</v>
      </c>
      <c r="AT58" s="31">
        <v>1568.0455441315069</v>
      </c>
      <c r="AU58" s="33">
        <v>10198.473264789043</v>
      </c>
      <c r="AW58" s="27">
        <v>10198.473264789043</v>
      </c>
      <c r="AX58" s="16"/>
      <c r="AY58" s="16"/>
      <c r="AZ58" s="28">
        <v>3.7698630136986302</v>
      </c>
      <c r="BA58" s="29">
        <v>6.2301369863013694</v>
      </c>
      <c r="BB58" s="27">
        <v>790.2</v>
      </c>
      <c r="BC58" s="30">
        <v>10976.318808920549</v>
      </c>
      <c r="BD58" s="34">
        <v>1568.0455441315069</v>
      </c>
      <c r="BE58" s="33">
        <v>8630.4277206575371</v>
      </c>
      <c r="BF58" s="33"/>
      <c r="BG58" s="27">
        <v>8630.4277206575371</v>
      </c>
      <c r="BH58" s="16"/>
      <c r="BI58" s="16"/>
      <c r="BJ58" s="28">
        <v>4.7698630136986298</v>
      </c>
      <c r="BK58" s="29">
        <v>5.2301369863013702</v>
      </c>
      <c r="BL58" s="27">
        <v>790.2</v>
      </c>
      <c r="BM58" s="30">
        <v>7840.2277206575372</v>
      </c>
      <c r="BN58" s="34">
        <v>1568.0455441315069</v>
      </c>
      <c r="BO58" s="35">
        <v>7062.38217652603</v>
      </c>
      <c r="BP58" s="36"/>
      <c r="BQ58" s="27">
        <v>7062.38217652603</v>
      </c>
      <c r="BR58" s="16"/>
      <c r="BS58" s="16"/>
      <c r="BT58" s="28">
        <v>5.7698630136986298</v>
      </c>
      <c r="BU58" s="29">
        <v>4.2301369863013702</v>
      </c>
      <c r="BV58" s="27">
        <v>790.2</v>
      </c>
      <c r="BW58" s="30">
        <v>6272.1821765260302</v>
      </c>
      <c r="BX58" s="34">
        <v>1568.0455441315069</v>
      </c>
      <c r="BY58" s="35">
        <v>5494.3366323945229</v>
      </c>
      <c r="CA58" s="35">
        <v>5494.3366323945229</v>
      </c>
      <c r="CB58" s="16"/>
      <c r="CC58" s="16"/>
      <c r="CD58" s="28">
        <v>6.7726027397260271</v>
      </c>
      <c r="CE58" s="29">
        <v>3.2273972602739729</v>
      </c>
      <c r="CF58" s="27">
        <v>790.2</v>
      </c>
      <c r="CG58" s="30">
        <v>4704.1366323945231</v>
      </c>
      <c r="CH58" s="31">
        <v>1568.0455441315069</v>
      </c>
      <c r="CI58" s="35">
        <v>3926.2910882630158</v>
      </c>
      <c r="CK58" s="36">
        <v>3136.091088263016</v>
      </c>
      <c r="CL58" s="35">
        <v>3926.2910882630158</v>
      </c>
      <c r="CM58" s="16"/>
      <c r="CN58" s="16"/>
      <c r="CO58" s="28">
        <v>7.7726027397260271</v>
      </c>
      <c r="CP58" s="29">
        <v>2.2273972602739729</v>
      </c>
      <c r="CQ58" s="27">
        <v>790.2</v>
      </c>
      <c r="CR58" s="34">
        <v>3136.091088263016</v>
      </c>
      <c r="CS58" s="34">
        <v>1568.0455441315069</v>
      </c>
      <c r="CT58" s="35">
        <v>2358.2455441315087</v>
      </c>
      <c r="CV58" s="35">
        <v>1568.0455441315087</v>
      </c>
      <c r="CW58" s="35">
        <v>2358.2455441315087</v>
      </c>
      <c r="CX58" s="16"/>
      <c r="CY58" s="16"/>
      <c r="CZ58" s="28">
        <v>9.7726027397260271</v>
      </c>
      <c r="DA58" s="29">
        <v>0.22739726027397289</v>
      </c>
      <c r="DB58" s="27">
        <v>790.2</v>
      </c>
      <c r="DC58" s="34">
        <v>1568.0455441315087</v>
      </c>
      <c r="DD58" s="34">
        <v>1568.0455441315069</v>
      </c>
      <c r="DE58" s="35">
        <v>790.20000000000186</v>
      </c>
      <c r="DG58" s="35">
        <v>15804</v>
      </c>
      <c r="DH58" s="35">
        <v>15013.799999999997</v>
      </c>
      <c r="DI58" s="35">
        <f t="shared" si="0"/>
        <v>790.20000000000255</v>
      </c>
      <c r="DJ58" s="132">
        <f t="shared" si="1"/>
        <v>790.20000000000255</v>
      </c>
      <c r="DK58" s="132">
        <f t="shared" si="2"/>
        <v>0</v>
      </c>
      <c r="DL58" s="132">
        <f t="shared" si="3"/>
        <v>0</v>
      </c>
    </row>
    <row r="59" spans="2:116" s="4" customFormat="1" ht="39" x14ac:dyDescent="0.25">
      <c r="B59" s="13" t="s">
        <v>4</v>
      </c>
      <c r="C59" s="14" t="s">
        <v>4</v>
      </c>
      <c r="D59" s="15" t="s">
        <v>101</v>
      </c>
      <c r="E59" s="15" t="s">
        <v>218</v>
      </c>
      <c r="F59" s="16" t="s">
        <v>219</v>
      </c>
      <c r="G59" s="11" t="s">
        <v>111</v>
      </c>
      <c r="H59" s="17">
        <v>41466</v>
      </c>
      <c r="I59" s="18" t="s">
        <v>421</v>
      </c>
      <c r="J59" s="19">
        <v>1</v>
      </c>
      <c r="K59" s="20">
        <v>10</v>
      </c>
      <c r="L59" s="21">
        <v>9</v>
      </c>
      <c r="M59" s="22">
        <v>4192135</v>
      </c>
      <c r="N59" s="23">
        <v>224387.33364179451</v>
      </c>
      <c r="O59" s="24">
        <v>3967747.6663582055</v>
      </c>
      <c r="P59" s="24"/>
      <c r="Q59" s="25">
        <v>9</v>
      </c>
      <c r="R59" s="26">
        <v>209606.75</v>
      </c>
      <c r="S59" s="25">
        <v>3758140.9163582055</v>
      </c>
      <c r="T59" s="25">
        <v>417571.21292868949</v>
      </c>
      <c r="U59" s="25"/>
      <c r="V59" s="25">
        <v>0</v>
      </c>
      <c r="W59" s="25">
        <v>417571.21292868949</v>
      </c>
      <c r="X59" s="25">
        <v>417571.21292868949</v>
      </c>
      <c r="Y59" s="25">
        <v>0</v>
      </c>
      <c r="Z59" s="24">
        <v>3967747.6663582055</v>
      </c>
      <c r="AA59" s="27">
        <v>3550176.4534295159</v>
      </c>
      <c r="AB59" s="16"/>
      <c r="AC59" s="27">
        <v>3550176.4534295159</v>
      </c>
      <c r="AD59" s="16"/>
      <c r="AE59" s="16"/>
      <c r="AF59" s="28">
        <v>1.7205479452054795</v>
      </c>
      <c r="AG59" s="29">
        <v>8.2794520547945201</v>
      </c>
      <c r="AH59" s="27">
        <v>209606.75</v>
      </c>
      <c r="AI59" s="30">
        <v>3758140.9163582055</v>
      </c>
      <c r="AJ59" s="31">
        <v>417571.21292868949</v>
      </c>
      <c r="AK59" s="32">
        <v>3132605.2405008264</v>
      </c>
      <c r="AL59" s="16"/>
      <c r="AM59" s="27">
        <v>3132605.2405008264</v>
      </c>
      <c r="AN59" s="16"/>
      <c r="AO59" s="16"/>
      <c r="AP59" s="28">
        <v>2.7232876712328768</v>
      </c>
      <c r="AQ59" s="29">
        <v>7.2767123287671236</v>
      </c>
      <c r="AR59" s="27">
        <v>209606.75</v>
      </c>
      <c r="AS59" s="30">
        <v>3340569.7034295159</v>
      </c>
      <c r="AT59" s="31">
        <v>417571.21292868949</v>
      </c>
      <c r="AU59" s="33">
        <v>2715034.0275721368</v>
      </c>
      <c r="AW59" s="27">
        <v>2715034.0275721368</v>
      </c>
      <c r="AX59" s="16"/>
      <c r="AY59" s="16"/>
      <c r="AZ59" s="28">
        <v>3.7232876712328768</v>
      </c>
      <c r="BA59" s="29">
        <v>6.2767123287671236</v>
      </c>
      <c r="BB59" s="27">
        <v>209606.75</v>
      </c>
      <c r="BC59" s="30">
        <v>2922998.4905008264</v>
      </c>
      <c r="BD59" s="34">
        <v>417571.21292868949</v>
      </c>
      <c r="BE59" s="33">
        <v>2297462.8146434473</v>
      </c>
      <c r="BF59" s="33"/>
      <c r="BG59" s="27">
        <v>2297462.8146434473</v>
      </c>
      <c r="BH59" s="16"/>
      <c r="BI59" s="16"/>
      <c r="BJ59" s="28">
        <v>4.7232876712328764</v>
      </c>
      <c r="BK59" s="29">
        <v>5.2767123287671236</v>
      </c>
      <c r="BL59" s="27">
        <v>209606.75</v>
      </c>
      <c r="BM59" s="30">
        <v>2087856.0646434473</v>
      </c>
      <c r="BN59" s="34">
        <v>417571.21292868949</v>
      </c>
      <c r="BO59" s="35">
        <v>1879891.6017147577</v>
      </c>
      <c r="BP59" s="36"/>
      <c r="BQ59" s="27">
        <v>1879891.6017147577</v>
      </c>
      <c r="BR59" s="16"/>
      <c r="BS59" s="16"/>
      <c r="BT59" s="28">
        <v>5.7232876712328764</v>
      </c>
      <c r="BU59" s="29">
        <v>4.2767123287671236</v>
      </c>
      <c r="BV59" s="27">
        <v>209606.75</v>
      </c>
      <c r="BW59" s="30">
        <v>1670284.8517147577</v>
      </c>
      <c r="BX59" s="34">
        <v>417571.21292868949</v>
      </c>
      <c r="BY59" s="35">
        <v>1462320.3887860682</v>
      </c>
      <c r="CA59" s="35">
        <v>1462320.3887860682</v>
      </c>
      <c r="CB59" s="16"/>
      <c r="CC59" s="16"/>
      <c r="CD59" s="28">
        <v>6.7260273972602738</v>
      </c>
      <c r="CE59" s="29">
        <v>3.2739726027397262</v>
      </c>
      <c r="CF59" s="27">
        <v>209606.75</v>
      </c>
      <c r="CG59" s="30">
        <v>1252713.6387860682</v>
      </c>
      <c r="CH59" s="31">
        <v>417571.21292868949</v>
      </c>
      <c r="CI59" s="35">
        <v>1044749.1758573786</v>
      </c>
      <c r="CK59" s="36">
        <v>835142.42585737864</v>
      </c>
      <c r="CL59" s="35">
        <v>1044749.1758573786</v>
      </c>
      <c r="CM59" s="16"/>
      <c r="CN59" s="16"/>
      <c r="CO59" s="28">
        <v>7.7260273972602738</v>
      </c>
      <c r="CP59" s="29">
        <v>2.2739726027397262</v>
      </c>
      <c r="CQ59" s="27">
        <v>209606.75</v>
      </c>
      <c r="CR59" s="34">
        <v>835142.42585737864</v>
      </c>
      <c r="CS59" s="34">
        <v>417571.21292868949</v>
      </c>
      <c r="CT59" s="35">
        <v>627177.96292868908</v>
      </c>
      <c r="CV59" s="35">
        <v>417571.21292868908</v>
      </c>
      <c r="CW59" s="35">
        <v>627177.96292868908</v>
      </c>
      <c r="CX59" s="16"/>
      <c r="CY59" s="16"/>
      <c r="CZ59" s="28">
        <v>9.7260273972602747</v>
      </c>
      <c r="DA59" s="29">
        <v>0.27397260273972535</v>
      </c>
      <c r="DB59" s="27">
        <v>209606.75</v>
      </c>
      <c r="DC59" s="34">
        <v>417571.21292868908</v>
      </c>
      <c r="DD59" s="34">
        <v>417571.21292868949</v>
      </c>
      <c r="DE59" s="35">
        <v>209606.74999999959</v>
      </c>
      <c r="DG59" s="35">
        <v>4192135</v>
      </c>
      <c r="DH59" s="35">
        <v>3982528.2500000005</v>
      </c>
      <c r="DI59" s="35">
        <f t="shared" si="0"/>
        <v>209606.74999999953</v>
      </c>
      <c r="DJ59" s="132">
        <f t="shared" si="1"/>
        <v>209606.74999999953</v>
      </c>
      <c r="DK59" s="132">
        <f t="shared" si="2"/>
        <v>0</v>
      </c>
      <c r="DL59" s="132">
        <f t="shared" si="3"/>
        <v>0</v>
      </c>
    </row>
    <row r="60" spans="2:116" s="4" customFormat="1" ht="39" x14ac:dyDescent="0.25">
      <c r="B60" s="13" t="s">
        <v>4</v>
      </c>
      <c r="C60" s="14" t="s">
        <v>4</v>
      </c>
      <c r="D60" s="15" t="s">
        <v>101</v>
      </c>
      <c r="E60" s="15" t="s">
        <v>220</v>
      </c>
      <c r="F60" s="16" t="s">
        <v>221</v>
      </c>
      <c r="G60" s="11" t="s">
        <v>111</v>
      </c>
      <c r="H60" s="17">
        <v>41474</v>
      </c>
      <c r="I60" s="18" t="s">
        <v>421</v>
      </c>
      <c r="J60" s="19">
        <v>1</v>
      </c>
      <c r="K60" s="20">
        <v>10</v>
      </c>
      <c r="L60" s="21">
        <v>9</v>
      </c>
      <c r="M60" s="22">
        <v>15160</v>
      </c>
      <c r="N60" s="23">
        <v>786.4117921095891</v>
      </c>
      <c r="O60" s="24">
        <v>14373.588207890411</v>
      </c>
      <c r="P60" s="24"/>
      <c r="Q60" s="25">
        <v>9</v>
      </c>
      <c r="R60" s="26">
        <v>758</v>
      </c>
      <c r="S60" s="25">
        <v>13615.588207890411</v>
      </c>
      <c r="T60" s="25">
        <v>1512.8431342100457</v>
      </c>
      <c r="U60" s="25"/>
      <c r="V60" s="25">
        <v>0</v>
      </c>
      <c r="W60" s="25">
        <v>1512.8431342100457</v>
      </c>
      <c r="X60" s="25">
        <v>1512.8431342100457</v>
      </c>
      <c r="Y60" s="25">
        <v>0</v>
      </c>
      <c r="Z60" s="24">
        <v>14373.588207890411</v>
      </c>
      <c r="AA60" s="27">
        <v>12860.745073680366</v>
      </c>
      <c r="AB60" s="16"/>
      <c r="AC60" s="27">
        <v>12860.745073680366</v>
      </c>
      <c r="AD60" s="16"/>
      <c r="AE60" s="16"/>
      <c r="AF60" s="28">
        <v>1.6986301369863013</v>
      </c>
      <c r="AG60" s="29">
        <v>8.3013698630136989</v>
      </c>
      <c r="AH60" s="27">
        <v>758</v>
      </c>
      <c r="AI60" s="30">
        <v>13615.588207890411</v>
      </c>
      <c r="AJ60" s="31">
        <v>1512.8431342100457</v>
      </c>
      <c r="AK60" s="32">
        <v>11347.901939470321</v>
      </c>
      <c r="AL60" s="16"/>
      <c r="AM60" s="27">
        <v>11347.901939470321</v>
      </c>
      <c r="AN60" s="16"/>
      <c r="AO60" s="16"/>
      <c r="AP60" s="28">
        <v>2.7013698630136984</v>
      </c>
      <c r="AQ60" s="29">
        <v>7.2986301369863016</v>
      </c>
      <c r="AR60" s="27">
        <v>758</v>
      </c>
      <c r="AS60" s="30">
        <v>12102.745073680366</v>
      </c>
      <c r="AT60" s="31">
        <v>1512.8431342100457</v>
      </c>
      <c r="AU60" s="33">
        <v>9835.0588052602761</v>
      </c>
      <c r="AW60" s="27">
        <v>9835.0588052602761</v>
      </c>
      <c r="AX60" s="16"/>
      <c r="AY60" s="16"/>
      <c r="AZ60" s="28">
        <v>3.7013698630136984</v>
      </c>
      <c r="BA60" s="29">
        <v>6.2986301369863016</v>
      </c>
      <c r="BB60" s="27">
        <v>758</v>
      </c>
      <c r="BC60" s="30">
        <v>10589.901939470321</v>
      </c>
      <c r="BD60" s="34">
        <v>1512.8431342100457</v>
      </c>
      <c r="BE60" s="33">
        <v>8322.2156710502313</v>
      </c>
      <c r="BF60" s="33"/>
      <c r="BG60" s="27">
        <v>8322.2156710502313</v>
      </c>
      <c r="BH60" s="16"/>
      <c r="BI60" s="16"/>
      <c r="BJ60" s="28">
        <v>4.7013698630136984</v>
      </c>
      <c r="BK60" s="29">
        <v>5.2986301369863016</v>
      </c>
      <c r="BL60" s="27">
        <v>758</v>
      </c>
      <c r="BM60" s="30">
        <v>7564.2156710502313</v>
      </c>
      <c r="BN60" s="34">
        <v>1512.8431342100457</v>
      </c>
      <c r="BO60" s="35">
        <v>6809.3725368401856</v>
      </c>
      <c r="BP60" s="36"/>
      <c r="BQ60" s="27">
        <v>6809.3725368401856</v>
      </c>
      <c r="BR60" s="16"/>
      <c r="BS60" s="16"/>
      <c r="BT60" s="28">
        <v>5.7013698630136984</v>
      </c>
      <c r="BU60" s="29">
        <v>4.2986301369863016</v>
      </c>
      <c r="BV60" s="27">
        <v>758</v>
      </c>
      <c r="BW60" s="30">
        <v>6051.3725368401856</v>
      </c>
      <c r="BX60" s="34">
        <v>1512.8431342100457</v>
      </c>
      <c r="BY60" s="35">
        <v>5296.5294026301399</v>
      </c>
      <c r="CA60" s="35">
        <v>5296.5294026301399</v>
      </c>
      <c r="CB60" s="16"/>
      <c r="CC60" s="16"/>
      <c r="CD60" s="28">
        <v>6.7041095890410958</v>
      </c>
      <c r="CE60" s="29">
        <v>3.2958904109589042</v>
      </c>
      <c r="CF60" s="27">
        <v>758</v>
      </c>
      <c r="CG60" s="30">
        <v>4538.5294026301399</v>
      </c>
      <c r="CH60" s="31">
        <v>1512.8431342100457</v>
      </c>
      <c r="CI60" s="35">
        <v>3783.6862684200942</v>
      </c>
      <c r="CK60" s="36">
        <v>3025.6862684200942</v>
      </c>
      <c r="CL60" s="35">
        <v>3783.6862684200942</v>
      </c>
      <c r="CM60" s="16"/>
      <c r="CN60" s="16"/>
      <c r="CO60" s="28">
        <v>7.7041095890410958</v>
      </c>
      <c r="CP60" s="29">
        <v>2.2958904109589042</v>
      </c>
      <c r="CQ60" s="27">
        <v>758</v>
      </c>
      <c r="CR60" s="34">
        <v>3025.6862684200942</v>
      </c>
      <c r="CS60" s="34">
        <v>1512.8431342100457</v>
      </c>
      <c r="CT60" s="35">
        <v>2270.8431342100484</v>
      </c>
      <c r="CV60" s="35">
        <v>1512.8431342100484</v>
      </c>
      <c r="CW60" s="35">
        <v>2270.8431342100484</v>
      </c>
      <c r="CX60" s="16"/>
      <c r="CY60" s="16"/>
      <c r="CZ60" s="28">
        <v>9.7041095890410958</v>
      </c>
      <c r="DA60" s="29">
        <v>0.29589041095890423</v>
      </c>
      <c r="DB60" s="27">
        <v>758</v>
      </c>
      <c r="DC60" s="34">
        <v>1512.8431342100484</v>
      </c>
      <c r="DD60" s="34">
        <v>1512.8431342100457</v>
      </c>
      <c r="DE60" s="35">
        <v>758.00000000000273</v>
      </c>
      <c r="DG60" s="35">
        <v>15160</v>
      </c>
      <c r="DH60" s="35">
        <v>14401.999999999996</v>
      </c>
      <c r="DI60" s="35">
        <f t="shared" si="0"/>
        <v>758.00000000000364</v>
      </c>
      <c r="DJ60" s="132">
        <f t="shared" si="1"/>
        <v>758.00000000000364</v>
      </c>
      <c r="DK60" s="132">
        <f t="shared" si="2"/>
        <v>0</v>
      </c>
      <c r="DL60" s="132">
        <f t="shared" si="3"/>
        <v>-9.0949470177292824E-13</v>
      </c>
    </row>
    <row r="61" spans="2:116" s="4" customFormat="1" ht="39" x14ac:dyDescent="0.25">
      <c r="B61" s="13" t="s">
        <v>4</v>
      </c>
      <c r="C61" s="14" t="s">
        <v>4</v>
      </c>
      <c r="D61" s="15" t="s">
        <v>101</v>
      </c>
      <c r="E61" s="15" t="s">
        <v>222</v>
      </c>
      <c r="F61" s="16" t="s">
        <v>223</v>
      </c>
      <c r="G61" s="11" t="s">
        <v>111</v>
      </c>
      <c r="H61" s="17">
        <v>41491</v>
      </c>
      <c r="I61" s="18" t="s">
        <v>421</v>
      </c>
      <c r="J61" s="19">
        <v>1</v>
      </c>
      <c r="K61" s="20">
        <v>10</v>
      </c>
      <c r="L61" s="21">
        <v>9</v>
      </c>
      <c r="M61" s="22">
        <v>19100</v>
      </c>
      <c r="N61" s="23">
        <v>925.45899808219178</v>
      </c>
      <c r="O61" s="24">
        <v>18174.541001917809</v>
      </c>
      <c r="P61" s="24"/>
      <c r="Q61" s="25">
        <v>9</v>
      </c>
      <c r="R61" s="26">
        <v>955</v>
      </c>
      <c r="S61" s="25">
        <v>17219.541001917809</v>
      </c>
      <c r="T61" s="25">
        <v>1913.2823335464232</v>
      </c>
      <c r="U61" s="25"/>
      <c r="V61" s="25">
        <v>0</v>
      </c>
      <c r="W61" s="25">
        <v>1913.2823335464232</v>
      </c>
      <c r="X61" s="25">
        <v>1913.2823335464232</v>
      </c>
      <c r="Y61" s="25">
        <v>0</v>
      </c>
      <c r="Z61" s="24">
        <v>18174.541001917809</v>
      </c>
      <c r="AA61" s="27">
        <v>16261.258668371385</v>
      </c>
      <c r="AB61" s="16"/>
      <c r="AC61" s="27">
        <v>16261.258668371385</v>
      </c>
      <c r="AD61" s="16"/>
      <c r="AE61" s="16"/>
      <c r="AF61" s="28">
        <v>1.6520547945205479</v>
      </c>
      <c r="AG61" s="29">
        <v>8.3479452054794514</v>
      </c>
      <c r="AH61" s="27">
        <v>955</v>
      </c>
      <c r="AI61" s="30">
        <v>17219.541001917809</v>
      </c>
      <c r="AJ61" s="31">
        <v>1913.2823335464232</v>
      </c>
      <c r="AK61" s="32">
        <v>14347.976334824962</v>
      </c>
      <c r="AL61" s="16"/>
      <c r="AM61" s="27">
        <v>14347.976334824962</v>
      </c>
      <c r="AN61" s="16"/>
      <c r="AO61" s="16"/>
      <c r="AP61" s="28">
        <v>2.6547945205479451</v>
      </c>
      <c r="AQ61" s="29">
        <v>7.3452054794520549</v>
      </c>
      <c r="AR61" s="27">
        <v>955</v>
      </c>
      <c r="AS61" s="30">
        <v>15306.258668371385</v>
      </c>
      <c r="AT61" s="31">
        <v>1913.2823335464232</v>
      </c>
      <c r="AU61" s="33">
        <v>12434.694001278538</v>
      </c>
      <c r="AW61" s="27">
        <v>12434.694001278538</v>
      </c>
      <c r="AX61" s="16"/>
      <c r="AY61" s="16"/>
      <c r="AZ61" s="28">
        <v>3.6547945205479451</v>
      </c>
      <c r="BA61" s="29">
        <v>6.3452054794520549</v>
      </c>
      <c r="BB61" s="27">
        <v>955</v>
      </c>
      <c r="BC61" s="30">
        <v>13392.976334824962</v>
      </c>
      <c r="BD61" s="34">
        <v>1913.2823335464232</v>
      </c>
      <c r="BE61" s="33">
        <v>10521.411667732114</v>
      </c>
      <c r="BF61" s="33"/>
      <c r="BG61" s="27">
        <v>10521.411667732114</v>
      </c>
      <c r="BH61" s="16"/>
      <c r="BI61" s="16"/>
      <c r="BJ61" s="28">
        <v>4.6547945205479451</v>
      </c>
      <c r="BK61" s="29">
        <v>5.3452054794520549</v>
      </c>
      <c r="BL61" s="27">
        <v>955</v>
      </c>
      <c r="BM61" s="30">
        <v>9566.4116677321144</v>
      </c>
      <c r="BN61" s="34">
        <v>1913.2823335464232</v>
      </c>
      <c r="BO61" s="35">
        <v>8608.1293341856908</v>
      </c>
      <c r="BP61" s="36"/>
      <c r="BQ61" s="27">
        <v>8608.1293341856908</v>
      </c>
      <c r="BR61" s="16"/>
      <c r="BS61" s="16"/>
      <c r="BT61" s="28">
        <v>5.6547945205479451</v>
      </c>
      <c r="BU61" s="29">
        <v>4.3452054794520549</v>
      </c>
      <c r="BV61" s="27">
        <v>955</v>
      </c>
      <c r="BW61" s="30">
        <v>7653.1293341856908</v>
      </c>
      <c r="BX61" s="34">
        <v>1913.2823335464232</v>
      </c>
      <c r="BY61" s="35">
        <v>6694.8470006392672</v>
      </c>
      <c r="CA61" s="35">
        <v>6694.8470006392672</v>
      </c>
      <c r="CB61" s="16"/>
      <c r="CC61" s="16"/>
      <c r="CD61" s="28">
        <v>6.6575342465753424</v>
      </c>
      <c r="CE61" s="29">
        <v>3.3424657534246576</v>
      </c>
      <c r="CF61" s="27">
        <v>955</v>
      </c>
      <c r="CG61" s="30">
        <v>5739.8470006392672</v>
      </c>
      <c r="CH61" s="31">
        <v>1913.2823335464232</v>
      </c>
      <c r="CI61" s="35">
        <v>4781.5646670928436</v>
      </c>
      <c r="CK61" s="36">
        <v>3826.5646670928436</v>
      </c>
      <c r="CL61" s="35">
        <v>4781.5646670928436</v>
      </c>
      <c r="CM61" s="16"/>
      <c r="CN61" s="16"/>
      <c r="CO61" s="28">
        <v>7.6575342465753424</v>
      </c>
      <c r="CP61" s="29">
        <v>2.3424657534246576</v>
      </c>
      <c r="CQ61" s="27">
        <v>955</v>
      </c>
      <c r="CR61" s="34">
        <v>3826.5646670928436</v>
      </c>
      <c r="CS61" s="34">
        <v>1913.2823335464232</v>
      </c>
      <c r="CT61" s="35">
        <v>2868.2823335464204</v>
      </c>
      <c r="CV61" s="35">
        <v>1913.2823335464204</v>
      </c>
      <c r="CW61" s="35">
        <v>2868.2823335464204</v>
      </c>
      <c r="CX61" s="16"/>
      <c r="CY61" s="16"/>
      <c r="CZ61" s="28">
        <v>9.6575342465753433</v>
      </c>
      <c r="DA61" s="29">
        <v>0.34246575342465668</v>
      </c>
      <c r="DB61" s="27">
        <v>955</v>
      </c>
      <c r="DC61" s="34">
        <v>1913.2823335464204</v>
      </c>
      <c r="DD61" s="34">
        <v>1913.2823335464232</v>
      </c>
      <c r="DE61" s="35">
        <v>954.99999999999727</v>
      </c>
      <c r="DG61" s="35">
        <v>19100</v>
      </c>
      <c r="DH61" s="35">
        <v>18145.000000000004</v>
      </c>
      <c r="DI61" s="35">
        <f t="shared" si="0"/>
        <v>954.99999999999636</v>
      </c>
      <c r="DJ61" s="132">
        <f t="shared" si="1"/>
        <v>954.99999999999636</v>
      </c>
      <c r="DK61" s="132">
        <f t="shared" si="2"/>
        <v>0</v>
      </c>
      <c r="DL61" s="132">
        <f t="shared" si="3"/>
        <v>9.0949470177292824E-13</v>
      </c>
    </row>
    <row r="62" spans="2:116" s="4" customFormat="1" ht="39" x14ac:dyDescent="0.25">
      <c r="B62" s="13" t="s">
        <v>4</v>
      </c>
      <c r="C62" s="14" t="s">
        <v>4</v>
      </c>
      <c r="D62" s="15" t="s">
        <v>101</v>
      </c>
      <c r="E62" s="15" t="s">
        <v>224</v>
      </c>
      <c r="F62" s="16" t="s">
        <v>225</v>
      </c>
      <c r="G62" s="11" t="s">
        <v>111</v>
      </c>
      <c r="H62" s="17">
        <v>41499</v>
      </c>
      <c r="I62" s="18" t="s">
        <v>421</v>
      </c>
      <c r="J62" s="19">
        <v>1</v>
      </c>
      <c r="K62" s="20">
        <v>10</v>
      </c>
      <c r="L62" s="21">
        <v>9</v>
      </c>
      <c r="M62" s="22">
        <v>5494</v>
      </c>
      <c r="N62" s="23">
        <v>257.12848711780816</v>
      </c>
      <c r="O62" s="24">
        <v>5236.8715128821914</v>
      </c>
      <c r="P62" s="24"/>
      <c r="Q62" s="25">
        <v>9</v>
      </c>
      <c r="R62" s="26">
        <v>274.7</v>
      </c>
      <c r="S62" s="25">
        <v>4962.1715128821916</v>
      </c>
      <c r="T62" s="25">
        <v>551.35239032024356</v>
      </c>
      <c r="U62" s="25"/>
      <c r="V62" s="25">
        <v>0</v>
      </c>
      <c r="W62" s="25">
        <v>551.35239032024356</v>
      </c>
      <c r="X62" s="25">
        <v>551.35239032024356</v>
      </c>
      <c r="Y62" s="25">
        <v>0</v>
      </c>
      <c r="Z62" s="24">
        <v>5236.8715128821914</v>
      </c>
      <c r="AA62" s="27">
        <v>4685.5191225619474</v>
      </c>
      <c r="AB62" s="16"/>
      <c r="AC62" s="27">
        <v>4685.5191225619474</v>
      </c>
      <c r="AD62" s="16"/>
      <c r="AE62" s="16"/>
      <c r="AF62" s="28">
        <v>1.6301369863013699</v>
      </c>
      <c r="AG62" s="29">
        <v>8.3698630136986303</v>
      </c>
      <c r="AH62" s="27">
        <v>274.7</v>
      </c>
      <c r="AI62" s="30">
        <v>4962.1715128821916</v>
      </c>
      <c r="AJ62" s="31">
        <v>551.35239032024356</v>
      </c>
      <c r="AK62" s="32">
        <v>4134.1667322417034</v>
      </c>
      <c r="AL62" s="16"/>
      <c r="AM62" s="27">
        <v>4134.1667322417034</v>
      </c>
      <c r="AN62" s="16"/>
      <c r="AO62" s="16"/>
      <c r="AP62" s="28">
        <v>2.6328767123287671</v>
      </c>
      <c r="AQ62" s="29">
        <v>7.3671232876712329</v>
      </c>
      <c r="AR62" s="27">
        <v>274.7</v>
      </c>
      <c r="AS62" s="30">
        <v>4410.8191225619476</v>
      </c>
      <c r="AT62" s="31">
        <v>551.35239032024356</v>
      </c>
      <c r="AU62" s="33">
        <v>3582.8143419214598</v>
      </c>
      <c r="AW62" s="27">
        <v>3582.8143419214598</v>
      </c>
      <c r="AX62" s="16"/>
      <c r="AY62" s="16"/>
      <c r="AZ62" s="28">
        <v>3.6328767123287671</v>
      </c>
      <c r="BA62" s="29">
        <v>6.3671232876712329</v>
      </c>
      <c r="BB62" s="27">
        <v>274.7</v>
      </c>
      <c r="BC62" s="30">
        <v>3859.4667322417035</v>
      </c>
      <c r="BD62" s="34">
        <v>551.35239032024356</v>
      </c>
      <c r="BE62" s="33">
        <v>3031.4619516012162</v>
      </c>
      <c r="BF62" s="33"/>
      <c r="BG62" s="27">
        <v>3031.4619516012162</v>
      </c>
      <c r="BH62" s="16"/>
      <c r="BI62" s="16"/>
      <c r="BJ62" s="28">
        <v>4.6328767123287671</v>
      </c>
      <c r="BK62" s="29">
        <v>5.3671232876712329</v>
      </c>
      <c r="BL62" s="27">
        <v>274.7</v>
      </c>
      <c r="BM62" s="30">
        <v>2756.7619516012164</v>
      </c>
      <c r="BN62" s="34">
        <v>551.35239032024356</v>
      </c>
      <c r="BO62" s="35">
        <v>2480.1095612809727</v>
      </c>
      <c r="BP62" s="36"/>
      <c r="BQ62" s="27">
        <v>2480.1095612809727</v>
      </c>
      <c r="BR62" s="16"/>
      <c r="BS62" s="16"/>
      <c r="BT62" s="28">
        <v>5.6328767123287671</v>
      </c>
      <c r="BU62" s="29">
        <v>4.3671232876712329</v>
      </c>
      <c r="BV62" s="27">
        <v>274.7</v>
      </c>
      <c r="BW62" s="30">
        <v>2205.4095612809729</v>
      </c>
      <c r="BX62" s="34">
        <v>551.35239032024356</v>
      </c>
      <c r="BY62" s="35">
        <v>1928.7571709607291</v>
      </c>
      <c r="CA62" s="35">
        <v>1928.7571709607291</v>
      </c>
      <c r="CB62" s="16"/>
      <c r="CC62" s="16"/>
      <c r="CD62" s="28">
        <v>6.6356164383561644</v>
      </c>
      <c r="CE62" s="29">
        <v>3.3643835616438356</v>
      </c>
      <c r="CF62" s="27">
        <v>274.7</v>
      </c>
      <c r="CG62" s="30">
        <v>1654.0571709607291</v>
      </c>
      <c r="CH62" s="31">
        <v>551.35239032024356</v>
      </c>
      <c r="CI62" s="35">
        <v>1377.4047806404856</v>
      </c>
      <c r="CK62" s="36">
        <v>1102.7047806404855</v>
      </c>
      <c r="CL62" s="35">
        <v>1377.4047806404856</v>
      </c>
      <c r="CM62" s="16"/>
      <c r="CN62" s="16"/>
      <c r="CO62" s="28">
        <v>7.6356164383561644</v>
      </c>
      <c r="CP62" s="29">
        <v>2.3643835616438356</v>
      </c>
      <c r="CQ62" s="27">
        <v>274.7</v>
      </c>
      <c r="CR62" s="34">
        <v>1102.7047806404855</v>
      </c>
      <c r="CS62" s="34">
        <v>551.35239032024356</v>
      </c>
      <c r="CT62" s="35">
        <v>826.05239032024201</v>
      </c>
      <c r="CV62" s="35">
        <v>551.35239032024197</v>
      </c>
      <c r="CW62" s="35">
        <v>826.05239032024201</v>
      </c>
      <c r="CX62" s="16"/>
      <c r="CY62" s="16"/>
      <c r="CZ62" s="28">
        <v>9.6356164383561644</v>
      </c>
      <c r="DA62" s="29">
        <v>0.36438356164383556</v>
      </c>
      <c r="DB62" s="27">
        <v>274.7</v>
      </c>
      <c r="DC62" s="34">
        <v>551.35239032024197</v>
      </c>
      <c r="DD62" s="34">
        <v>551.35239032024356</v>
      </c>
      <c r="DE62" s="35">
        <v>274.69999999999845</v>
      </c>
      <c r="DG62" s="35">
        <v>5494</v>
      </c>
      <c r="DH62" s="35">
        <v>5219.3000000000011</v>
      </c>
      <c r="DI62" s="35">
        <f t="shared" si="0"/>
        <v>274.69999999999891</v>
      </c>
      <c r="DJ62" s="132">
        <f t="shared" si="1"/>
        <v>274.69999999999891</v>
      </c>
      <c r="DK62" s="132">
        <f t="shared" si="2"/>
        <v>0</v>
      </c>
      <c r="DL62" s="132">
        <f t="shared" si="3"/>
        <v>-4.5474735088646412E-13</v>
      </c>
    </row>
    <row r="63" spans="2:116" s="4" customFormat="1" ht="39" x14ac:dyDescent="0.25">
      <c r="B63" s="13" t="s">
        <v>4</v>
      </c>
      <c r="C63" s="14" t="s">
        <v>4</v>
      </c>
      <c r="D63" s="15" t="s">
        <v>101</v>
      </c>
      <c r="E63" s="15" t="s">
        <v>226</v>
      </c>
      <c r="F63" s="16" t="s">
        <v>227</v>
      </c>
      <c r="G63" s="11" t="s">
        <v>111</v>
      </c>
      <c r="H63" s="17">
        <v>41545</v>
      </c>
      <c r="I63" s="18" t="s">
        <v>421</v>
      </c>
      <c r="J63" s="19">
        <v>1</v>
      </c>
      <c r="K63" s="20">
        <v>10</v>
      </c>
      <c r="L63" s="21">
        <v>9</v>
      </c>
      <c r="M63" s="22">
        <v>919705</v>
      </c>
      <c r="N63" s="23">
        <v>34309.267458835617</v>
      </c>
      <c r="O63" s="24">
        <v>885395.73254116438</v>
      </c>
      <c r="P63" s="24"/>
      <c r="Q63" s="25">
        <v>9</v>
      </c>
      <c r="R63" s="26">
        <v>45985.25</v>
      </c>
      <c r="S63" s="25">
        <v>839410.48254116438</v>
      </c>
      <c r="T63" s="25">
        <v>93267.831393462708</v>
      </c>
      <c r="U63" s="25"/>
      <c r="V63" s="25">
        <v>0</v>
      </c>
      <c r="W63" s="25">
        <v>93267.831393462708</v>
      </c>
      <c r="X63" s="25">
        <v>93267.831393462708</v>
      </c>
      <c r="Y63" s="25">
        <v>0</v>
      </c>
      <c r="Z63" s="24">
        <v>885395.73254116438</v>
      </c>
      <c r="AA63" s="27">
        <v>792127.90114770166</v>
      </c>
      <c r="AB63" s="16"/>
      <c r="AC63" s="27">
        <v>792127.90114770166</v>
      </c>
      <c r="AD63" s="16"/>
      <c r="AE63" s="16"/>
      <c r="AF63" s="28">
        <v>1.5041095890410958</v>
      </c>
      <c r="AG63" s="29">
        <v>8.4958904109589035</v>
      </c>
      <c r="AH63" s="27">
        <v>45985.25</v>
      </c>
      <c r="AI63" s="30">
        <v>839410.48254116438</v>
      </c>
      <c r="AJ63" s="31">
        <v>93267.831393462708</v>
      </c>
      <c r="AK63" s="32">
        <v>698860.06975423894</v>
      </c>
      <c r="AL63" s="16"/>
      <c r="AM63" s="27">
        <v>698860.06975423894</v>
      </c>
      <c r="AN63" s="16"/>
      <c r="AO63" s="16"/>
      <c r="AP63" s="28">
        <v>2.506849315068493</v>
      </c>
      <c r="AQ63" s="29">
        <v>7.493150684931507</v>
      </c>
      <c r="AR63" s="27">
        <v>45985.25</v>
      </c>
      <c r="AS63" s="30">
        <v>746142.65114770166</v>
      </c>
      <c r="AT63" s="31">
        <v>93267.831393462708</v>
      </c>
      <c r="AU63" s="33">
        <v>605592.23836077622</v>
      </c>
      <c r="AW63" s="27">
        <v>605592.23836077622</v>
      </c>
      <c r="AX63" s="16"/>
      <c r="AY63" s="16"/>
      <c r="AZ63" s="28">
        <v>3.506849315068493</v>
      </c>
      <c r="BA63" s="29">
        <v>6.493150684931507</v>
      </c>
      <c r="BB63" s="27">
        <v>45985.25</v>
      </c>
      <c r="BC63" s="30">
        <v>652874.81975423894</v>
      </c>
      <c r="BD63" s="34">
        <v>93267.831393462708</v>
      </c>
      <c r="BE63" s="33">
        <v>512324.40696731349</v>
      </c>
      <c r="BF63" s="33"/>
      <c r="BG63" s="27">
        <v>512324.40696731349</v>
      </c>
      <c r="BH63" s="16"/>
      <c r="BI63" s="16"/>
      <c r="BJ63" s="28">
        <v>4.506849315068493</v>
      </c>
      <c r="BK63" s="29">
        <v>5.493150684931507</v>
      </c>
      <c r="BL63" s="27">
        <v>45985.25</v>
      </c>
      <c r="BM63" s="30">
        <v>466339.15696731349</v>
      </c>
      <c r="BN63" s="34">
        <v>93267.831393462708</v>
      </c>
      <c r="BO63" s="35">
        <v>419056.57557385077</v>
      </c>
      <c r="BP63" s="36"/>
      <c r="BQ63" s="27">
        <v>419056.57557385077</v>
      </c>
      <c r="BR63" s="16"/>
      <c r="BS63" s="16"/>
      <c r="BT63" s="28">
        <v>5.506849315068493</v>
      </c>
      <c r="BU63" s="29">
        <v>4.493150684931507</v>
      </c>
      <c r="BV63" s="27">
        <v>45985.25</v>
      </c>
      <c r="BW63" s="30">
        <v>373071.32557385077</v>
      </c>
      <c r="BX63" s="34">
        <v>93267.831393462708</v>
      </c>
      <c r="BY63" s="35">
        <v>325788.74418038805</v>
      </c>
      <c r="CA63" s="35">
        <v>325788.74418038805</v>
      </c>
      <c r="CB63" s="16"/>
      <c r="CC63" s="16"/>
      <c r="CD63" s="28">
        <v>6.5095890410958903</v>
      </c>
      <c r="CE63" s="29">
        <v>3.4904109589041097</v>
      </c>
      <c r="CF63" s="27">
        <v>45985.25</v>
      </c>
      <c r="CG63" s="30">
        <v>279803.49418038805</v>
      </c>
      <c r="CH63" s="31">
        <v>93267.831393462708</v>
      </c>
      <c r="CI63" s="35">
        <v>232520.91278692533</v>
      </c>
      <c r="CK63" s="36">
        <v>186535.66278692533</v>
      </c>
      <c r="CL63" s="35">
        <v>232520.91278692533</v>
      </c>
      <c r="CM63" s="16"/>
      <c r="CN63" s="16"/>
      <c r="CO63" s="28">
        <v>7.5095890410958903</v>
      </c>
      <c r="CP63" s="29">
        <v>2.4904109589041097</v>
      </c>
      <c r="CQ63" s="27">
        <v>45985.25</v>
      </c>
      <c r="CR63" s="34">
        <v>186535.66278692533</v>
      </c>
      <c r="CS63" s="34">
        <v>93267.831393462708</v>
      </c>
      <c r="CT63" s="35">
        <v>139253.08139346261</v>
      </c>
      <c r="CV63" s="35">
        <v>93267.831393462606</v>
      </c>
      <c r="CW63" s="35">
        <v>139253.08139346261</v>
      </c>
      <c r="CX63" s="16"/>
      <c r="CY63" s="16"/>
      <c r="CZ63" s="28">
        <v>9.5095890410958912</v>
      </c>
      <c r="DA63" s="29">
        <v>0.4904109589041088</v>
      </c>
      <c r="DB63" s="27">
        <v>45985.25</v>
      </c>
      <c r="DC63" s="34">
        <v>93267.831393462606</v>
      </c>
      <c r="DD63" s="34">
        <v>93267.831393462708</v>
      </c>
      <c r="DE63" s="35">
        <v>45985.249999999898</v>
      </c>
      <c r="DG63" s="35">
        <v>919705</v>
      </c>
      <c r="DH63" s="35">
        <v>873719.75</v>
      </c>
      <c r="DI63" s="35">
        <f t="shared" si="0"/>
        <v>45985.25</v>
      </c>
      <c r="DJ63" s="132">
        <f t="shared" si="1"/>
        <v>45985.25</v>
      </c>
      <c r="DK63" s="132">
        <f t="shared" si="2"/>
        <v>0</v>
      </c>
      <c r="DL63" s="132">
        <f t="shared" si="3"/>
        <v>-1.0186340659856796E-10</v>
      </c>
    </row>
    <row r="64" spans="2:116" s="4" customFormat="1" ht="39" x14ac:dyDescent="0.25">
      <c r="B64" s="13" t="s">
        <v>4</v>
      </c>
      <c r="C64" s="14" t="s">
        <v>4</v>
      </c>
      <c r="D64" s="15" t="s">
        <v>101</v>
      </c>
      <c r="E64" s="15" t="s">
        <v>228</v>
      </c>
      <c r="F64" s="16" t="s">
        <v>229</v>
      </c>
      <c r="G64" s="11" t="s">
        <v>111</v>
      </c>
      <c r="H64" s="17">
        <v>41545</v>
      </c>
      <c r="I64" s="18" t="s">
        <v>421</v>
      </c>
      <c r="J64" s="19">
        <v>1</v>
      </c>
      <c r="K64" s="20">
        <v>10</v>
      </c>
      <c r="L64" s="21">
        <v>9</v>
      </c>
      <c r="M64" s="22">
        <v>774111</v>
      </c>
      <c r="N64" s="23">
        <v>28877.935144232877</v>
      </c>
      <c r="O64" s="24">
        <v>745233.06485576718</v>
      </c>
      <c r="P64" s="24"/>
      <c r="Q64" s="25">
        <v>9</v>
      </c>
      <c r="R64" s="26">
        <v>38705.550000000003</v>
      </c>
      <c r="S64" s="25">
        <v>706527.51485576713</v>
      </c>
      <c r="T64" s="25">
        <v>78503.057206196347</v>
      </c>
      <c r="U64" s="25"/>
      <c r="V64" s="25">
        <v>0</v>
      </c>
      <c r="W64" s="25">
        <v>78503.057206196347</v>
      </c>
      <c r="X64" s="25">
        <v>78503.057206196347</v>
      </c>
      <c r="Y64" s="25">
        <v>0</v>
      </c>
      <c r="Z64" s="24">
        <v>745233.06485576718</v>
      </c>
      <c r="AA64" s="27">
        <v>666730.00764957082</v>
      </c>
      <c r="AB64" s="16"/>
      <c r="AC64" s="27">
        <v>666730.00764957082</v>
      </c>
      <c r="AD64" s="16"/>
      <c r="AE64" s="16"/>
      <c r="AF64" s="28">
        <v>1.5041095890410958</v>
      </c>
      <c r="AG64" s="29">
        <v>8.4958904109589035</v>
      </c>
      <c r="AH64" s="27">
        <v>38705.550000000003</v>
      </c>
      <c r="AI64" s="30">
        <v>706527.51485576713</v>
      </c>
      <c r="AJ64" s="31">
        <v>78503.057206196347</v>
      </c>
      <c r="AK64" s="32">
        <v>588226.95044337446</v>
      </c>
      <c r="AL64" s="16"/>
      <c r="AM64" s="27">
        <v>588226.95044337446</v>
      </c>
      <c r="AN64" s="16"/>
      <c r="AO64" s="16"/>
      <c r="AP64" s="28">
        <v>2.506849315068493</v>
      </c>
      <c r="AQ64" s="29">
        <v>7.493150684931507</v>
      </c>
      <c r="AR64" s="27">
        <v>38705.550000000003</v>
      </c>
      <c r="AS64" s="30">
        <v>628024.45764957077</v>
      </c>
      <c r="AT64" s="31">
        <v>78503.057206196347</v>
      </c>
      <c r="AU64" s="33">
        <v>509723.8932371781</v>
      </c>
      <c r="AW64" s="27">
        <v>509723.8932371781</v>
      </c>
      <c r="AX64" s="16"/>
      <c r="AY64" s="16"/>
      <c r="AZ64" s="28">
        <v>3.506849315068493</v>
      </c>
      <c r="BA64" s="29">
        <v>6.493150684931507</v>
      </c>
      <c r="BB64" s="27">
        <v>38705.550000000003</v>
      </c>
      <c r="BC64" s="30">
        <v>549521.40044337441</v>
      </c>
      <c r="BD64" s="34">
        <v>78503.057206196347</v>
      </c>
      <c r="BE64" s="33">
        <v>431220.83603098174</v>
      </c>
      <c r="BF64" s="33"/>
      <c r="BG64" s="27">
        <v>431220.83603098174</v>
      </c>
      <c r="BH64" s="16"/>
      <c r="BI64" s="16"/>
      <c r="BJ64" s="28">
        <v>4.506849315068493</v>
      </c>
      <c r="BK64" s="29">
        <v>5.493150684931507</v>
      </c>
      <c r="BL64" s="27">
        <v>38705.550000000003</v>
      </c>
      <c r="BM64" s="30">
        <v>392515.28603098175</v>
      </c>
      <c r="BN64" s="34">
        <v>78503.057206196347</v>
      </c>
      <c r="BO64" s="35">
        <v>352717.77882478538</v>
      </c>
      <c r="BP64" s="36"/>
      <c r="BQ64" s="27">
        <v>352717.77882478538</v>
      </c>
      <c r="BR64" s="16"/>
      <c r="BS64" s="16"/>
      <c r="BT64" s="28">
        <v>5.506849315068493</v>
      </c>
      <c r="BU64" s="29">
        <v>4.493150684931507</v>
      </c>
      <c r="BV64" s="27">
        <v>38705.550000000003</v>
      </c>
      <c r="BW64" s="30">
        <v>314012.22882478539</v>
      </c>
      <c r="BX64" s="34">
        <v>78503.057206196347</v>
      </c>
      <c r="BY64" s="35">
        <v>274214.72161858901</v>
      </c>
      <c r="CA64" s="35">
        <v>274214.72161858901</v>
      </c>
      <c r="CB64" s="16"/>
      <c r="CC64" s="16"/>
      <c r="CD64" s="28">
        <v>6.5095890410958903</v>
      </c>
      <c r="CE64" s="29">
        <v>3.4904109589041097</v>
      </c>
      <c r="CF64" s="27">
        <v>38705.550000000003</v>
      </c>
      <c r="CG64" s="30">
        <v>235509.17161858903</v>
      </c>
      <c r="CH64" s="31">
        <v>78503.057206196347</v>
      </c>
      <c r="CI64" s="35">
        <v>195711.66441239265</v>
      </c>
      <c r="CK64" s="36">
        <v>157006.11441239266</v>
      </c>
      <c r="CL64" s="35">
        <v>195711.66441239265</v>
      </c>
      <c r="CM64" s="16"/>
      <c r="CN64" s="16"/>
      <c r="CO64" s="28">
        <v>7.5095890410958903</v>
      </c>
      <c r="CP64" s="29">
        <v>2.4904109589041097</v>
      </c>
      <c r="CQ64" s="27">
        <v>38705.550000000003</v>
      </c>
      <c r="CR64" s="34">
        <v>157006.11441239266</v>
      </c>
      <c r="CS64" s="34">
        <v>78503.057206196347</v>
      </c>
      <c r="CT64" s="35">
        <v>117208.60720619631</v>
      </c>
      <c r="CV64" s="35">
        <v>78503.057206196303</v>
      </c>
      <c r="CW64" s="35">
        <v>117208.60720619631</v>
      </c>
      <c r="CX64" s="16"/>
      <c r="CY64" s="16"/>
      <c r="CZ64" s="28">
        <v>9.5095890410958912</v>
      </c>
      <c r="DA64" s="29">
        <v>0.4904109589041088</v>
      </c>
      <c r="DB64" s="27">
        <v>38705.550000000003</v>
      </c>
      <c r="DC64" s="34">
        <v>78503.057206196303</v>
      </c>
      <c r="DD64" s="34">
        <v>78503.057206196347</v>
      </c>
      <c r="DE64" s="35">
        <v>38705.549999999959</v>
      </c>
      <c r="DG64" s="35">
        <v>774111</v>
      </c>
      <c r="DH64" s="35">
        <v>735405.45000000007</v>
      </c>
      <c r="DI64" s="35">
        <f t="shared" si="0"/>
        <v>38705.54999999993</v>
      </c>
      <c r="DJ64" s="132">
        <f t="shared" si="1"/>
        <v>38705.54999999993</v>
      </c>
      <c r="DK64" s="132">
        <f t="shared" si="2"/>
        <v>0</v>
      </c>
      <c r="DL64" s="132">
        <f t="shared" si="3"/>
        <v>0</v>
      </c>
    </row>
    <row r="65" spans="2:116" s="4" customFormat="1" ht="39" x14ac:dyDescent="0.25">
      <c r="B65" s="13" t="s">
        <v>4</v>
      </c>
      <c r="C65" s="14" t="s">
        <v>4</v>
      </c>
      <c r="D65" s="15" t="s">
        <v>101</v>
      </c>
      <c r="E65" s="15" t="s">
        <v>230</v>
      </c>
      <c r="F65" s="16" t="s">
        <v>191</v>
      </c>
      <c r="G65" s="11" t="s">
        <v>111</v>
      </c>
      <c r="H65" s="17">
        <v>41551</v>
      </c>
      <c r="I65" s="18" t="s">
        <v>421</v>
      </c>
      <c r="J65" s="19">
        <v>1</v>
      </c>
      <c r="K65" s="20">
        <v>10</v>
      </c>
      <c r="L65" s="21">
        <v>9</v>
      </c>
      <c r="M65" s="22">
        <v>8520</v>
      </c>
      <c r="N65" s="23">
        <v>310.31457632876709</v>
      </c>
      <c r="O65" s="24">
        <v>8209.6854236712334</v>
      </c>
      <c r="P65" s="24"/>
      <c r="Q65" s="25">
        <v>9</v>
      </c>
      <c r="R65" s="26">
        <v>426</v>
      </c>
      <c r="S65" s="25">
        <v>7783.6854236712334</v>
      </c>
      <c r="T65" s="25">
        <v>864.85393596347035</v>
      </c>
      <c r="U65" s="25"/>
      <c r="V65" s="25">
        <v>0</v>
      </c>
      <c r="W65" s="25">
        <v>864.85393596347035</v>
      </c>
      <c r="X65" s="25">
        <v>864.85393596347035</v>
      </c>
      <c r="Y65" s="25">
        <v>0</v>
      </c>
      <c r="Z65" s="24">
        <v>8209.6854236712334</v>
      </c>
      <c r="AA65" s="27">
        <v>7344.8314877077628</v>
      </c>
      <c r="AB65" s="16"/>
      <c r="AC65" s="27">
        <v>7344.8314877077628</v>
      </c>
      <c r="AD65" s="16"/>
      <c r="AE65" s="16"/>
      <c r="AF65" s="28">
        <v>1.4876712328767123</v>
      </c>
      <c r="AG65" s="29">
        <v>8.5123287671232877</v>
      </c>
      <c r="AH65" s="27">
        <v>426</v>
      </c>
      <c r="AI65" s="30">
        <v>7783.6854236712334</v>
      </c>
      <c r="AJ65" s="31">
        <v>864.85393596347035</v>
      </c>
      <c r="AK65" s="32">
        <v>6479.9775517442922</v>
      </c>
      <c r="AL65" s="16"/>
      <c r="AM65" s="27">
        <v>6479.9775517442922</v>
      </c>
      <c r="AN65" s="16"/>
      <c r="AO65" s="16"/>
      <c r="AP65" s="28">
        <v>2.4904109589041097</v>
      </c>
      <c r="AQ65" s="29">
        <v>7.5095890410958903</v>
      </c>
      <c r="AR65" s="27">
        <v>426</v>
      </c>
      <c r="AS65" s="30">
        <v>6918.8314877077628</v>
      </c>
      <c r="AT65" s="31">
        <v>864.85393596347035</v>
      </c>
      <c r="AU65" s="33">
        <v>5615.1236157808216</v>
      </c>
      <c r="AW65" s="27">
        <v>5615.1236157808216</v>
      </c>
      <c r="AX65" s="16"/>
      <c r="AY65" s="16"/>
      <c r="AZ65" s="28">
        <v>3.4904109589041097</v>
      </c>
      <c r="BA65" s="29">
        <v>6.5095890410958903</v>
      </c>
      <c r="BB65" s="27">
        <v>426</v>
      </c>
      <c r="BC65" s="30">
        <v>6053.9775517442922</v>
      </c>
      <c r="BD65" s="34">
        <v>864.85393596347035</v>
      </c>
      <c r="BE65" s="33">
        <v>4750.2696798173511</v>
      </c>
      <c r="BF65" s="33"/>
      <c r="BG65" s="27">
        <v>4750.2696798173511</v>
      </c>
      <c r="BH65" s="16"/>
      <c r="BI65" s="16"/>
      <c r="BJ65" s="28">
        <v>4.4904109589041097</v>
      </c>
      <c r="BK65" s="29">
        <v>5.5095890410958903</v>
      </c>
      <c r="BL65" s="27">
        <v>426</v>
      </c>
      <c r="BM65" s="30">
        <v>4324.2696798173511</v>
      </c>
      <c r="BN65" s="34">
        <v>864.85393596347035</v>
      </c>
      <c r="BO65" s="35">
        <v>3885.4157438538805</v>
      </c>
      <c r="BP65" s="36"/>
      <c r="BQ65" s="27">
        <v>3885.4157438538805</v>
      </c>
      <c r="BR65" s="16"/>
      <c r="BS65" s="16"/>
      <c r="BT65" s="28">
        <v>5.4904109589041097</v>
      </c>
      <c r="BU65" s="29">
        <v>4.5095890410958903</v>
      </c>
      <c r="BV65" s="27">
        <v>426</v>
      </c>
      <c r="BW65" s="30">
        <v>3459.4157438538805</v>
      </c>
      <c r="BX65" s="34">
        <v>864.85393596347035</v>
      </c>
      <c r="BY65" s="35">
        <v>3020.5618078904099</v>
      </c>
      <c r="CA65" s="35">
        <v>3020.5618078904099</v>
      </c>
      <c r="CB65" s="16"/>
      <c r="CC65" s="16"/>
      <c r="CD65" s="28">
        <v>6.493150684931507</v>
      </c>
      <c r="CE65" s="29">
        <v>3.506849315068493</v>
      </c>
      <c r="CF65" s="27">
        <v>426</v>
      </c>
      <c r="CG65" s="30">
        <v>2594.5618078904099</v>
      </c>
      <c r="CH65" s="31">
        <v>864.85393596347035</v>
      </c>
      <c r="CI65" s="35">
        <v>2155.7078719269393</v>
      </c>
      <c r="CK65" s="36">
        <v>1729.7078719269393</v>
      </c>
      <c r="CL65" s="35">
        <v>2155.7078719269393</v>
      </c>
      <c r="CM65" s="16"/>
      <c r="CN65" s="16"/>
      <c r="CO65" s="28">
        <v>7.493150684931507</v>
      </c>
      <c r="CP65" s="29">
        <v>2.506849315068493</v>
      </c>
      <c r="CQ65" s="27">
        <v>426</v>
      </c>
      <c r="CR65" s="34">
        <v>1729.7078719269393</v>
      </c>
      <c r="CS65" s="34">
        <v>864.85393596347035</v>
      </c>
      <c r="CT65" s="35">
        <v>1290.853935963469</v>
      </c>
      <c r="CV65" s="35">
        <v>864.85393596346898</v>
      </c>
      <c r="CW65" s="35">
        <v>1290.853935963469</v>
      </c>
      <c r="CX65" s="16"/>
      <c r="CY65" s="16"/>
      <c r="CZ65" s="28">
        <v>9.493150684931507</v>
      </c>
      <c r="DA65" s="29">
        <v>0.50684931506849296</v>
      </c>
      <c r="DB65" s="27">
        <v>426</v>
      </c>
      <c r="DC65" s="34">
        <v>864.85393596346898</v>
      </c>
      <c r="DD65" s="34">
        <v>864.85393596347035</v>
      </c>
      <c r="DE65" s="35">
        <v>425.99999999999864</v>
      </c>
      <c r="DG65" s="35">
        <v>8520</v>
      </c>
      <c r="DH65" s="35">
        <v>8094.0000000000018</v>
      </c>
      <c r="DI65" s="35">
        <f t="shared" si="0"/>
        <v>425.99999999999818</v>
      </c>
      <c r="DJ65" s="132">
        <f t="shared" si="1"/>
        <v>425.99999999999818</v>
      </c>
      <c r="DK65" s="132">
        <f t="shared" si="2"/>
        <v>0</v>
      </c>
      <c r="DL65" s="132">
        <f t="shared" si="3"/>
        <v>4.5474735088646412E-13</v>
      </c>
    </row>
    <row r="66" spans="2:116" s="4" customFormat="1" ht="39" x14ac:dyDescent="0.25">
      <c r="B66" s="13" t="s">
        <v>4</v>
      </c>
      <c r="C66" s="14" t="s">
        <v>4</v>
      </c>
      <c r="D66" s="15" t="s">
        <v>101</v>
      </c>
      <c r="E66" s="15" t="s">
        <v>231</v>
      </c>
      <c r="F66" s="16" t="s">
        <v>232</v>
      </c>
      <c r="G66" s="11" t="s">
        <v>111</v>
      </c>
      <c r="H66" s="17">
        <v>41773</v>
      </c>
      <c r="I66" s="18" t="s">
        <v>422</v>
      </c>
      <c r="J66" s="19">
        <v>0</v>
      </c>
      <c r="K66" s="20">
        <v>10</v>
      </c>
      <c r="L66" s="21">
        <v>10</v>
      </c>
      <c r="M66" s="23">
        <v>40180</v>
      </c>
      <c r="N66" s="38">
        <v>0</v>
      </c>
      <c r="O66" s="24">
        <v>40180</v>
      </c>
      <c r="P66" s="24">
        <v>321</v>
      </c>
      <c r="Q66" s="25">
        <v>10</v>
      </c>
      <c r="R66" s="26">
        <v>2009</v>
      </c>
      <c r="S66" s="25">
        <v>38171</v>
      </c>
      <c r="T66" s="25">
        <v>3356.9564383561642</v>
      </c>
      <c r="U66" s="25"/>
      <c r="V66" s="25">
        <v>0</v>
      </c>
      <c r="W66" s="25">
        <v>3356.9564383561642</v>
      </c>
      <c r="X66" s="25">
        <v>3356.9564383561642</v>
      </c>
      <c r="Y66" s="25">
        <v>0</v>
      </c>
      <c r="Z66" s="24">
        <v>40180</v>
      </c>
      <c r="AA66" s="27">
        <v>36823.043561643834</v>
      </c>
      <c r="AB66" s="16"/>
      <c r="AC66" s="27">
        <v>36823.043561643834</v>
      </c>
      <c r="AD66" s="16"/>
      <c r="AE66" s="16"/>
      <c r="AF66" s="28">
        <v>0.8794520547945206</v>
      </c>
      <c r="AG66" s="29">
        <v>9.1205479452054803</v>
      </c>
      <c r="AH66" s="27">
        <v>2009</v>
      </c>
      <c r="AI66" s="30">
        <v>38171</v>
      </c>
      <c r="AJ66" s="31">
        <v>3817.1</v>
      </c>
      <c r="AK66" s="32">
        <v>33005.943561643835</v>
      </c>
      <c r="AL66" s="16"/>
      <c r="AM66" s="27">
        <v>33005.943561643835</v>
      </c>
      <c r="AN66" s="16"/>
      <c r="AO66" s="16"/>
      <c r="AP66" s="28">
        <v>1.8821917808219177</v>
      </c>
      <c r="AQ66" s="29">
        <v>8.117808219178082</v>
      </c>
      <c r="AR66" s="27">
        <v>2009</v>
      </c>
      <c r="AS66" s="30">
        <v>34814.043561643834</v>
      </c>
      <c r="AT66" s="31">
        <v>3817.1</v>
      </c>
      <c r="AU66" s="33">
        <v>29188.843561643836</v>
      </c>
      <c r="AW66" s="27">
        <v>29188.843561643836</v>
      </c>
      <c r="AX66" s="16"/>
      <c r="AY66" s="16"/>
      <c r="AZ66" s="28">
        <v>2.882191780821918</v>
      </c>
      <c r="BA66" s="29">
        <v>7.117808219178082</v>
      </c>
      <c r="BB66" s="27">
        <v>2009</v>
      </c>
      <c r="BC66" s="30">
        <v>30996.943561643835</v>
      </c>
      <c r="BD66" s="34">
        <v>3817.1</v>
      </c>
      <c r="BE66" s="33">
        <v>25371.743561643838</v>
      </c>
      <c r="BF66" s="33"/>
      <c r="BG66" s="27">
        <v>25371.743561643838</v>
      </c>
      <c r="BH66" s="16"/>
      <c r="BI66" s="16"/>
      <c r="BJ66" s="28">
        <v>3.882191780821918</v>
      </c>
      <c r="BK66" s="29">
        <v>6.117808219178082</v>
      </c>
      <c r="BL66" s="27">
        <v>2009</v>
      </c>
      <c r="BM66" s="30">
        <v>23362.743561643838</v>
      </c>
      <c r="BN66" s="34">
        <v>3817.1</v>
      </c>
      <c r="BO66" s="35">
        <v>21554.643561643839</v>
      </c>
      <c r="BP66" s="36"/>
      <c r="BQ66" s="27">
        <v>21554.643561643839</v>
      </c>
      <c r="BR66" s="16"/>
      <c r="BS66" s="16"/>
      <c r="BT66" s="28">
        <v>4.882191780821918</v>
      </c>
      <c r="BU66" s="29">
        <v>5.117808219178082</v>
      </c>
      <c r="BV66" s="27">
        <v>2009</v>
      </c>
      <c r="BW66" s="30">
        <v>19545.643561643839</v>
      </c>
      <c r="BX66" s="34">
        <v>3817.1</v>
      </c>
      <c r="BY66" s="35">
        <v>17737.543561643841</v>
      </c>
      <c r="CA66" s="35">
        <v>17737.543561643841</v>
      </c>
      <c r="CB66" s="16"/>
      <c r="CC66" s="16"/>
      <c r="CD66" s="28">
        <v>5.8849315068493153</v>
      </c>
      <c r="CE66" s="29">
        <v>4.1150684931506847</v>
      </c>
      <c r="CF66" s="27">
        <v>2009</v>
      </c>
      <c r="CG66" s="30">
        <v>15728.543561643841</v>
      </c>
      <c r="CH66" s="31">
        <v>3817.1</v>
      </c>
      <c r="CI66" s="35">
        <v>13920.44356164384</v>
      </c>
      <c r="CK66" s="36">
        <v>11911.44356164384</v>
      </c>
      <c r="CL66" s="35">
        <v>13920.44356164384</v>
      </c>
      <c r="CM66" s="16"/>
      <c r="CN66" s="16"/>
      <c r="CO66" s="28">
        <v>6.8849315068493153</v>
      </c>
      <c r="CP66" s="29">
        <v>3.1150684931506847</v>
      </c>
      <c r="CQ66" s="27">
        <v>2009</v>
      </c>
      <c r="CR66" s="34">
        <v>11911.44356164384</v>
      </c>
      <c r="CS66" s="34">
        <v>3817.1</v>
      </c>
      <c r="CT66" s="35">
        <v>10103.34356164384</v>
      </c>
      <c r="CV66" s="35">
        <v>8094.3435616438401</v>
      </c>
      <c r="CW66" s="35">
        <v>10103.34356164384</v>
      </c>
      <c r="CX66" s="16"/>
      <c r="CY66" s="16"/>
      <c r="CZ66" s="28">
        <v>8.8849315068493144</v>
      </c>
      <c r="DA66" s="29">
        <v>1.1150684931506856</v>
      </c>
      <c r="DB66" s="27">
        <v>2009</v>
      </c>
      <c r="DC66" s="34">
        <v>8094.3435616438401</v>
      </c>
      <c r="DD66" s="34">
        <v>3817.1</v>
      </c>
      <c r="DE66" s="35">
        <v>6286.2435616438397</v>
      </c>
      <c r="DG66" s="35">
        <v>40180</v>
      </c>
      <c r="DH66" s="35">
        <v>33893.756438356162</v>
      </c>
      <c r="DI66" s="35">
        <f t="shared" si="0"/>
        <v>6286.2435616438379</v>
      </c>
      <c r="DJ66" s="132">
        <f t="shared" si="1"/>
        <v>6286.2435616438379</v>
      </c>
      <c r="DK66" s="132">
        <f t="shared" si="2"/>
        <v>0</v>
      </c>
      <c r="DL66" s="132">
        <f t="shared" si="3"/>
        <v>0</v>
      </c>
    </row>
    <row r="67" spans="2:116" s="4" customFormat="1" ht="39" x14ac:dyDescent="0.25">
      <c r="B67" s="13" t="s">
        <v>4</v>
      </c>
      <c r="C67" s="14" t="s">
        <v>4</v>
      </c>
      <c r="D67" s="15" t="s">
        <v>101</v>
      </c>
      <c r="E67" s="15" t="s">
        <v>237</v>
      </c>
      <c r="F67" s="16" t="s">
        <v>238</v>
      </c>
      <c r="G67" s="11" t="s">
        <v>111</v>
      </c>
      <c r="H67" s="17">
        <v>41856</v>
      </c>
      <c r="I67" s="18" t="s">
        <v>422</v>
      </c>
      <c r="J67" s="19">
        <v>0</v>
      </c>
      <c r="K67" s="20">
        <v>10</v>
      </c>
      <c r="L67" s="21">
        <v>10</v>
      </c>
      <c r="M67" s="23">
        <v>11900</v>
      </c>
      <c r="N67" s="38">
        <v>0</v>
      </c>
      <c r="O67" s="24">
        <v>11900</v>
      </c>
      <c r="P67" s="24">
        <v>238</v>
      </c>
      <c r="Q67" s="25">
        <v>10</v>
      </c>
      <c r="R67" s="26">
        <v>595</v>
      </c>
      <c r="S67" s="25">
        <v>11305</v>
      </c>
      <c r="T67" s="25">
        <v>737.14794520547946</v>
      </c>
      <c r="U67" s="25"/>
      <c r="V67" s="25">
        <v>0</v>
      </c>
      <c r="W67" s="25">
        <v>737.14794520547946</v>
      </c>
      <c r="X67" s="25">
        <v>737.14794520547946</v>
      </c>
      <c r="Y67" s="25">
        <v>0</v>
      </c>
      <c r="Z67" s="24">
        <v>11900</v>
      </c>
      <c r="AA67" s="27">
        <v>11162.852054794521</v>
      </c>
      <c r="AB67" s="16"/>
      <c r="AC67" s="27">
        <v>11162.852054794521</v>
      </c>
      <c r="AD67" s="16"/>
      <c r="AE67" s="16"/>
      <c r="AF67" s="28">
        <v>0.65205479452054793</v>
      </c>
      <c r="AG67" s="29">
        <v>9.3479452054794514</v>
      </c>
      <c r="AH67" s="27">
        <v>595</v>
      </c>
      <c r="AI67" s="30">
        <v>11305</v>
      </c>
      <c r="AJ67" s="31">
        <v>1130.5</v>
      </c>
      <c r="AK67" s="32">
        <v>10032.352054794521</v>
      </c>
      <c r="AL67" s="16"/>
      <c r="AM67" s="27">
        <v>10032.352054794521</v>
      </c>
      <c r="AN67" s="16"/>
      <c r="AO67" s="16"/>
      <c r="AP67" s="28">
        <v>1.6547945205479453</v>
      </c>
      <c r="AQ67" s="29">
        <v>8.3452054794520549</v>
      </c>
      <c r="AR67" s="27">
        <v>595</v>
      </c>
      <c r="AS67" s="30">
        <v>10567.852054794521</v>
      </c>
      <c r="AT67" s="31">
        <v>1130.5</v>
      </c>
      <c r="AU67" s="33">
        <v>8901.8520547945209</v>
      </c>
      <c r="AW67" s="27">
        <v>8901.8520547945209</v>
      </c>
      <c r="AX67" s="16"/>
      <c r="AY67" s="16"/>
      <c r="AZ67" s="28">
        <v>2.6547945205479451</v>
      </c>
      <c r="BA67" s="29">
        <v>7.3452054794520549</v>
      </c>
      <c r="BB67" s="27">
        <v>595</v>
      </c>
      <c r="BC67" s="30">
        <v>9437.3520547945209</v>
      </c>
      <c r="BD67" s="34">
        <v>1130.5</v>
      </c>
      <c r="BE67" s="33">
        <v>7771.3520547945209</v>
      </c>
      <c r="BF67" s="33"/>
      <c r="BG67" s="27">
        <v>7771.3520547945209</v>
      </c>
      <c r="BH67" s="16"/>
      <c r="BI67" s="16"/>
      <c r="BJ67" s="28">
        <v>3.6547945205479451</v>
      </c>
      <c r="BK67" s="29">
        <v>6.3452054794520549</v>
      </c>
      <c r="BL67" s="27">
        <v>595</v>
      </c>
      <c r="BM67" s="30">
        <v>7176.3520547945209</v>
      </c>
      <c r="BN67" s="34">
        <v>1130.5</v>
      </c>
      <c r="BO67" s="35">
        <v>6640.8520547945209</v>
      </c>
      <c r="BP67" s="36"/>
      <c r="BQ67" s="27">
        <v>6640.8520547945209</v>
      </c>
      <c r="BR67" s="16"/>
      <c r="BS67" s="16"/>
      <c r="BT67" s="28">
        <v>4.6547945205479451</v>
      </c>
      <c r="BU67" s="29">
        <v>5.3452054794520549</v>
      </c>
      <c r="BV67" s="27">
        <v>595</v>
      </c>
      <c r="BW67" s="30">
        <v>6045.8520547945209</v>
      </c>
      <c r="BX67" s="34">
        <v>1130.5</v>
      </c>
      <c r="BY67" s="35">
        <v>5510.3520547945209</v>
      </c>
      <c r="CA67" s="35">
        <v>5510.3520547945209</v>
      </c>
      <c r="CB67" s="16"/>
      <c r="CC67" s="16"/>
      <c r="CD67" s="28">
        <v>5.6575342465753424</v>
      </c>
      <c r="CE67" s="29">
        <v>4.3424657534246576</v>
      </c>
      <c r="CF67" s="27">
        <v>595</v>
      </c>
      <c r="CG67" s="30">
        <v>4915.3520547945209</v>
      </c>
      <c r="CH67" s="31">
        <v>1130.5</v>
      </c>
      <c r="CI67" s="35">
        <v>4379.8520547945209</v>
      </c>
      <c r="CK67" s="36">
        <v>3784.8520547945209</v>
      </c>
      <c r="CL67" s="35">
        <v>4379.8520547945209</v>
      </c>
      <c r="CM67" s="16"/>
      <c r="CN67" s="16"/>
      <c r="CO67" s="28">
        <v>6.6575342465753424</v>
      </c>
      <c r="CP67" s="29">
        <v>3.3424657534246576</v>
      </c>
      <c r="CQ67" s="27">
        <v>595</v>
      </c>
      <c r="CR67" s="34">
        <v>3784.8520547945209</v>
      </c>
      <c r="CS67" s="34">
        <v>1130.5</v>
      </c>
      <c r="CT67" s="35">
        <v>3249.3520547945209</v>
      </c>
      <c r="CV67" s="35">
        <v>2654.3520547945209</v>
      </c>
      <c r="CW67" s="35">
        <v>3249.3520547945209</v>
      </c>
      <c r="CX67" s="16"/>
      <c r="CY67" s="16"/>
      <c r="CZ67" s="28">
        <v>8.6575342465753433</v>
      </c>
      <c r="DA67" s="29">
        <v>1.3424657534246567</v>
      </c>
      <c r="DB67" s="27">
        <v>595</v>
      </c>
      <c r="DC67" s="34">
        <v>2654.3520547945209</v>
      </c>
      <c r="DD67" s="34">
        <v>1130.5</v>
      </c>
      <c r="DE67" s="35">
        <v>2118.8520547945209</v>
      </c>
      <c r="DG67" s="35">
        <v>11900</v>
      </c>
      <c r="DH67" s="35">
        <v>9781.1479452054791</v>
      </c>
      <c r="DI67" s="35">
        <f t="shared" si="0"/>
        <v>2118.8520547945209</v>
      </c>
      <c r="DJ67" s="132">
        <f t="shared" si="1"/>
        <v>2118.8520547945209</v>
      </c>
      <c r="DK67" s="132">
        <f t="shared" si="2"/>
        <v>0</v>
      </c>
      <c r="DL67" s="132">
        <f t="shared" si="3"/>
        <v>0</v>
      </c>
    </row>
    <row r="68" spans="2:116" s="4" customFormat="1" ht="17.25" customHeight="1" x14ac:dyDescent="0.25">
      <c r="B68" s="13" t="s">
        <v>4</v>
      </c>
      <c r="C68" s="14" t="s">
        <v>4</v>
      </c>
      <c r="D68" s="15" t="s">
        <v>101</v>
      </c>
      <c r="E68" s="15" t="s">
        <v>239</v>
      </c>
      <c r="F68" s="16" t="s">
        <v>240</v>
      </c>
      <c r="G68" s="11" t="s">
        <v>111</v>
      </c>
      <c r="H68" s="17">
        <v>41856</v>
      </c>
      <c r="I68" s="18" t="s">
        <v>422</v>
      </c>
      <c r="J68" s="19">
        <v>0</v>
      </c>
      <c r="K68" s="20">
        <v>10</v>
      </c>
      <c r="L68" s="21">
        <v>10</v>
      </c>
      <c r="M68" s="23">
        <v>12460</v>
      </c>
      <c r="N68" s="38">
        <v>0</v>
      </c>
      <c r="O68" s="24">
        <v>12460</v>
      </c>
      <c r="P68" s="24">
        <v>238</v>
      </c>
      <c r="Q68" s="25">
        <v>10</v>
      </c>
      <c r="R68" s="26">
        <v>623</v>
      </c>
      <c r="S68" s="25">
        <v>11837</v>
      </c>
      <c r="T68" s="25">
        <v>771.83726027397267</v>
      </c>
      <c r="U68" s="25"/>
      <c r="V68" s="25">
        <v>0</v>
      </c>
      <c r="W68" s="25">
        <v>771.83726027397267</v>
      </c>
      <c r="X68" s="25">
        <v>771.83726027397267</v>
      </c>
      <c r="Y68" s="25">
        <v>0</v>
      </c>
      <c r="Z68" s="24">
        <v>12460</v>
      </c>
      <c r="AA68" s="27">
        <v>11688.162739726027</v>
      </c>
      <c r="AB68" s="16"/>
      <c r="AC68" s="27">
        <v>11688.162739726027</v>
      </c>
      <c r="AD68" s="16"/>
      <c r="AE68" s="16"/>
      <c r="AF68" s="28">
        <v>0.65205479452054793</v>
      </c>
      <c r="AG68" s="29">
        <v>9.3479452054794514</v>
      </c>
      <c r="AH68" s="27">
        <v>623</v>
      </c>
      <c r="AI68" s="30">
        <v>11837</v>
      </c>
      <c r="AJ68" s="31">
        <v>1183.7</v>
      </c>
      <c r="AK68" s="32">
        <v>10504.462739726026</v>
      </c>
      <c r="AL68" s="16"/>
      <c r="AM68" s="27">
        <v>10504.462739726026</v>
      </c>
      <c r="AN68" s="16"/>
      <c r="AO68" s="16"/>
      <c r="AP68" s="28">
        <v>1.6547945205479453</v>
      </c>
      <c r="AQ68" s="29">
        <v>8.3452054794520549</v>
      </c>
      <c r="AR68" s="27">
        <v>623</v>
      </c>
      <c r="AS68" s="30">
        <v>11065.162739726027</v>
      </c>
      <c r="AT68" s="31">
        <v>1183.7</v>
      </c>
      <c r="AU68" s="33">
        <v>9320.7627397260258</v>
      </c>
      <c r="AW68" s="27">
        <v>9320.7627397260258</v>
      </c>
      <c r="AX68" s="16"/>
      <c r="AY68" s="16"/>
      <c r="AZ68" s="28">
        <v>2.6547945205479451</v>
      </c>
      <c r="BA68" s="29">
        <v>7.3452054794520549</v>
      </c>
      <c r="BB68" s="27">
        <v>623</v>
      </c>
      <c r="BC68" s="30">
        <v>9881.4627397260265</v>
      </c>
      <c r="BD68" s="34">
        <v>1183.7</v>
      </c>
      <c r="BE68" s="33">
        <v>8137.0627397260259</v>
      </c>
      <c r="BF68" s="33"/>
      <c r="BG68" s="27">
        <v>8137.0627397260259</v>
      </c>
      <c r="BH68" s="16"/>
      <c r="BI68" s="16"/>
      <c r="BJ68" s="28">
        <v>3.6547945205479451</v>
      </c>
      <c r="BK68" s="29">
        <v>6.3452054794520549</v>
      </c>
      <c r="BL68" s="27">
        <v>623</v>
      </c>
      <c r="BM68" s="30">
        <v>7514.0627397260259</v>
      </c>
      <c r="BN68" s="34">
        <v>1183.7</v>
      </c>
      <c r="BO68" s="35">
        <v>6953.3627397260261</v>
      </c>
      <c r="BP68" s="36"/>
      <c r="BQ68" s="27">
        <v>6953.3627397260261</v>
      </c>
      <c r="BR68" s="16"/>
      <c r="BS68" s="16"/>
      <c r="BT68" s="28">
        <v>4.6547945205479451</v>
      </c>
      <c r="BU68" s="29">
        <v>5.3452054794520549</v>
      </c>
      <c r="BV68" s="27">
        <v>623</v>
      </c>
      <c r="BW68" s="30">
        <v>6330.3627397260261</v>
      </c>
      <c r="BX68" s="34">
        <v>1183.7</v>
      </c>
      <c r="BY68" s="35">
        <v>5769.6627397260263</v>
      </c>
      <c r="CA68" s="35">
        <v>5769.6627397260263</v>
      </c>
      <c r="CB68" s="16"/>
      <c r="CC68" s="16"/>
      <c r="CD68" s="28">
        <v>5.6575342465753424</v>
      </c>
      <c r="CE68" s="29">
        <v>4.3424657534246576</v>
      </c>
      <c r="CF68" s="27">
        <v>623</v>
      </c>
      <c r="CG68" s="30">
        <v>5146.6627397260263</v>
      </c>
      <c r="CH68" s="31">
        <v>1183.7</v>
      </c>
      <c r="CI68" s="35">
        <v>4585.9627397260265</v>
      </c>
      <c r="CK68" s="36">
        <v>3962.9627397260265</v>
      </c>
      <c r="CL68" s="35">
        <v>4585.9627397260265</v>
      </c>
      <c r="CM68" s="16"/>
      <c r="CN68" s="16"/>
      <c r="CO68" s="28">
        <v>6.6575342465753424</v>
      </c>
      <c r="CP68" s="29">
        <v>3.3424657534246576</v>
      </c>
      <c r="CQ68" s="27">
        <v>623</v>
      </c>
      <c r="CR68" s="34">
        <v>3962.9627397260265</v>
      </c>
      <c r="CS68" s="34">
        <v>1183.7</v>
      </c>
      <c r="CT68" s="35">
        <v>3402.2627397260267</v>
      </c>
      <c r="CV68" s="35">
        <v>2779.2627397260267</v>
      </c>
      <c r="CW68" s="35">
        <v>3402.2627397260267</v>
      </c>
      <c r="CX68" s="16"/>
      <c r="CY68" s="16"/>
      <c r="CZ68" s="28">
        <v>8.6575342465753433</v>
      </c>
      <c r="DA68" s="29">
        <v>1.3424657534246567</v>
      </c>
      <c r="DB68" s="27">
        <v>623</v>
      </c>
      <c r="DC68" s="34">
        <v>2779.2627397260267</v>
      </c>
      <c r="DD68" s="34">
        <v>1183.7</v>
      </c>
      <c r="DE68" s="35">
        <v>2218.5627397260268</v>
      </c>
      <c r="DG68" s="35">
        <v>12460</v>
      </c>
      <c r="DH68" s="35">
        <v>10241.437260273973</v>
      </c>
      <c r="DI68" s="35">
        <f t="shared" si="0"/>
        <v>2218.5627397260268</v>
      </c>
      <c r="DJ68" s="132">
        <f t="shared" si="1"/>
        <v>2218.5627397260268</v>
      </c>
      <c r="DK68" s="132">
        <f t="shared" si="2"/>
        <v>0</v>
      </c>
      <c r="DL68" s="132">
        <f t="shared" si="3"/>
        <v>0</v>
      </c>
    </row>
    <row r="69" spans="2:116" s="4" customFormat="1" ht="39" x14ac:dyDescent="0.25">
      <c r="B69" s="13" t="s">
        <v>4</v>
      </c>
      <c r="C69" s="14" t="s">
        <v>4</v>
      </c>
      <c r="D69" s="15" t="s">
        <v>101</v>
      </c>
      <c r="E69" s="15" t="s">
        <v>241</v>
      </c>
      <c r="F69" s="16" t="s">
        <v>242</v>
      </c>
      <c r="G69" s="11" t="s">
        <v>111</v>
      </c>
      <c r="H69" s="17">
        <v>41907</v>
      </c>
      <c r="I69" s="18" t="s">
        <v>422</v>
      </c>
      <c r="J69" s="19">
        <v>0</v>
      </c>
      <c r="K69" s="20">
        <v>10</v>
      </c>
      <c r="L69" s="21">
        <v>10</v>
      </c>
      <c r="M69" s="23">
        <v>88500</v>
      </c>
      <c r="N69" s="38">
        <v>0</v>
      </c>
      <c r="O69" s="24">
        <v>88500</v>
      </c>
      <c r="P69" s="24">
        <v>187</v>
      </c>
      <c r="Q69" s="25">
        <v>10</v>
      </c>
      <c r="R69" s="26">
        <v>4425</v>
      </c>
      <c r="S69" s="25">
        <v>84075</v>
      </c>
      <c r="T69" s="25">
        <v>4307.4041095890407</v>
      </c>
      <c r="U69" s="25"/>
      <c r="V69" s="25">
        <v>0</v>
      </c>
      <c r="W69" s="25">
        <v>4307.4041095890407</v>
      </c>
      <c r="X69" s="25">
        <v>4307.4041095890407</v>
      </c>
      <c r="Y69" s="25">
        <v>0</v>
      </c>
      <c r="Z69" s="24">
        <v>88500</v>
      </c>
      <c r="AA69" s="27">
        <v>84192.595890410958</v>
      </c>
      <c r="AB69" s="16"/>
      <c r="AC69" s="27">
        <v>84192.595890410958</v>
      </c>
      <c r="AD69" s="16"/>
      <c r="AE69" s="16"/>
      <c r="AF69" s="28">
        <v>0.51232876712328768</v>
      </c>
      <c r="AG69" s="29">
        <v>9.4876712328767123</v>
      </c>
      <c r="AH69" s="27">
        <v>4425</v>
      </c>
      <c r="AI69" s="30">
        <v>84075</v>
      </c>
      <c r="AJ69" s="31">
        <v>8407.5</v>
      </c>
      <c r="AK69" s="32">
        <v>75785.095890410958</v>
      </c>
      <c r="AL69" s="16"/>
      <c r="AM69" s="27">
        <v>75785.095890410958</v>
      </c>
      <c r="AN69" s="16"/>
      <c r="AO69" s="16"/>
      <c r="AP69" s="28">
        <v>1.515068493150685</v>
      </c>
      <c r="AQ69" s="29">
        <v>8.4849315068493141</v>
      </c>
      <c r="AR69" s="27">
        <v>4425</v>
      </c>
      <c r="AS69" s="30">
        <v>79767.595890410958</v>
      </c>
      <c r="AT69" s="31">
        <v>8407.5</v>
      </c>
      <c r="AU69" s="33">
        <v>67377.595890410958</v>
      </c>
      <c r="AW69" s="27">
        <v>67377.595890410958</v>
      </c>
      <c r="AX69" s="16"/>
      <c r="AY69" s="16"/>
      <c r="AZ69" s="28">
        <v>2.515068493150685</v>
      </c>
      <c r="BA69" s="29">
        <v>7.484931506849315</v>
      </c>
      <c r="BB69" s="27">
        <v>4425</v>
      </c>
      <c r="BC69" s="30">
        <v>71360.095890410958</v>
      </c>
      <c r="BD69" s="34">
        <v>8407.5</v>
      </c>
      <c r="BE69" s="33">
        <v>58970.095890410958</v>
      </c>
      <c r="BF69" s="33"/>
      <c r="BG69" s="27">
        <v>58970.095890410958</v>
      </c>
      <c r="BH69" s="16"/>
      <c r="BI69" s="16"/>
      <c r="BJ69" s="28">
        <v>3.515068493150685</v>
      </c>
      <c r="BK69" s="29">
        <v>6.484931506849315</v>
      </c>
      <c r="BL69" s="27">
        <v>4425</v>
      </c>
      <c r="BM69" s="30">
        <v>54545.095890410958</v>
      </c>
      <c r="BN69" s="34">
        <v>8407.5</v>
      </c>
      <c r="BO69" s="35">
        <v>50562.595890410958</v>
      </c>
      <c r="BP69" s="36"/>
      <c r="BQ69" s="27">
        <v>50562.595890410958</v>
      </c>
      <c r="BR69" s="16"/>
      <c r="BS69" s="16"/>
      <c r="BT69" s="28">
        <v>4.515068493150685</v>
      </c>
      <c r="BU69" s="29">
        <v>5.484931506849315</v>
      </c>
      <c r="BV69" s="27">
        <v>4425</v>
      </c>
      <c r="BW69" s="30">
        <v>46137.595890410958</v>
      </c>
      <c r="BX69" s="34">
        <v>8407.5</v>
      </c>
      <c r="BY69" s="35">
        <v>42155.095890410958</v>
      </c>
      <c r="CA69" s="35">
        <v>42155.095890410958</v>
      </c>
      <c r="CB69" s="16"/>
      <c r="CC69" s="16"/>
      <c r="CD69" s="28">
        <v>5.5178082191780824</v>
      </c>
      <c r="CE69" s="29">
        <v>4.4821917808219176</v>
      </c>
      <c r="CF69" s="27">
        <v>4425</v>
      </c>
      <c r="CG69" s="30">
        <v>37730.095890410958</v>
      </c>
      <c r="CH69" s="31">
        <v>8407.5</v>
      </c>
      <c r="CI69" s="35">
        <v>33747.595890410958</v>
      </c>
      <c r="CK69" s="36">
        <v>29322.595890410958</v>
      </c>
      <c r="CL69" s="35">
        <v>33747.595890410958</v>
      </c>
      <c r="CM69" s="16"/>
      <c r="CN69" s="16"/>
      <c r="CO69" s="28">
        <v>6.5178082191780824</v>
      </c>
      <c r="CP69" s="29">
        <v>3.4821917808219176</v>
      </c>
      <c r="CQ69" s="27">
        <v>4425</v>
      </c>
      <c r="CR69" s="34">
        <v>29322.595890410958</v>
      </c>
      <c r="CS69" s="34">
        <v>8407.5</v>
      </c>
      <c r="CT69" s="35">
        <v>25340.095890410958</v>
      </c>
      <c r="CV69" s="35">
        <v>20915.095890410958</v>
      </c>
      <c r="CW69" s="35">
        <v>25340.095890410958</v>
      </c>
      <c r="CX69" s="16"/>
      <c r="CY69" s="16"/>
      <c r="CZ69" s="28">
        <v>8.5178082191780824</v>
      </c>
      <c r="DA69" s="29">
        <v>1.4821917808219176</v>
      </c>
      <c r="DB69" s="27">
        <v>4425</v>
      </c>
      <c r="DC69" s="34">
        <v>20915.095890410958</v>
      </c>
      <c r="DD69" s="34">
        <v>8407.5</v>
      </c>
      <c r="DE69" s="35">
        <v>16932.595890410958</v>
      </c>
      <c r="DG69" s="35">
        <v>88500</v>
      </c>
      <c r="DH69" s="35">
        <v>71567.404109589042</v>
      </c>
      <c r="DI69" s="35">
        <f t="shared" si="0"/>
        <v>16932.595890410958</v>
      </c>
      <c r="DJ69" s="132">
        <f t="shared" si="1"/>
        <v>16932.595890410958</v>
      </c>
      <c r="DK69" s="132">
        <f t="shared" si="2"/>
        <v>0</v>
      </c>
      <c r="DL69" s="132">
        <f t="shared" si="3"/>
        <v>0</v>
      </c>
    </row>
    <row r="70" spans="2:116" s="4" customFormat="1" ht="39" x14ac:dyDescent="0.25">
      <c r="B70" s="13" t="s">
        <v>4</v>
      </c>
      <c r="C70" s="14" t="s">
        <v>4</v>
      </c>
      <c r="D70" s="15" t="s">
        <v>101</v>
      </c>
      <c r="E70" s="15" t="s">
        <v>243</v>
      </c>
      <c r="F70" s="16" t="s">
        <v>244</v>
      </c>
      <c r="G70" s="11" t="s">
        <v>111</v>
      </c>
      <c r="H70" s="17">
        <v>41911</v>
      </c>
      <c r="I70" s="18" t="s">
        <v>422</v>
      </c>
      <c r="J70" s="19">
        <v>0</v>
      </c>
      <c r="K70" s="20">
        <v>10</v>
      </c>
      <c r="L70" s="21">
        <v>10</v>
      </c>
      <c r="M70" s="23">
        <v>38500</v>
      </c>
      <c r="N70" s="38">
        <v>0</v>
      </c>
      <c r="O70" s="24">
        <v>38500</v>
      </c>
      <c r="P70" s="24">
        <v>183</v>
      </c>
      <c r="Q70" s="25">
        <v>10</v>
      </c>
      <c r="R70" s="26">
        <v>1925</v>
      </c>
      <c r="S70" s="25">
        <v>36575</v>
      </c>
      <c r="T70" s="25">
        <v>1833.7602739726026</v>
      </c>
      <c r="U70" s="25"/>
      <c r="V70" s="25">
        <v>0</v>
      </c>
      <c r="W70" s="25">
        <v>1833.7602739726026</v>
      </c>
      <c r="X70" s="25">
        <v>1833.7602739726026</v>
      </c>
      <c r="Y70" s="25">
        <v>0</v>
      </c>
      <c r="Z70" s="24">
        <v>38500</v>
      </c>
      <c r="AA70" s="27">
        <v>36666.239726027401</v>
      </c>
      <c r="AB70" s="16"/>
      <c r="AC70" s="27">
        <v>36666.239726027401</v>
      </c>
      <c r="AD70" s="16"/>
      <c r="AE70" s="16"/>
      <c r="AF70" s="28">
        <v>0.50136986301369868</v>
      </c>
      <c r="AG70" s="29">
        <v>9.4986301369863018</v>
      </c>
      <c r="AH70" s="27">
        <v>1925</v>
      </c>
      <c r="AI70" s="30">
        <v>36575</v>
      </c>
      <c r="AJ70" s="31">
        <v>3657.5</v>
      </c>
      <c r="AK70" s="32">
        <v>33008.739726027401</v>
      </c>
      <c r="AL70" s="16"/>
      <c r="AM70" s="27">
        <v>33008.739726027401</v>
      </c>
      <c r="AN70" s="16"/>
      <c r="AO70" s="16"/>
      <c r="AP70" s="28">
        <v>1.5041095890410958</v>
      </c>
      <c r="AQ70" s="29">
        <v>8.4958904109589035</v>
      </c>
      <c r="AR70" s="27">
        <v>1925</v>
      </c>
      <c r="AS70" s="30">
        <v>34741.239726027401</v>
      </c>
      <c r="AT70" s="31">
        <v>3657.5</v>
      </c>
      <c r="AU70" s="33">
        <v>29351.239726027401</v>
      </c>
      <c r="AW70" s="27">
        <v>29351.239726027401</v>
      </c>
      <c r="AX70" s="16"/>
      <c r="AY70" s="16"/>
      <c r="AZ70" s="28">
        <v>2.504109589041096</v>
      </c>
      <c r="BA70" s="29">
        <v>7.4958904109589035</v>
      </c>
      <c r="BB70" s="27">
        <v>1925</v>
      </c>
      <c r="BC70" s="30">
        <v>31083.739726027401</v>
      </c>
      <c r="BD70" s="34">
        <v>3657.5</v>
      </c>
      <c r="BE70" s="33">
        <v>25693.739726027401</v>
      </c>
      <c r="BF70" s="33"/>
      <c r="BG70" s="27">
        <v>25693.739726027401</v>
      </c>
      <c r="BH70" s="16"/>
      <c r="BI70" s="16"/>
      <c r="BJ70" s="28">
        <v>3.504109589041096</v>
      </c>
      <c r="BK70" s="29">
        <v>6.4958904109589035</v>
      </c>
      <c r="BL70" s="27">
        <v>1925</v>
      </c>
      <c r="BM70" s="30">
        <v>23768.739726027401</v>
      </c>
      <c r="BN70" s="34">
        <v>3657.5</v>
      </c>
      <c r="BO70" s="35">
        <v>22036.239726027401</v>
      </c>
      <c r="BP70" s="36"/>
      <c r="BQ70" s="27">
        <v>22036.239726027401</v>
      </c>
      <c r="BR70" s="16"/>
      <c r="BS70" s="16"/>
      <c r="BT70" s="28">
        <v>4.5041095890410956</v>
      </c>
      <c r="BU70" s="29">
        <v>5.4958904109589044</v>
      </c>
      <c r="BV70" s="27">
        <v>1925</v>
      </c>
      <c r="BW70" s="30">
        <v>20111.239726027401</v>
      </c>
      <c r="BX70" s="34">
        <v>3657.5</v>
      </c>
      <c r="BY70" s="35">
        <v>18378.739726027401</v>
      </c>
      <c r="CA70" s="35">
        <v>18378.739726027401</v>
      </c>
      <c r="CB70" s="16"/>
      <c r="CC70" s="16"/>
      <c r="CD70" s="28">
        <v>5.506849315068493</v>
      </c>
      <c r="CE70" s="29">
        <v>4.493150684931507</v>
      </c>
      <c r="CF70" s="27">
        <v>1925</v>
      </c>
      <c r="CG70" s="30">
        <v>16453.739726027401</v>
      </c>
      <c r="CH70" s="31">
        <v>3657.5</v>
      </c>
      <c r="CI70" s="35">
        <v>14721.239726027401</v>
      </c>
      <c r="CK70" s="36">
        <v>12796.239726027401</v>
      </c>
      <c r="CL70" s="35">
        <v>14721.239726027401</v>
      </c>
      <c r="CM70" s="16"/>
      <c r="CN70" s="16"/>
      <c r="CO70" s="28">
        <v>6.506849315068493</v>
      </c>
      <c r="CP70" s="29">
        <v>3.493150684931507</v>
      </c>
      <c r="CQ70" s="27">
        <v>1925</v>
      </c>
      <c r="CR70" s="34">
        <v>12796.239726027401</v>
      </c>
      <c r="CS70" s="34">
        <v>3657.5</v>
      </c>
      <c r="CT70" s="35">
        <v>11063.739726027401</v>
      </c>
      <c r="CV70" s="35">
        <v>9138.739726027401</v>
      </c>
      <c r="CW70" s="35">
        <v>11063.739726027401</v>
      </c>
      <c r="CX70" s="16"/>
      <c r="CY70" s="16"/>
      <c r="CZ70" s="28">
        <v>8.506849315068493</v>
      </c>
      <c r="DA70" s="29">
        <v>1.493150684931507</v>
      </c>
      <c r="DB70" s="27">
        <v>1925</v>
      </c>
      <c r="DC70" s="34">
        <v>9138.739726027401</v>
      </c>
      <c r="DD70" s="34">
        <v>3657.5</v>
      </c>
      <c r="DE70" s="35">
        <v>7406.239726027401</v>
      </c>
      <c r="DG70" s="35">
        <v>38500</v>
      </c>
      <c r="DH70" s="35">
        <v>31093.760273972603</v>
      </c>
      <c r="DI70" s="35">
        <f t="shared" si="0"/>
        <v>7406.2397260273974</v>
      </c>
      <c r="DJ70" s="132">
        <f t="shared" si="1"/>
        <v>7406.2397260273974</v>
      </c>
      <c r="DK70" s="132">
        <f t="shared" si="2"/>
        <v>0</v>
      </c>
      <c r="DL70" s="132">
        <f t="shared" si="3"/>
        <v>0</v>
      </c>
    </row>
    <row r="71" spans="2:116" s="4" customFormat="1" ht="39" x14ac:dyDescent="0.25">
      <c r="B71" s="13" t="s">
        <v>4</v>
      </c>
      <c r="C71" s="14" t="s">
        <v>4</v>
      </c>
      <c r="D71" s="15" t="s">
        <v>101</v>
      </c>
      <c r="E71" s="15" t="s">
        <v>245</v>
      </c>
      <c r="F71" s="16" t="s">
        <v>246</v>
      </c>
      <c r="G71" s="11" t="s">
        <v>111</v>
      </c>
      <c r="H71" s="17">
        <v>41921</v>
      </c>
      <c r="I71" s="18" t="s">
        <v>422</v>
      </c>
      <c r="J71" s="19">
        <v>0</v>
      </c>
      <c r="K71" s="20">
        <v>10</v>
      </c>
      <c r="L71" s="21">
        <v>10</v>
      </c>
      <c r="M71" s="23">
        <v>245000</v>
      </c>
      <c r="N71" s="38">
        <v>0</v>
      </c>
      <c r="O71" s="24">
        <v>245000</v>
      </c>
      <c r="P71" s="24">
        <v>173</v>
      </c>
      <c r="Q71" s="25">
        <v>10</v>
      </c>
      <c r="R71" s="26">
        <v>12250</v>
      </c>
      <c r="S71" s="25">
        <v>232750</v>
      </c>
      <c r="T71" s="25">
        <v>11031.712328767124</v>
      </c>
      <c r="U71" s="25"/>
      <c r="V71" s="25">
        <v>0</v>
      </c>
      <c r="W71" s="25">
        <v>11031.712328767124</v>
      </c>
      <c r="X71" s="25">
        <v>11031.712328767124</v>
      </c>
      <c r="Y71" s="25">
        <v>0</v>
      </c>
      <c r="Z71" s="24">
        <v>245000</v>
      </c>
      <c r="AA71" s="27">
        <v>233968.28767123289</v>
      </c>
      <c r="AB71" s="16"/>
      <c r="AC71" s="27">
        <v>233968.28767123289</v>
      </c>
      <c r="AD71" s="16"/>
      <c r="AE71" s="16"/>
      <c r="AF71" s="28">
        <v>0.47397260273972602</v>
      </c>
      <c r="AG71" s="29">
        <v>9.5260273972602736</v>
      </c>
      <c r="AH71" s="27">
        <v>12250</v>
      </c>
      <c r="AI71" s="30">
        <v>232750</v>
      </c>
      <c r="AJ71" s="31">
        <v>23275</v>
      </c>
      <c r="AK71" s="32">
        <v>210693.28767123289</v>
      </c>
      <c r="AL71" s="16"/>
      <c r="AM71" s="27">
        <v>210693.28767123289</v>
      </c>
      <c r="AN71" s="16"/>
      <c r="AO71" s="16"/>
      <c r="AP71" s="28">
        <v>1.4767123287671233</v>
      </c>
      <c r="AQ71" s="29">
        <v>8.5232876712328771</v>
      </c>
      <c r="AR71" s="27">
        <v>12250</v>
      </c>
      <c r="AS71" s="30">
        <v>221718.28767123289</v>
      </c>
      <c r="AT71" s="31">
        <v>23275</v>
      </c>
      <c r="AU71" s="33">
        <v>187418.28767123289</v>
      </c>
      <c r="AW71" s="27">
        <v>187418.28767123289</v>
      </c>
      <c r="AX71" s="16"/>
      <c r="AY71" s="16"/>
      <c r="AZ71" s="28">
        <v>2.4767123287671233</v>
      </c>
      <c r="BA71" s="29">
        <v>7.5232876712328771</v>
      </c>
      <c r="BB71" s="27">
        <v>12250</v>
      </c>
      <c r="BC71" s="30">
        <v>198443.28767123289</v>
      </c>
      <c r="BD71" s="34">
        <v>23275</v>
      </c>
      <c r="BE71" s="33">
        <v>164143.28767123289</v>
      </c>
      <c r="BF71" s="33"/>
      <c r="BG71" s="27">
        <v>164143.28767123289</v>
      </c>
      <c r="BH71" s="16"/>
      <c r="BI71" s="16"/>
      <c r="BJ71" s="28">
        <v>3.4767123287671233</v>
      </c>
      <c r="BK71" s="29">
        <v>6.5232876712328771</v>
      </c>
      <c r="BL71" s="27">
        <v>12250</v>
      </c>
      <c r="BM71" s="30">
        <v>151893.28767123289</v>
      </c>
      <c r="BN71" s="34">
        <v>23275</v>
      </c>
      <c r="BO71" s="35">
        <v>140868.28767123289</v>
      </c>
      <c r="BP71" s="36"/>
      <c r="BQ71" s="27">
        <v>140868.28767123289</v>
      </c>
      <c r="BR71" s="16"/>
      <c r="BS71" s="16"/>
      <c r="BT71" s="28">
        <v>4.4767123287671229</v>
      </c>
      <c r="BU71" s="29">
        <v>5.5232876712328771</v>
      </c>
      <c r="BV71" s="27">
        <v>12250</v>
      </c>
      <c r="BW71" s="30">
        <v>128618.28767123289</v>
      </c>
      <c r="BX71" s="34">
        <v>23275</v>
      </c>
      <c r="BY71" s="35">
        <v>117593.28767123289</v>
      </c>
      <c r="CA71" s="35">
        <v>117593.28767123289</v>
      </c>
      <c r="CB71" s="16"/>
      <c r="CC71" s="16"/>
      <c r="CD71" s="28">
        <v>5.4794520547945202</v>
      </c>
      <c r="CE71" s="29">
        <v>4.5205479452054798</v>
      </c>
      <c r="CF71" s="27">
        <v>12250</v>
      </c>
      <c r="CG71" s="30">
        <v>105343.28767123289</v>
      </c>
      <c r="CH71" s="31">
        <v>23275</v>
      </c>
      <c r="CI71" s="35">
        <v>94318.287671232887</v>
      </c>
      <c r="CK71" s="36">
        <v>82068.287671232887</v>
      </c>
      <c r="CL71" s="35">
        <v>94318.287671232887</v>
      </c>
      <c r="CM71" s="16"/>
      <c r="CN71" s="16"/>
      <c r="CO71" s="28">
        <v>6.4794520547945202</v>
      </c>
      <c r="CP71" s="29">
        <v>3.5205479452054798</v>
      </c>
      <c r="CQ71" s="27">
        <v>12250</v>
      </c>
      <c r="CR71" s="34">
        <v>82068.287671232887</v>
      </c>
      <c r="CS71" s="34">
        <v>23275</v>
      </c>
      <c r="CT71" s="35">
        <v>71043.287671232887</v>
      </c>
      <c r="CV71" s="35">
        <v>58793.287671232887</v>
      </c>
      <c r="CW71" s="35">
        <v>71043.287671232887</v>
      </c>
      <c r="CX71" s="16"/>
      <c r="CY71" s="16"/>
      <c r="CZ71" s="28">
        <v>8.4794520547945211</v>
      </c>
      <c r="DA71" s="29">
        <v>1.5205479452054789</v>
      </c>
      <c r="DB71" s="27">
        <v>12250</v>
      </c>
      <c r="DC71" s="34">
        <v>58793.287671232887</v>
      </c>
      <c r="DD71" s="34">
        <v>23275</v>
      </c>
      <c r="DE71" s="35">
        <v>47768.287671232887</v>
      </c>
      <c r="DG71" s="35">
        <v>245000</v>
      </c>
      <c r="DH71" s="35">
        <v>197231.71232876711</v>
      </c>
      <c r="DI71" s="35">
        <f t="shared" si="0"/>
        <v>47768.287671232887</v>
      </c>
      <c r="DJ71" s="132">
        <f t="shared" si="1"/>
        <v>47768.287671232887</v>
      </c>
      <c r="DK71" s="132">
        <f t="shared" si="2"/>
        <v>0</v>
      </c>
      <c r="DL71" s="132">
        <f t="shared" si="3"/>
        <v>0</v>
      </c>
    </row>
    <row r="72" spans="2:116" s="4" customFormat="1" ht="39" x14ac:dyDescent="0.25">
      <c r="B72" s="13" t="s">
        <v>4</v>
      </c>
      <c r="C72" s="14" t="s">
        <v>4</v>
      </c>
      <c r="D72" s="15" t="s">
        <v>101</v>
      </c>
      <c r="E72" s="15" t="s">
        <v>247</v>
      </c>
      <c r="F72" s="16" t="s">
        <v>248</v>
      </c>
      <c r="G72" s="11" t="s">
        <v>111</v>
      </c>
      <c r="H72" s="17">
        <v>41932</v>
      </c>
      <c r="I72" s="18" t="s">
        <v>422</v>
      </c>
      <c r="J72" s="19">
        <v>0</v>
      </c>
      <c r="K72" s="20">
        <v>10</v>
      </c>
      <c r="L72" s="21">
        <v>10</v>
      </c>
      <c r="M72" s="23">
        <v>6542</v>
      </c>
      <c r="N72" s="38">
        <v>0</v>
      </c>
      <c r="O72" s="24">
        <v>6542</v>
      </c>
      <c r="P72" s="24">
        <v>162</v>
      </c>
      <c r="Q72" s="25">
        <v>10</v>
      </c>
      <c r="R72" s="26">
        <v>327.10000000000002</v>
      </c>
      <c r="S72" s="25">
        <v>6214.9</v>
      </c>
      <c r="T72" s="25">
        <v>275.83939726027398</v>
      </c>
      <c r="U72" s="25"/>
      <c r="V72" s="25">
        <v>0</v>
      </c>
      <c r="W72" s="25">
        <v>275.83939726027398</v>
      </c>
      <c r="X72" s="25">
        <v>275.83939726027398</v>
      </c>
      <c r="Y72" s="25">
        <v>0</v>
      </c>
      <c r="Z72" s="24">
        <v>6542</v>
      </c>
      <c r="AA72" s="27">
        <v>6266.1606027397256</v>
      </c>
      <c r="AB72" s="16"/>
      <c r="AC72" s="27">
        <v>6266.1606027397256</v>
      </c>
      <c r="AD72" s="16"/>
      <c r="AE72" s="16"/>
      <c r="AF72" s="28">
        <v>0.44383561643835617</v>
      </c>
      <c r="AG72" s="29">
        <v>9.5561643835616437</v>
      </c>
      <c r="AH72" s="27">
        <v>327.10000000000002</v>
      </c>
      <c r="AI72" s="30">
        <v>6214.9</v>
      </c>
      <c r="AJ72" s="31">
        <v>621.49</v>
      </c>
      <c r="AK72" s="32">
        <v>5644.6706027397258</v>
      </c>
      <c r="AL72" s="16"/>
      <c r="AM72" s="27">
        <v>5644.6706027397258</v>
      </c>
      <c r="AN72" s="16"/>
      <c r="AO72" s="16"/>
      <c r="AP72" s="28">
        <v>1.4465753424657535</v>
      </c>
      <c r="AQ72" s="29">
        <v>8.5534246575342472</v>
      </c>
      <c r="AR72" s="27">
        <v>327.10000000000002</v>
      </c>
      <c r="AS72" s="30">
        <v>5939.0606027397253</v>
      </c>
      <c r="AT72" s="31">
        <v>621.49</v>
      </c>
      <c r="AU72" s="33">
        <v>5023.1806027397261</v>
      </c>
      <c r="AW72" s="27">
        <v>5023.1806027397261</v>
      </c>
      <c r="AX72" s="16"/>
      <c r="AY72" s="16"/>
      <c r="AZ72" s="28">
        <v>2.4465753424657533</v>
      </c>
      <c r="BA72" s="29">
        <v>7.5534246575342472</v>
      </c>
      <c r="BB72" s="27">
        <v>327.10000000000002</v>
      </c>
      <c r="BC72" s="30">
        <v>5317.5706027397255</v>
      </c>
      <c r="BD72" s="34">
        <v>621.49</v>
      </c>
      <c r="BE72" s="33">
        <v>4401.6906027397263</v>
      </c>
      <c r="BF72" s="33"/>
      <c r="BG72" s="27">
        <v>4401.6906027397263</v>
      </c>
      <c r="BH72" s="16"/>
      <c r="BI72" s="16"/>
      <c r="BJ72" s="28">
        <v>3.4465753424657533</v>
      </c>
      <c r="BK72" s="29">
        <v>6.5534246575342472</v>
      </c>
      <c r="BL72" s="27">
        <v>327.10000000000002</v>
      </c>
      <c r="BM72" s="30">
        <v>4074.5906027397264</v>
      </c>
      <c r="BN72" s="34">
        <v>621.49</v>
      </c>
      <c r="BO72" s="35">
        <v>3780.2006027397265</v>
      </c>
      <c r="BP72" s="36"/>
      <c r="BQ72" s="27">
        <v>3780.2006027397265</v>
      </c>
      <c r="BR72" s="16"/>
      <c r="BS72" s="16"/>
      <c r="BT72" s="28">
        <v>4.4465753424657537</v>
      </c>
      <c r="BU72" s="29">
        <v>5.5534246575342463</v>
      </c>
      <c r="BV72" s="27">
        <v>327.10000000000002</v>
      </c>
      <c r="BW72" s="30">
        <v>3453.1006027397266</v>
      </c>
      <c r="BX72" s="34">
        <v>621.49</v>
      </c>
      <c r="BY72" s="35">
        <v>3158.7106027397267</v>
      </c>
      <c r="CA72" s="35">
        <v>3158.7106027397267</v>
      </c>
      <c r="CB72" s="16"/>
      <c r="CC72" s="16"/>
      <c r="CD72" s="28">
        <v>5.4493150684931511</v>
      </c>
      <c r="CE72" s="29">
        <v>4.5506849315068489</v>
      </c>
      <c r="CF72" s="27">
        <v>327.10000000000002</v>
      </c>
      <c r="CG72" s="30">
        <v>2831.6106027397268</v>
      </c>
      <c r="CH72" s="31">
        <v>621.49</v>
      </c>
      <c r="CI72" s="35">
        <v>2537.2206027397269</v>
      </c>
      <c r="CK72" s="36">
        <v>2210.120602739727</v>
      </c>
      <c r="CL72" s="35">
        <v>2537.2206027397269</v>
      </c>
      <c r="CM72" s="16"/>
      <c r="CN72" s="16"/>
      <c r="CO72" s="28">
        <v>6.4493150684931511</v>
      </c>
      <c r="CP72" s="29">
        <v>3.5506849315068489</v>
      </c>
      <c r="CQ72" s="27">
        <v>327.10000000000002</v>
      </c>
      <c r="CR72" s="34">
        <v>2210.120602739727</v>
      </c>
      <c r="CS72" s="34">
        <v>621.49</v>
      </c>
      <c r="CT72" s="35">
        <v>1915.7306027397269</v>
      </c>
      <c r="CV72" s="35">
        <v>1588.6306027397268</v>
      </c>
      <c r="CW72" s="35">
        <v>1915.7306027397269</v>
      </c>
      <c r="CX72" s="16"/>
      <c r="CY72" s="16"/>
      <c r="CZ72" s="28">
        <v>8.4493150684931511</v>
      </c>
      <c r="DA72" s="29">
        <v>1.5506849315068489</v>
      </c>
      <c r="DB72" s="27">
        <v>327.10000000000002</v>
      </c>
      <c r="DC72" s="34">
        <v>1588.6306027397268</v>
      </c>
      <c r="DD72" s="34">
        <v>621.49</v>
      </c>
      <c r="DE72" s="35">
        <v>1294.2406027397269</v>
      </c>
      <c r="DG72" s="35">
        <v>6542</v>
      </c>
      <c r="DH72" s="35">
        <v>5247.7593972602726</v>
      </c>
      <c r="DI72" s="35">
        <f t="shared" ref="DI72:DI131" si="4">DG72-DH72</f>
        <v>1294.2406027397274</v>
      </c>
      <c r="DJ72" s="132">
        <f t="shared" ref="DJ72:DJ131" si="5">DG72-DH72</f>
        <v>1294.2406027397274</v>
      </c>
      <c r="DK72" s="132">
        <f t="shared" ref="DK72:DK131" si="6">DI72-DJ72</f>
        <v>0</v>
      </c>
      <c r="DL72" s="132">
        <f t="shared" ref="DL72:DL131" si="7">DE72-DJ72</f>
        <v>0</v>
      </c>
    </row>
    <row r="73" spans="2:116" s="4" customFormat="1" ht="39" x14ac:dyDescent="0.25">
      <c r="B73" s="13" t="s">
        <v>4</v>
      </c>
      <c r="C73" s="14" t="s">
        <v>4</v>
      </c>
      <c r="D73" s="15" t="s">
        <v>101</v>
      </c>
      <c r="E73" s="15" t="s">
        <v>249</v>
      </c>
      <c r="F73" s="16" t="s">
        <v>250</v>
      </c>
      <c r="G73" s="11" t="s">
        <v>111</v>
      </c>
      <c r="H73" s="17">
        <v>41933</v>
      </c>
      <c r="I73" s="18" t="s">
        <v>422</v>
      </c>
      <c r="J73" s="19">
        <v>0</v>
      </c>
      <c r="K73" s="20">
        <v>10</v>
      </c>
      <c r="L73" s="21">
        <v>10</v>
      </c>
      <c r="M73" s="23">
        <v>34146</v>
      </c>
      <c r="N73" s="38">
        <v>0</v>
      </c>
      <c r="O73" s="24">
        <v>34146</v>
      </c>
      <c r="P73" s="24">
        <v>161</v>
      </c>
      <c r="Q73" s="25">
        <v>10</v>
      </c>
      <c r="R73" s="26">
        <v>1707.3000000000002</v>
      </c>
      <c r="S73" s="25">
        <v>32438.7</v>
      </c>
      <c r="T73" s="25">
        <v>1430.8577260273971</v>
      </c>
      <c r="U73" s="25"/>
      <c r="V73" s="25">
        <v>0</v>
      </c>
      <c r="W73" s="25">
        <v>1430.8577260273971</v>
      </c>
      <c r="X73" s="25">
        <v>1430.8577260273971</v>
      </c>
      <c r="Y73" s="25">
        <v>0</v>
      </c>
      <c r="Z73" s="24">
        <v>34146</v>
      </c>
      <c r="AA73" s="27">
        <v>32715.142273972604</v>
      </c>
      <c r="AB73" s="16"/>
      <c r="AC73" s="27">
        <v>32715.142273972604</v>
      </c>
      <c r="AD73" s="16"/>
      <c r="AE73" s="16"/>
      <c r="AF73" s="28">
        <v>0.44109589041095892</v>
      </c>
      <c r="AG73" s="29">
        <v>9.5589041095890419</v>
      </c>
      <c r="AH73" s="27">
        <v>1707.3000000000002</v>
      </c>
      <c r="AI73" s="30">
        <v>32438.7</v>
      </c>
      <c r="AJ73" s="31">
        <v>3243.87</v>
      </c>
      <c r="AK73" s="32">
        <v>29471.272273972605</v>
      </c>
      <c r="AL73" s="16"/>
      <c r="AM73" s="27">
        <v>29471.272273972605</v>
      </c>
      <c r="AN73" s="16"/>
      <c r="AO73" s="16"/>
      <c r="AP73" s="28">
        <v>1.4438356164383561</v>
      </c>
      <c r="AQ73" s="29">
        <v>8.5561643835616437</v>
      </c>
      <c r="AR73" s="27">
        <v>1707.3000000000002</v>
      </c>
      <c r="AS73" s="30">
        <v>31007.842273972605</v>
      </c>
      <c r="AT73" s="31">
        <v>3243.87</v>
      </c>
      <c r="AU73" s="33">
        <v>26227.402273972606</v>
      </c>
      <c r="AW73" s="27">
        <v>26227.402273972606</v>
      </c>
      <c r="AX73" s="16"/>
      <c r="AY73" s="16"/>
      <c r="AZ73" s="28">
        <v>2.4438356164383563</v>
      </c>
      <c r="BA73" s="29">
        <v>7.5561643835616437</v>
      </c>
      <c r="BB73" s="27">
        <v>1707.3000000000002</v>
      </c>
      <c r="BC73" s="30">
        <v>27763.972273972606</v>
      </c>
      <c r="BD73" s="34">
        <v>3243.87</v>
      </c>
      <c r="BE73" s="33">
        <v>22983.532273972607</v>
      </c>
      <c r="BF73" s="33"/>
      <c r="BG73" s="27">
        <v>22983.532273972607</v>
      </c>
      <c r="BH73" s="16"/>
      <c r="BI73" s="16"/>
      <c r="BJ73" s="28">
        <v>3.4438356164383563</v>
      </c>
      <c r="BK73" s="29">
        <v>6.5561643835616437</v>
      </c>
      <c r="BL73" s="27">
        <v>1707.3000000000002</v>
      </c>
      <c r="BM73" s="30">
        <v>21276.232273972608</v>
      </c>
      <c r="BN73" s="34">
        <v>3243.87</v>
      </c>
      <c r="BO73" s="35">
        <v>19739.662273972608</v>
      </c>
      <c r="BP73" s="36"/>
      <c r="BQ73" s="27">
        <v>19739.662273972608</v>
      </c>
      <c r="BR73" s="16"/>
      <c r="BS73" s="16"/>
      <c r="BT73" s="28">
        <v>4.4438356164383563</v>
      </c>
      <c r="BU73" s="29">
        <v>5.5561643835616437</v>
      </c>
      <c r="BV73" s="27">
        <v>1707.3000000000002</v>
      </c>
      <c r="BW73" s="30">
        <v>18032.362273972609</v>
      </c>
      <c r="BX73" s="34">
        <v>3243.87</v>
      </c>
      <c r="BY73" s="35">
        <v>16495.792273972609</v>
      </c>
      <c r="CA73" s="35">
        <v>16495.792273972609</v>
      </c>
      <c r="CB73" s="16"/>
      <c r="CC73" s="16"/>
      <c r="CD73" s="28">
        <v>5.4465753424657537</v>
      </c>
      <c r="CE73" s="29">
        <v>4.5534246575342463</v>
      </c>
      <c r="CF73" s="27">
        <v>1707.3000000000002</v>
      </c>
      <c r="CG73" s="30">
        <v>14788.49227397261</v>
      </c>
      <c r="CH73" s="31">
        <v>3243.87</v>
      </c>
      <c r="CI73" s="35">
        <v>13251.92227397261</v>
      </c>
      <c r="CK73" s="36">
        <v>11544.622273972611</v>
      </c>
      <c r="CL73" s="35">
        <v>13251.92227397261</v>
      </c>
      <c r="CM73" s="16"/>
      <c r="CN73" s="16"/>
      <c r="CO73" s="28">
        <v>6.4465753424657537</v>
      </c>
      <c r="CP73" s="29">
        <v>3.5534246575342463</v>
      </c>
      <c r="CQ73" s="27">
        <v>1707.3000000000002</v>
      </c>
      <c r="CR73" s="34">
        <v>11544.622273972611</v>
      </c>
      <c r="CS73" s="34">
        <v>3243.87</v>
      </c>
      <c r="CT73" s="35">
        <v>10008.052273972611</v>
      </c>
      <c r="CV73" s="35">
        <v>8300.7522739726119</v>
      </c>
      <c r="CW73" s="35">
        <v>10008.052273972611</v>
      </c>
      <c r="CX73" s="16"/>
      <c r="CY73" s="16"/>
      <c r="CZ73" s="28">
        <v>8.4465753424657528</v>
      </c>
      <c r="DA73" s="29">
        <v>1.5534246575342472</v>
      </c>
      <c r="DB73" s="27">
        <v>1707.3000000000002</v>
      </c>
      <c r="DC73" s="34">
        <v>8300.7522739726119</v>
      </c>
      <c r="DD73" s="34">
        <v>3243.87</v>
      </c>
      <c r="DE73" s="35">
        <v>6764.1822739726113</v>
      </c>
      <c r="DG73" s="35">
        <v>34146</v>
      </c>
      <c r="DH73" s="35">
        <v>27381.817726027391</v>
      </c>
      <c r="DI73" s="35">
        <f t="shared" si="4"/>
        <v>6764.1822739726085</v>
      </c>
      <c r="DJ73" s="132">
        <f t="shared" si="5"/>
        <v>6764.1822739726085</v>
      </c>
      <c r="DK73" s="132">
        <f t="shared" si="6"/>
        <v>0</v>
      </c>
      <c r="DL73" s="132">
        <f t="shared" si="7"/>
        <v>0</v>
      </c>
    </row>
    <row r="74" spans="2:116" s="4" customFormat="1" ht="39" x14ac:dyDescent="0.25">
      <c r="B74" s="13" t="s">
        <v>4</v>
      </c>
      <c r="C74" s="14" t="s">
        <v>4</v>
      </c>
      <c r="D74" s="15" t="s">
        <v>101</v>
      </c>
      <c r="E74" s="15" t="s">
        <v>251</v>
      </c>
      <c r="F74" s="16" t="s">
        <v>252</v>
      </c>
      <c r="G74" s="11" t="s">
        <v>111</v>
      </c>
      <c r="H74" s="17">
        <v>41944</v>
      </c>
      <c r="I74" s="18" t="s">
        <v>422</v>
      </c>
      <c r="J74" s="19">
        <v>0</v>
      </c>
      <c r="K74" s="20">
        <v>10</v>
      </c>
      <c r="L74" s="21">
        <v>10</v>
      </c>
      <c r="M74" s="23">
        <v>2756</v>
      </c>
      <c r="N74" s="38">
        <v>0</v>
      </c>
      <c r="O74" s="24">
        <v>2756</v>
      </c>
      <c r="P74" s="24">
        <v>150</v>
      </c>
      <c r="Q74" s="25">
        <v>10</v>
      </c>
      <c r="R74" s="26">
        <v>137.80000000000001</v>
      </c>
      <c r="S74" s="25">
        <v>2618.1999999999998</v>
      </c>
      <c r="T74" s="25">
        <v>107.59726027397259</v>
      </c>
      <c r="U74" s="25"/>
      <c r="V74" s="25">
        <v>0</v>
      </c>
      <c r="W74" s="25">
        <v>107.59726027397259</v>
      </c>
      <c r="X74" s="25">
        <v>107.59726027397259</v>
      </c>
      <c r="Y74" s="25">
        <v>0</v>
      </c>
      <c r="Z74" s="24">
        <v>2756</v>
      </c>
      <c r="AA74" s="27">
        <v>2648.4027397260274</v>
      </c>
      <c r="AB74" s="16"/>
      <c r="AC74" s="27">
        <v>2648.4027397260274</v>
      </c>
      <c r="AD74" s="16"/>
      <c r="AE74" s="16"/>
      <c r="AF74" s="28">
        <v>0.41095890410958902</v>
      </c>
      <c r="AG74" s="29">
        <v>9.5890410958904102</v>
      </c>
      <c r="AH74" s="27">
        <v>137.80000000000001</v>
      </c>
      <c r="AI74" s="30">
        <v>2618.1999999999998</v>
      </c>
      <c r="AJ74" s="31">
        <v>261.82</v>
      </c>
      <c r="AK74" s="32">
        <v>2386.5827397260273</v>
      </c>
      <c r="AL74" s="16"/>
      <c r="AM74" s="27">
        <v>2386.5827397260273</v>
      </c>
      <c r="AN74" s="16"/>
      <c r="AO74" s="16"/>
      <c r="AP74" s="28">
        <v>1.4136986301369863</v>
      </c>
      <c r="AQ74" s="29">
        <v>8.5863013698630137</v>
      </c>
      <c r="AR74" s="27">
        <v>137.80000000000001</v>
      </c>
      <c r="AS74" s="30">
        <v>2510.6027397260273</v>
      </c>
      <c r="AT74" s="31">
        <v>261.82</v>
      </c>
      <c r="AU74" s="33">
        <v>2124.7627397260271</v>
      </c>
      <c r="AW74" s="27">
        <v>2124.7627397260271</v>
      </c>
      <c r="AX74" s="16"/>
      <c r="AY74" s="16"/>
      <c r="AZ74" s="28">
        <v>2.4136986301369863</v>
      </c>
      <c r="BA74" s="29">
        <v>7.5863013698630137</v>
      </c>
      <c r="BB74" s="27">
        <v>137.80000000000001</v>
      </c>
      <c r="BC74" s="30">
        <v>2248.7827397260271</v>
      </c>
      <c r="BD74" s="34">
        <v>261.82</v>
      </c>
      <c r="BE74" s="33">
        <v>1862.9427397260272</v>
      </c>
      <c r="BF74" s="33"/>
      <c r="BG74" s="27">
        <v>1862.9427397260272</v>
      </c>
      <c r="BH74" s="16"/>
      <c r="BI74" s="16"/>
      <c r="BJ74" s="28">
        <v>3.4136986301369863</v>
      </c>
      <c r="BK74" s="29">
        <v>6.5863013698630137</v>
      </c>
      <c r="BL74" s="27">
        <v>137.80000000000001</v>
      </c>
      <c r="BM74" s="30">
        <v>1725.1427397260272</v>
      </c>
      <c r="BN74" s="34">
        <v>261.82</v>
      </c>
      <c r="BO74" s="35">
        <v>1601.1227397260272</v>
      </c>
      <c r="BP74" s="36"/>
      <c r="BQ74" s="27">
        <v>1601.1227397260272</v>
      </c>
      <c r="BR74" s="16"/>
      <c r="BS74" s="16"/>
      <c r="BT74" s="28">
        <v>4.4136986301369863</v>
      </c>
      <c r="BU74" s="29">
        <v>5.5863013698630137</v>
      </c>
      <c r="BV74" s="27">
        <v>137.80000000000001</v>
      </c>
      <c r="BW74" s="30">
        <v>1463.3227397260273</v>
      </c>
      <c r="BX74" s="34">
        <v>261.82</v>
      </c>
      <c r="BY74" s="35">
        <v>1339.3027397260273</v>
      </c>
      <c r="CA74" s="35">
        <v>1339.3027397260273</v>
      </c>
      <c r="CB74" s="16"/>
      <c r="CC74" s="16"/>
      <c r="CD74" s="28">
        <v>5.4164383561643836</v>
      </c>
      <c r="CE74" s="29">
        <v>4.5835616438356164</v>
      </c>
      <c r="CF74" s="27">
        <v>137.80000000000001</v>
      </c>
      <c r="CG74" s="30">
        <v>1201.5027397260274</v>
      </c>
      <c r="CH74" s="31">
        <v>261.82</v>
      </c>
      <c r="CI74" s="35">
        <v>1077.4827397260274</v>
      </c>
      <c r="CK74" s="36">
        <v>939.68273972602742</v>
      </c>
      <c r="CL74" s="35">
        <v>1077.4827397260274</v>
      </c>
      <c r="CM74" s="16"/>
      <c r="CN74" s="16"/>
      <c r="CO74" s="28">
        <v>6.4164383561643836</v>
      </c>
      <c r="CP74" s="29">
        <v>3.5835616438356164</v>
      </c>
      <c r="CQ74" s="27">
        <v>137.80000000000001</v>
      </c>
      <c r="CR74" s="34">
        <v>939.68273972602742</v>
      </c>
      <c r="CS74" s="34">
        <v>261.82</v>
      </c>
      <c r="CT74" s="35">
        <v>815.66273972602744</v>
      </c>
      <c r="CV74" s="35">
        <v>677.86273972602748</v>
      </c>
      <c r="CW74" s="35">
        <v>815.66273972602744</v>
      </c>
      <c r="CX74" s="16"/>
      <c r="CY74" s="16"/>
      <c r="CZ74" s="28">
        <v>8.4164383561643827</v>
      </c>
      <c r="DA74" s="29">
        <v>1.5835616438356173</v>
      </c>
      <c r="DB74" s="27">
        <v>137.80000000000001</v>
      </c>
      <c r="DC74" s="34">
        <v>677.86273972602748</v>
      </c>
      <c r="DD74" s="34">
        <v>261.82</v>
      </c>
      <c r="DE74" s="35">
        <v>553.8427397260275</v>
      </c>
      <c r="DG74" s="35">
        <v>2756</v>
      </c>
      <c r="DH74" s="35">
        <v>2202.1572602739725</v>
      </c>
      <c r="DI74" s="35">
        <f t="shared" si="4"/>
        <v>553.8427397260275</v>
      </c>
      <c r="DJ74" s="132">
        <f t="shared" si="5"/>
        <v>553.8427397260275</v>
      </c>
      <c r="DK74" s="132">
        <f t="shared" si="6"/>
        <v>0</v>
      </c>
      <c r="DL74" s="132">
        <f t="shared" si="7"/>
        <v>0</v>
      </c>
    </row>
    <row r="75" spans="2:116" s="4" customFormat="1" ht="39" x14ac:dyDescent="0.25">
      <c r="B75" s="13" t="s">
        <v>4</v>
      </c>
      <c r="C75" s="14" t="s">
        <v>4</v>
      </c>
      <c r="D75" s="15" t="s">
        <v>101</v>
      </c>
      <c r="E75" s="15" t="s">
        <v>253</v>
      </c>
      <c r="F75" s="16" t="s">
        <v>106</v>
      </c>
      <c r="G75" s="11" t="s">
        <v>111</v>
      </c>
      <c r="H75" s="17">
        <v>42003</v>
      </c>
      <c r="I75" s="18" t="s">
        <v>422</v>
      </c>
      <c r="J75" s="19">
        <v>0</v>
      </c>
      <c r="K75" s="20">
        <v>10</v>
      </c>
      <c r="L75" s="21">
        <v>10</v>
      </c>
      <c r="M75" s="23">
        <v>650000</v>
      </c>
      <c r="N75" s="38">
        <v>0</v>
      </c>
      <c r="O75" s="24">
        <v>650000</v>
      </c>
      <c r="P75" s="24">
        <v>91</v>
      </c>
      <c r="Q75" s="25">
        <v>10</v>
      </c>
      <c r="R75" s="26">
        <v>32500</v>
      </c>
      <c r="S75" s="25">
        <v>617500</v>
      </c>
      <c r="T75" s="25">
        <v>15395.205479452054</v>
      </c>
      <c r="U75" s="25"/>
      <c r="V75" s="25">
        <v>0</v>
      </c>
      <c r="W75" s="25">
        <v>15395.205479452054</v>
      </c>
      <c r="X75" s="25">
        <v>15395.205479452054</v>
      </c>
      <c r="Y75" s="25">
        <v>0</v>
      </c>
      <c r="Z75" s="24">
        <v>650000</v>
      </c>
      <c r="AA75" s="27">
        <v>634604.79452054796</v>
      </c>
      <c r="AB75" s="16"/>
      <c r="AC75" s="27">
        <v>634604.79452054796</v>
      </c>
      <c r="AD75" s="16"/>
      <c r="AE75" s="16"/>
      <c r="AF75" s="28">
        <v>0.24931506849315069</v>
      </c>
      <c r="AG75" s="29">
        <v>9.75068493150685</v>
      </c>
      <c r="AH75" s="27">
        <v>32500</v>
      </c>
      <c r="AI75" s="30">
        <v>617500</v>
      </c>
      <c r="AJ75" s="31">
        <v>61750</v>
      </c>
      <c r="AK75" s="32">
        <v>572854.79452054796</v>
      </c>
      <c r="AL75" s="16"/>
      <c r="AM75" s="27">
        <v>572854.79452054796</v>
      </c>
      <c r="AN75" s="16"/>
      <c r="AO75" s="16"/>
      <c r="AP75" s="28">
        <v>1.252054794520548</v>
      </c>
      <c r="AQ75" s="29">
        <v>8.7479452054794518</v>
      </c>
      <c r="AR75" s="27">
        <v>32500</v>
      </c>
      <c r="AS75" s="30">
        <v>602104.79452054796</v>
      </c>
      <c r="AT75" s="31">
        <v>61750</v>
      </c>
      <c r="AU75" s="33">
        <v>511104.79452054796</v>
      </c>
      <c r="AW75" s="27">
        <v>511104.79452054796</v>
      </c>
      <c r="AX75" s="16"/>
      <c r="AY75" s="16"/>
      <c r="AZ75" s="28">
        <v>2.2520547945205478</v>
      </c>
      <c r="BA75" s="29">
        <v>7.7479452054794518</v>
      </c>
      <c r="BB75" s="27">
        <v>32500</v>
      </c>
      <c r="BC75" s="30">
        <v>540354.79452054796</v>
      </c>
      <c r="BD75" s="34">
        <v>61750</v>
      </c>
      <c r="BE75" s="33">
        <v>449354.79452054796</v>
      </c>
      <c r="BF75" s="33"/>
      <c r="BG75" s="27">
        <v>449354.79452054796</v>
      </c>
      <c r="BH75" s="16"/>
      <c r="BI75" s="16"/>
      <c r="BJ75" s="28">
        <v>3.2520547945205478</v>
      </c>
      <c r="BK75" s="29">
        <v>6.7479452054794518</v>
      </c>
      <c r="BL75" s="27">
        <v>32500</v>
      </c>
      <c r="BM75" s="30">
        <v>416854.79452054796</v>
      </c>
      <c r="BN75" s="34">
        <v>61750</v>
      </c>
      <c r="BO75" s="35">
        <v>387604.79452054796</v>
      </c>
      <c r="BP75" s="36"/>
      <c r="BQ75" s="27">
        <v>387604.79452054796</v>
      </c>
      <c r="BR75" s="16"/>
      <c r="BS75" s="16"/>
      <c r="BT75" s="28">
        <v>4.2520547945205482</v>
      </c>
      <c r="BU75" s="29">
        <v>5.7479452054794518</v>
      </c>
      <c r="BV75" s="27">
        <v>32500</v>
      </c>
      <c r="BW75" s="30">
        <v>355104.79452054796</v>
      </c>
      <c r="BX75" s="34">
        <v>61750</v>
      </c>
      <c r="BY75" s="35">
        <v>325854.79452054796</v>
      </c>
      <c r="CA75" s="35">
        <v>325854.79452054796</v>
      </c>
      <c r="CB75" s="16"/>
      <c r="CC75" s="16"/>
      <c r="CD75" s="28">
        <v>5.2547945205479456</v>
      </c>
      <c r="CE75" s="29">
        <v>4.7452054794520544</v>
      </c>
      <c r="CF75" s="27">
        <v>32500</v>
      </c>
      <c r="CG75" s="30">
        <v>293354.79452054796</v>
      </c>
      <c r="CH75" s="31">
        <v>61750</v>
      </c>
      <c r="CI75" s="35">
        <v>264104.79452054796</v>
      </c>
      <c r="CK75" s="36">
        <v>231604.79452054796</v>
      </c>
      <c r="CL75" s="35">
        <v>264104.79452054796</v>
      </c>
      <c r="CM75" s="16"/>
      <c r="CN75" s="16"/>
      <c r="CO75" s="28">
        <v>6.2547945205479456</v>
      </c>
      <c r="CP75" s="29">
        <v>3.7452054794520544</v>
      </c>
      <c r="CQ75" s="27">
        <v>32500</v>
      </c>
      <c r="CR75" s="34">
        <v>231604.79452054796</v>
      </c>
      <c r="CS75" s="34">
        <v>61750</v>
      </c>
      <c r="CT75" s="35">
        <v>202354.79452054796</v>
      </c>
      <c r="CV75" s="35">
        <v>169854.79452054796</v>
      </c>
      <c r="CW75" s="35">
        <v>202354.79452054796</v>
      </c>
      <c r="CX75" s="16"/>
      <c r="CY75" s="16"/>
      <c r="CZ75" s="28">
        <v>8.2547945205479447</v>
      </c>
      <c r="DA75" s="29">
        <v>1.7452054794520553</v>
      </c>
      <c r="DB75" s="27">
        <v>32500</v>
      </c>
      <c r="DC75" s="34">
        <v>169854.79452054796</v>
      </c>
      <c r="DD75" s="34">
        <v>61750</v>
      </c>
      <c r="DE75" s="35">
        <v>140604.79452054796</v>
      </c>
      <c r="DG75" s="35">
        <v>650000</v>
      </c>
      <c r="DH75" s="35">
        <v>509395.20547945204</v>
      </c>
      <c r="DI75" s="35">
        <f t="shared" si="4"/>
        <v>140604.79452054796</v>
      </c>
      <c r="DJ75" s="132">
        <f t="shared" si="5"/>
        <v>140604.79452054796</v>
      </c>
      <c r="DK75" s="132">
        <f t="shared" si="6"/>
        <v>0</v>
      </c>
      <c r="DL75" s="132">
        <f t="shared" si="7"/>
        <v>0</v>
      </c>
    </row>
    <row r="76" spans="2:116" s="4" customFormat="1" ht="39" x14ac:dyDescent="0.25">
      <c r="B76" s="13" t="s">
        <v>4</v>
      </c>
      <c r="C76" s="14" t="s">
        <v>4</v>
      </c>
      <c r="D76" s="15" t="s">
        <v>101</v>
      </c>
      <c r="E76" s="15" t="s">
        <v>254</v>
      </c>
      <c r="F76" s="16" t="s">
        <v>255</v>
      </c>
      <c r="G76" s="11" t="s">
        <v>111</v>
      </c>
      <c r="H76" s="17">
        <v>42039</v>
      </c>
      <c r="I76" s="18" t="s">
        <v>422</v>
      </c>
      <c r="J76" s="19">
        <v>0</v>
      </c>
      <c r="K76" s="20">
        <v>10</v>
      </c>
      <c r="L76" s="21">
        <v>10</v>
      </c>
      <c r="M76" s="23">
        <v>12430</v>
      </c>
      <c r="N76" s="38">
        <v>0</v>
      </c>
      <c r="O76" s="24">
        <v>12430</v>
      </c>
      <c r="P76" s="24">
        <v>55</v>
      </c>
      <c r="Q76" s="25">
        <v>10</v>
      </c>
      <c r="R76" s="26">
        <v>621.5</v>
      </c>
      <c r="S76" s="25">
        <v>11808.5</v>
      </c>
      <c r="T76" s="25">
        <v>177.936301369863</v>
      </c>
      <c r="U76" s="25"/>
      <c r="V76" s="25">
        <v>0</v>
      </c>
      <c r="W76" s="25">
        <v>177.936301369863</v>
      </c>
      <c r="X76" s="25">
        <v>177.936301369863</v>
      </c>
      <c r="Y76" s="25">
        <v>0</v>
      </c>
      <c r="Z76" s="24">
        <v>12430</v>
      </c>
      <c r="AA76" s="27">
        <v>12252.063698630138</v>
      </c>
      <c r="AB76" s="16"/>
      <c r="AC76" s="27">
        <v>12252.063698630138</v>
      </c>
      <c r="AD76" s="16"/>
      <c r="AE76" s="16"/>
      <c r="AF76" s="28">
        <v>0.15068493150684931</v>
      </c>
      <c r="AG76" s="29">
        <v>9.8493150684931514</v>
      </c>
      <c r="AH76" s="27">
        <v>621.5</v>
      </c>
      <c r="AI76" s="30">
        <v>11808.5</v>
      </c>
      <c r="AJ76" s="31">
        <v>1180.8499999999999</v>
      </c>
      <c r="AK76" s="32">
        <v>11071.213698630138</v>
      </c>
      <c r="AL76" s="16"/>
      <c r="AM76" s="27">
        <v>11071.213698630138</v>
      </c>
      <c r="AN76" s="16"/>
      <c r="AO76" s="16"/>
      <c r="AP76" s="28">
        <v>1.1534246575342466</v>
      </c>
      <c r="AQ76" s="29">
        <v>8.8465753424657532</v>
      </c>
      <c r="AR76" s="27">
        <v>621.5</v>
      </c>
      <c r="AS76" s="30">
        <v>11630.563698630138</v>
      </c>
      <c r="AT76" s="31">
        <v>1180.8499999999999</v>
      </c>
      <c r="AU76" s="33">
        <v>9890.3636986301372</v>
      </c>
      <c r="AW76" s="27">
        <v>9890.3636986301372</v>
      </c>
      <c r="AX76" s="16"/>
      <c r="AY76" s="16"/>
      <c r="AZ76" s="28">
        <v>2.1534246575342464</v>
      </c>
      <c r="BA76" s="29">
        <v>7.8465753424657532</v>
      </c>
      <c r="BB76" s="27">
        <v>621.5</v>
      </c>
      <c r="BC76" s="30">
        <v>10449.713698630138</v>
      </c>
      <c r="BD76" s="34">
        <v>1180.8499999999999</v>
      </c>
      <c r="BE76" s="33">
        <v>8709.5136986301368</v>
      </c>
      <c r="BF76" s="33"/>
      <c r="BG76" s="27">
        <v>8709.5136986301368</v>
      </c>
      <c r="BH76" s="16"/>
      <c r="BI76" s="16"/>
      <c r="BJ76" s="28">
        <v>3.1534246575342464</v>
      </c>
      <c r="BK76" s="29">
        <v>6.8465753424657532</v>
      </c>
      <c r="BL76" s="27">
        <v>621.5</v>
      </c>
      <c r="BM76" s="30">
        <v>8088.0136986301368</v>
      </c>
      <c r="BN76" s="34">
        <v>1180.8499999999999</v>
      </c>
      <c r="BO76" s="35">
        <v>7528.6636986301364</v>
      </c>
      <c r="BP76" s="36"/>
      <c r="BQ76" s="27">
        <v>7528.6636986301364</v>
      </c>
      <c r="BR76" s="16"/>
      <c r="BS76" s="16"/>
      <c r="BT76" s="28">
        <v>4.1534246575342468</v>
      </c>
      <c r="BU76" s="29">
        <v>5.8465753424657532</v>
      </c>
      <c r="BV76" s="27">
        <v>621.5</v>
      </c>
      <c r="BW76" s="30">
        <v>6907.1636986301364</v>
      </c>
      <c r="BX76" s="34">
        <v>1180.8499999999999</v>
      </c>
      <c r="BY76" s="35">
        <v>6347.8136986301361</v>
      </c>
      <c r="CA76" s="35">
        <v>6347.8136986301361</v>
      </c>
      <c r="CB76" s="16"/>
      <c r="CC76" s="16"/>
      <c r="CD76" s="28">
        <v>5.1561643835616442</v>
      </c>
      <c r="CE76" s="29">
        <v>4.8438356164383558</v>
      </c>
      <c r="CF76" s="27">
        <v>621.5</v>
      </c>
      <c r="CG76" s="30">
        <v>5726.3136986301361</v>
      </c>
      <c r="CH76" s="31">
        <v>1180.8499999999999</v>
      </c>
      <c r="CI76" s="35">
        <v>5166.9636986301357</v>
      </c>
      <c r="CK76" s="36">
        <v>4545.4636986301357</v>
      </c>
      <c r="CL76" s="35">
        <v>5166.9636986301357</v>
      </c>
      <c r="CM76" s="16"/>
      <c r="CN76" s="16"/>
      <c r="CO76" s="28">
        <v>6.1561643835616442</v>
      </c>
      <c r="CP76" s="29">
        <v>3.8438356164383558</v>
      </c>
      <c r="CQ76" s="27">
        <v>621.5</v>
      </c>
      <c r="CR76" s="34">
        <v>4545.4636986301357</v>
      </c>
      <c r="CS76" s="34">
        <v>1180.8499999999999</v>
      </c>
      <c r="CT76" s="35">
        <v>3986.1136986301358</v>
      </c>
      <c r="CV76" s="35">
        <v>3364.6136986301358</v>
      </c>
      <c r="CW76" s="35">
        <v>3986.1136986301358</v>
      </c>
      <c r="CX76" s="16"/>
      <c r="CY76" s="16"/>
      <c r="CZ76" s="28">
        <v>8.1561643835616433</v>
      </c>
      <c r="DA76" s="29">
        <v>1.8438356164383567</v>
      </c>
      <c r="DB76" s="27">
        <v>621.5</v>
      </c>
      <c r="DC76" s="34">
        <v>3364.6136986301358</v>
      </c>
      <c r="DD76" s="34">
        <v>1180.8499999999999</v>
      </c>
      <c r="DE76" s="35">
        <v>2805.2636986301359</v>
      </c>
      <c r="DG76" s="35">
        <v>12430</v>
      </c>
      <c r="DH76" s="35">
        <v>9624.7363013698632</v>
      </c>
      <c r="DI76" s="35">
        <f t="shared" si="4"/>
        <v>2805.2636986301368</v>
      </c>
      <c r="DJ76" s="132">
        <f t="shared" si="5"/>
        <v>2805.2636986301368</v>
      </c>
      <c r="DK76" s="132">
        <f t="shared" si="6"/>
        <v>0</v>
      </c>
      <c r="DL76" s="132">
        <f t="shared" si="7"/>
        <v>0</v>
      </c>
    </row>
    <row r="77" spans="2:116" s="4" customFormat="1" ht="39" x14ac:dyDescent="0.25">
      <c r="B77" s="13" t="s">
        <v>4</v>
      </c>
      <c r="C77" s="14" t="s">
        <v>4</v>
      </c>
      <c r="D77" s="15" t="s">
        <v>101</v>
      </c>
      <c r="E77" s="15" t="s">
        <v>256</v>
      </c>
      <c r="F77" s="16" t="s">
        <v>257</v>
      </c>
      <c r="G77" s="11" t="s">
        <v>111</v>
      </c>
      <c r="H77" s="17">
        <v>42039</v>
      </c>
      <c r="I77" s="18" t="s">
        <v>422</v>
      </c>
      <c r="J77" s="19">
        <v>0</v>
      </c>
      <c r="K77" s="20">
        <v>10</v>
      </c>
      <c r="L77" s="21">
        <v>10</v>
      </c>
      <c r="M77" s="23">
        <v>12460</v>
      </c>
      <c r="N77" s="38">
        <v>0</v>
      </c>
      <c r="O77" s="24">
        <v>12460</v>
      </c>
      <c r="P77" s="24">
        <v>55</v>
      </c>
      <c r="Q77" s="25">
        <v>10</v>
      </c>
      <c r="R77" s="26">
        <v>623</v>
      </c>
      <c r="S77" s="25">
        <v>11837</v>
      </c>
      <c r="T77" s="25">
        <v>178.36575342465756</v>
      </c>
      <c r="U77" s="25"/>
      <c r="V77" s="25">
        <v>0</v>
      </c>
      <c r="W77" s="25">
        <v>178.36575342465756</v>
      </c>
      <c r="X77" s="25">
        <v>178.36575342465756</v>
      </c>
      <c r="Y77" s="25">
        <v>0</v>
      </c>
      <c r="Z77" s="24">
        <v>12460</v>
      </c>
      <c r="AA77" s="27">
        <v>12281.634246575342</v>
      </c>
      <c r="AB77" s="16"/>
      <c r="AC77" s="27">
        <v>12281.634246575342</v>
      </c>
      <c r="AD77" s="16"/>
      <c r="AE77" s="16"/>
      <c r="AF77" s="28">
        <v>0.15068493150684931</v>
      </c>
      <c r="AG77" s="29">
        <v>9.8493150684931514</v>
      </c>
      <c r="AH77" s="27">
        <v>623</v>
      </c>
      <c r="AI77" s="30">
        <v>11837</v>
      </c>
      <c r="AJ77" s="31">
        <v>1183.7</v>
      </c>
      <c r="AK77" s="32">
        <v>11097.934246575342</v>
      </c>
      <c r="AL77" s="16"/>
      <c r="AM77" s="27">
        <v>11097.934246575342</v>
      </c>
      <c r="AN77" s="16"/>
      <c r="AO77" s="16"/>
      <c r="AP77" s="28">
        <v>1.1534246575342466</v>
      </c>
      <c r="AQ77" s="29">
        <v>8.8465753424657532</v>
      </c>
      <c r="AR77" s="27">
        <v>623</v>
      </c>
      <c r="AS77" s="30">
        <v>11658.634246575342</v>
      </c>
      <c r="AT77" s="31">
        <v>1183.7</v>
      </c>
      <c r="AU77" s="33">
        <v>9914.2342465753409</v>
      </c>
      <c r="AW77" s="27">
        <v>9914.2342465753409</v>
      </c>
      <c r="AX77" s="16"/>
      <c r="AY77" s="16"/>
      <c r="AZ77" s="28">
        <v>2.1534246575342464</v>
      </c>
      <c r="BA77" s="29">
        <v>7.8465753424657532</v>
      </c>
      <c r="BB77" s="27">
        <v>623</v>
      </c>
      <c r="BC77" s="30">
        <v>10474.934246575342</v>
      </c>
      <c r="BD77" s="34">
        <v>1183.7</v>
      </c>
      <c r="BE77" s="33">
        <v>8730.5342465753401</v>
      </c>
      <c r="BF77" s="33"/>
      <c r="BG77" s="27">
        <v>8730.5342465753401</v>
      </c>
      <c r="BH77" s="16"/>
      <c r="BI77" s="16"/>
      <c r="BJ77" s="28">
        <v>3.1534246575342464</v>
      </c>
      <c r="BK77" s="29">
        <v>6.8465753424657532</v>
      </c>
      <c r="BL77" s="27">
        <v>623</v>
      </c>
      <c r="BM77" s="30">
        <v>8107.5342465753401</v>
      </c>
      <c r="BN77" s="34">
        <v>1183.7</v>
      </c>
      <c r="BO77" s="35">
        <v>7546.8342465753403</v>
      </c>
      <c r="BP77" s="36"/>
      <c r="BQ77" s="27">
        <v>7546.8342465753403</v>
      </c>
      <c r="BR77" s="16"/>
      <c r="BS77" s="16"/>
      <c r="BT77" s="28">
        <v>4.1534246575342468</v>
      </c>
      <c r="BU77" s="29">
        <v>5.8465753424657532</v>
      </c>
      <c r="BV77" s="27">
        <v>623</v>
      </c>
      <c r="BW77" s="30">
        <v>6923.8342465753403</v>
      </c>
      <c r="BX77" s="34">
        <v>1183.7</v>
      </c>
      <c r="BY77" s="35">
        <v>6363.1342465753405</v>
      </c>
      <c r="CA77" s="35">
        <v>6363.1342465753405</v>
      </c>
      <c r="CB77" s="16"/>
      <c r="CC77" s="16"/>
      <c r="CD77" s="28">
        <v>5.1561643835616442</v>
      </c>
      <c r="CE77" s="29">
        <v>4.8438356164383558</v>
      </c>
      <c r="CF77" s="27">
        <v>623</v>
      </c>
      <c r="CG77" s="30">
        <v>5740.1342465753405</v>
      </c>
      <c r="CH77" s="31">
        <v>1183.7</v>
      </c>
      <c r="CI77" s="35">
        <v>5179.4342465753407</v>
      </c>
      <c r="CK77" s="36">
        <v>4556.4342465753407</v>
      </c>
      <c r="CL77" s="35">
        <v>5179.4342465753407</v>
      </c>
      <c r="CM77" s="16"/>
      <c r="CN77" s="16"/>
      <c r="CO77" s="28">
        <v>6.1561643835616442</v>
      </c>
      <c r="CP77" s="29">
        <v>3.8438356164383558</v>
      </c>
      <c r="CQ77" s="27">
        <v>623</v>
      </c>
      <c r="CR77" s="34">
        <v>4556.4342465753407</v>
      </c>
      <c r="CS77" s="34">
        <v>1183.7</v>
      </c>
      <c r="CT77" s="35">
        <v>3995.7342465753409</v>
      </c>
      <c r="CV77" s="35">
        <v>3372.7342465753409</v>
      </c>
      <c r="CW77" s="35">
        <v>3995.7342465753409</v>
      </c>
      <c r="CX77" s="16"/>
      <c r="CY77" s="16"/>
      <c r="CZ77" s="28">
        <v>8.1561643835616433</v>
      </c>
      <c r="DA77" s="29">
        <v>1.8438356164383567</v>
      </c>
      <c r="DB77" s="27">
        <v>623</v>
      </c>
      <c r="DC77" s="34">
        <v>3372.7342465753409</v>
      </c>
      <c r="DD77" s="34">
        <v>1183.7</v>
      </c>
      <c r="DE77" s="35">
        <v>2812.0342465753411</v>
      </c>
      <c r="DG77" s="35">
        <v>12460</v>
      </c>
      <c r="DH77" s="35">
        <v>9647.965753424658</v>
      </c>
      <c r="DI77" s="35">
        <f t="shared" si="4"/>
        <v>2812.034246575342</v>
      </c>
      <c r="DJ77" s="132">
        <f t="shared" si="5"/>
        <v>2812.034246575342</v>
      </c>
      <c r="DK77" s="132">
        <f t="shared" si="6"/>
        <v>0</v>
      </c>
      <c r="DL77" s="132">
        <f t="shared" si="7"/>
        <v>0</v>
      </c>
    </row>
    <row r="78" spans="2:116" s="4" customFormat="1" ht="39" x14ac:dyDescent="0.25">
      <c r="B78" s="13" t="s">
        <v>4</v>
      </c>
      <c r="C78" s="14" t="s">
        <v>4</v>
      </c>
      <c r="D78" s="15" t="s">
        <v>101</v>
      </c>
      <c r="E78" s="15" t="s">
        <v>258</v>
      </c>
      <c r="F78" s="16" t="s">
        <v>259</v>
      </c>
      <c r="G78" s="11">
        <v>2</v>
      </c>
      <c r="H78" s="17">
        <v>42052</v>
      </c>
      <c r="I78" s="18" t="s">
        <v>422</v>
      </c>
      <c r="J78" s="19">
        <v>-1</v>
      </c>
      <c r="K78" s="20">
        <v>10</v>
      </c>
      <c r="L78" s="21">
        <v>11</v>
      </c>
      <c r="M78" s="22">
        <v>6750</v>
      </c>
      <c r="N78" s="38">
        <v>0</v>
      </c>
      <c r="O78" s="24">
        <v>6750</v>
      </c>
      <c r="P78" s="24">
        <v>42</v>
      </c>
      <c r="Q78" s="25">
        <v>11</v>
      </c>
      <c r="R78" s="26">
        <v>337.5</v>
      </c>
      <c r="S78" s="25">
        <v>6412.5</v>
      </c>
      <c r="T78" s="25">
        <v>582.9545454545455</v>
      </c>
      <c r="U78" s="25"/>
      <c r="V78" s="25">
        <v>0</v>
      </c>
      <c r="W78" s="25">
        <v>582.9545454545455</v>
      </c>
      <c r="X78" s="25">
        <v>582.9545454545455</v>
      </c>
      <c r="Y78" s="25">
        <v>0</v>
      </c>
      <c r="Z78" s="24">
        <v>6750</v>
      </c>
      <c r="AA78" s="27">
        <v>6167.045454545454</v>
      </c>
      <c r="AB78" s="16"/>
      <c r="AC78" s="27">
        <v>6167.045454545454</v>
      </c>
      <c r="AD78" s="16"/>
      <c r="AE78" s="16"/>
      <c r="AF78" s="28">
        <v>0.11506849315068493</v>
      </c>
      <c r="AG78" s="29">
        <v>9.8849315068493144</v>
      </c>
      <c r="AH78" s="27">
        <v>337.5</v>
      </c>
      <c r="AI78" s="30">
        <v>6412.5</v>
      </c>
      <c r="AJ78" s="31">
        <v>582.9545454545455</v>
      </c>
      <c r="AK78" s="32">
        <v>5584.0909090909081</v>
      </c>
      <c r="AL78" s="16"/>
      <c r="AM78" s="27">
        <v>5584.0909090909081</v>
      </c>
      <c r="AN78" s="16"/>
      <c r="AO78" s="16"/>
      <c r="AP78" s="28">
        <v>1.1178082191780823</v>
      </c>
      <c r="AQ78" s="29">
        <v>8.882191780821918</v>
      </c>
      <c r="AR78" s="27">
        <v>337.5</v>
      </c>
      <c r="AS78" s="30">
        <v>5829.545454545454</v>
      </c>
      <c r="AT78" s="31">
        <v>582.9545454545455</v>
      </c>
      <c r="AU78" s="33">
        <v>5001.1363636363621</v>
      </c>
      <c r="AW78" s="27">
        <v>5001.1363636363621</v>
      </c>
      <c r="AX78" s="16"/>
      <c r="AY78" s="16"/>
      <c r="AZ78" s="28">
        <v>2.117808219178082</v>
      </c>
      <c r="BA78" s="29">
        <v>7.882191780821918</v>
      </c>
      <c r="BB78" s="27">
        <v>337.5</v>
      </c>
      <c r="BC78" s="30">
        <v>5246.5909090909081</v>
      </c>
      <c r="BD78" s="34">
        <v>582.9545454545455</v>
      </c>
      <c r="BE78" s="33">
        <v>4418.1818181818162</v>
      </c>
      <c r="BF78" s="33"/>
      <c r="BG78" s="27">
        <v>4418.1818181818162</v>
      </c>
      <c r="BH78" s="16"/>
      <c r="BI78" s="16"/>
      <c r="BJ78" s="28">
        <v>3.117808219178082</v>
      </c>
      <c r="BK78" s="29">
        <v>6.882191780821918</v>
      </c>
      <c r="BL78" s="27">
        <v>337.5</v>
      </c>
      <c r="BM78" s="30">
        <v>4080.6818181818162</v>
      </c>
      <c r="BN78" s="34">
        <v>582.9545454545455</v>
      </c>
      <c r="BO78" s="35">
        <v>3835.2272727272707</v>
      </c>
      <c r="BP78" s="36"/>
      <c r="BQ78" s="27">
        <v>3835.2272727272707</v>
      </c>
      <c r="BR78" s="16"/>
      <c r="BS78" s="16"/>
      <c r="BT78" s="28">
        <v>4.117808219178082</v>
      </c>
      <c r="BU78" s="29">
        <v>5.882191780821918</v>
      </c>
      <c r="BV78" s="27">
        <v>337.5</v>
      </c>
      <c r="BW78" s="30">
        <v>3497.7272727272707</v>
      </c>
      <c r="BX78" s="34">
        <v>582.9545454545455</v>
      </c>
      <c r="BY78" s="35">
        <v>3252.2727272727252</v>
      </c>
      <c r="CA78" s="35">
        <v>3252.2727272727252</v>
      </c>
      <c r="CB78" s="16"/>
      <c r="CC78" s="16"/>
      <c r="CD78" s="28">
        <v>5.1205479452054794</v>
      </c>
      <c r="CE78" s="29">
        <v>4.8794520547945206</v>
      </c>
      <c r="CF78" s="27">
        <v>337.5</v>
      </c>
      <c r="CG78" s="30">
        <v>2914.7727272727252</v>
      </c>
      <c r="CH78" s="31">
        <v>582.9545454545455</v>
      </c>
      <c r="CI78" s="35">
        <v>2669.3181818181797</v>
      </c>
      <c r="CK78" s="36">
        <v>2331.8181818181797</v>
      </c>
      <c r="CL78" s="35">
        <v>2669.3181818181797</v>
      </c>
      <c r="CM78" s="16"/>
      <c r="CN78" s="16"/>
      <c r="CO78" s="28">
        <v>6.1205479452054794</v>
      </c>
      <c r="CP78" s="29">
        <v>3.8794520547945206</v>
      </c>
      <c r="CQ78" s="27">
        <v>337.5</v>
      </c>
      <c r="CR78" s="34">
        <v>2331.8181818181797</v>
      </c>
      <c r="CS78" s="34">
        <v>582.9545454545455</v>
      </c>
      <c r="CT78" s="35">
        <v>2086.3636363636342</v>
      </c>
      <c r="CV78" s="35">
        <v>1748.8636363636342</v>
      </c>
      <c r="CW78" s="35">
        <v>2086.3636363636342</v>
      </c>
      <c r="CX78" s="16"/>
      <c r="CY78" s="16"/>
      <c r="CZ78" s="28">
        <v>8.1205479452054803</v>
      </c>
      <c r="DA78" s="29">
        <v>1.8794520547945197</v>
      </c>
      <c r="DB78" s="27">
        <v>337.5</v>
      </c>
      <c r="DC78" s="34">
        <v>1748.8636363636342</v>
      </c>
      <c r="DD78" s="34">
        <v>582.9545454545455</v>
      </c>
      <c r="DE78" s="35">
        <v>1503.4090909090887</v>
      </c>
      <c r="DG78" s="35">
        <v>6750</v>
      </c>
      <c r="DH78" s="35">
        <v>5246.5909090909099</v>
      </c>
      <c r="DI78" s="35">
        <f t="shared" si="4"/>
        <v>1503.4090909090901</v>
      </c>
      <c r="DJ78" s="132">
        <f t="shared" si="5"/>
        <v>1503.4090909090901</v>
      </c>
      <c r="DK78" s="132">
        <f t="shared" si="6"/>
        <v>0</v>
      </c>
      <c r="DL78" s="132">
        <f t="shared" si="7"/>
        <v>0</v>
      </c>
    </row>
    <row r="79" spans="2:116" s="4" customFormat="1" ht="39" x14ac:dyDescent="0.25">
      <c r="B79" s="13" t="s">
        <v>4</v>
      </c>
      <c r="C79" s="14" t="s">
        <v>4</v>
      </c>
      <c r="D79" s="15" t="s">
        <v>101</v>
      </c>
      <c r="E79" s="15" t="s">
        <v>260</v>
      </c>
      <c r="F79" s="16" t="s">
        <v>261</v>
      </c>
      <c r="G79" s="11">
        <v>2</v>
      </c>
      <c r="H79" s="17">
        <v>42052</v>
      </c>
      <c r="I79" s="18" t="s">
        <v>422</v>
      </c>
      <c r="J79" s="19">
        <v>-1</v>
      </c>
      <c r="K79" s="20">
        <v>10</v>
      </c>
      <c r="L79" s="21">
        <v>11</v>
      </c>
      <c r="M79" s="22">
        <v>6750</v>
      </c>
      <c r="N79" s="38">
        <v>0</v>
      </c>
      <c r="O79" s="24">
        <v>6750</v>
      </c>
      <c r="P79" s="24">
        <v>42</v>
      </c>
      <c r="Q79" s="25">
        <v>11</v>
      </c>
      <c r="R79" s="26">
        <v>337.5</v>
      </c>
      <c r="S79" s="25">
        <v>6412.5</v>
      </c>
      <c r="T79" s="25">
        <v>582.9545454545455</v>
      </c>
      <c r="U79" s="25"/>
      <c r="V79" s="25">
        <v>0</v>
      </c>
      <c r="W79" s="25">
        <v>582.9545454545455</v>
      </c>
      <c r="X79" s="25">
        <v>582.9545454545455</v>
      </c>
      <c r="Y79" s="25">
        <v>0</v>
      </c>
      <c r="Z79" s="24">
        <v>6750</v>
      </c>
      <c r="AA79" s="27">
        <v>6167.045454545454</v>
      </c>
      <c r="AB79" s="16"/>
      <c r="AC79" s="27">
        <v>6167.045454545454</v>
      </c>
      <c r="AD79" s="16"/>
      <c r="AE79" s="16"/>
      <c r="AF79" s="28">
        <v>0.11506849315068493</v>
      </c>
      <c r="AG79" s="29">
        <v>9.8849315068493144</v>
      </c>
      <c r="AH79" s="27">
        <v>337.5</v>
      </c>
      <c r="AI79" s="30">
        <v>6412.5</v>
      </c>
      <c r="AJ79" s="31">
        <v>582.9545454545455</v>
      </c>
      <c r="AK79" s="32">
        <v>5584.0909090909081</v>
      </c>
      <c r="AL79" s="16"/>
      <c r="AM79" s="27">
        <v>5584.0909090909081</v>
      </c>
      <c r="AN79" s="16"/>
      <c r="AO79" s="16"/>
      <c r="AP79" s="28">
        <v>1.1178082191780823</v>
      </c>
      <c r="AQ79" s="29">
        <v>8.882191780821918</v>
      </c>
      <c r="AR79" s="27">
        <v>337.5</v>
      </c>
      <c r="AS79" s="30">
        <v>5829.545454545454</v>
      </c>
      <c r="AT79" s="31">
        <v>582.9545454545455</v>
      </c>
      <c r="AU79" s="33">
        <v>5001.1363636363621</v>
      </c>
      <c r="AW79" s="27">
        <v>5001.1363636363621</v>
      </c>
      <c r="AX79" s="16"/>
      <c r="AY79" s="16"/>
      <c r="AZ79" s="28">
        <v>2.117808219178082</v>
      </c>
      <c r="BA79" s="29">
        <v>7.882191780821918</v>
      </c>
      <c r="BB79" s="27">
        <v>337.5</v>
      </c>
      <c r="BC79" s="30">
        <v>5246.5909090909081</v>
      </c>
      <c r="BD79" s="34">
        <v>582.9545454545455</v>
      </c>
      <c r="BE79" s="33">
        <v>4418.1818181818162</v>
      </c>
      <c r="BF79" s="33"/>
      <c r="BG79" s="27">
        <v>4418.1818181818162</v>
      </c>
      <c r="BH79" s="16"/>
      <c r="BI79" s="16"/>
      <c r="BJ79" s="28">
        <v>3.117808219178082</v>
      </c>
      <c r="BK79" s="29">
        <v>6.882191780821918</v>
      </c>
      <c r="BL79" s="27">
        <v>337.5</v>
      </c>
      <c r="BM79" s="30">
        <v>4080.6818181818162</v>
      </c>
      <c r="BN79" s="34">
        <v>582.9545454545455</v>
      </c>
      <c r="BO79" s="35">
        <v>3835.2272727272707</v>
      </c>
      <c r="BP79" s="36"/>
      <c r="BQ79" s="27">
        <v>3835.2272727272707</v>
      </c>
      <c r="BR79" s="16"/>
      <c r="BS79" s="16"/>
      <c r="BT79" s="28">
        <v>4.117808219178082</v>
      </c>
      <c r="BU79" s="29">
        <v>5.882191780821918</v>
      </c>
      <c r="BV79" s="27">
        <v>337.5</v>
      </c>
      <c r="BW79" s="30">
        <v>3497.7272727272707</v>
      </c>
      <c r="BX79" s="34">
        <v>582.9545454545455</v>
      </c>
      <c r="BY79" s="35">
        <v>3252.2727272727252</v>
      </c>
      <c r="CA79" s="35">
        <v>3252.2727272727252</v>
      </c>
      <c r="CB79" s="16"/>
      <c r="CC79" s="16"/>
      <c r="CD79" s="28">
        <v>5.1205479452054794</v>
      </c>
      <c r="CE79" s="29">
        <v>4.8794520547945206</v>
      </c>
      <c r="CF79" s="27">
        <v>337.5</v>
      </c>
      <c r="CG79" s="30">
        <v>2914.7727272727252</v>
      </c>
      <c r="CH79" s="31">
        <v>582.9545454545455</v>
      </c>
      <c r="CI79" s="35">
        <v>2669.3181818181797</v>
      </c>
      <c r="CK79" s="36">
        <v>2331.8181818181797</v>
      </c>
      <c r="CL79" s="35">
        <v>2669.3181818181797</v>
      </c>
      <c r="CM79" s="16"/>
      <c r="CN79" s="16"/>
      <c r="CO79" s="28">
        <v>6.1205479452054794</v>
      </c>
      <c r="CP79" s="29">
        <v>3.8794520547945206</v>
      </c>
      <c r="CQ79" s="27">
        <v>337.5</v>
      </c>
      <c r="CR79" s="34">
        <v>2331.8181818181797</v>
      </c>
      <c r="CS79" s="34">
        <v>582.9545454545455</v>
      </c>
      <c r="CT79" s="35">
        <v>2086.3636363636342</v>
      </c>
      <c r="CV79" s="35">
        <v>1748.8636363636342</v>
      </c>
      <c r="CW79" s="35">
        <v>2086.3636363636342</v>
      </c>
      <c r="CX79" s="16"/>
      <c r="CY79" s="16"/>
      <c r="CZ79" s="28">
        <v>8.1205479452054803</v>
      </c>
      <c r="DA79" s="29">
        <v>1.8794520547945197</v>
      </c>
      <c r="DB79" s="27">
        <v>337.5</v>
      </c>
      <c r="DC79" s="34">
        <v>1748.8636363636342</v>
      </c>
      <c r="DD79" s="34">
        <v>582.9545454545455</v>
      </c>
      <c r="DE79" s="35">
        <v>1503.4090909090887</v>
      </c>
      <c r="DG79" s="35">
        <v>6750</v>
      </c>
      <c r="DH79" s="35">
        <v>5246.5909090909099</v>
      </c>
      <c r="DI79" s="35">
        <f t="shared" si="4"/>
        <v>1503.4090909090901</v>
      </c>
      <c r="DJ79" s="132">
        <f t="shared" si="5"/>
        <v>1503.4090909090901</v>
      </c>
      <c r="DK79" s="132">
        <f t="shared" si="6"/>
        <v>0</v>
      </c>
      <c r="DL79" s="132">
        <f t="shared" si="7"/>
        <v>0</v>
      </c>
    </row>
    <row r="80" spans="2:116" s="4" customFormat="1" ht="39" x14ac:dyDescent="0.25">
      <c r="B80" s="13" t="s">
        <v>4</v>
      </c>
      <c r="C80" s="14" t="s">
        <v>4</v>
      </c>
      <c r="D80" s="15" t="s">
        <v>101</v>
      </c>
      <c r="E80" s="15" t="s">
        <v>262</v>
      </c>
      <c r="F80" s="16" t="s">
        <v>263</v>
      </c>
      <c r="G80" s="11">
        <v>2</v>
      </c>
      <c r="H80" s="17">
        <v>42052</v>
      </c>
      <c r="I80" s="18" t="s">
        <v>422</v>
      </c>
      <c r="J80" s="19">
        <v>-1</v>
      </c>
      <c r="K80" s="20">
        <v>10</v>
      </c>
      <c r="L80" s="21">
        <v>11</v>
      </c>
      <c r="M80" s="22">
        <v>6750</v>
      </c>
      <c r="N80" s="38">
        <v>0</v>
      </c>
      <c r="O80" s="24">
        <v>6750</v>
      </c>
      <c r="P80" s="24">
        <v>42</v>
      </c>
      <c r="Q80" s="25">
        <v>11</v>
      </c>
      <c r="R80" s="26">
        <v>337.5</v>
      </c>
      <c r="S80" s="25">
        <v>6412.5</v>
      </c>
      <c r="T80" s="25">
        <v>582.9545454545455</v>
      </c>
      <c r="U80" s="25"/>
      <c r="V80" s="25">
        <v>0</v>
      </c>
      <c r="W80" s="25">
        <v>582.9545454545455</v>
      </c>
      <c r="X80" s="25">
        <v>582.9545454545455</v>
      </c>
      <c r="Y80" s="25">
        <v>0</v>
      </c>
      <c r="Z80" s="24">
        <v>6750</v>
      </c>
      <c r="AA80" s="27">
        <v>6167.045454545454</v>
      </c>
      <c r="AB80" s="16"/>
      <c r="AC80" s="27">
        <v>6167.045454545454</v>
      </c>
      <c r="AD80" s="16"/>
      <c r="AE80" s="16"/>
      <c r="AF80" s="28">
        <v>0.11506849315068493</v>
      </c>
      <c r="AG80" s="29">
        <v>9.8849315068493144</v>
      </c>
      <c r="AH80" s="27">
        <v>337.5</v>
      </c>
      <c r="AI80" s="30">
        <v>6412.5</v>
      </c>
      <c r="AJ80" s="31">
        <v>582.9545454545455</v>
      </c>
      <c r="AK80" s="32">
        <v>5584.0909090909081</v>
      </c>
      <c r="AL80" s="16"/>
      <c r="AM80" s="27">
        <v>5584.0909090909081</v>
      </c>
      <c r="AN80" s="16"/>
      <c r="AO80" s="16"/>
      <c r="AP80" s="28">
        <v>1.1178082191780823</v>
      </c>
      <c r="AQ80" s="29">
        <v>8.882191780821918</v>
      </c>
      <c r="AR80" s="27">
        <v>337.5</v>
      </c>
      <c r="AS80" s="30">
        <v>5829.545454545454</v>
      </c>
      <c r="AT80" s="31">
        <v>582.9545454545455</v>
      </c>
      <c r="AU80" s="33">
        <v>5001.1363636363621</v>
      </c>
      <c r="AW80" s="27">
        <v>5001.1363636363621</v>
      </c>
      <c r="AX80" s="16"/>
      <c r="AY80" s="16"/>
      <c r="AZ80" s="28">
        <v>2.117808219178082</v>
      </c>
      <c r="BA80" s="29">
        <v>7.882191780821918</v>
      </c>
      <c r="BB80" s="27">
        <v>337.5</v>
      </c>
      <c r="BC80" s="30">
        <v>5246.5909090909081</v>
      </c>
      <c r="BD80" s="34">
        <v>582.9545454545455</v>
      </c>
      <c r="BE80" s="33">
        <v>4418.1818181818162</v>
      </c>
      <c r="BF80" s="33"/>
      <c r="BG80" s="27">
        <v>4418.1818181818162</v>
      </c>
      <c r="BH80" s="16"/>
      <c r="BI80" s="16"/>
      <c r="BJ80" s="28">
        <v>3.117808219178082</v>
      </c>
      <c r="BK80" s="29">
        <v>6.882191780821918</v>
      </c>
      <c r="BL80" s="27">
        <v>337.5</v>
      </c>
      <c r="BM80" s="30">
        <v>4080.6818181818162</v>
      </c>
      <c r="BN80" s="34">
        <v>582.9545454545455</v>
      </c>
      <c r="BO80" s="35">
        <v>3835.2272727272707</v>
      </c>
      <c r="BP80" s="36"/>
      <c r="BQ80" s="27">
        <v>3835.2272727272707</v>
      </c>
      <c r="BR80" s="16"/>
      <c r="BS80" s="16"/>
      <c r="BT80" s="28">
        <v>4.117808219178082</v>
      </c>
      <c r="BU80" s="29">
        <v>5.882191780821918</v>
      </c>
      <c r="BV80" s="27">
        <v>337.5</v>
      </c>
      <c r="BW80" s="30">
        <v>3497.7272727272707</v>
      </c>
      <c r="BX80" s="34">
        <v>582.9545454545455</v>
      </c>
      <c r="BY80" s="35">
        <v>3252.2727272727252</v>
      </c>
      <c r="CA80" s="35">
        <v>3252.2727272727252</v>
      </c>
      <c r="CB80" s="16"/>
      <c r="CC80" s="16"/>
      <c r="CD80" s="28">
        <v>5.1205479452054794</v>
      </c>
      <c r="CE80" s="29">
        <v>4.8794520547945206</v>
      </c>
      <c r="CF80" s="27">
        <v>337.5</v>
      </c>
      <c r="CG80" s="30">
        <v>2914.7727272727252</v>
      </c>
      <c r="CH80" s="31">
        <v>582.9545454545455</v>
      </c>
      <c r="CI80" s="35">
        <v>2669.3181818181797</v>
      </c>
      <c r="CK80" s="36">
        <v>2331.8181818181797</v>
      </c>
      <c r="CL80" s="35">
        <v>2669.3181818181797</v>
      </c>
      <c r="CM80" s="16"/>
      <c r="CN80" s="16"/>
      <c r="CO80" s="28">
        <v>6.1205479452054794</v>
      </c>
      <c r="CP80" s="29">
        <v>3.8794520547945206</v>
      </c>
      <c r="CQ80" s="27">
        <v>337.5</v>
      </c>
      <c r="CR80" s="34">
        <v>2331.8181818181797</v>
      </c>
      <c r="CS80" s="34">
        <v>582.9545454545455</v>
      </c>
      <c r="CT80" s="35">
        <v>2086.3636363636342</v>
      </c>
      <c r="CV80" s="35">
        <v>1748.8636363636342</v>
      </c>
      <c r="CW80" s="35">
        <v>2086.3636363636342</v>
      </c>
      <c r="CX80" s="16"/>
      <c r="CY80" s="16"/>
      <c r="CZ80" s="28">
        <v>8.1205479452054803</v>
      </c>
      <c r="DA80" s="29">
        <v>1.8794520547945197</v>
      </c>
      <c r="DB80" s="27">
        <v>337.5</v>
      </c>
      <c r="DC80" s="34">
        <v>1748.8636363636342</v>
      </c>
      <c r="DD80" s="34">
        <v>582.9545454545455</v>
      </c>
      <c r="DE80" s="35">
        <v>1503.4090909090887</v>
      </c>
      <c r="DG80" s="35">
        <v>6750</v>
      </c>
      <c r="DH80" s="35">
        <v>5246.5909090909099</v>
      </c>
      <c r="DI80" s="35">
        <f t="shared" si="4"/>
        <v>1503.4090909090901</v>
      </c>
      <c r="DJ80" s="132">
        <f t="shared" si="5"/>
        <v>1503.4090909090901</v>
      </c>
      <c r="DK80" s="132">
        <f t="shared" si="6"/>
        <v>0</v>
      </c>
      <c r="DL80" s="132">
        <f t="shared" si="7"/>
        <v>0</v>
      </c>
    </row>
    <row r="81" spans="2:116" s="4" customFormat="1" ht="39" x14ac:dyDescent="0.25">
      <c r="B81" s="13" t="s">
        <v>4</v>
      </c>
      <c r="C81" s="14" t="s">
        <v>4</v>
      </c>
      <c r="D81" s="15" t="s">
        <v>101</v>
      </c>
      <c r="E81" s="15" t="s">
        <v>264</v>
      </c>
      <c r="F81" s="16" t="s">
        <v>265</v>
      </c>
      <c r="G81" s="11" t="s">
        <v>111</v>
      </c>
      <c r="H81" s="17">
        <v>42052</v>
      </c>
      <c r="I81" s="18" t="s">
        <v>422</v>
      </c>
      <c r="J81" s="19">
        <v>-1</v>
      </c>
      <c r="K81" s="20">
        <v>10</v>
      </c>
      <c r="L81" s="21">
        <v>11</v>
      </c>
      <c r="M81" s="22">
        <v>28620</v>
      </c>
      <c r="N81" s="38">
        <v>0</v>
      </c>
      <c r="O81" s="24">
        <v>28620</v>
      </c>
      <c r="P81" s="24">
        <v>42</v>
      </c>
      <c r="Q81" s="25">
        <v>11</v>
      </c>
      <c r="R81" s="26">
        <v>1431</v>
      </c>
      <c r="S81" s="25">
        <v>27189</v>
      </c>
      <c r="T81" s="25">
        <v>2471.7272727272725</v>
      </c>
      <c r="U81" s="25"/>
      <c r="V81" s="25">
        <v>0</v>
      </c>
      <c r="W81" s="25">
        <v>2471.7272727272725</v>
      </c>
      <c r="X81" s="25">
        <v>2471.7272727272725</v>
      </c>
      <c r="Y81" s="25">
        <v>0</v>
      </c>
      <c r="Z81" s="24">
        <v>28620</v>
      </c>
      <c r="AA81" s="27">
        <v>26148.272727272728</v>
      </c>
      <c r="AB81" s="16"/>
      <c r="AC81" s="27">
        <v>26148.272727272728</v>
      </c>
      <c r="AD81" s="16"/>
      <c r="AE81" s="16"/>
      <c r="AF81" s="28">
        <v>0.11506849315068493</v>
      </c>
      <c r="AG81" s="29">
        <v>9.8849315068493144</v>
      </c>
      <c r="AH81" s="27">
        <v>1431</v>
      </c>
      <c r="AI81" s="30">
        <v>27189</v>
      </c>
      <c r="AJ81" s="31">
        <v>2471.7272727272725</v>
      </c>
      <c r="AK81" s="32">
        <v>23676.545454545456</v>
      </c>
      <c r="AL81" s="16"/>
      <c r="AM81" s="27">
        <v>23676.545454545456</v>
      </c>
      <c r="AN81" s="16"/>
      <c r="AO81" s="16"/>
      <c r="AP81" s="28">
        <v>1.1178082191780823</v>
      </c>
      <c r="AQ81" s="29">
        <v>8.882191780821918</v>
      </c>
      <c r="AR81" s="27">
        <v>1431</v>
      </c>
      <c r="AS81" s="30">
        <v>24717.272727272728</v>
      </c>
      <c r="AT81" s="31">
        <v>2471.7272727272725</v>
      </c>
      <c r="AU81" s="33">
        <v>21204.818181818184</v>
      </c>
      <c r="AW81" s="27">
        <v>21204.818181818184</v>
      </c>
      <c r="AX81" s="16"/>
      <c r="AY81" s="16"/>
      <c r="AZ81" s="28">
        <v>2.117808219178082</v>
      </c>
      <c r="BA81" s="29">
        <v>7.882191780821918</v>
      </c>
      <c r="BB81" s="27">
        <v>1431</v>
      </c>
      <c r="BC81" s="30">
        <v>22245.545454545456</v>
      </c>
      <c r="BD81" s="34">
        <v>2471.7272727272725</v>
      </c>
      <c r="BE81" s="33">
        <v>18733.090909090912</v>
      </c>
      <c r="BF81" s="33"/>
      <c r="BG81" s="27">
        <v>18733.090909090912</v>
      </c>
      <c r="BH81" s="16"/>
      <c r="BI81" s="16"/>
      <c r="BJ81" s="28">
        <v>3.117808219178082</v>
      </c>
      <c r="BK81" s="29">
        <v>6.882191780821918</v>
      </c>
      <c r="BL81" s="27">
        <v>1431</v>
      </c>
      <c r="BM81" s="30">
        <v>17302.090909090912</v>
      </c>
      <c r="BN81" s="34">
        <v>2471.7272727272725</v>
      </c>
      <c r="BO81" s="35">
        <v>16261.36363636364</v>
      </c>
      <c r="BP81" s="36"/>
      <c r="BQ81" s="27">
        <v>16261.36363636364</v>
      </c>
      <c r="BR81" s="16"/>
      <c r="BS81" s="16"/>
      <c r="BT81" s="28">
        <v>4.117808219178082</v>
      </c>
      <c r="BU81" s="29">
        <v>5.882191780821918</v>
      </c>
      <c r="BV81" s="27">
        <v>1431</v>
      </c>
      <c r="BW81" s="30">
        <v>14830.36363636364</v>
      </c>
      <c r="BX81" s="34">
        <v>2471.7272727272725</v>
      </c>
      <c r="BY81" s="35">
        <v>13789.636363636368</v>
      </c>
      <c r="CA81" s="35">
        <v>13789.636363636368</v>
      </c>
      <c r="CB81" s="16"/>
      <c r="CC81" s="16"/>
      <c r="CD81" s="28">
        <v>5.1205479452054794</v>
      </c>
      <c r="CE81" s="29">
        <v>4.8794520547945206</v>
      </c>
      <c r="CF81" s="27">
        <v>1431</v>
      </c>
      <c r="CG81" s="30">
        <v>12358.636363636368</v>
      </c>
      <c r="CH81" s="31">
        <v>2471.7272727272725</v>
      </c>
      <c r="CI81" s="35">
        <v>11317.909090909096</v>
      </c>
      <c r="CK81" s="36">
        <v>9886.9090909090955</v>
      </c>
      <c r="CL81" s="35">
        <v>11317.909090909096</v>
      </c>
      <c r="CM81" s="16"/>
      <c r="CN81" s="16"/>
      <c r="CO81" s="28">
        <v>6.1205479452054794</v>
      </c>
      <c r="CP81" s="29">
        <v>3.8794520547945206</v>
      </c>
      <c r="CQ81" s="27">
        <v>1431</v>
      </c>
      <c r="CR81" s="34">
        <v>9886.9090909090955</v>
      </c>
      <c r="CS81" s="34">
        <v>2471.7272727272725</v>
      </c>
      <c r="CT81" s="35">
        <v>8846.1818181818235</v>
      </c>
      <c r="CV81" s="35">
        <v>7415.1818181818235</v>
      </c>
      <c r="CW81" s="35">
        <v>8846.1818181818235</v>
      </c>
      <c r="CX81" s="16"/>
      <c r="CY81" s="16"/>
      <c r="CZ81" s="28">
        <v>8.1205479452054803</v>
      </c>
      <c r="DA81" s="29">
        <v>1.8794520547945197</v>
      </c>
      <c r="DB81" s="27">
        <v>1431</v>
      </c>
      <c r="DC81" s="34">
        <v>7415.1818181818235</v>
      </c>
      <c r="DD81" s="34">
        <v>2471.7272727272725</v>
      </c>
      <c r="DE81" s="35">
        <v>6374.4545454545514</v>
      </c>
      <c r="DG81" s="35">
        <v>28620</v>
      </c>
      <c r="DH81" s="35">
        <v>22245.545454545452</v>
      </c>
      <c r="DI81" s="35">
        <f t="shared" si="4"/>
        <v>6374.4545454545478</v>
      </c>
      <c r="DJ81" s="132">
        <f t="shared" si="5"/>
        <v>6374.4545454545478</v>
      </c>
      <c r="DK81" s="132">
        <f t="shared" si="6"/>
        <v>0</v>
      </c>
      <c r="DL81" s="132">
        <f t="shared" si="7"/>
        <v>0</v>
      </c>
    </row>
    <row r="82" spans="2:116" s="4" customFormat="1" ht="39" x14ac:dyDescent="0.25">
      <c r="B82" s="13" t="s">
        <v>4</v>
      </c>
      <c r="C82" s="14" t="s">
        <v>4</v>
      </c>
      <c r="D82" s="15" t="s">
        <v>101</v>
      </c>
      <c r="E82" s="15" t="s">
        <v>266</v>
      </c>
      <c r="F82" s="16" t="s">
        <v>267</v>
      </c>
      <c r="G82" s="11">
        <v>2</v>
      </c>
      <c r="H82" s="17">
        <v>42052</v>
      </c>
      <c r="I82" s="18" t="s">
        <v>422</v>
      </c>
      <c r="J82" s="19">
        <v>-1</v>
      </c>
      <c r="K82" s="20">
        <v>10</v>
      </c>
      <c r="L82" s="21">
        <v>11</v>
      </c>
      <c r="M82" s="22">
        <v>2475</v>
      </c>
      <c r="N82" s="38">
        <v>0</v>
      </c>
      <c r="O82" s="24">
        <v>2475</v>
      </c>
      <c r="P82" s="24">
        <v>42</v>
      </c>
      <c r="Q82" s="25">
        <v>11</v>
      </c>
      <c r="R82" s="26">
        <v>123.75</v>
      </c>
      <c r="S82" s="25">
        <v>2351.25</v>
      </c>
      <c r="T82" s="25">
        <v>213.75</v>
      </c>
      <c r="U82" s="25"/>
      <c r="V82" s="25">
        <v>0</v>
      </c>
      <c r="W82" s="25">
        <v>213.75</v>
      </c>
      <c r="X82" s="25">
        <v>213.75</v>
      </c>
      <c r="Y82" s="25">
        <v>0</v>
      </c>
      <c r="Z82" s="24">
        <v>2475</v>
      </c>
      <c r="AA82" s="27">
        <v>2261.25</v>
      </c>
      <c r="AB82" s="16"/>
      <c r="AC82" s="27">
        <v>2261.25</v>
      </c>
      <c r="AD82" s="16"/>
      <c r="AE82" s="16"/>
      <c r="AF82" s="28">
        <v>0.11506849315068493</v>
      </c>
      <c r="AG82" s="29">
        <v>9.8849315068493144</v>
      </c>
      <c r="AH82" s="27">
        <v>123.75</v>
      </c>
      <c r="AI82" s="30">
        <v>2351.25</v>
      </c>
      <c r="AJ82" s="31">
        <v>213.75</v>
      </c>
      <c r="AK82" s="32">
        <v>2047.5</v>
      </c>
      <c r="AL82" s="16"/>
      <c r="AM82" s="27">
        <v>2047.5</v>
      </c>
      <c r="AN82" s="16"/>
      <c r="AO82" s="16"/>
      <c r="AP82" s="28">
        <v>1.1178082191780823</v>
      </c>
      <c r="AQ82" s="29">
        <v>8.882191780821918</v>
      </c>
      <c r="AR82" s="27">
        <v>123.75</v>
      </c>
      <c r="AS82" s="30">
        <v>2137.5</v>
      </c>
      <c r="AT82" s="31">
        <v>213.75</v>
      </c>
      <c r="AU82" s="33">
        <v>1833.75</v>
      </c>
      <c r="AW82" s="27">
        <v>1833.75</v>
      </c>
      <c r="AX82" s="16"/>
      <c r="AY82" s="16"/>
      <c r="AZ82" s="28">
        <v>2.117808219178082</v>
      </c>
      <c r="BA82" s="29">
        <v>7.882191780821918</v>
      </c>
      <c r="BB82" s="27">
        <v>123.75</v>
      </c>
      <c r="BC82" s="30">
        <v>1923.75</v>
      </c>
      <c r="BD82" s="34">
        <v>213.75</v>
      </c>
      <c r="BE82" s="33">
        <v>1620</v>
      </c>
      <c r="BF82" s="33"/>
      <c r="BG82" s="27">
        <v>1620</v>
      </c>
      <c r="BH82" s="16"/>
      <c r="BI82" s="16"/>
      <c r="BJ82" s="28">
        <v>3.117808219178082</v>
      </c>
      <c r="BK82" s="29">
        <v>6.882191780821918</v>
      </c>
      <c r="BL82" s="27">
        <v>123.75</v>
      </c>
      <c r="BM82" s="30">
        <v>1496.25</v>
      </c>
      <c r="BN82" s="34">
        <v>213.75</v>
      </c>
      <c r="BO82" s="35">
        <v>1406.25</v>
      </c>
      <c r="BP82" s="36"/>
      <c r="BQ82" s="27">
        <v>1406.25</v>
      </c>
      <c r="BR82" s="16"/>
      <c r="BS82" s="16"/>
      <c r="BT82" s="28">
        <v>4.117808219178082</v>
      </c>
      <c r="BU82" s="29">
        <v>5.882191780821918</v>
      </c>
      <c r="BV82" s="27">
        <v>123.75</v>
      </c>
      <c r="BW82" s="30">
        <v>1282.5</v>
      </c>
      <c r="BX82" s="34">
        <v>213.75</v>
      </c>
      <c r="BY82" s="35">
        <v>1192.5</v>
      </c>
      <c r="CA82" s="35">
        <v>1192.5</v>
      </c>
      <c r="CB82" s="16"/>
      <c r="CC82" s="16"/>
      <c r="CD82" s="28">
        <v>5.1205479452054794</v>
      </c>
      <c r="CE82" s="29">
        <v>4.8794520547945206</v>
      </c>
      <c r="CF82" s="27">
        <v>123.75</v>
      </c>
      <c r="CG82" s="30">
        <v>1068.75</v>
      </c>
      <c r="CH82" s="31">
        <v>213.75</v>
      </c>
      <c r="CI82" s="35">
        <v>978.75</v>
      </c>
      <c r="CK82" s="36">
        <v>855</v>
      </c>
      <c r="CL82" s="35">
        <v>978.75</v>
      </c>
      <c r="CM82" s="16"/>
      <c r="CN82" s="16"/>
      <c r="CO82" s="28">
        <v>6.1205479452054794</v>
      </c>
      <c r="CP82" s="29">
        <v>3.8794520547945206</v>
      </c>
      <c r="CQ82" s="27">
        <v>123.75</v>
      </c>
      <c r="CR82" s="34">
        <v>855</v>
      </c>
      <c r="CS82" s="34">
        <v>213.75</v>
      </c>
      <c r="CT82" s="35">
        <v>765</v>
      </c>
      <c r="CV82" s="35">
        <v>641.25</v>
      </c>
      <c r="CW82" s="35">
        <v>765</v>
      </c>
      <c r="CX82" s="16"/>
      <c r="CY82" s="16"/>
      <c r="CZ82" s="28">
        <v>8.1205479452054803</v>
      </c>
      <c r="DA82" s="29">
        <v>1.8794520547945197</v>
      </c>
      <c r="DB82" s="27">
        <v>123.75</v>
      </c>
      <c r="DC82" s="34">
        <v>641.25</v>
      </c>
      <c r="DD82" s="34">
        <v>213.75</v>
      </c>
      <c r="DE82" s="35">
        <v>551.25</v>
      </c>
      <c r="DG82" s="35">
        <v>2475</v>
      </c>
      <c r="DH82" s="35">
        <v>1923.75</v>
      </c>
      <c r="DI82" s="35">
        <f t="shared" si="4"/>
        <v>551.25</v>
      </c>
      <c r="DJ82" s="132">
        <f t="shared" si="5"/>
        <v>551.25</v>
      </c>
      <c r="DK82" s="132">
        <f t="shared" si="6"/>
        <v>0</v>
      </c>
      <c r="DL82" s="132">
        <f t="shared" si="7"/>
        <v>0</v>
      </c>
    </row>
    <row r="83" spans="2:116" s="4" customFormat="1" ht="39" x14ac:dyDescent="0.25">
      <c r="B83" s="13" t="s">
        <v>4</v>
      </c>
      <c r="C83" s="14" t="s">
        <v>4</v>
      </c>
      <c r="D83" s="15" t="s">
        <v>101</v>
      </c>
      <c r="E83" s="15" t="s">
        <v>268</v>
      </c>
      <c r="F83" s="16" t="s">
        <v>269</v>
      </c>
      <c r="G83" s="11" t="s">
        <v>111</v>
      </c>
      <c r="H83" s="17">
        <v>42054</v>
      </c>
      <c r="I83" s="18" t="s">
        <v>422</v>
      </c>
      <c r="J83" s="19">
        <v>0</v>
      </c>
      <c r="K83" s="20">
        <v>10</v>
      </c>
      <c r="L83" s="21">
        <v>10</v>
      </c>
      <c r="M83" s="23">
        <v>47004</v>
      </c>
      <c r="N83" s="38">
        <v>0</v>
      </c>
      <c r="O83" s="24">
        <v>47004</v>
      </c>
      <c r="P83" s="24">
        <v>40</v>
      </c>
      <c r="Q83" s="25">
        <v>10</v>
      </c>
      <c r="R83" s="26">
        <v>2350.2000000000003</v>
      </c>
      <c r="S83" s="25">
        <v>44653.8</v>
      </c>
      <c r="T83" s="25">
        <v>489.35671232876712</v>
      </c>
      <c r="U83" s="25"/>
      <c r="V83" s="25">
        <v>0</v>
      </c>
      <c r="W83" s="25">
        <v>489.35671232876712</v>
      </c>
      <c r="X83" s="25">
        <v>489.35671232876712</v>
      </c>
      <c r="Y83" s="25">
        <v>0</v>
      </c>
      <c r="Z83" s="24">
        <v>47004</v>
      </c>
      <c r="AA83" s="27">
        <v>46514.643287671235</v>
      </c>
      <c r="AB83" s="16"/>
      <c r="AC83" s="27">
        <v>46514.643287671235</v>
      </c>
      <c r="AD83" s="16"/>
      <c r="AE83" s="16"/>
      <c r="AF83" s="28">
        <v>0.1095890410958904</v>
      </c>
      <c r="AG83" s="29">
        <v>9.8904109589041092</v>
      </c>
      <c r="AH83" s="27">
        <v>2350.2000000000003</v>
      </c>
      <c r="AI83" s="30">
        <v>44653.8</v>
      </c>
      <c r="AJ83" s="31">
        <v>4465.38</v>
      </c>
      <c r="AK83" s="32">
        <v>42049.263287671238</v>
      </c>
      <c r="AL83" s="16"/>
      <c r="AM83" s="27">
        <v>42049.263287671238</v>
      </c>
      <c r="AN83" s="16"/>
      <c r="AO83" s="16"/>
      <c r="AP83" s="28">
        <v>1.1123287671232878</v>
      </c>
      <c r="AQ83" s="29">
        <v>8.8876712328767127</v>
      </c>
      <c r="AR83" s="27">
        <v>2350.2000000000003</v>
      </c>
      <c r="AS83" s="30">
        <v>44164.443287671238</v>
      </c>
      <c r="AT83" s="31">
        <v>4465.38</v>
      </c>
      <c r="AU83" s="33">
        <v>37583.88328767124</v>
      </c>
      <c r="AW83" s="27">
        <v>37583.88328767124</v>
      </c>
      <c r="AX83" s="16"/>
      <c r="AY83" s="16"/>
      <c r="AZ83" s="28">
        <v>2.1123287671232878</v>
      </c>
      <c r="BA83" s="29">
        <v>7.8876712328767127</v>
      </c>
      <c r="BB83" s="27">
        <v>2350.2000000000003</v>
      </c>
      <c r="BC83" s="30">
        <v>39699.063287671241</v>
      </c>
      <c r="BD83" s="34">
        <v>4465.38</v>
      </c>
      <c r="BE83" s="33">
        <v>33118.503287671243</v>
      </c>
      <c r="BF83" s="33"/>
      <c r="BG83" s="27">
        <v>33118.503287671243</v>
      </c>
      <c r="BH83" s="16"/>
      <c r="BI83" s="16"/>
      <c r="BJ83" s="28">
        <v>3.1123287671232878</v>
      </c>
      <c r="BK83" s="29">
        <v>6.8876712328767127</v>
      </c>
      <c r="BL83" s="27">
        <v>2350.2000000000003</v>
      </c>
      <c r="BM83" s="30">
        <v>30768.303287671242</v>
      </c>
      <c r="BN83" s="34">
        <v>4465.38</v>
      </c>
      <c r="BO83" s="35">
        <v>28653.123287671242</v>
      </c>
      <c r="BP83" s="36"/>
      <c r="BQ83" s="27">
        <v>28653.123287671242</v>
      </c>
      <c r="BR83" s="16"/>
      <c r="BS83" s="16"/>
      <c r="BT83" s="28">
        <v>4.1123287671232873</v>
      </c>
      <c r="BU83" s="29">
        <v>5.8876712328767127</v>
      </c>
      <c r="BV83" s="27">
        <v>2350.2000000000003</v>
      </c>
      <c r="BW83" s="30">
        <v>26302.923287671241</v>
      </c>
      <c r="BX83" s="34">
        <v>4465.38</v>
      </c>
      <c r="BY83" s="35">
        <v>24187.743287671241</v>
      </c>
      <c r="CA83" s="35">
        <v>24187.743287671241</v>
      </c>
      <c r="CB83" s="16"/>
      <c r="CC83" s="16"/>
      <c r="CD83" s="28">
        <v>5.1150684931506847</v>
      </c>
      <c r="CE83" s="29">
        <v>4.8849315068493153</v>
      </c>
      <c r="CF83" s="27">
        <v>2350.2000000000003</v>
      </c>
      <c r="CG83" s="30">
        <v>21837.54328767124</v>
      </c>
      <c r="CH83" s="31">
        <v>4465.38</v>
      </c>
      <c r="CI83" s="35">
        <v>19722.36328767124</v>
      </c>
      <c r="CK83" s="36">
        <v>17372.163287671239</v>
      </c>
      <c r="CL83" s="35">
        <v>19722.36328767124</v>
      </c>
      <c r="CM83" s="16"/>
      <c r="CN83" s="16"/>
      <c r="CO83" s="28">
        <v>6.1150684931506847</v>
      </c>
      <c r="CP83" s="29">
        <v>3.8849315068493153</v>
      </c>
      <c r="CQ83" s="27">
        <v>2350.2000000000003</v>
      </c>
      <c r="CR83" s="34">
        <v>17372.163287671239</v>
      </c>
      <c r="CS83" s="34">
        <v>4465.38</v>
      </c>
      <c r="CT83" s="35">
        <v>15256.983287671239</v>
      </c>
      <c r="CV83" s="35">
        <v>12906.783287671238</v>
      </c>
      <c r="CW83" s="35">
        <v>15256.983287671239</v>
      </c>
      <c r="CX83" s="16"/>
      <c r="CY83" s="16"/>
      <c r="CZ83" s="28">
        <v>8.1150684931506856</v>
      </c>
      <c r="DA83" s="29">
        <v>1.8849315068493144</v>
      </c>
      <c r="DB83" s="27">
        <v>2350.2000000000003</v>
      </c>
      <c r="DC83" s="34">
        <v>12906.783287671238</v>
      </c>
      <c r="DD83" s="34">
        <v>4465.38</v>
      </c>
      <c r="DE83" s="35">
        <v>10791.603287671238</v>
      </c>
      <c r="DG83" s="35">
        <v>47004</v>
      </c>
      <c r="DH83" s="35">
        <v>36212.396712328773</v>
      </c>
      <c r="DI83" s="35">
        <f t="shared" si="4"/>
        <v>10791.603287671227</v>
      </c>
      <c r="DJ83" s="132">
        <f t="shared" si="5"/>
        <v>10791.603287671227</v>
      </c>
      <c r="DK83" s="132">
        <f t="shared" si="6"/>
        <v>0</v>
      </c>
      <c r="DL83" s="132">
        <f t="shared" si="7"/>
        <v>0</v>
      </c>
    </row>
    <row r="84" spans="2:116" s="4" customFormat="1" ht="39" x14ac:dyDescent="0.25">
      <c r="B84" s="13" t="s">
        <v>4</v>
      </c>
      <c r="C84" s="14" t="s">
        <v>4</v>
      </c>
      <c r="D84" s="15" t="s">
        <v>101</v>
      </c>
      <c r="E84" s="15" t="s">
        <v>270</v>
      </c>
      <c r="F84" s="16" t="s">
        <v>271</v>
      </c>
      <c r="G84" s="11" t="s">
        <v>111</v>
      </c>
      <c r="H84" s="17">
        <v>42055</v>
      </c>
      <c r="I84" s="18" t="s">
        <v>422</v>
      </c>
      <c r="J84" s="19">
        <v>0</v>
      </c>
      <c r="K84" s="20">
        <v>10</v>
      </c>
      <c r="L84" s="21">
        <v>10</v>
      </c>
      <c r="M84" s="23">
        <v>165000</v>
      </c>
      <c r="N84" s="38">
        <v>0</v>
      </c>
      <c r="O84" s="24">
        <v>165000</v>
      </c>
      <c r="P84" s="24">
        <v>39</v>
      </c>
      <c r="Q84" s="25">
        <v>10</v>
      </c>
      <c r="R84" s="26">
        <v>8250</v>
      </c>
      <c r="S84" s="25">
        <v>156750</v>
      </c>
      <c r="T84" s="25">
        <v>1674.8630136986303</v>
      </c>
      <c r="U84" s="25"/>
      <c r="V84" s="25">
        <v>0</v>
      </c>
      <c r="W84" s="25">
        <v>1674.8630136986303</v>
      </c>
      <c r="X84" s="25">
        <v>1674.8630136986303</v>
      </c>
      <c r="Y84" s="25">
        <v>0</v>
      </c>
      <c r="Z84" s="24">
        <v>165000</v>
      </c>
      <c r="AA84" s="27">
        <v>163325.13698630137</v>
      </c>
      <c r="AB84" s="16"/>
      <c r="AC84" s="27">
        <v>163325.13698630137</v>
      </c>
      <c r="AD84" s="16"/>
      <c r="AE84" s="16"/>
      <c r="AF84" s="28">
        <v>0.10684931506849316</v>
      </c>
      <c r="AG84" s="29">
        <v>9.8931506849315074</v>
      </c>
      <c r="AH84" s="27">
        <v>8250</v>
      </c>
      <c r="AI84" s="30">
        <v>156750</v>
      </c>
      <c r="AJ84" s="31">
        <v>15675</v>
      </c>
      <c r="AK84" s="32">
        <v>147650.13698630137</v>
      </c>
      <c r="AL84" s="16"/>
      <c r="AM84" s="27">
        <v>147650.13698630137</v>
      </c>
      <c r="AN84" s="16"/>
      <c r="AO84" s="16"/>
      <c r="AP84" s="28">
        <v>1.1095890410958904</v>
      </c>
      <c r="AQ84" s="29">
        <v>8.8904109589041092</v>
      </c>
      <c r="AR84" s="27">
        <v>8250</v>
      </c>
      <c r="AS84" s="30">
        <v>155075.13698630137</v>
      </c>
      <c r="AT84" s="31">
        <v>15675</v>
      </c>
      <c r="AU84" s="33">
        <v>131975.13698630137</v>
      </c>
      <c r="AW84" s="27">
        <v>131975.13698630137</v>
      </c>
      <c r="AX84" s="16"/>
      <c r="AY84" s="16"/>
      <c r="AZ84" s="28">
        <v>2.1095890410958904</v>
      </c>
      <c r="BA84" s="29">
        <v>7.8904109589041092</v>
      </c>
      <c r="BB84" s="27">
        <v>8250</v>
      </c>
      <c r="BC84" s="30">
        <v>139400.13698630137</v>
      </c>
      <c r="BD84" s="34">
        <v>15675</v>
      </c>
      <c r="BE84" s="33">
        <v>116300.13698630137</v>
      </c>
      <c r="BF84" s="33"/>
      <c r="BG84" s="27">
        <v>116300.13698630137</v>
      </c>
      <c r="BH84" s="16"/>
      <c r="BI84" s="16"/>
      <c r="BJ84" s="28">
        <v>3.1095890410958904</v>
      </c>
      <c r="BK84" s="29">
        <v>6.8904109589041092</v>
      </c>
      <c r="BL84" s="27">
        <v>8250</v>
      </c>
      <c r="BM84" s="30">
        <v>108050.13698630137</v>
      </c>
      <c r="BN84" s="34">
        <v>15675</v>
      </c>
      <c r="BO84" s="35">
        <v>100625.13698630137</v>
      </c>
      <c r="BP84" s="36"/>
      <c r="BQ84" s="27">
        <v>100625.13698630137</v>
      </c>
      <c r="BR84" s="16"/>
      <c r="BS84" s="16"/>
      <c r="BT84" s="28">
        <v>4.1095890410958908</v>
      </c>
      <c r="BU84" s="29">
        <v>5.8904109589041092</v>
      </c>
      <c r="BV84" s="27">
        <v>8250</v>
      </c>
      <c r="BW84" s="30">
        <v>92375.136986301368</v>
      </c>
      <c r="BX84" s="34">
        <v>15675</v>
      </c>
      <c r="BY84" s="35">
        <v>84950.136986301368</v>
      </c>
      <c r="CA84" s="35">
        <v>84950.136986301368</v>
      </c>
      <c r="CB84" s="16"/>
      <c r="CC84" s="16"/>
      <c r="CD84" s="28">
        <v>5.1123287671232873</v>
      </c>
      <c r="CE84" s="29">
        <v>4.8876712328767127</v>
      </c>
      <c r="CF84" s="27">
        <v>8250</v>
      </c>
      <c r="CG84" s="30">
        <v>76700.136986301368</v>
      </c>
      <c r="CH84" s="31">
        <v>15675</v>
      </c>
      <c r="CI84" s="35">
        <v>69275.136986301368</v>
      </c>
      <c r="CK84" s="36">
        <v>61025.136986301368</v>
      </c>
      <c r="CL84" s="35">
        <v>69275.136986301368</v>
      </c>
      <c r="CM84" s="16"/>
      <c r="CN84" s="16"/>
      <c r="CO84" s="28">
        <v>6.1123287671232873</v>
      </c>
      <c r="CP84" s="29">
        <v>3.8876712328767127</v>
      </c>
      <c r="CQ84" s="27">
        <v>8250</v>
      </c>
      <c r="CR84" s="34">
        <v>61025.136986301368</v>
      </c>
      <c r="CS84" s="34">
        <v>15675</v>
      </c>
      <c r="CT84" s="35">
        <v>53600.136986301368</v>
      </c>
      <c r="CV84" s="35">
        <v>45350.136986301368</v>
      </c>
      <c r="CW84" s="35">
        <v>53600.136986301368</v>
      </c>
      <c r="CX84" s="16"/>
      <c r="CY84" s="16"/>
      <c r="CZ84" s="28">
        <v>8.1123287671232873</v>
      </c>
      <c r="DA84" s="29">
        <v>1.8876712328767127</v>
      </c>
      <c r="DB84" s="27">
        <v>8250</v>
      </c>
      <c r="DC84" s="34">
        <v>45350.136986301368</v>
      </c>
      <c r="DD84" s="34">
        <v>15675</v>
      </c>
      <c r="DE84" s="35">
        <v>37925.136986301368</v>
      </c>
      <c r="DG84" s="35">
        <v>165000</v>
      </c>
      <c r="DH84" s="35">
        <v>127074.86301369863</v>
      </c>
      <c r="DI84" s="35">
        <f t="shared" si="4"/>
        <v>37925.136986301368</v>
      </c>
      <c r="DJ84" s="132">
        <f t="shared" si="5"/>
        <v>37925.136986301368</v>
      </c>
      <c r="DK84" s="132">
        <f t="shared" si="6"/>
        <v>0</v>
      </c>
      <c r="DL84" s="132">
        <f t="shared" si="7"/>
        <v>0</v>
      </c>
    </row>
    <row r="85" spans="2:116" s="4" customFormat="1" ht="39" x14ac:dyDescent="0.25">
      <c r="B85" s="13" t="s">
        <v>4</v>
      </c>
      <c r="C85" s="14" t="s">
        <v>4</v>
      </c>
      <c r="D85" s="15" t="s">
        <v>101</v>
      </c>
      <c r="E85" s="15" t="s">
        <v>272</v>
      </c>
      <c r="F85" s="16" t="s">
        <v>273</v>
      </c>
      <c r="G85" s="11" t="s">
        <v>111</v>
      </c>
      <c r="H85" s="17">
        <v>42065</v>
      </c>
      <c r="I85" s="18" t="s">
        <v>422</v>
      </c>
      <c r="J85" s="19">
        <v>0</v>
      </c>
      <c r="K85" s="20">
        <v>10</v>
      </c>
      <c r="L85" s="21">
        <v>10</v>
      </c>
      <c r="M85" s="23">
        <v>8190</v>
      </c>
      <c r="N85" s="38">
        <v>0</v>
      </c>
      <c r="O85" s="24">
        <v>8190</v>
      </c>
      <c r="P85" s="24">
        <v>29</v>
      </c>
      <c r="Q85" s="25">
        <v>10</v>
      </c>
      <c r="R85" s="26">
        <v>409.5</v>
      </c>
      <c r="S85" s="25">
        <v>7780.5</v>
      </c>
      <c r="T85" s="25">
        <v>61.817671232876705</v>
      </c>
      <c r="U85" s="25"/>
      <c r="V85" s="25">
        <v>0</v>
      </c>
      <c r="W85" s="25">
        <v>61.817671232876705</v>
      </c>
      <c r="X85" s="25">
        <v>61.817671232876705</v>
      </c>
      <c r="Y85" s="25">
        <v>0</v>
      </c>
      <c r="Z85" s="24">
        <v>8190</v>
      </c>
      <c r="AA85" s="27">
        <v>8128.1823287671232</v>
      </c>
      <c r="AB85" s="16"/>
      <c r="AC85" s="27">
        <v>8128.1823287671232</v>
      </c>
      <c r="AD85" s="16"/>
      <c r="AE85" s="16"/>
      <c r="AF85" s="28">
        <v>7.9452054794520555E-2</v>
      </c>
      <c r="AG85" s="29">
        <v>9.9205479452054792</v>
      </c>
      <c r="AH85" s="27">
        <v>409.5</v>
      </c>
      <c r="AI85" s="30">
        <v>7780.5</v>
      </c>
      <c r="AJ85" s="31">
        <v>778.05</v>
      </c>
      <c r="AK85" s="32">
        <v>7350.132328767123</v>
      </c>
      <c r="AL85" s="16"/>
      <c r="AM85" s="27">
        <v>7350.132328767123</v>
      </c>
      <c r="AN85" s="16"/>
      <c r="AO85" s="16"/>
      <c r="AP85" s="28">
        <v>1.0821917808219179</v>
      </c>
      <c r="AQ85" s="29">
        <v>8.9178082191780828</v>
      </c>
      <c r="AR85" s="27">
        <v>409.5</v>
      </c>
      <c r="AS85" s="30">
        <v>7718.6823287671232</v>
      </c>
      <c r="AT85" s="31">
        <v>778.05</v>
      </c>
      <c r="AU85" s="33">
        <v>6572.0823287671228</v>
      </c>
      <c r="AW85" s="27">
        <v>6572.0823287671228</v>
      </c>
      <c r="AX85" s="16"/>
      <c r="AY85" s="16"/>
      <c r="AZ85" s="28">
        <v>2.0821917808219177</v>
      </c>
      <c r="BA85" s="29">
        <v>7.9178082191780828</v>
      </c>
      <c r="BB85" s="27">
        <v>409.5</v>
      </c>
      <c r="BC85" s="30">
        <v>6940.632328767123</v>
      </c>
      <c r="BD85" s="34">
        <v>778.05</v>
      </c>
      <c r="BE85" s="33">
        <v>5794.0323287671226</v>
      </c>
      <c r="BF85" s="33"/>
      <c r="BG85" s="27">
        <v>5794.0323287671226</v>
      </c>
      <c r="BH85" s="16"/>
      <c r="BI85" s="16"/>
      <c r="BJ85" s="28">
        <v>3.0821917808219177</v>
      </c>
      <c r="BK85" s="29">
        <v>6.9178082191780828</v>
      </c>
      <c r="BL85" s="27">
        <v>409.5</v>
      </c>
      <c r="BM85" s="30">
        <v>5384.5323287671226</v>
      </c>
      <c r="BN85" s="34">
        <v>778.05</v>
      </c>
      <c r="BO85" s="35">
        <v>5015.9823287671225</v>
      </c>
      <c r="BP85" s="36"/>
      <c r="BQ85" s="27">
        <v>5015.9823287671225</v>
      </c>
      <c r="BR85" s="16"/>
      <c r="BS85" s="16"/>
      <c r="BT85" s="28">
        <v>4.0821917808219181</v>
      </c>
      <c r="BU85" s="29">
        <v>5.9178082191780819</v>
      </c>
      <c r="BV85" s="27">
        <v>409.5</v>
      </c>
      <c r="BW85" s="30">
        <v>4606.4823287671225</v>
      </c>
      <c r="BX85" s="34">
        <v>778.05</v>
      </c>
      <c r="BY85" s="35">
        <v>4237.9323287671223</v>
      </c>
      <c r="CA85" s="35">
        <v>4237.9323287671223</v>
      </c>
      <c r="CB85" s="16"/>
      <c r="CC85" s="16"/>
      <c r="CD85" s="28">
        <v>5.0849315068493155</v>
      </c>
      <c r="CE85" s="29">
        <v>4.9150684931506845</v>
      </c>
      <c r="CF85" s="27">
        <v>409.5</v>
      </c>
      <c r="CG85" s="30">
        <v>3828.4323287671223</v>
      </c>
      <c r="CH85" s="31">
        <v>778.05</v>
      </c>
      <c r="CI85" s="35">
        <v>3459.8823287671221</v>
      </c>
      <c r="CK85" s="36">
        <v>3050.3823287671221</v>
      </c>
      <c r="CL85" s="35">
        <v>3459.8823287671221</v>
      </c>
      <c r="CM85" s="16"/>
      <c r="CN85" s="16"/>
      <c r="CO85" s="28">
        <v>6.0849315068493155</v>
      </c>
      <c r="CP85" s="29">
        <v>3.9150684931506845</v>
      </c>
      <c r="CQ85" s="27">
        <v>409.5</v>
      </c>
      <c r="CR85" s="34">
        <v>3050.3823287671221</v>
      </c>
      <c r="CS85" s="34">
        <v>778.05</v>
      </c>
      <c r="CT85" s="35">
        <v>2681.8323287671219</v>
      </c>
      <c r="CV85" s="35">
        <v>2272.3323287671219</v>
      </c>
      <c r="CW85" s="35">
        <v>2681.8323287671219</v>
      </c>
      <c r="CX85" s="16"/>
      <c r="CY85" s="16"/>
      <c r="CZ85" s="28">
        <v>8.0849315068493155</v>
      </c>
      <c r="DA85" s="29">
        <v>1.9150684931506845</v>
      </c>
      <c r="DB85" s="27">
        <v>409.5</v>
      </c>
      <c r="DC85" s="34">
        <v>2272.3323287671219</v>
      </c>
      <c r="DD85" s="34">
        <v>778.05</v>
      </c>
      <c r="DE85" s="35">
        <v>1903.782328767122</v>
      </c>
      <c r="DG85" s="35">
        <v>8190</v>
      </c>
      <c r="DH85" s="35">
        <v>6286.2176712328774</v>
      </c>
      <c r="DI85" s="35">
        <f t="shared" si="4"/>
        <v>1903.7823287671226</v>
      </c>
      <c r="DJ85" s="132">
        <f t="shared" si="5"/>
        <v>1903.7823287671226</v>
      </c>
      <c r="DK85" s="132">
        <f t="shared" si="6"/>
        <v>0</v>
      </c>
      <c r="DL85" s="132">
        <f t="shared" si="7"/>
        <v>0</v>
      </c>
    </row>
    <row r="86" spans="2:116" s="4" customFormat="1" ht="39" x14ac:dyDescent="0.25">
      <c r="B86" s="13" t="s">
        <v>4</v>
      </c>
      <c r="C86" s="14" t="s">
        <v>4</v>
      </c>
      <c r="D86" s="15" t="s">
        <v>101</v>
      </c>
      <c r="E86" s="15" t="s">
        <v>274</v>
      </c>
      <c r="F86" s="16" t="s">
        <v>275</v>
      </c>
      <c r="G86" s="11" t="s">
        <v>111</v>
      </c>
      <c r="H86" s="17">
        <v>42065</v>
      </c>
      <c r="I86" s="18" t="s">
        <v>422</v>
      </c>
      <c r="J86" s="19">
        <v>0</v>
      </c>
      <c r="K86" s="20">
        <v>10</v>
      </c>
      <c r="L86" s="21">
        <v>10</v>
      </c>
      <c r="M86" s="23">
        <v>6248</v>
      </c>
      <c r="N86" s="38">
        <v>0</v>
      </c>
      <c r="O86" s="24">
        <v>6248</v>
      </c>
      <c r="P86" s="24">
        <v>29</v>
      </c>
      <c r="Q86" s="25">
        <v>10</v>
      </c>
      <c r="R86" s="26">
        <v>312.40000000000003</v>
      </c>
      <c r="S86" s="25">
        <v>5935.6</v>
      </c>
      <c r="T86" s="25">
        <v>47.159561643835623</v>
      </c>
      <c r="U86" s="25"/>
      <c r="V86" s="25">
        <v>0</v>
      </c>
      <c r="W86" s="25">
        <v>47.159561643835623</v>
      </c>
      <c r="X86" s="25">
        <v>47.159561643835623</v>
      </c>
      <c r="Y86" s="25">
        <v>0</v>
      </c>
      <c r="Z86" s="24">
        <v>6248</v>
      </c>
      <c r="AA86" s="27">
        <v>6200.8404383561647</v>
      </c>
      <c r="AB86" s="16"/>
      <c r="AC86" s="27">
        <v>6200.8404383561647</v>
      </c>
      <c r="AD86" s="16"/>
      <c r="AE86" s="16"/>
      <c r="AF86" s="28">
        <v>7.9452054794520555E-2</v>
      </c>
      <c r="AG86" s="29">
        <v>9.9205479452054792</v>
      </c>
      <c r="AH86" s="27">
        <v>312.40000000000003</v>
      </c>
      <c r="AI86" s="30">
        <v>5935.6</v>
      </c>
      <c r="AJ86" s="31">
        <v>593.56000000000006</v>
      </c>
      <c r="AK86" s="32">
        <v>5607.2804383561643</v>
      </c>
      <c r="AL86" s="16"/>
      <c r="AM86" s="27">
        <v>5607.2804383561643</v>
      </c>
      <c r="AN86" s="16"/>
      <c r="AO86" s="16"/>
      <c r="AP86" s="28">
        <v>1.0821917808219179</v>
      </c>
      <c r="AQ86" s="29">
        <v>8.9178082191780828</v>
      </c>
      <c r="AR86" s="27">
        <v>312.40000000000003</v>
      </c>
      <c r="AS86" s="30">
        <v>5888.440438356165</v>
      </c>
      <c r="AT86" s="31">
        <v>593.56000000000006</v>
      </c>
      <c r="AU86" s="33">
        <v>5013.7204383561639</v>
      </c>
      <c r="AW86" s="27">
        <v>5013.7204383561639</v>
      </c>
      <c r="AX86" s="16"/>
      <c r="AY86" s="16"/>
      <c r="AZ86" s="28">
        <v>2.0821917808219177</v>
      </c>
      <c r="BA86" s="29">
        <v>7.9178082191780828</v>
      </c>
      <c r="BB86" s="27">
        <v>312.40000000000003</v>
      </c>
      <c r="BC86" s="30">
        <v>5294.8804383561646</v>
      </c>
      <c r="BD86" s="34">
        <v>593.56000000000006</v>
      </c>
      <c r="BE86" s="33">
        <v>4420.1604383561635</v>
      </c>
      <c r="BF86" s="33"/>
      <c r="BG86" s="27">
        <v>4420.1604383561635</v>
      </c>
      <c r="BH86" s="16"/>
      <c r="BI86" s="16"/>
      <c r="BJ86" s="28">
        <v>3.0821917808219177</v>
      </c>
      <c r="BK86" s="29">
        <v>6.9178082191780828</v>
      </c>
      <c r="BL86" s="27">
        <v>312.40000000000003</v>
      </c>
      <c r="BM86" s="30">
        <v>4107.7604383561638</v>
      </c>
      <c r="BN86" s="34">
        <v>593.56000000000006</v>
      </c>
      <c r="BO86" s="35">
        <v>3826.6004383561635</v>
      </c>
      <c r="BP86" s="36"/>
      <c r="BQ86" s="27">
        <v>3826.6004383561635</v>
      </c>
      <c r="BR86" s="16"/>
      <c r="BS86" s="16"/>
      <c r="BT86" s="28">
        <v>4.0821917808219181</v>
      </c>
      <c r="BU86" s="29">
        <v>5.9178082191780819</v>
      </c>
      <c r="BV86" s="27">
        <v>312.40000000000003</v>
      </c>
      <c r="BW86" s="30">
        <v>3514.2004383561634</v>
      </c>
      <c r="BX86" s="34">
        <v>593.56000000000006</v>
      </c>
      <c r="BY86" s="35">
        <v>3233.0404383561636</v>
      </c>
      <c r="CA86" s="35">
        <v>3233.0404383561636</v>
      </c>
      <c r="CB86" s="16"/>
      <c r="CC86" s="16"/>
      <c r="CD86" s="28">
        <v>5.0849315068493155</v>
      </c>
      <c r="CE86" s="29">
        <v>4.9150684931506845</v>
      </c>
      <c r="CF86" s="27">
        <v>312.40000000000003</v>
      </c>
      <c r="CG86" s="30">
        <v>2920.6404383561635</v>
      </c>
      <c r="CH86" s="31">
        <v>593.56000000000006</v>
      </c>
      <c r="CI86" s="35">
        <v>2639.4804383561636</v>
      </c>
      <c r="CK86" s="36">
        <v>2327.0804383561635</v>
      </c>
      <c r="CL86" s="35">
        <v>2639.4804383561636</v>
      </c>
      <c r="CM86" s="16"/>
      <c r="CN86" s="16"/>
      <c r="CO86" s="28">
        <v>6.0849315068493155</v>
      </c>
      <c r="CP86" s="29">
        <v>3.9150684931506845</v>
      </c>
      <c r="CQ86" s="27">
        <v>312.40000000000003</v>
      </c>
      <c r="CR86" s="34">
        <v>2327.0804383561635</v>
      </c>
      <c r="CS86" s="34">
        <v>593.56000000000006</v>
      </c>
      <c r="CT86" s="35">
        <v>2045.9204383561637</v>
      </c>
      <c r="CV86" s="35">
        <v>1733.5204383561636</v>
      </c>
      <c r="CW86" s="35">
        <v>2045.9204383561637</v>
      </c>
      <c r="CX86" s="16"/>
      <c r="CY86" s="16"/>
      <c r="CZ86" s="28">
        <v>8.0849315068493155</v>
      </c>
      <c r="DA86" s="29">
        <v>1.9150684931506845</v>
      </c>
      <c r="DB86" s="27">
        <v>312.40000000000003</v>
      </c>
      <c r="DC86" s="34">
        <v>1733.5204383561636</v>
      </c>
      <c r="DD86" s="34">
        <v>593.56000000000006</v>
      </c>
      <c r="DE86" s="35">
        <v>1452.3604383561637</v>
      </c>
      <c r="DG86" s="35">
        <v>6248</v>
      </c>
      <c r="DH86" s="35">
        <v>4795.6395616438358</v>
      </c>
      <c r="DI86" s="35">
        <f t="shared" si="4"/>
        <v>1452.3604383561642</v>
      </c>
      <c r="DJ86" s="132">
        <f t="shared" si="5"/>
        <v>1452.3604383561642</v>
      </c>
      <c r="DK86" s="132">
        <f t="shared" si="6"/>
        <v>0</v>
      </c>
      <c r="DL86" s="132">
        <f t="shared" si="7"/>
        <v>0</v>
      </c>
    </row>
    <row r="87" spans="2:116" s="4" customFormat="1" ht="39" x14ac:dyDescent="0.25">
      <c r="B87" s="13" t="s">
        <v>4</v>
      </c>
      <c r="C87" s="14" t="s">
        <v>4</v>
      </c>
      <c r="D87" s="15" t="s">
        <v>101</v>
      </c>
      <c r="E87" s="15" t="s">
        <v>276</v>
      </c>
      <c r="F87" s="16" t="s">
        <v>275</v>
      </c>
      <c r="G87" s="11" t="s">
        <v>111</v>
      </c>
      <c r="H87" s="17">
        <v>42070</v>
      </c>
      <c r="I87" s="18" t="s">
        <v>422</v>
      </c>
      <c r="J87" s="19">
        <v>0</v>
      </c>
      <c r="K87" s="20">
        <v>10</v>
      </c>
      <c r="L87" s="21">
        <v>10</v>
      </c>
      <c r="M87" s="23">
        <v>5950</v>
      </c>
      <c r="N87" s="38">
        <v>0</v>
      </c>
      <c r="O87" s="24">
        <v>5950</v>
      </c>
      <c r="P87" s="24">
        <v>24</v>
      </c>
      <c r="Q87" s="25">
        <v>10</v>
      </c>
      <c r="R87" s="26">
        <v>297.5</v>
      </c>
      <c r="S87" s="25">
        <v>5652.5</v>
      </c>
      <c r="T87" s="25">
        <v>37.167123287671231</v>
      </c>
      <c r="U87" s="25"/>
      <c r="V87" s="25">
        <v>0</v>
      </c>
      <c r="W87" s="25">
        <v>37.167123287671231</v>
      </c>
      <c r="X87" s="25">
        <v>37.167123287671231</v>
      </c>
      <c r="Y87" s="25">
        <v>0</v>
      </c>
      <c r="Z87" s="24">
        <v>5950</v>
      </c>
      <c r="AA87" s="27">
        <v>5912.8328767123285</v>
      </c>
      <c r="AB87" s="16"/>
      <c r="AC87" s="27">
        <v>5912.8328767123285</v>
      </c>
      <c r="AD87" s="16"/>
      <c r="AE87" s="16"/>
      <c r="AF87" s="28">
        <v>6.575342465753424E-2</v>
      </c>
      <c r="AG87" s="29">
        <v>9.9342465753424651</v>
      </c>
      <c r="AH87" s="27">
        <v>297.5</v>
      </c>
      <c r="AI87" s="30">
        <v>5652.5</v>
      </c>
      <c r="AJ87" s="31">
        <v>565.25</v>
      </c>
      <c r="AK87" s="32">
        <v>5347.5828767123285</v>
      </c>
      <c r="AL87" s="16"/>
      <c r="AM87" s="27">
        <v>5347.5828767123285</v>
      </c>
      <c r="AN87" s="16"/>
      <c r="AO87" s="16"/>
      <c r="AP87" s="28">
        <v>1.0684931506849316</v>
      </c>
      <c r="AQ87" s="29">
        <v>8.9315068493150687</v>
      </c>
      <c r="AR87" s="27">
        <v>297.5</v>
      </c>
      <c r="AS87" s="30">
        <v>5615.3328767123285</v>
      </c>
      <c r="AT87" s="31">
        <v>565.25</v>
      </c>
      <c r="AU87" s="33">
        <v>4782.3328767123285</v>
      </c>
      <c r="AW87" s="27">
        <v>4782.3328767123285</v>
      </c>
      <c r="AX87" s="16"/>
      <c r="AY87" s="16"/>
      <c r="AZ87" s="28">
        <v>2.0684931506849313</v>
      </c>
      <c r="BA87" s="29">
        <v>7.9315068493150687</v>
      </c>
      <c r="BB87" s="27">
        <v>297.5</v>
      </c>
      <c r="BC87" s="30">
        <v>5050.0828767123285</v>
      </c>
      <c r="BD87" s="34">
        <v>565.25</v>
      </c>
      <c r="BE87" s="33">
        <v>4217.0828767123285</v>
      </c>
      <c r="BF87" s="33"/>
      <c r="BG87" s="27">
        <v>4217.0828767123285</v>
      </c>
      <c r="BH87" s="16"/>
      <c r="BI87" s="16"/>
      <c r="BJ87" s="28">
        <v>3.0684931506849313</v>
      </c>
      <c r="BK87" s="29">
        <v>6.9315068493150687</v>
      </c>
      <c r="BL87" s="27">
        <v>297.5</v>
      </c>
      <c r="BM87" s="30">
        <v>3919.5828767123285</v>
      </c>
      <c r="BN87" s="34">
        <v>565.25</v>
      </c>
      <c r="BO87" s="35">
        <v>3651.8328767123285</v>
      </c>
      <c r="BP87" s="36"/>
      <c r="BQ87" s="27">
        <v>3651.8328767123285</v>
      </c>
      <c r="BR87" s="16"/>
      <c r="BS87" s="16"/>
      <c r="BT87" s="28">
        <v>4.0684931506849313</v>
      </c>
      <c r="BU87" s="29">
        <v>5.9315068493150687</v>
      </c>
      <c r="BV87" s="27">
        <v>297.5</v>
      </c>
      <c r="BW87" s="30">
        <v>3354.3328767123285</v>
      </c>
      <c r="BX87" s="34">
        <v>565.25</v>
      </c>
      <c r="BY87" s="35">
        <v>3086.5828767123285</v>
      </c>
      <c r="CA87" s="35">
        <v>3086.5828767123285</v>
      </c>
      <c r="CB87" s="16"/>
      <c r="CC87" s="16"/>
      <c r="CD87" s="28">
        <v>5.0712328767123287</v>
      </c>
      <c r="CE87" s="29">
        <v>4.9287671232876713</v>
      </c>
      <c r="CF87" s="27">
        <v>297.5</v>
      </c>
      <c r="CG87" s="30">
        <v>2789.0828767123285</v>
      </c>
      <c r="CH87" s="31">
        <v>565.25</v>
      </c>
      <c r="CI87" s="35">
        <v>2521.3328767123285</v>
      </c>
      <c r="CK87" s="36">
        <v>2223.8328767123285</v>
      </c>
      <c r="CL87" s="35">
        <v>2521.3328767123285</v>
      </c>
      <c r="CM87" s="16"/>
      <c r="CN87" s="16"/>
      <c r="CO87" s="28">
        <v>6.0712328767123287</v>
      </c>
      <c r="CP87" s="29">
        <v>3.9287671232876713</v>
      </c>
      <c r="CQ87" s="27">
        <v>297.5</v>
      </c>
      <c r="CR87" s="34">
        <v>2223.8328767123285</v>
      </c>
      <c r="CS87" s="34">
        <v>565.25</v>
      </c>
      <c r="CT87" s="35">
        <v>1956.0828767123285</v>
      </c>
      <c r="CV87" s="35">
        <v>1658.5828767123285</v>
      </c>
      <c r="CW87" s="35">
        <v>1956.0828767123285</v>
      </c>
      <c r="CX87" s="16"/>
      <c r="CY87" s="16"/>
      <c r="CZ87" s="28">
        <v>8.0712328767123296</v>
      </c>
      <c r="DA87" s="29">
        <v>1.9287671232876704</v>
      </c>
      <c r="DB87" s="27">
        <v>297.5</v>
      </c>
      <c r="DC87" s="34">
        <v>1658.5828767123285</v>
      </c>
      <c r="DD87" s="34">
        <v>565.25</v>
      </c>
      <c r="DE87" s="35">
        <v>1390.8328767123285</v>
      </c>
      <c r="DG87" s="35">
        <v>5950</v>
      </c>
      <c r="DH87" s="35">
        <v>4559.1671232876706</v>
      </c>
      <c r="DI87" s="35">
        <f t="shared" si="4"/>
        <v>1390.8328767123294</v>
      </c>
      <c r="DJ87" s="132">
        <f t="shared" si="5"/>
        <v>1390.8328767123294</v>
      </c>
      <c r="DK87" s="132">
        <f t="shared" si="6"/>
        <v>0</v>
      </c>
      <c r="DL87" s="132">
        <f t="shared" si="7"/>
        <v>0</v>
      </c>
    </row>
    <row r="88" spans="2:116" s="4" customFormat="1" ht="15.75" customHeight="1" x14ac:dyDescent="0.25">
      <c r="B88" s="13" t="s">
        <v>4</v>
      </c>
      <c r="C88" s="14" t="s">
        <v>4</v>
      </c>
      <c r="D88" s="15" t="s">
        <v>277</v>
      </c>
      <c r="E88" s="15" t="s">
        <v>285</v>
      </c>
      <c r="F88" s="42" t="s">
        <v>286</v>
      </c>
      <c r="G88" s="43" t="s">
        <v>111</v>
      </c>
      <c r="H88" s="17">
        <v>40209</v>
      </c>
      <c r="I88" s="18" t="s">
        <v>417</v>
      </c>
      <c r="J88" s="19">
        <v>4</v>
      </c>
      <c r="K88" s="41">
        <v>8</v>
      </c>
      <c r="L88" s="21">
        <v>4</v>
      </c>
      <c r="M88" s="22">
        <v>113074</v>
      </c>
      <c r="N88" s="23">
        <v>34939.3632</v>
      </c>
      <c r="O88" s="24">
        <v>78134.636800000007</v>
      </c>
      <c r="P88" s="24"/>
      <c r="Q88" s="25">
        <v>4</v>
      </c>
      <c r="R88" s="26">
        <v>5653.7000000000007</v>
      </c>
      <c r="S88" s="25">
        <v>72480.93680000001</v>
      </c>
      <c r="T88" s="25">
        <v>18120.234200000003</v>
      </c>
      <c r="U88" s="25"/>
      <c r="V88" s="25">
        <v>0</v>
      </c>
      <c r="W88" s="25">
        <v>18120.234200000003</v>
      </c>
      <c r="X88" s="25">
        <v>18120.234200000003</v>
      </c>
      <c r="Y88" s="25">
        <v>0</v>
      </c>
      <c r="Z88" s="24">
        <v>78134.636800000007</v>
      </c>
      <c r="AA88" s="27">
        <v>60014.402600000001</v>
      </c>
      <c r="AB88" s="16"/>
      <c r="AC88" s="27">
        <v>60014.402600000001</v>
      </c>
      <c r="AD88" s="16"/>
      <c r="AE88" s="16"/>
      <c r="AF88" s="28">
        <v>5.1643835616438354</v>
      </c>
      <c r="AG88" s="29">
        <v>2.8356164383561646</v>
      </c>
      <c r="AH88" s="27">
        <v>5653.7000000000007</v>
      </c>
      <c r="AI88" s="30">
        <v>72480.93680000001</v>
      </c>
      <c r="AJ88" s="31">
        <v>18120.234200000003</v>
      </c>
      <c r="AK88" s="32">
        <v>41894.168399999995</v>
      </c>
      <c r="AL88" s="16"/>
      <c r="AM88" s="27">
        <v>41894.168399999995</v>
      </c>
      <c r="AN88" s="16"/>
      <c r="AO88" s="16"/>
      <c r="AP88" s="28">
        <v>6.1671232876712327</v>
      </c>
      <c r="AQ88" s="29">
        <v>1.8328767123287673</v>
      </c>
      <c r="AR88" s="27">
        <v>5653.7000000000007</v>
      </c>
      <c r="AS88" s="30">
        <v>54360.702600000004</v>
      </c>
      <c r="AT88" s="31">
        <v>18120.234200000003</v>
      </c>
      <c r="AU88" s="33">
        <v>23773.934199999992</v>
      </c>
      <c r="AW88" s="27">
        <v>23773.934199999992</v>
      </c>
      <c r="AX88" s="16"/>
      <c r="AY88" s="16"/>
      <c r="AZ88" s="28">
        <v>7.1671232876712327</v>
      </c>
      <c r="BA88" s="29">
        <v>0.83287671232876725</v>
      </c>
      <c r="BB88" s="27">
        <v>5653.7000000000007</v>
      </c>
      <c r="BC88" s="30">
        <v>36240.468399999998</v>
      </c>
      <c r="BD88" s="34">
        <v>18120.234200000003</v>
      </c>
      <c r="BE88" s="33">
        <v>5653.6999999999898</v>
      </c>
      <c r="BF88" s="33"/>
      <c r="BG88" s="27">
        <v>5653.6999999999898</v>
      </c>
      <c r="BH88" s="16"/>
      <c r="BI88" s="16"/>
      <c r="BJ88" s="28">
        <v>8.1671232876712327</v>
      </c>
      <c r="BK88" s="29">
        <v>-0.16712328767123275</v>
      </c>
      <c r="BL88" s="27">
        <v>5653.7000000000007</v>
      </c>
      <c r="BM88" s="30">
        <v>0</v>
      </c>
      <c r="BN88" s="34">
        <v>-1.0913936421275139E-11</v>
      </c>
      <c r="BO88" s="35">
        <v>5653.7000000000007</v>
      </c>
      <c r="BP88" s="36"/>
      <c r="BQ88" s="27">
        <v>5653.7000000000007</v>
      </c>
      <c r="BR88" s="16"/>
      <c r="BS88" s="16"/>
      <c r="BT88" s="28">
        <v>9.1671232876712327</v>
      </c>
      <c r="BU88" s="29">
        <v>-1.1671232876712327</v>
      </c>
      <c r="BV88" s="27">
        <v>5653.7000000000007</v>
      </c>
      <c r="BW88" s="30">
        <v>0</v>
      </c>
      <c r="BX88" s="34">
        <v>-1.0913936421275139E-11</v>
      </c>
      <c r="BY88" s="35">
        <v>5653.7000000000116</v>
      </c>
      <c r="CA88" s="35">
        <v>5653.7000000000116</v>
      </c>
      <c r="CB88" s="16"/>
      <c r="CC88" s="16"/>
      <c r="CD88" s="28">
        <v>10.169863013698631</v>
      </c>
      <c r="CE88" s="29">
        <v>-2.169863013698631</v>
      </c>
      <c r="CF88" s="27">
        <v>5653.7000000000007</v>
      </c>
      <c r="CG88" s="30">
        <v>0</v>
      </c>
      <c r="CH88" s="31">
        <v>-1.0913936421275139E-11</v>
      </c>
      <c r="CI88" s="35">
        <v>5653.7000000000226</v>
      </c>
      <c r="CK88" s="36">
        <v>2.1827872842550278E-11</v>
      </c>
      <c r="CL88" s="35">
        <v>5653.7000000000226</v>
      </c>
      <c r="CM88" s="16"/>
      <c r="CN88" s="16"/>
      <c r="CO88" s="28">
        <v>11.169863013698631</v>
      </c>
      <c r="CP88" s="29">
        <v>-3.169863013698631</v>
      </c>
      <c r="CQ88" s="27">
        <v>5653.7000000000007</v>
      </c>
      <c r="CR88" s="34">
        <v>0</v>
      </c>
      <c r="CS88" s="34">
        <v>-1.0913936421275139E-11</v>
      </c>
      <c r="CT88" s="35">
        <v>5653.7000000000335</v>
      </c>
      <c r="CV88" s="35">
        <v>3.2741809263825417E-11</v>
      </c>
      <c r="CW88" s="35">
        <v>5653.7000000000335</v>
      </c>
      <c r="CX88" s="16"/>
      <c r="CY88" s="16"/>
      <c r="CZ88" s="28">
        <v>13.169863013698631</v>
      </c>
      <c r="DA88" s="29">
        <v>-5.169863013698631</v>
      </c>
      <c r="DB88" s="27">
        <v>5653.7000000000007</v>
      </c>
      <c r="DC88" s="34">
        <v>0</v>
      </c>
      <c r="DD88" s="34">
        <v>-1.0913936421275139E-11</v>
      </c>
      <c r="DE88" s="35">
        <v>5653.7000000000444</v>
      </c>
      <c r="DG88" s="35">
        <v>113074</v>
      </c>
      <c r="DH88" s="35">
        <v>107420.29999999994</v>
      </c>
      <c r="DI88" s="35">
        <f t="shared" si="4"/>
        <v>5653.7000000000553</v>
      </c>
      <c r="DJ88" s="132">
        <f t="shared" si="5"/>
        <v>5653.7000000000553</v>
      </c>
      <c r="DK88" s="132">
        <f t="shared" si="6"/>
        <v>0</v>
      </c>
      <c r="DL88" s="132">
        <f t="shared" si="7"/>
        <v>-1.0913936421275139E-11</v>
      </c>
    </row>
    <row r="89" spans="2:116" s="4" customFormat="1" ht="17.25" customHeight="1" x14ac:dyDescent="0.25">
      <c r="B89" s="13" t="s">
        <v>4</v>
      </c>
      <c r="C89" s="14" t="s">
        <v>4</v>
      </c>
      <c r="D89" s="15" t="s">
        <v>277</v>
      </c>
      <c r="E89" s="15" t="s">
        <v>288</v>
      </c>
      <c r="F89" s="42" t="s">
        <v>289</v>
      </c>
      <c r="G89" s="43" t="s">
        <v>111</v>
      </c>
      <c r="H89" s="17">
        <v>40267</v>
      </c>
      <c r="I89" s="18" t="s">
        <v>417</v>
      </c>
      <c r="J89" s="19">
        <v>4</v>
      </c>
      <c r="K89" s="41">
        <v>8</v>
      </c>
      <c r="L89" s="21">
        <v>4</v>
      </c>
      <c r="M89" s="22">
        <v>20888</v>
      </c>
      <c r="N89" s="23">
        <v>6203.5583999999999</v>
      </c>
      <c r="O89" s="24">
        <v>14684.4416</v>
      </c>
      <c r="P89" s="24"/>
      <c r="Q89" s="25">
        <v>4</v>
      </c>
      <c r="R89" s="26">
        <v>1044.4000000000001</v>
      </c>
      <c r="S89" s="25">
        <v>13640.0416</v>
      </c>
      <c r="T89" s="25">
        <v>3410.0104000000001</v>
      </c>
      <c r="U89" s="25"/>
      <c r="V89" s="25">
        <v>0</v>
      </c>
      <c r="W89" s="25">
        <v>3410.0104000000001</v>
      </c>
      <c r="X89" s="25">
        <v>3410.0104000000001</v>
      </c>
      <c r="Y89" s="25">
        <v>0</v>
      </c>
      <c r="Z89" s="24">
        <v>14684.4416</v>
      </c>
      <c r="AA89" s="27">
        <v>11274.431199999999</v>
      </c>
      <c r="AB89" s="16"/>
      <c r="AC89" s="27">
        <v>11274.431199999999</v>
      </c>
      <c r="AD89" s="16"/>
      <c r="AE89" s="16"/>
      <c r="AF89" s="28">
        <v>5.0054794520547947</v>
      </c>
      <c r="AG89" s="29">
        <v>2.9945205479452053</v>
      </c>
      <c r="AH89" s="27">
        <v>1044.4000000000001</v>
      </c>
      <c r="AI89" s="30">
        <v>13640.0416</v>
      </c>
      <c r="AJ89" s="31">
        <v>3410.0104000000001</v>
      </c>
      <c r="AK89" s="32">
        <v>7864.420799999999</v>
      </c>
      <c r="AL89" s="16"/>
      <c r="AM89" s="27">
        <v>7864.420799999999</v>
      </c>
      <c r="AN89" s="16"/>
      <c r="AO89" s="16"/>
      <c r="AP89" s="28">
        <v>6.0082191780821921</v>
      </c>
      <c r="AQ89" s="29">
        <v>1.9917808219178079</v>
      </c>
      <c r="AR89" s="27">
        <v>1044.4000000000001</v>
      </c>
      <c r="AS89" s="30">
        <v>10230.031199999999</v>
      </c>
      <c r="AT89" s="31">
        <v>3410.0104000000001</v>
      </c>
      <c r="AU89" s="33">
        <v>4454.4103999999988</v>
      </c>
      <c r="AW89" s="27">
        <v>4454.4103999999988</v>
      </c>
      <c r="AX89" s="16"/>
      <c r="AY89" s="16"/>
      <c r="AZ89" s="28">
        <v>7.0082191780821921</v>
      </c>
      <c r="BA89" s="29">
        <v>0.99178082191780792</v>
      </c>
      <c r="BB89" s="27">
        <v>1044.4000000000001</v>
      </c>
      <c r="BC89" s="30">
        <v>6820.0207999999984</v>
      </c>
      <c r="BD89" s="34">
        <v>3410.0104000000001</v>
      </c>
      <c r="BE89" s="33">
        <v>1044.3999999999987</v>
      </c>
      <c r="BF89" s="33"/>
      <c r="BG89" s="27">
        <v>1044.3999999999987</v>
      </c>
      <c r="BH89" s="16"/>
      <c r="BI89" s="16"/>
      <c r="BJ89" s="28">
        <v>8.0082191780821912</v>
      </c>
      <c r="BK89" s="29">
        <v>-8.2191780821911919E-3</v>
      </c>
      <c r="BL89" s="27">
        <v>1044.4000000000001</v>
      </c>
      <c r="BM89" s="30">
        <v>0</v>
      </c>
      <c r="BN89" s="34">
        <v>0</v>
      </c>
      <c r="BO89" s="35">
        <v>1044.3999999999987</v>
      </c>
      <c r="BP89" s="36"/>
      <c r="BQ89" s="27">
        <v>1044.3999999999987</v>
      </c>
      <c r="BR89" s="16"/>
      <c r="BS89" s="16"/>
      <c r="BT89" s="28">
        <v>9.0082191780821912</v>
      </c>
      <c r="BU89" s="29">
        <v>-1.0082191780821912</v>
      </c>
      <c r="BV89" s="27">
        <v>1044.4000000000001</v>
      </c>
      <c r="BW89" s="30">
        <v>0</v>
      </c>
      <c r="BX89" s="34">
        <v>0</v>
      </c>
      <c r="BY89" s="35">
        <v>1044.3999999999987</v>
      </c>
      <c r="CA89" s="35">
        <v>1044.3999999999987</v>
      </c>
      <c r="CB89" s="16"/>
      <c r="CC89" s="16"/>
      <c r="CD89" s="28">
        <v>10.010958904109589</v>
      </c>
      <c r="CE89" s="29">
        <v>-2.0109589041095894</v>
      </c>
      <c r="CF89" s="27">
        <v>1044.4000000000001</v>
      </c>
      <c r="CG89" s="30">
        <v>0</v>
      </c>
      <c r="CH89" s="31">
        <v>0</v>
      </c>
      <c r="CI89" s="35">
        <v>1044.3999999999987</v>
      </c>
      <c r="CK89" s="36">
        <v>0</v>
      </c>
      <c r="CL89" s="35">
        <v>1044.3999999999987</v>
      </c>
      <c r="CM89" s="16"/>
      <c r="CN89" s="16"/>
      <c r="CO89" s="28">
        <v>11.010958904109589</v>
      </c>
      <c r="CP89" s="29">
        <v>-3.0109589041095894</v>
      </c>
      <c r="CQ89" s="27">
        <v>1044.4000000000001</v>
      </c>
      <c r="CR89" s="34">
        <v>0</v>
      </c>
      <c r="CS89" s="34">
        <v>0</v>
      </c>
      <c r="CT89" s="35">
        <v>1044.3999999999987</v>
      </c>
      <c r="CV89" s="35">
        <v>0</v>
      </c>
      <c r="CW89" s="35">
        <v>1044.3999999999987</v>
      </c>
      <c r="CX89" s="16"/>
      <c r="CY89" s="16"/>
      <c r="CZ89" s="28">
        <v>13.010958904109589</v>
      </c>
      <c r="DA89" s="29">
        <v>-5.0109589041095894</v>
      </c>
      <c r="DB89" s="27">
        <v>1044.4000000000001</v>
      </c>
      <c r="DC89" s="34">
        <v>0</v>
      </c>
      <c r="DD89" s="34">
        <v>0</v>
      </c>
      <c r="DE89" s="35">
        <v>1044.3999999999987</v>
      </c>
      <c r="DG89" s="35">
        <v>20888</v>
      </c>
      <c r="DH89" s="35">
        <v>19843.599999999999</v>
      </c>
      <c r="DI89" s="35">
        <f t="shared" si="4"/>
        <v>1044.4000000000015</v>
      </c>
      <c r="DJ89" s="132">
        <f t="shared" si="5"/>
        <v>1044.4000000000015</v>
      </c>
      <c r="DK89" s="132">
        <f t="shared" si="6"/>
        <v>0</v>
      </c>
      <c r="DL89" s="132">
        <f t="shared" si="7"/>
        <v>-2.7284841053187847E-12</v>
      </c>
    </row>
    <row r="90" spans="2:116" s="4" customFormat="1" ht="17.25" customHeight="1" x14ac:dyDescent="0.25">
      <c r="B90" s="13" t="s">
        <v>4</v>
      </c>
      <c r="C90" s="14" t="s">
        <v>4</v>
      </c>
      <c r="D90" s="15" t="s">
        <v>277</v>
      </c>
      <c r="E90" s="15" t="s">
        <v>291</v>
      </c>
      <c r="F90" s="42" t="s">
        <v>292</v>
      </c>
      <c r="G90" s="43" t="s">
        <v>111</v>
      </c>
      <c r="H90" s="17">
        <v>40574</v>
      </c>
      <c r="I90" s="18" t="s">
        <v>418</v>
      </c>
      <c r="J90" s="19">
        <v>3</v>
      </c>
      <c r="K90" s="41">
        <v>8</v>
      </c>
      <c r="L90" s="21">
        <v>5</v>
      </c>
      <c r="M90" s="22">
        <v>261300</v>
      </c>
      <c r="N90" s="23">
        <v>61299.38</v>
      </c>
      <c r="O90" s="24">
        <v>200000.62</v>
      </c>
      <c r="P90" s="24"/>
      <c r="Q90" s="25">
        <v>5</v>
      </c>
      <c r="R90" s="26">
        <v>13065</v>
      </c>
      <c r="S90" s="25">
        <v>186935.62</v>
      </c>
      <c r="T90" s="25">
        <v>37387.123999999996</v>
      </c>
      <c r="U90" s="25"/>
      <c r="V90" s="25">
        <v>0</v>
      </c>
      <c r="W90" s="25">
        <v>37387.123999999996</v>
      </c>
      <c r="X90" s="25">
        <v>37387.123999999996</v>
      </c>
      <c r="Y90" s="25">
        <v>0</v>
      </c>
      <c r="Z90" s="24">
        <v>200000.62</v>
      </c>
      <c r="AA90" s="27">
        <v>162613.49599999998</v>
      </c>
      <c r="AB90" s="16"/>
      <c r="AC90" s="27">
        <v>162613.49599999998</v>
      </c>
      <c r="AD90" s="16"/>
      <c r="AE90" s="16"/>
      <c r="AF90" s="28">
        <v>4.1643835616438354</v>
      </c>
      <c r="AG90" s="29">
        <v>3.8356164383561646</v>
      </c>
      <c r="AH90" s="27">
        <v>13065</v>
      </c>
      <c r="AI90" s="30">
        <v>186935.62</v>
      </c>
      <c r="AJ90" s="31">
        <v>37387.123999999996</v>
      </c>
      <c r="AK90" s="32">
        <v>125226.37199999999</v>
      </c>
      <c r="AL90" s="16"/>
      <c r="AM90" s="27">
        <v>125226.37199999999</v>
      </c>
      <c r="AN90" s="16"/>
      <c r="AO90" s="16"/>
      <c r="AP90" s="28">
        <v>5.1671232876712327</v>
      </c>
      <c r="AQ90" s="29">
        <v>2.8328767123287673</v>
      </c>
      <c r="AR90" s="27">
        <v>13065</v>
      </c>
      <c r="AS90" s="30">
        <v>149548.49599999998</v>
      </c>
      <c r="AT90" s="31">
        <v>37387.123999999996</v>
      </c>
      <c r="AU90" s="33">
        <v>87839.247999999992</v>
      </c>
      <c r="AW90" s="27">
        <v>87839.247999999992</v>
      </c>
      <c r="AX90" s="16"/>
      <c r="AY90" s="16"/>
      <c r="AZ90" s="28">
        <v>6.1671232876712327</v>
      </c>
      <c r="BA90" s="29">
        <v>1.8328767123287673</v>
      </c>
      <c r="BB90" s="27">
        <v>13065</v>
      </c>
      <c r="BC90" s="30">
        <v>112161.37199999999</v>
      </c>
      <c r="BD90" s="34">
        <v>37387.123999999996</v>
      </c>
      <c r="BE90" s="33">
        <v>50452.123999999996</v>
      </c>
      <c r="BF90" s="33"/>
      <c r="BG90" s="27">
        <v>50452.123999999996</v>
      </c>
      <c r="BH90" s="16"/>
      <c r="BI90" s="16"/>
      <c r="BJ90" s="28">
        <v>7.1671232876712327</v>
      </c>
      <c r="BK90" s="29">
        <v>0.83287671232876725</v>
      </c>
      <c r="BL90" s="27">
        <v>13065</v>
      </c>
      <c r="BM90" s="30">
        <v>37387.123999999996</v>
      </c>
      <c r="BN90" s="34">
        <v>37387.123999999996</v>
      </c>
      <c r="BO90" s="35">
        <v>13065</v>
      </c>
      <c r="BP90" s="36"/>
      <c r="BQ90" s="27">
        <v>13065</v>
      </c>
      <c r="BR90" s="16"/>
      <c r="BS90" s="16"/>
      <c r="BT90" s="28">
        <v>8.1671232876712327</v>
      </c>
      <c r="BU90" s="29">
        <v>-0.16712328767123275</v>
      </c>
      <c r="BV90" s="27">
        <v>13065</v>
      </c>
      <c r="BW90" s="30">
        <v>0</v>
      </c>
      <c r="BX90" s="34"/>
      <c r="BY90" s="35">
        <v>13065</v>
      </c>
      <c r="CA90" s="35">
        <v>13065</v>
      </c>
      <c r="CB90" s="16"/>
      <c r="CC90" s="16"/>
      <c r="CD90" s="28">
        <v>9.169863013698631</v>
      </c>
      <c r="CE90" s="29">
        <v>-1.169863013698631</v>
      </c>
      <c r="CF90" s="27">
        <v>13065</v>
      </c>
      <c r="CG90" s="30">
        <v>0</v>
      </c>
      <c r="CH90" s="31">
        <v>0</v>
      </c>
      <c r="CI90" s="35">
        <v>13065</v>
      </c>
      <c r="CK90" s="36">
        <v>0</v>
      </c>
      <c r="CL90" s="35">
        <v>13065</v>
      </c>
      <c r="CM90" s="16"/>
      <c r="CN90" s="16"/>
      <c r="CO90" s="28">
        <v>10.169863013698631</v>
      </c>
      <c r="CP90" s="29">
        <v>-2.169863013698631</v>
      </c>
      <c r="CQ90" s="27">
        <v>13065</v>
      </c>
      <c r="CR90" s="34">
        <v>0</v>
      </c>
      <c r="CS90" s="34">
        <v>0</v>
      </c>
      <c r="CT90" s="35">
        <v>13065</v>
      </c>
      <c r="CV90" s="35">
        <v>0</v>
      </c>
      <c r="CW90" s="35">
        <v>13065</v>
      </c>
      <c r="CX90" s="16"/>
      <c r="CY90" s="16"/>
      <c r="CZ90" s="28">
        <v>12.169863013698631</v>
      </c>
      <c r="DA90" s="29">
        <v>-4.169863013698631</v>
      </c>
      <c r="DB90" s="27">
        <v>13065</v>
      </c>
      <c r="DC90" s="34">
        <v>0</v>
      </c>
      <c r="DD90" s="34">
        <v>0</v>
      </c>
      <c r="DE90" s="35">
        <v>13065</v>
      </c>
      <c r="DG90" s="35">
        <v>261300</v>
      </c>
      <c r="DH90" s="35">
        <v>248235</v>
      </c>
      <c r="DI90" s="35">
        <f t="shared" si="4"/>
        <v>13065</v>
      </c>
      <c r="DJ90" s="132">
        <f t="shared" si="5"/>
        <v>13065</v>
      </c>
      <c r="DK90" s="132">
        <f t="shared" si="6"/>
        <v>0</v>
      </c>
      <c r="DL90" s="132">
        <f t="shared" si="7"/>
        <v>0</v>
      </c>
    </row>
    <row r="91" spans="2:116" s="4" customFormat="1" ht="17.25" customHeight="1" x14ac:dyDescent="0.25">
      <c r="B91" s="13" t="s">
        <v>4</v>
      </c>
      <c r="C91" s="14" t="s">
        <v>4</v>
      </c>
      <c r="D91" s="15" t="s">
        <v>277</v>
      </c>
      <c r="E91" s="15" t="s">
        <v>293</v>
      </c>
      <c r="F91" s="42" t="s">
        <v>294</v>
      </c>
      <c r="G91" s="43" t="s">
        <v>111</v>
      </c>
      <c r="H91" s="17">
        <v>40625</v>
      </c>
      <c r="I91" s="18" t="s">
        <v>418</v>
      </c>
      <c r="J91" s="19">
        <v>3</v>
      </c>
      <c r="K91" s="41">
        <v>8</v>
      </c>
      <c r="L91" s="21">
        <v>5</v>
      </c>
      <c r="M91" s="22">
        <v>132000</v>
      </c>
      <c r="N91" s="23">
        <v>29625.199999999997</v>
      </c>
      <c r="O91" s="24">
        <v>102374.8</v>
      </c>
      <c r="P91" s="24"/>
      <c r="Q91" s="25">
        <v>5</v>
      </c>
      <c r="R91" s="26">
        <v>6600</v>
      </c>
      <c r="S91" s="25">
        <v>95774.8</v>
      </c>
      <c r="T91" s="25">
        <v>19154.96</v>
      </c>
      <c r="U91" s="25"/>
      <c r="V91" s="25">
        <v>0</v>
      </c>
      <c r="W91" s="25">
        <v>19154.96</v>
      </c>
      <c r="X91" s="25">
        <v>19154.96</v>
      </c>
      <c r="Y91" s="25">
        <v>0</v>
      </c>
      <c r="Z91" s="24">
        <v>102374.8</v>
      </c>
      <c r="AA91" s="27">
        <v>83219.839999999997</v>
      </c>
      <c r="AB91" s="16"/>
      <c r="AC91" s="27">
        <v>83219.839999999997</v>
      </c>
      <c r="AD91" s="16"/>
      <c r="AE91" s="16"/>
      <c r="AF91" s="28">
        <v>4.0246575342465754</v>
      </c>
      <c r="AG91" s="29">
        <v>3.9753424657534246</v>
      </c>
      <c r="AH91" s="27">
        <v>6600</v>
      </c>
      <c r="AI91" s="30">
        <v>95774.8</v>
      </c>
      <c r="AJ91" s="31">
        <v>19154.96</v>
      </c>
      <c r="AK91" s="32">
        <v>64064.88</v>
      </c>
      <c r="AL91" s="16"/>
      <c r="AM91" s="27">
        <v>64064.88</v>
      </c>
      <c r="AN91" s="16"/>
      <c r="AO91" s="16"/>
      <c r="AP91" s="28">
        <v>5.0273972602739727</v>
      </c>
      <c r="AQ91" s="29">
        <v>2.9726027397260273</v>
      </c>
      <c r="AR91" s="27">
        <v>6600</v>
      </c>
      <c r="AS91" s="30">
        <v>76619.839999999997</v>
      </c>
      <c r="AT91" s="31">
        <v>19154.96</v>
      </c>
      <c r="AU91" s="33">
        <v>44909.919999999998</v>
      </c>
      <c r="AW91" s="27">
        <v>44909.919999999998</v>
      </c>
      <c r="AX91" s="16"/>
      <c r="AY91" s="16"/>
      <c r="AZ91" s="28">
        <v>6.0273972602739727</v>
      </c>
      <c r="BA91" s="29">
        <v>1.9726027397260273</v>
      </c>
      <c r="BB91" s="27">
        <v>6600</v>
      </c>
      <c r="BC91" s="30">
        <v>57464.88</v>
      </c>
      <c r="BD91" s="34">
        <v>19154.96</v>
      </c>
      <c r="BE91" s="33">
        <v>25754.959999999999</v>
      </c>
      <c r="BF91" s="33"/>
      <c r="BG91" s="27">
        <v>25754.959999999999</v>
      </c>
      <c r="BH91" s="16"/>
      <c r="BI91" s="16"/>
      <c r="BJ91" s="28">
        <v>7.0273972602739727</v>
      </c>
      <c r="BK91" s="29">
        <v>0.97260273972602729</v>
      </c>
      <c r="BL91" s="27">
        <v>6600</v>
      </c>
      <c r="BM91" s="30">
        <v>19154.96</v>
      </c>
      <c r="BN91" s="34">
        <v>19154.96</v>
      </c>
      <c r="BO91" s="35">
        <v>6600</v>
      </c>
      <c r="BP91" s="36"/>
      <c r="BQ91" s="27">
        <v>6600</v>
      </c>
      <c r="BR91" s="16"/>
      <c r="BS91" s="16"/>
      <c r="BT91" s="28">
        <v>8.0273972602739718</v>
      </c>
      <c r="BU91" s="29">
        <v>-2.7397260273971824E-2</v>
      </c>
      <c r="BV91" s="27">
        <v>6600</v>
      </c>
      <c r="BW91" s="30">
        <v>0</v>
      </c>
      <c r="BX91" s="34"/>
      <c r="BY91" s="35">
        <v>6600</v>
      </c>
      <c r="CA91" s="35">
        <v>6600</v>
      </c>
      <c r="CB91" s="16"/>
      <c r="CC91" s="16"/>
      <c r="CD91" s="28">
        <v>9.0301369863013701</v>
      </c>
      <c r="CE91" s="29">
        <v>-1.0301369863013701</v>
      </c>
      <c r="CF91" s="27">
        <v>6600</v>
      </c>
      <c r="CG91" s="30">
        <v>0</v>
      </c>
      <c r="CH91" s="31">
        <v>0</v>
      </c>
      <c r="CI91" s="35">
        <v>6600</v>
      </c>
      <c r="CK91" s="36">
        <v>0</v>
      </c>
      <c r="CL91" s="35">
        <v>6600</v>
      </c>
      <c r="CM91" s="16"/>
      <c r="CN91" s="16"/>
      <c r="CO91" s="28">
        <v>10.03013698630137</v>
      </c>
      <c r="CP91" s="29">
        <v>-2.0301369863013701</v>
      </c>
      <c r="CQ91" s="27">
        <v>6600</v>
      </c>
      <c r="CR91" s="34">
        <v>0</v>
      </c>
      <c r="CS91" s="34">
        <v>0</v>
      </c>
      <c r="CT91" s="35">
        <v>6600</v>
      </c>
      <c r="CV91" s="35">
        <v>0</v>
      </c>
      <c r="CW91" s="35">
        <v>6600</v>
      </c>
      <c r="CX91" s="16"/>
      <c r="CY91" s="16"/>
      <c r="CZ91" s="28">
        <v>12.03013698630137</v>
      </c>
      <c r="DA91" s="29">
        <v>-4.0301369863013701</v>
      </c>
      <c r="DB91" s="27">
        <v>6600</v>
      </c>
      <c r="DC91" s="34">
        <v>0</v>
      </c>
      <c r="DD91" s="34">
        <v>0</v>
      </c>
      <c r="DE91" s="35">
        <v>6600</v>
      </c>
      <c r="DG91" s="35">
        <v>132000</v>
      </c>
      <c r="DH91" s="35">
        <v>125399.99999999997</v>
      </c>
      <c r="DI91" s="35">
        <f t="shared" si="4"/>
        <v>6600.0000000000291</v>
      </c>
      <c r="DJ91" s="132">
        <f t="shared" si="5"/>
        <v>6600.0000000000291</v>
      </c>
      <c r="DK91" s="132">
        <f t="shared" si="6"/>
        <v>0</v>
      </c>
      <c r="DL91" s="132">
        <f t="shared" si="7"/>
        <v>-2.9103830456733704E-11</v>
      </c>
    </row>
    <row r="92" spans="2:116" s="4" customFormat="1" ht="17.25" customHeight="1" x14ac:dyDescent="0.25">
      <c r="B92" s="13" t="s">
        <v>4</v>
      </c>
      <c r="C92" s="14" t="s">
        <v>4</v>
      </c>
      <c r="D92" s="15" t="s">
        <v>277</v>
      </c>
      <c r="E92" s="15" t="s">
        <v>295</v>
      </c>
      <c r="F92" s="42" t="s">
        <v>296</v>
      </c>
      <c r="G92" s="43" t="s">
        <v>111</v>
      </c>
      <c r="H92" s="17">
        <v>40633</v>
      </c>
      <c r="I92" s="18" t="s">
        <v>418</v>
      </c>
      <c r="J92" s="19">
        <v>3</v>
      </c>
      <c r="K92" s="41">
        <v>8</v>
      </c>
      <c r="L92" s="21">
        <v>5</v>
      </c>
      <c r="M92" s="22">
        <v>31000</v>
      </c>
      <c r="N92" s="23">
        <v>6906.6</v>
      </c>
      <c r="O92" s="24">
        <v>24093.4</v>
      </c>
      <c r="P92" s="24"/>
      <c r="Q92" s="25">
        <v>5</v>
      </c>
      <c r="R92" s="26">
        <v>1550</v>
      </c>
      <c r="S92" s="25">
        <v>22543.4</v>
      </c>
      <c r="T92" s="25">
        <v>4508.68</v>
      </c>
      <c r="U92" s="25"/>
      <c r="V92" s="25">
        <v>0</v>
      </c>
      <c r="W92" s="25">
        <v>4508.68</v>
      </c>
      <c r="X92" s="25">
        <v>4508.68</v>
      </c>
      <c r="Y92" s="25">
        <v>0</v>
      </c>
      <c r="Z92" s="24">
        <v>24093.4</v>
      </c>
      <c r="AA92" s="27">
        <v>19584.72</v>
      </c>
      <c r="AB92" s="16"/>
      <c r="AC92" s="27">
        <v>19584.72</v>
      </c>
      <c r="AD92" s="16"/>
      <c r="AE92" s="16"/>
      <c r="AF92" s="28">
        <v>4.0027397260273974</v>
      </c>
      <c r="AG92" s="29">
        <v>3.9972602739726026</v>
      </c>
      <c r="AH92" s="27">
        <v>1550</v>
      </c>
      <c r="AI92" s="30">
        <v>22543.4</v>
      </c>
      <c r="AJ92" s="31">
        <v>4508.68</v>
      </c>
      <c r="AK92" s="32">
        <v>15076.04</v>
      </c>
      <c r="AL92" s="16"/>
      <c r="AM92" s="27">
        <v>15076.04</v>
      </c>
      <c r="AN92" s="16"/>
      <c r="AO92" s="16"/>
      <c r="AP92" s="28">
        <v>5.0054794520547947</v>
      </c>
      <c r="AQ92" s="29">
        <v>2.9945205479452053</v>
      </c>
      <c r="AR92" s="27">
        <v>1550</v>
      </c>
      <c r="AS92" s="30">
        <v>18034.72</v>
      </c>
      <c r="AT92" s="31">
        <v>4508.68</v>
      </c>
      <c r="AU92" s="33">
        <v>10567.36</v>
      </c>
      <c r="AW92" s="27">
        <v>10567.36</v>
      </c>
      <c r="AX92" s="16"/>
      <c r="AY92" s="16"/>
      <c r="AZ92" s="28">
        <v>6.0054794520547947</v>
      </c>
      <c r="BA92" s="29">
        <v>1.9945205479452053</v>
      </c>
      <c r="BB92" s="27">
        <v>1550</v>
      </c>
      <c r="BC92" s="30">
        <v>13526.04</v>
      </c>
      <c r="BD92" s="34">
        <v>4508.68</v>
      </c>
      <c r="BE92" s="33">
        <v>6058.68</v>
      </c>
      <c r="BF92" s="33"/>
      <c r="BG92" s="27">
        <v>6058.68</v>
      </c>
      <c r="BH92" s="16"/>
      <c r="BI92" s="16"/>
      <c r="BJ92" s="28">
        <v>7.0054794520547947</v>
      </c>
      <c r="BK92" s="29">
        <v>0.99452054794520528</v>
      </c>
      <c r="BL92" s="27">
        <v>1550</v>
      </c>
      <c r="BM92" s="30">
        <v>4508.68</v>
      </c>
      <c r="BN92" s="34">
        <v>4508.68</v>
      </c>
      <c r="BO92" s="35">
        <v>1550</v>
      </c>
      <c r="BP92" s="36"/>
      <c r="BQ92" s="27">
        <v>1550</v>
      </c>
      <c r="BR92" s="16"/>
      <c r="BS92" s="16"/>
      <c r="BT92" s="28">
        <v>8.0054794520547947</v>
      </c>
      <c r="BU92" s="29">
        <v>-5.4794520547947201E-3</v>
      </c>
      <c r="BV92" s="27">
        <v>1550</v>
      </c>
      <c r="BW92" s="30">
        <v>0</v>
      </c>
      <c r="BX92" s="34"/>
      <c r="BY92" s="35">
        <v>1550</v>
      </c>
      <c r="CA92" s="35">
        <v>1550</v>
      </c>
      <c r="CB92" s="16"/>
      <c r="CC92" s="16"/>
      <c r="CD92" s="28">
        <v>9.0082191780821912</v>
      </c>
      <c r="CE92" s="29">
        <v>-1.0082191780821912</v>
      </c>
      <c r="CF92" s="27">
        <v>1550</v>
      </c>
      <c r="CG92" s="30">
        <v>0</v>
      </c>
      <c r="CH92" s="31">
        <v>0</v>
      </c>
      <c r="CI92" s="35">
        <v>1550</v>
      </c>
      <c r="CK92" s="36">
        <v>0</v>
      </c>
      <c r="CL92" s="35">
        <v>1550</v>
      </c>
      <c r="CM92" s="16"/>
      <c r="CN92" s="16"/>
      <c r="CO92" s="28">
        <v>10.008219178082191</v>
      </c>
      <c r="CP92" s="29">
        <v>-2.0082191780821912</v>
      </c>
      <c r="CQ92" s="27">
        <v>1550</v>
      </c>
      <c r="CR92" s="34">
        <v>0</v>
      </c>
      <c r="CS92" s="34">
        <v>0</v>
      </c>
      <c r="CT92" s="35">
        <v>1550</v>
      </c>
      <c r="CV92" s="35">
        <v>0</v>
      </c>
      <c r="CW92" s="35">
        <v>1550</v>
      </c>
      <c r="CX92" s="16"/>
      <c r="CY92" s="16"/>
      <c r="CZ92" s="28">
        <v>12.008219178082191</v>
      </c>
      <c r="DA92" s="29">
        <v>-4.0082191780821912</v>
      </c>
      <c r="DB92" s="27">
        <v>1550</v>
      </c>
      <c r="DC92" s="34">
        <v>0</v>
      </c>
      <c r="DD92" s="34">
        <v>0</v>
      </c>
      <c r="DE92" s="35">
        <v>1550</v>
      </c>
      <c r="DG92" s="35">
        <v>31000</v>
      </c>
      <c r="DH92" s="35">
        <v>29450</v>
      </c>
      <c r="DI92" s="35">
        <f t="shared" si="4"/>
        <v>1550</v>
      </c>
      <c r="DJ92" s="132">
        <f t="shared" si="5"/>
        <v>1550</v>
      </c>
      <c r="DK92" s="132">
        <f t="shared" si="6"/>
        <v>0</v>
      </c>
      <c r="DL92" s="132">
        <f t="shared" si="7"/>
        <v>0</v>
      </c>
    </row>
    <row r="93" spans="2:116" s="4" customFormat="1" ht="17.25" customHeight="1" x14ac:dyDescent="0.25">
      <c r="B93" s="13" t="s">
        <v>4</v>
      </c>
      <c r="C93" s="14" t="s">
        <v>4</v>
      </c>
      <c r="D93" s="15" t="s">
        <v>277</v>
      </c>
      <c r="E93" s="15" t="s">
        <v>297</v>
      </c>
      <c r="F93" s="42" t="s">
        <v>298</v>
      </c>
      <c r="G93" s="43" t="s">
        <v>111</v>
      </c>
      <c r="H93" s="17">
        <v>40755</v>
      </c>
      <c r="I93" s="18" t="s">
        <v>419</v>
      </c>
      <c r="J93" s="19">
        <v>3</v>
      </c>
      <c r="K93" s="41">
        <v>8</v>
      </c>
      <c r="L93" s="21">
        <v>5</v>
      </c>
      <c r="M93" s="22">
        <v>130000</v>
      </c>
      <c r="N93" s="23">
        <v>25767</v>
      </c>
      <c r="O93" s="24">
        <v>104233</v>
      </c>
      <c r="P93" s="24"/>
      <c r="Q93" s="25">
        <v>5</v>
      </c>
      <c r="R93" s="26">
        <v>6500</v>
      </c>
      <c r="S93" s="25">
        <v>97733</v>
      </c>
      <c r="T93" s="25">
        <v>19546.599999999999</v>
      </c>
      <c r="U93" s="25"/>
      <c r="V93" s="25">
        <v>0</v>
      </c>
      <c r="W93" s="25">
        <v>19546.599999999999</v>
      </c>
      <c r="X93" s="25">
        <v>19546.599999999999</v>
      </c>
      <c r="Y93" s="25">
        <v>0</v>
      </c>
      <c r="Z93" s="24">
        <v>104233</v>
      </c>
      <c r="AA93" s="27">
        <v>84686.399999999994</v>
      </c>
      <c r="AB93" s="16"/>
      <c r="AC93" s="27">
        <v>84686.399999999994</v>
      </c>
      <c r="AD93" s="16"/>
      <c r="AE93" s="16"/>
      <c r="AF93" s="28">
        <v>3.6684931506849314</v>
      </c>
      <c r="AG93" s="29">
        <v>4.331506849315069</v>
      </c>
      <c r="AH93" s="27">
        <v>6500</v>
      </c>
      <c r="AI93" s="30">
        <v>97733</v>
      </c>
      <c r="AJ93" s="31">
        <v>19546.599999999999</v>
      </c>
      <c r="AK93" s="32">
        <v>65139.799999999996</v>
      </c>
      <c r="AL93" s="16"/>
      <c r="AM93" s="27">
        <v>65139.799999999996</v>
      </c>
      <c r="AN93" s="16"/>
      <c r="AO93" s="16"/>
      <c r="AP93" s="28">
        <v>4.6712328767123283</v>
      </c>
      <c r="AQ93" s="29">
        <v>3.3287671232876717</v>
      </c>
      <c r="AR93" s="27">
        <v>6500</v>
      </c>
      <c r="AS93" s="30">
        <v>78186.399999999994</v>
      </c>
      <c r="AT93" s="31">
        <v>19546.599999999999</v>
      </c>
      <c r="AU93" s="33">
        <v>45593.2</v>
      </c>
      <c r="AW93" s="27">
        <v>45593.2</v>
      </c>
      <c r="AX93" s="16"/>
      <c r="AY93" s="16"/>
      <c r="AZ93" s="28">
        <v>5.6712328767123283</v>
      </c>
      <c r="BA93" s="29">
        <v>2.3287671232876717</v>
      </c>
      <c r="BB93" s="27">
        <v>6500</v>
      </c>
      <c r="BC93" s="30">
        <v>58639.799999999996</v>
      </c>
      <c r="BD93" s="34">
        <v>19546.599999999999</v>
      </c>
      <c r="BE93" s="33">
        <v>26046.6</v>
      </c>
      <c r="BF93" s="33"/>
      <c r="BG93" s="27">
        <v>26046.6</v>
      </c>
      <c r="BH93" s="16"/>
      <c r="BI93" s="16"/>
      <c r="BJ93" s="28">
        <v>6.6712328767123283</v>
      </c>
      <c r="BK93" s="29">
        <v>1.3287671232876717</v>
      </c>
      <c r="BL93" s="27">
        <v>6500</v>
      </c>
      <c r="BM93" s="30">
        <v>19546.599999999999</v>
      </c>
      <c r="BN93" s="34">
        <v>19546.599999999999</v>
      </c>
      <c r="BO93" s="35">
        <v>6500</v>
      </c>
      <c r="BP93" s="36"/>
      <c r="BQ93" s="27">
        <v>6500</v>
      </c>
      <c r="BR93" s="16"/>
      <c r="BS93" s="16"/>
      <c r="BT93" s="28">
        <v>7.6712328767123283</v>
      </c>
      <c r="BU93" s="29">
        <v>0.32876712328767166</v>
      </c>
      <c r="BV93" s="27">
        <v>6500</v>
      </c>
      <c r="BW93" s="30">
        <v>0</v>
      </c>
      <c r="BX93" s="34"/>
      <c r="BY93" s="35">
        <v>6500</v>
      </c>
      <c r="CA93" s="35">
        <v>6500</v>
      </c>
      <c r="CB93" s="16"/>
      <c r="CC93" s="16"/>
      <c r="CD93" s="28">
        <v>8.6739726027397257</v>
      </c>
      <c r="CE93" s="29">
        <v>-0.6739726027397257</v>
      </c>
      <c r="CF93" s="27">
        <v>6500</v>
      </c>
      <c r="CG93" s="30">
        <v>0</v>
      </c>
      <c r="CH93" s="31">
        <v>0</v>
      </c>
      <c r="CI93" s="35">
        <v>6500</v>
      </c>
      <c r="CK93" s="36">
        <v>0</v>
      </c>
      <c r="CL93" s="35">
        <v>6500</v>
      </c>
      <c r="CM93" s="16"/>
      <c r="CN93" s="16"/>
      <c r="CO93" s="28">
        <v>9.6739726027397257</v>
      </c>
      <c r="CP93" s="29">
        <v>-1.6739726027397257</v>
      </c>
      <c r="CQ93" s="27">
        <v>6500</v>
      </c>
      <c r="CR93" s="34">
        <v>0</v>
      </c>
      <c r="CS93" s="34">
        <v>0</v>
      </c>
      <c r="CT93" s="35">
        <v>6500</v>
      </c>
      <c r="CV93" s="35">
        <v>0</v>
      </c>
      <c r="CW93" s="35">
        <v>6500</v>
      </c>
      <c r="CX93" s="16"/>
      <c r="CY93" s="16"/>
      <c r="CZ93" s="28">
        <v>11.673972602739726</v>
      </c>
      <c r="DA93" s="29">
        <v>-3.6739726027397257</v>
      </c>
      <c r="DB93" s="27">
        <v>6500</v>
      </c>
      <c r="DC93" s="34">
        <v>0</v>
      </c>
      <c r="DD93" s="34">
        <v>0</v>
      </c>
      <c r="DE93" s="35">
        <v>6500</v>
      </c>
      <c r="DG93" s="35">
        <v>130000</v>
      </c>
      <c r="DH93" s="35">
        <v>123500</v>
      </c>
      <c r="DI93" s="35">
        <f t="shared" si="4"/>
        <v>6500</v>
      </c>
      <c r="DJ93" s="132">
        <f t="shared" si="5"/>
        <v>6500</v>
      </c>
      <c r="DK93" s="132">
        <f t="shared" si="6"/>
        <v>0</v>
      </c>
      <c r="DL93" s="132">
        <f t="shared" si="7"/>
        <v>0</v>
      </c>
    </row>
    <row r="94" spans="2:116" s="4" customFormat="1" ht="17.25" customHeight="1" x14ac:dyDescent="0.25">
      <c r="B94" s="13" t="s">
        <v>4</v>
      </c>
      <c r="C94" s="14" t="s">
        <v>4</v>
      </c>
      <c r="D94" s="15" t="s">
        <v>277</v>
      </c>
      <c r="E94" s="15" t="s">
        <v>301</v>
      </c>
      <c r="F94" s="44" t="s">
        <v>302</v>
      </c>
      <c r="G94" s="40" t="s">
        <v>111</v>
      </c>
      <c r="H94" s="17">
        <v>40786</v>
      </c>
      <c r="I94" s="18" t="s">
        <v>419</v>
      </c>
      <c r="J94" s="19">
        <v>3</v>
      </c>
      <c r="K94" s="41">
        <v>8</v>
      </c>
      <c r="L94" s="21">
        <v>5</v>
      </c>
      <c r="M94" s="22">
        <v>140829</v>
      </c>
      <c r="N94" s="23">
        <v>27026.0236</v>
      </c>
      <c r="O94" s="24">
        <v>113802.9764</v>
      </c>
      <c r="P94" s="24"/>
      <c r="Q94" s="25">
        <v>5</v>
      </c>
      <c r="R94" s="26">
        <v>7041.4500000000007</v>
      </c>
      <c r="S94" s="25">
        <v>106761.5264</v>
      </c>
      <c r="T94" s="25">
        <v>21352.30528</v>
      </c>
      <c r="U94" s="25"/>
      <c r="V94" s="25">
        <v>0</v>
      </c>
      <c r="W94" s="25">
        <v>21352.30528</v>
      </c>
      <c r="X94" s="25">
        <v>21352.30528</v>
      </c>
      <c r="Y94" s="25">
        <v>0</v>
      </c>
      <c r="Z94" s="24">
        <v>113802.9764</v>
      </c>
      <c r="AA94" s="27">
        <v>92450.671119999999</v>
      </c>
      <c r="AB94" s="16"/>
      <c r="AC94" s="27">
        <v>92450.671119999999</v>
      </c>
      <c r="AD94" s="16"/>
      <c r="AE94" s="16"/>
      <c r="AF94" s="28">
        <v>3.5835616438356164</v>
      </c>
      <c r="AG94" s="29">
        <v>4.4164383561643836</v>
      </c>
      <c r="AH94" s="27">
        <v>7041.4500000000007</v>
      </c>
      <c r="AI94" s="30">
        <v>106761.5264</v>
      </c>
      <c r="AJ94" s="31">
        <v>21352.30528</v>
      </c>
      <c r="AK94" s="32">
        <v>71098.365839999999</v>
      </c>
      <c r="AL94" s="16"/>
      <c r="AM94" s="27">
        <v>71098.365839999999</v>
      </c>
      <c r="AN94" s="16"/>
      <c r="AO94" s="16"/>
      <c r="AP94" s="28">
        <v>4.5863013698630137</v>
      </c>
      <c r="AQ94" s="29">
        <v>3.4136986301369863</v>
      </c>
      <c r="AR94" s="27">
        <v>7041.4500000000007</v>
      </c>
      <c r="AS94" s="30">
        <v>85409.221120000002</v>
      </c>
      <c r="AT94" s="31">
        <v>21352.30528</v>
      </c>
      <c r="AU94" s="33">
        <v>49746.060559999998</v>
      </c>
      <c r="AW94" s="27">
        <v>49746.060559999998</v>
      </c>
      <c r="AX94" s="16"/>
      <c r="AY94" s="16"/>
      <c r="AZ94" s="28">
        <v>5.5863013698630137</v>
      </c>
      <c r="BA94" s="29">
        <v>2.4136986301369863</v>
      </c>
      <c r="BB94" s="27">
        <v>7041.4500000000007</v>
      </c>
      <c r="BC94" s="30">
        <v>64056.915840000001</v>
      </c>
      <c r="BD94" s="34">
        <v>21352.30528</v>
      </c>
      <c r="BE94" s="33">
        <v>28393.755279999998</v>
      </c>
      <c r="BF94" s="33"/>
      <c r="BG94" s="27">
        <v>28393.755279999998</v>
      </c>
      <c r="BH94" s="16"/>
      <c r="BI94" s="16"/>
      <c r="BJ94" s="28">
        <v>6.5863013698630137</v>
      </c>
      <c r="BK94" s="29">
        <v>1.4136986301369863</v>
      </c>
      <c r="BL94" s="27">
        <v>7041.4500000000007</v>
      </c>
      <c r="BM94" s="30">
        <v>21352.305279999997</v>
      </c>
      <c r="BN94" s="34">
        <v>21352.30528</v>
      </c>
      <c r="BO94" s="35">
        <v>7041.4499999999971</v>
      </c>
      <c r="BP94" s="36"/>
      <c r="BQ94" s="27">
        <v>7041.4499999999971</v>
      </c>
      <c r="BR94" s="16"/>
      <c r="BS94" s="16"/>
      <c r="BT94" s="28">
        <v>7.5863013698630137</v>
      </c>
      <c r="BU94" s="29">
        <v>0.41369863013698627</v>
      </c>
      <c r="BV94" s="27">
        <v>7041.4500000000007</v>
      </c>
      <c r="BW94" s="30">
        <v>0</v>
      </c>
      <c r="BX94" s="34"/>
      <c r="BY94" s="35">
        <v>7041.4499999999971</v>
      </c>
      <c r="CA94" s="35">
        <v>7041.4499999999971</v>
      </c>
      <c r="CB94" s="16"/>
      <c r="CC94" s="16"/>
      <c r="CD94" s="28">
        <v>8.5890410958904102</v>
      </c>
      <c r="CE94" s="29">
        <v>-0.5890410958904102</v>
      </c>
      <c r="CF94" s="27">
        <v>7041.4500000000007</v>
      </c>
      <c r="CG94" s="30">
        <v>0</v>
      </c>
      <c r="CH94" s="31">
        <v>0</v>
      </c>
      <c r="CI94" s="35">
        <v>7041.4499999999971</v>
      </c>
      <c r="CK94" s="36">
        <v>0</v>
      </c>
      <c r="CL94" s="35">
        <v>7041.4499999999971</v>
      </c>
      <c r="CM94" s="16"/>
      <c r="CN94" s="16"/>
      <c r="CO94" s="28">
        <v>9.5890410958904102</v>
      </c>
      <c r="CP94" s="29">
        <v>-1.5890410958904102</v>
      </c>
      <c r="CQ94" s="27">
        <v>7041.4500000000007</v>
      </c>
      <c r="CR94" s="34">
        <v>0</v>
      </c>
      <c r="CS94" s="34">
        <v>0</v>
      </c>
      <c r="CT94" s="35">
        <v>7041.4499999999971</v>
      </c>
      <c r="CV94" s="35">
        <v>0</v>
      </c>
      <c r="CW94" s="35">
        <v>7041.4499999999971</v>
      </c>
      <c r="CX94" s="16"/>
      <c r="CY94" s="16"/>
      <c r="CZ94" s="28">
        <v>11.58904109589041</v>
      </c>
      <c r="DA94" s="29">
        <v>-3.5890410958904102</v>
      </c>
      <c r="DB94" s="27">
        <v>7041.4500000000007</v>
      </c>
      <c r="DC94" s="34">
        <v>0</v>
      </c>
      <c r="DD94" s="34">
        <v>0</v>
      </c>
      <c r="DE94" s="35">
        <v>7041.4499999999971</v>
      </c>
      <c r="DG94" s="35">
        <v>140829</v>
      </c>
      <c r="DH94" s="35">
        <v>133787.54999999999</v>
      </c>
      <c r="DI94" s="35">
        <f t="shared" si="4"/>
        <v>7041.4500000000116</v>
      </c>
      <c r="DJ94" s="132">
        <f t="shared" si="5"/>
        <v>7041.4500000000116</v>
      </c>
      <c r="DK94" s="132">
        <f t="shared" si="6"/>
        <v>0</v>
      </c>
      <c r="DL94" s="132">
        <f t="shared" si="7"/>
        <v>-1.4551915228366852E-11</v>
      </c>
    </row>
    <row r="95" spans="2:116" s="4" customFormat="1" ht="17.25" customHeight="1" x14ac:dyDescent="0.25">
      <c r="B95" s="13" t="s">
        <v>4</v>
      </c>
      <c r="C95" s="14" t="s">
        <v>4</v>
      </c>
      <c r="D95" s="15" t="s">
        <v>277</v>
      </c>
      <c r="E95" s="15" t="s">
        <v>305</v>
      </c>
      <c r="F95" s="44" t="s">
        <v>300</v>
      </c>
      <c r="G95" s="40" t="s">
        <v>111</v>
      </c>
      <c r="H95" s="17">
        <v>40905</v>
      </c>
      <c r="I95" s="18" t="s">
        <v>419</v>
      </c>
      <c r="J95" s="19">
        <v>3</v>
      </c>
      <c r="K95" s="41">
        <v>8</v>
      </c>
      <c r="L95" s="21">
        <v>5</v>
      </c>
      <c r="M95" s="22">
        <v>90030</v>
      </c>
      <c r="N95" s="23">
        <v>15099.452000000001</v>
      </c>
      <c r="O95" s="24">
        <v>74930.547999999995</v>
      </c>
      <c r="P95" s="24"/>
      <c r="Q95" s="25">
        <v>5</v>
      </c>
      <c r="R95" s="26">
        <v>4501.5</v>
      </c>
      <c r="S95" s="25">
        <v>70429.047999999995</v>
      </c>
      <c r="T95" s="25">
        <v>14085.809599999999</v>
      </c>
      <c r="U95" s="25"/>
      <c r="V95" s="25">
        <v>0</v>
      </c>
      <c r="W95" s="25">
        <v>14085.809599999999</v>
      </c>
      <c r="X95" s="25">
        <v>14085.809599999999</v>
      </c>
      <c r="Y95" s="25">
        <v>0</v>
      </c>
      <c r="Z95" s="24">
        <v>74930.547999999995</v>
      </c>
      <c r="AA95" s="27">
        <v>60844.738399999995</v>
      </c>
      <c r="AB95" s="16"/>
      <c r="AC95" s="27">
        <v>60844.738399999995</v>
      </c>
      <c r="AD95" s="16"/>
      <c r="AE95" s="16"/>
      <c r="AF95" s="28">
        <v>3.2575342465753425</v>
      </c>
      <c r="AG95" s="29">
        <v>4.742465753424657</v>
      </c>
      <c r="AH95" s="27">
        <v>4501.5</v>
      </c>
      <c r="AI95" s="30">
        <v>70429.047999999995</v>
      </c>
      <c r="AJ95" s="31">
        <v>14085.809599999999</v>
      </c>
      <c r="AK95" s="32">
        <v>46758.928799999994</v>
      </c>
      <c r="AL95" s="16"/>
      <c r="AM95" s="27">
        <v>46758.928799999994</v>
      </c>
      <c r="AN95" s="16"/>
      <c r="AO95" s="16"/>
      <c r="AP95" s="28">
        <v>4.2602739726027394</v>
      </c>
      <c r="AQ95" s="29">
        <v>3.7397260273972606</v>
      </c>
      <c r="AR95" s="27">
        <v>4501.5</v>
      </c>
      <c r="AS95" s="30">
        <v>56343.238399999995</v>
      </c>
      <c r="AT95" s="31">
        <v>14085.809599999999</v>
      </c>
      <c r="AU95" s="33">
        <v>32673.119199999994</v>
      </c>
      <c r="AW95" s="27">
        <v>32673.119199999994</v>
      </c>
      <c r="AX95" s="16"/>
      <c r="AY95" s="16"/>
      <c r="AZ95" s="28">
        <v>5.2602739726027394</v>
      </c>
      <c r="BA95" s="29">
        <v>2.7397260273972606</v>
      </c>
      <c r="BB95" s="27">
        <v>4501.5</v>
      </c>
      <c r="BC95" s="30">
        <v>42257.428799999994</v>
      </c>
      <c r="BD95" s="34">
        <v>14085.809599999999</v>
      </c>
      <c r="BE95" s="33">
        <v>18587.309599999993</v>
      </c>
      <c r="BF95" s="33"/>
      <c r="BG95" s="27">
        <v>18587.309599999993</v>
      </c>
      <c r="BH95" s="16"/>
      <c r="BI95" s="16"/>
      <c r="BJ95" s="28">
        <v>6.2602739726027394</v>
      </c>
      <c r="BK95" s="29">
        <v>1.7397260273972606</v>
      </c>
      <c r="BL95" s="27">
        <v>4501.5</v>
      </c>
      <c r="BM95" s="30">
        <v>14085.809599999993</v>
      </c>
      <c r="BN95" s="34">
        <v>14085.809599999999</v>
      </c>
      <c r="BO95" s="35">
        <v>4501.4999999999945</v>
      </c>
      <c r="BP95" s="36"/>
      <c r="BQ95" s="27">
        <v>4501.4999999999945</v>
      </c>
      <c r="BR95" s="16"/>
      <c r="BS95" s="16"/>
      <c r="BT95" s="28">
        <v>7.2602739726027394</v>
      </c>
      <c r="BU95" s="29">
        <v>0.73972602739726057</v>
      </c>
      <c r="BV95" s="27">
        <v>4501.5</v>
      </c>
      <c r="BW95" s="30">
        <v>0</v>
      </c>
      <c r="BX95" s="34"/>
      <c r="BY95" s="35">
        <v>4501.4999999999945</v>
      </c>
      <c r="CA95" s="35">
        <v>4501.4999999999945</v>
      </c>
      <c r="CB95" s="16"/>
      <c r="CC95" s="16"/>
      <c r="CD95" s="28">
        <v>8.2630136986301377</v>
      </c>
      <c r="CE95" s="29">
        <v>-0.26301369863013768</v>
      </c>
      <c r="CF95" s="27">
        <v>4501.5</v>
      </c>
      <c r="CG95" s="30">
        <v>0</v>
      </c>
      <c r="CH95" s="31">
        <v>0</v>
      </c>
      <c r="CI95" s="35">
        <v>4501.4999999999945</v>
      </c>
      <c r="CK95" s="36">
        <v>0</v>
      </c>
      <c r="CL95" s="35">
        <v>4501.4999999999945</v>
      </c>
      <c r="CM95" s="16"/>
      <c r="CN95" s="16"/>
      <c r="CO95" s="28">
        <v>9.2630136986301377</v>
      </c>
      <c r="CP95" s="29">
        <v>-1.2630136986301377</v>
      </c>
      <c r="CQ95" s="27">
        <v>4501.5</v>
      </c>
      <c r="CR95" s="34">
        <v>0</v>
      </c>
      <c r="CS95" s="34">
        <v>0</v>
      </c>
      <c r="CT95" s="35">
        <v>4501.4999999999945</v>
      </c>
      <c r="CV95" s="35">
        <v>0</v>
      </c>
      <c r="CW95" s="35">
        <v>4501.4999999999945</v>
      </c>
      <c r="CX95" s="16"/>
      <c r="CY95" s="16"/>
      <c r="CZ95" s="28">
        <v>11.263013698630138</v>
      </c>
      <c r="DA95" s="29">
        <v>-3.2630136986301377</v>
      </c>
      <c r="DB95" s="27">
        <v>4501.5</v>
      </c>
      <c r="DC95" s="34">
        <v>0</v>
      </c>
      <c r="DD95" s="34">
        <v>0</v>
      </c>
      <c r="DE95" s="35">
        <v>4501.4999999999945</v>
      </c>
      <c r="DG95" s="35">
        <v>90030</v>
      </c>
      <c r="DH95" s="35">
        <v>85528.499999999985</v>
      </c>
      <c r="DI95" s="35">
        <f t="shared" si="4"/>
        <v>4501.5000000000146</v>
      </c>
      <c r="DJ95" s="132">
        <f t="shared" si="5"/>
        <v>4501.5000000000146</v>
      </c>
      <c r="DK95" s="132">
        <f t="shared" si="6"/>
        <v>0</v>
      </c>
      <c r="DL95" s="132">
        <f t="shared" si="7"/>
        <v>-2.0008883439004421E-11</v>
      </c>
    </row>
    <row r="96" spans="2:116" s="4" customFormat="1" ht="17.25" customHeight="1" x14ac:dyDescent="0.25">
      <c r="B96" s="13" t="s">
        <v>4</v>
      </c>
      <c r="C96" s="14" t="s">
        <v>4</v>
      </c>
      <c r="D96" s="15" t="s">
        <v>277</v>
      </c>
      <c r="E96" s="15" t="s">
        <v>306</v>
      </c>
      <c r="F96" s="44" t="s">
        <v>307</v>
      </c>
      <c r="G96" s="40">
        <v>2</v>
      </c>
      <c r="H96" s="17">
        <v>41187</v>
      </c>
      <c r="I96" s="18" t="s">
        <v>420</v>
      </c>
      <c r="J96" s="19">
        <v>2</v>
      </c>
      <c r="K96" s="41">
        <v>8</v>
      </c>
      <c r="L96" s="21">
        <v>6</v>
      </c>
      <c r="M96" s="22">
        <v>89800</v>
      </c>
      <c r="N96" s="23">
        <v>9923.298810410959</v>
      </c>
      <c r="O96" s="24">
        <v>79876.701189589046</v>
      </c>
      <c r="P96" s="24"/>
      <c r="Q96" s="25">
        <v>6</v>
      </c>
      <c r="R96" s="26">
        <v>4490</v>
      </c>
      <c r="S96" s="25">
        <v>75386.701189589046</v>
      </c>
      <c r="T96" s="25">
        <v>12564.450198264842</v>
      </c>
      <c r="U96" s="25"/>
      <c r="V96" s="25">
        <v>0</v>
      </c>
      <c r="W96" s="25">
        <v>12564.450198264842</v>
      </c>
      <c r="X96" s="25">
        <v>12564.450198264842</v>
      </c>
      <c r="Y96" s="25">
        <v>0</v>
      </c>
      <c r="Z96" s="24">
        <v>79876.701189589046</v>
      </c>
      <c r="AA96" s="27">
        <v>67312.25099132421</v>
      </c>
      <c r="AB96" s="16"/>
      <c r="AC96" s="27">
        <v>67312.25099132421</v>
      </c>
      <c r="AD96" s="16"/>
      <c r="AE96" s="16"/>
      <c r="AF96" s="28">
        <v>2.484931506849315</v>
      </c>
      <c r="AG96" s="29">
        <v>5.515068493150685</v>
      </c>
      <c r="AH96" s="27">
        <v>4490</v>
      </c>
      <c r="AI96" s="30">
        <v>75386.701189589046</v>
      </c>
      <c r="AJ96" s="31">
        <v>12564.450198264842</v>
      </c>
      <c r="AK96" s="32">
        <v>54747.800793059367</v>
      </c>
      <c r="AL96" s="16"/>
      <c r="AM96" s="27">
        <v>54747.800793059367</v>
      </c>
      <c r="AN96" s="16"/>
      <c r="AO96" s="16"/>
      <c r="AP96" s="28">
        <v>3.4876712328767123</v>
      </c>
      <c r="AQ96" s="29">
        <v>4.5123287671232877</v>
      </c>
      <c r="AR96" s="27">
        <v>4490</v>
      </c>
      <c r="AS96" s="30">
        <v>62822.25099132421</v>
      </c>
      <c r="AT96" s="31">
        <v>12564.450198264842</v>
      </c>
      <c r="AU96" s="33">
        <v>42183.350594794523</v>
      </c>
      <c r="AW96" s="27">
        <v>42183.350594794523</v>
      </c>
      <c r="AX96" s="16"/>
      <c r="AY96" s="16"/>
      <c r="AZ96" s="28">
        <v>4.4876712328767123</v>
      </c>
      <c r="BA96" s="29">
        <v>3.5123287671232877</v>
      </c>
      <c r="BB96" s="27">
        <v>4490</v>
      </c>
      <c r="BC96" s="30">
        <v>50257.800793059367</v>
      </c>
      <c r="BD96" s="34">
        <v>12564.450198264842</v>
      </c>
      <c r="BE96" s="33">
        <v>29618.90039652968</v>
      </c>
      <c r="BF96" s="33"/>
      <c r="BG96" s="27">
        <v>29618.90039652968</v>
      </c>
      <c r="BH96" s="16"/>
      <c r="BI96" s="16"/>
      <c r="BJ96" s="28">
        <v>5.4876712328767123</v>
      </c>
      <c r="BK96" s="29">
        <v>2.5123287671232877</v>
      </c>
      <c r="BL96" s="27">
        <v>4490</v>
      </c>
      <c r="BM96" s="30">
        <v>25128.90039652968</v>
      </c>
      <c r="BN96" s="34">
        <v>12564.450198264842</v>
      </c>
      <c r="BO96" s="35">
        <v>17054.450198264836</v>
      </c>
      <c r="BP96" s="36"/>
      <c r="BQ96" s="27">
        <v>17054.450198264836</v>
      </c>
      <c r="BR96" s="16"/>
      <c r="BS96" s="16"/>
      <c r="BT96" s="28">
        <v>6.4876712328767123</v>
      </c>
      <c r="BU96" s="29">
        <v>1.5123287671232877</v>
      </c>
      <c r="BV96" s="27">
        <v>4490</v>
      </c>
      <c r="BW96" s="30">
        <v>12564.450198264836</v>
      </c>
      <c r="BX96" s="34">
        <v>12564.450198264842</v>
      </c>
      <c r="BY96" s="35">
        <v>4489.9999999999945</v>
      </c>
      <c r="CA96" s="35">
        <v>4489.9999999999945</v>
      </c>
      <c r="CB96" s="16"/>
      <c r="CC96" s="16"/>
      <c r="CD96" s="28">
        <v>7.4904109589041097</v>
      </c>
      <c r="CE96" s="29">
        <v>0.50958904109589032</v>
      </c>
      <c r="CF96" s="27">
        <v>4490</v>
      </c>
      <c r="CG96" s="30">
        <v>0</v>
      </c>
      <c r="CH96" s="31"/>
      <c r="CI96" s="35">
        <v>4489.9999999999945</v>
      </c>
      <c r="CK96" s="36">
        <v>0</v>
      </c>
      <c r="CL96" s="35">
        <v>4489.9999999999945</v>
      </c>
      <c r="CM96" s="16"/>
      <c r="CN96" s="16"/>
      <c r="CO96" s="28">
        <v>8.4904109589041088</v>
      </c>
      <c r="CP96" s="29">
        <v>-0.4904109589041088</v>
      </c>
      <c r="CQ96" s="27">
        <v>4490</v>
      </c>
      <c r="CR96" s="34">
        <v>0</v>
      </c>
      <c r="CS96" s="34">
        <v>0</v>
      </c>
      <c r="CT96" s="35">
        <v>4489.9999999999945</v>
      </c>
      <c r="CV96" s="35">
        <v>0</v>
      </c>
      <c r="CW96" s="35">
        <v>4489.9999999999945</v>
      </c>
      <c r="CX96" s="16"/>
      <c r="CY96" s="16"/>
      <c r="CZ96" s="28">
        <v>10.490410958904109</v>
      </c>
      <c r="DA96" s="29">
        <v>-2.4904109589041088</v>
      </c>
      <c r="DB96" s="27">
        <v>4490</v>
      </c>
      <c r="DC96" s="34">
        <v>0</v>
      </c>
      <c r="DD96" s="34">
        <v>0</v>
      </c>
      <c r="DE96" s="35">
        <v>4489.9999999999945</v>
      </c>
      <c r="DG96" s="35">
        <v>89800</v>
      </c>
      <c r="DH96" s="35">
        <v>85310</v>
      </c>
      <c r="DI96" s="35">
        <f t="shared" si="4"/>
        <v>4490</v>
      </c>
      <c r="DJ96" s="132">
        <f t="shared" si="5"/>
        <v>4490</v>
      </c>
      <c r="DK96" s="132">
        <f t="shared" si="6"/>
        <v>0</v>
      </c>
      <c r="DL96" s="132">
        <f t="shared" si="7"/>
        <v>0</v>
      </c>
    </row>
    <row r="97" spans="2:116" s="4" customFormat="1" ht="17.25" customHeight="1" x14ac:dyDescent="0.25">
      <c r="B97" s="13" t="s">
        <v>4</v>
      </c>
      <c r="C97" s="14" t="s">
        <v>4</v>
      </c>
      <c r="D97" s="15" t="s">
        <v>277</v>
      </c>
      <c r="E97" s="15" t="s">
        <v>308</v>
      </c>
      <c r="F97" s="44" t="s">
        <v>309</v>
      </c>
      <c r="G97" s="40">
        <v>2</v>
      </c>
      <c r="H97" s="17">
        <v>41187</v>
      </c>
      <c r="I97" s="18" t="s">
        <v>420</v>
      </c>
      <c r="J97" s="19">
        <v>2</v>
      </c>
      <c r="K97" s="41">
        <v>8</v>
      </c>
      <c r="L97" s="21">
        <v>6</v>
      </c>
      <c r="M97" s="22">
        <v>27590</v>
      </c>
      <c r="N97" s="23">
        <v>3048.8175298356164</v>
      </c>
      <c r="O97" s="24">
        <v>24541.182470164385</v>
      </c>
      <c r="P97" s="24"/>
      <c r="Q97" s="25">
        <v>6</v>
      </c>
      <c r="R97" s="26">
        <v>1379.5</v>
      </c>
      <c r="S97" s="25">
        <v>23161.682470164385</v>
      </c>
      <c r="T97" s="25">
        <v>3860.2804116940642</v>
      </c>
      <c r="U97" s="25"/>
      <c r="V97" s="25">
        <v>0</v>
      </c>
      <c r="W97" s="25">
        <v>3860.2804116940642</v>
      </c>
      <c r="X97" s="25">
        <v>3860.2804116940642</v>
      </c>
      <c r="Y97" s="25">
        <v>0</v>
      </c>
      <c r="Z97" s="24">
        <v>24541.182470164385</v>
      </c>
      <c r="AA97" s="27">
        <v>20680.902058470321</v>
      </c>
      <c r="AB97" s="16"/>
      <c r="AC97" s="27">
        <v>20680.902058470321</v>
      </c>
      <c r="AD97" s="16"/>
      <c r="AE97" s="16"/>
      <c r="AF97" s="28">
        <v>2.484931506849315</v>
      </c>
      <c r="AG97" s="29">
        <v>5.515068493150685</v>
      </c>
      <c r="AH97" s="27">
        <v>1379.5</v>
      </c>
      <c r="AI97" s="30">
        <v>23161.682470164385</v>
      </c>
      <c r="AJ97" s="31">
        <v>3860.2804116940642</v>
      </c>
      <c r="AK97" s="32">
        <v>16820.621646776257</v>
      </c>
      <c r="AL97" s="16"/>
      <c r="AM97" s="27">
        <v>16820.621646776257</v>
      </c>
      <c r="AN97" s="16"/>
      <c r="AO97" s="16"/>
      <c r="AP97" s="28">
        <v>3.4876712328767123</v>
      </c>
      <c r="AQ97" s="29">
        <v>4.5123287671232877</v>
      </c>
      <c r="AR97" s="27">
        <v>1379.5</v>
      </c>
      <c r="AS97" s="30">
        <v>19301.402058470321</v>
      </c>
      <c r="AT97" s="31">
        <v>3860.2804116940642</v>
      </c>
      <c r="AU97" s="33">
        <v>12960.341235082193</v>
      </c>
      <c r="AW97" s="27">
        <v>12960.341235082193</v>
      </c>
      <c r="AX97" s="16"/>
      <c r="AY97" s="16"/>
      <c r="AZ97" s="28">
        <v>4.4876712328767123</v>
      </c>
      <c r="BA97" s="29">
        <v>3.5123287671232877</v>
      </c>
      <c r="BB97" s="27">
        <v>1379.5</v>
      </c>
      <c r="BC97" s="30">
        <v>15441.121646776257</v>
      </c>
      <c r="BD97" s="34">
        <v>3860.2804116940642</v>
      </c>
      <c r="BE97" s="33">
        <v>9100.0608233881285</v>
      </c>
      <c r="BF97" s="33"/>
      <c r="BG97" s="27">
        <v>9100.0608233881285</v>
      </c>
      <c r="BH97" s="16"/>
      <c r="BI97" s="16"/>
      <c r="BJ97" s="28">
        <v>5.4876712328767123</v>
      </c>
      <c r="BK97" s="29">
        <v>2.5123287671232877</v>
      </c>
      <c r="BL97" s="27">
        <v>1379.5</v>
      </c>
      <c r="BM97" s="30">
        <v>7720.5608233881285</v>
      </c>
      <c r="BN97" s="34">
        <v>3860.2804116940642</v>
      </c>
      <c r="BO97" s="35">
        <v>5239.7804116940642</v>
      </c>
      <c r="BP97" s="36"/>
      <c r="BQ97" s="27">
        <v>5239.7804116940642</v>
      </c>
      <c r="BR97" s="16"/>
      <c r="BS97" s="16"/>
      <c r="BT97" s="28">
        <v>6.4876712328767123</v>
      </c>
      <c r="BU97" s="29">
        <v>1.5123287671232877</v>
      </c>
      <c r="BV97" s="27">
        <v>1379.5</v>
      </c>
      <c r="BW97" s="30">
        <v>3860.2804116940642</v>
      </c>
      <c r="BX97" s="34">
        <v>3860.2804116940642</v>
      </c>
      <c r="BY97" s="35">
        <v>1379.5</v>
      </c>
      <c r="CA97" s="35">
        <v>1379.5</v>
      </c>
      <c r="CB97" s="16"/>
      <c r="CC97" s="16"/>
      <c r="CD97" s="28">
        <v>7.4904109589041097</v>
      </c>
      <c r="CE97" s="29">
        <v>0.50958904109589032</v>
      </c>
      <c r="CF97" s="27">
        <v>1379.5</v>
      </c>
      <c r="CG97" s="30">
        <v>0</v>
      </c>
      <c r="CH97" s="31"/>
      <c r="CI97" s="35">
        <v>1379.5</v>
      </c>
      <c r="CK97" s="36">
        <v>0</v>
      </c>
      <c r="CL97" s="35">
        <v>1379.5</v>
      </c>
      <c r="CM97" s="16"/>
      <c r="CN97" s="16"/>
      <c r="CO97" s="28">
        <v>8.4904109589041088</v>
      </c>
      <c r="CP97" s="29">
        <v>-0.4904109589041088</v>
      </c>
      <c r="CQ97" s="27">
        <v>1379.5</v>
      </c>
      <c r="CR97" s="34">
        <v>0</v>
      </c>
      <c r="CS97" s="34">
        <v>0</v>
      </c>
      <c r="CT97" s="35">
        <v>1379.5</v>
      </c>
      <c r="CV97" s="35">
        <v>0</v>
      </c>
      <c r="CW97" s="35">
        <v>1379.5</v>
      </c>
      <c r="CX97" s="16"/>
      <c r="CY97" s="16"/>
      <c r="CZ97" s="28">
        <v>10.490410958904109</v>
      </c>
      <c r="DA97" s="29">
        <v>-2.4904109589041088</v>
      </c>
      <c r="DB97" s="27">
        <v>1379.5</v>
      </c>
      <c r="DC97" s="34">
        <v>0</v>
      </c>
      <c r="DD97" s="34">
        <v>0</v>
      </c>
      <c r="DE97" s="35">
        <v>1379.5</v>
      </c>
      <c r="DG97" s="35">
        <v>27590</v>
      </c>
      <c r="DH97" s="35">
        <v>26210.5</v>
      </c>
      <c r="DI97" s="35">
        <f t="shared" si="4"/>
        <v>1379.5</v>
      </c>
      <c r="DJ97" s="132">
        <f t="shared" si="5"/>
        <v>1379.5</v>
      </c>
      <c r="DK97" s="132">
        <f t="shared" si="6"/>
        <v>0</v>
      </c>
      <c r="DL97" s="132">
        <f t="shared" si="7"/>
        <v>0</v>
      </c>
    </row>
    <row r="98" spans="2:116" s="4" customFormat="1" ht="17.25" customHeight="1" x14ac:dyDescent="0.25">
      <c r="B98" s="13" t="s">
        <v>4</v>
      </c>
      <c r="C98" s="14" t="s">
        <v>4</v>
      </c>
      <c r="D98" s="15" t="s">
        <v>277</v>
      </c>
      <c r="E98" s="15" t="s">
        <v>310</v>
      </c>
      <c r="F98" s="44" t="s">
        <v>311</v>
      </c>
      <c r="G98" s="40" t="s">
        <v>111</v>
      </c>
      <c r="H98" s="17">
        <v>41317</v>
      </c>
      <c r="I98" s="18" t="s">
        <v>420</v>
      </c>
      <c r="J98" s="19">
        <v>1</v>
      </c>
      <c r="K98" s="41">
        <v>8</v>
      </c>
      <c r="L98" s="21">
        <v>7</v>
      </c>
      <c r="M98" s="22">
        <v>77104</v>
      </c>
      <c r="N98" s="23">
        <v>6478.3522265863012</v>
      </c>
      <c r="O98" s="24">
        <v>70625.647773413701</v>
      </c>
      <c r="P98" s="24"/>
      <c r="Q98" s="25">
        <v>7</v>
      </c>
      <c r="R98" s="26">
        <v>3855.2000000000003</v>
      </c>
      <c r="S98" s="25">
        <v>66770.447773413704</v>
      </c>
      <c r="T98" s="25">
        <v>9538.6353962019584</v>
      </c>
      <c r="U98" s="25"/>
      <c r="V98" s="25">
        <v>0</v>
      </c>
      <c r="W98" s="25">
        <v>9538.6353962019584</v>
      </c>
      <c r="X98" s="25">
        <v>9538.6353962019584</v>
      </c>
      <c r="Y98" s="25">
        <v>0</v>
      </c>
      <c r="Z98" s="24">
        <v>70625.647773413701</v>
      </c>
      <c r="AA98" s="27">
        <v>61087.012377211744</v>
      </c>
      <c r="AB98" s="16"/>
      <c r="AC98" s="27">
        <v>61087.012377211744</v>
      </c>
      <c r="AD98" s="16"/>
      <c r="AE98" s="16"/>
      <c r="AF98" s="28">
        <v>2.128767123287671</v>
      </c>
      <c r="AG98" s="29">
        <v>5.8712328767123285</v>
      </c>
      <c r="AH98" s="27">
        <v>3855.2000000000003</v>
      </c>
      <c r="AI98" s="30">
        <v>66770.447773413704</v>
      </c>
      <c r="AJ98" s="31">
        <v>9538.6353962019584</v>
      </c>
      <c r="AK98" s="32">
        <v>51548.376981009787</v>
      </c>
      <c r="AL98" s="16"/>
      <c r="AM98" s="27">
        <v>51548.376981009787</v>
      </c>
      <c r="AN98" s="16"/>
      <c r="AO98" s="16"/>
      <c r="AP98" s="28">
        <v>3.1315068493150684</v>
      </c>
      <c r="AQ98" s="29">
        <v>4.868493150684932</v>
      </c>
      <c r="AR98" s="27">
        <v>3855.2000000000003</v>
      </c>
      <c r="AS98" s="30">
        <v>57231.812377211747</v>
      </c>
      <c r="AT98" s="31">
        <v>9538.6353962019584</v>
      </c>
      <c r="AU98" s="33">
        <v>42009.741584807831</v>
      </c>
      <c r="AW98" s="27">
        <v>42009.741584807831</v>
      </c>
      <c r="AX98" s="16"/>
      <c r="AY98" s="16"/>
      <c r="AZ98" s="28">
        <v>4.1315068493150688</v>
      </c>
      <c r="BA98" s="29">
        <v>3.8684931506849312</v>
      </c>
      <c r="BB98" s="27">
        <v>3855.2000000000003</v>
      </c>
      <c r="BC98" s="30">
        <v>47693.17698100979</v>
      </c>
      <c r="BD98" s="34">
        <v>9538.6353962019584</v>
      </c>
      <c r="BE98" s="33">
        <v>32471.106188605874</v>
      </c>
      <c r="BF98" s="33"/>
      <c r="BG98" s="27">
        <v>32471.106188605874</v>
      </c>
      <c r="BH98" s="16"/>
      <c r="BI98" s="16"/>
      <c r="BJ98" s="28">
        <v>5.1315068493150688</v>
      </c>
      <c r="BK98" s="29">
        <v>2.8684931506849312</v>
      </c>
      <c r="BL98" s="27">
        <v>3855.2000000000003</v>
      </c>
      <c r="BM98" s="30">
        <v>28615.906188605873</v>
      </c>
      <c r="BN98" s="34">
        <v>9538.6353962019584</v>
      </c>
      <c r="BO98" s="35">
        <v>22932.470792403918</v>
      </c>
      <c r="BP98" s="36"/>
      <c r="BQ98" s="27">
        <v>22932.470792403918</v>
      </c>
      <c r="BR98" s="16"/>
      <c r="BS98" s="16"/>
      <c r="BT98" s="28">
        <v>6.1315068493150688</v>
      </c>
      <c r="BU98" s="29">
        <v>1.8684931506849312</v>
      </c>
      <c r="BV98" s="27">
        <v>3855.2000000000003</v>
      </c>
      <c r="BW98" s="30">
        <v>19077.270792403917</v>
      </c>
      <c r="BX98" s="34">
        <v>9538.6353962019584</v>
      </c>
      <c r="BY98" s="35">
        <v>13393.835396201959</v>
      </c>
      <c r="CA98" s="35">
        <v>13393.835396201959</v>
      </c>
      <c r="CB98" s="16"/>
      <c r="CC98" s="16"/>
      <c r="CD98" s="28">
        <v>7.1342465753424653</v>
      </c>
      <c r="CE98" s="29">
        <v>0.86575342465753469</v>
      </c>
      <c r="CF98" s="27">
        <v>3855.2000000000003</v>
      </c>
      <c r="CG98" s="30">
        <v>9538.6353962019584</v>
      </c>
      <c r="CH98" s="31">
        <v>9538.6353962019584</v>
      </c>
      <c r="CI98" s="35">
        <v>3855.2000000000007</v>
      </c>
      <c r="CK98" s="36">
        <v>0</v>
      </c>
      <c r="CL98" s="35">
        <v>3855.2000000000007</v>
      </c>
      <c r="CM98" s="16"/>
      <c r="CN98" s="16"/>
      <c r="CO98" s="28">
        <v>8.1342465753424662</v>
      </c>
      <c r="CP98" s="29">
        <v>-0.1342465753424662</v>
      </c>
      <c r="CQ98" s="27">
        <v>3855.2000000000003</v>
      </c>
      <c r="CR98" s="34">
        <v>0</v>
      </c>
      <c r="CS98" s="34">
        <v>0</v>
      </c>
      <c r="CT98" s="35">
        <v>3855.2000000000007</v>
      </c>
      <c r="CV98" s="35">
        <v>0</v>
      </c>
      <c r="CW98" s="35">
        <v>3855.2000000000007</v>
      </c>
      <c r="CX98" s="16"/>
      <c r="CY98" s="16"/>
      <c r="CZ98" s="28">
        <v>10.134246575342466</v>
      </c>
      <c r="DA98" s="29">
        <v>-2.1342465753424662</v>
      </c>
      <c r="DB98" s="27">
        <v>3855.2000000000003</v>
      </c>
      <c r="DC98" s="34">
        <v>0</v>
      </c>
      <c r="DD98" s="34">
        <v>0</v>
      </c>
      <c r="DE98" s="35">
        <v>3855.2000000000007</v>
      </c>
      <c r="DG98" s="35">
        <v>77104</v>
      </c>
      <c r="DH98" s="35">
        <v>73248.800000000003</v>
      </c>
      <c r="DI98" s="35">
        <f t="shared" si="4"/>
        <v>3855.1999999999971</v>
      </c>
      <c r="DJ98" s="132">
        <f t="shared" si="5"/>
        <v>3855.1999999999971</v>
      </c>
      <c r="DK98" s="132">
        <f t="shared" si="6"/>
        <v>0</v>
      </c>
      <c r="DL98" s="132">
        <f t="shared" si="7"/>
        <v>3.637978807091713E-12</v>
      </c>
    </row>
    <row r="99" spans="2:116" s="4" customFormat="1" ht="17.25" customHeight="1" x14ac:dyDescent="0.25">
      <c r="B99" s="13" t="s">
        <v>4</v>
      </c>
      <c r="C99" s="14" t="s">
        <v>4</v>
      </c>
      <c r="D99" s="15" t="s">
        <v>277</v>
      </c>
      <c r="E99" s="15" t="s">
        <v>312</v>
      </c>
      <c r="F99" s="44" t="s">
        <v>311</v>
      </c>
      <c r="G99" s="40">
        <v>2</v>
      </c>
      <c r="H99" s="17">
        <v>40952</v>
      </c>
      <c r="I99" s="18" t="s">
        <v>419</v>
      </c>
      <c r="J99" s="19">
        <v>2</v>
      </c>
      <c r="K99" s="41">
        <v>8</v>
      </c>
      <c r="L99" s="21">
        <v>6</v>
      </c>
      <c r="M99" s="22">
        <v>153900</v>
      </c>
      <c r="N99" s="23">
        <v>31943.052182465799</v>
      </c>
      <c r="O99" s="24">
        <v>121956.94781753421</v>
      </c>
      <c r="P99" s="24"/>
      <c r="Q99" s="25">
        <v>6</v>
      </c>
      <c r="R99" s="26">
        <v>7695</v>
      </c>
      <c r="S99" s="25">
        <v>114261.94781753421</v>
      </c>
      <c r="T99" s="25">
        <v>19043.657969589036</v>
      </c>
      <c r="U99" s="25"/>
      <c r="V99" s="25">
        <v>0</v>
      </c>
      <c r="W99" s="25">
        <v>19043.657969589036</v>
      </c>
      <c r="X99" s="25">
        <v>19043.657969589036</v>
      </c>
      <c r="Y99" s="25">
        <v>0</v>
      </c>
      <c r="Z99" s="24">
        <v>121956.94781753421</v>
      </c>
      <c r="AA99" s="27">
        <v>102913.28984794517</v>
      </c>
      <c r="AB99" s="16"/>
      <c r="AC99" s="27">
        <v>102913.28984794517</v>
      </c>
      <c r="AD99" s="16"/>
      <c r="AE99" s="16"/>
      <c r="AF99" s="28">
        <v>3.128767123287671</v>
      </c>
      <c r="AG99" s="29">
        <v>4.8712328767123285</v>
      </c>
      <c r="AH99" s="27">
        <v>7695</v>
      </c>
      <c r="AI99" s="30">
        <v>114261.94781753421</v>
      </c>
      <c r="AJ99" s="31">
        <v>19043.657969589036</v>
      </c>
      <c r="AK99" s="32">
        <v>83869.631878356129</v>
      </c>
      <c r="AL99" s="16"/>
      <c r="AM99" s="27">
        <v>83869.631878356129</v>
      </c>
      <c r="AN99" s="16"/>
      <c r="AO99" s="16"/>
      <c r="AP99" s="28">
        <v>4.1315068493150688</v>
      </c>
      <c r="AQ99" s="29">
        <v>3.8684931506849312</v>
      </c>
      <c r="AR99" s="27">
        <v>7695</v>
      </c>
      <c r="AS99" s="30">
        <v>95218.289847945169</v>
      </c>
      <c r="AT99" s="31">
        <v>19043.657969589036</v>
      </c>
      <c r="AU99" s="33">
        <v>64825.97390876709</v>
      </c>
      <c r="AW99" s="27">
        <v>64825.97390876709</v>
      </c>
      <c r="AX99" s="16"/>
      <c r="AY99" s="16"/>
      <c r="AZ99" s="28">
        <v>5.1315068493150688</v>
      </c>
      <c r="BA99" s="29">
        <v>2.8684931506849312</v>
      </c>
      <c r="BB99" s="27">
        <v>7695</v>
      </c>
      <c r="BC99" s="30">
        <v>76174.631878356129</v>
      </c>
      <c r="BD99" s="34">
        <v>19043.657969589036</v>
      </c>
      <c r="BE99" s="33">
        <v>45782.31593917805</v>
      </c>
      <c r="BF99" s="33"/>
      <c r="BG99" s="27">
        <v>45782.31593917805</v>
      </c>
      <c r="BH99" s="16"/>
      <c r="BI99" s="16"/>
      <c r="BJ99" s="28">
        <v>6.1315068493150688</v>
      </c>
      <c r="BK99" s="29">
        <v>1.8684931506849312</v>
      </c>
      <c r="BL99" s="27">
        <v>7695</v>
      </c>
      <c r="BM99" s="30">
        <v>38087.31593917805</v>
      </c>
      <c r="BN99" s="34">
        <v>19043.657969589036</v>
      </c>
      <c r="BO99" s="35">
        <v>26738.657969589014</v>
      </c>
      <c r="BP99" s="36"/>
      <c r="BQ99" s="27">
        <v>26738.657969589014</v>
      </c>
      <c r="BR99" s="16"/>
      <c r="BS99" s="16"/>
      <c r="BT99" s="28">
        <v>7.1315068493150688</v>
      </c>
      <c r="BU99" s="29">
        <v>0.86849315068493116</v>
      </c>
      <c r="BV99" s="27">
        <v>7695</v>
      </c>
      <c r="BW99" s="30">
        <v>19043.657969589014</v>
      </c>
      <c r="BX99" s="34">
        <v>19043.657969589036</v>
      </c>
      <c r="BY99" s="35">
        <v>7694.9999999999782</v>
      </c>
      <c r="CA99" s="35">
        <v>7694.9999999999782</v>
      </c>
      <c r="CB99" s="16"/>
      <c r="CC99" s="16"/>
      <c r="CD99" s="28">
        <v>8.1342465753424662</v>
      </c>
      <c r="CE99" s="29">
        <v>-0.1342465753424662</v>
      </c>
      <c r="CF99" s="27">
        <v>7695</v>
      </c>
      <c r="CG99" s="30">
        <v>0</v>
      </c>
      <c r="CH99" s="31"/>
      <c r="CI99" s="35">
        <v>7694.9999999999782</v>
      </c>
      <c r="CK99" s="36">
        <v>-2.1827872842550278E-11</v>
      </c>
      <c r="CL99" s="35">
        <v>7694.9999999999782</v>
      </c>
      <c r="CM99" s="16"/>
      <c r="CN99" s="16"/>
      <c r="CO99" s="28">
        <v>9.1342465753424662</v>
      </c>
      <c r="CP99" s="29">
        <v>-1.1342465753424662</v>
      </c>
      <c r="CQ99" s="27">
        <v>7695</v>
      </c>
      <c r="CR99" s="34">
        <v>0</v>
      </c>
      <c r="CS99" s="34">
        <v>0</v>
      </c>
      <c r="CT99" s="35">
        <v>7694.9999999999782</v>
      </c>
      <c r="CV99" s="35">
        <v>-2.1827872842550278E-11</v>
      </c>
      <c r="CW99" s="35">
        <v>7694.9999999999782</v>
      </c>
      <c r="CX99" s="16"/>
      <c r="CY99" s="16"/>
      <c r="CZ99" s="28">
        <v>11.134246575342466</v>
      </c>
      <c r="DA99" s="29">
        <v>-3.1342465753424662</v>
      </c>
      <c r="DB99" s="27">
        <v>7695</v>
      </c>
      <c r="DC99" s="34">
        <v>0</v>
      </c>
      <c r="DD99" s="34"/>
      <c r="DE99" s="35">
        <v>7694.9999999999782</v>
      </c>
      <c r="DG99" s="35">
        <v>153900</v>
      </c>
      <c r="DH99" s="35">
        <v>146205.00000000003</v>
      </c>
      <c r="DI99" s="35">
        <f t="shared" si="4"/>
        <v>7694.9999999999709</v>
      </c>
      <c r="DJ99" s="132">
        <f t="shared" si="5"/>
        <v>7694.9999999999709</v>
      </c>
      <c r="DK99" s="132">
        <f t="shared" si="6"/>
        <v>0</v>
      </c>
      <c r="DL99" s="132">
        <f t="shared" si="7"/>
        <v>7.2759576141834259E-12</v>
      </c>
    </row>
    <row r="100" spans="2:116" s="4" customFormat="1" ht="17.25" customHeight="1" x14ac:dyDescent="0.25">
      <c r="B100" s="13" t="s">
        <v>4</v>
      </c>
      <c r="C100" s="14" t="s">
        <v>4</v>
      </c>
      <c r="D100" s="15" t="s">
        <v>277</v>
      </c>
      <c r="E100" s="15" t="s">
        <v>313</v>
      </c>
      <c r="F100" s="44" t="s">
        <v>314</v>
      </c>
      <c r="G100" s="40">
        <v>2</v>
      </c>
      <c r="H100" s="17">
        <v>41414</v>
      </c>
      <c r="I100" s="18" t="s">
        <v>421</v>
      </c>
      <c r="J100" s="19">
        <v>1</v>
      </c>
      <c r="K100" s="41">
        <v>8</v>
      </c>
      <c r="L100" s="21">
        <v>7</v>
      </c>
      <c r="M100" s="22">
        <v>308000</v>
      </c>
      <c r="N100" s="23">
        <v>19792.566893150684</v>
      </c>
      <c r="O100" s="24">
        <v>288207.43310684932</v>
      </c>
      <c r="P100" s="24"/>
      <c r="Q100" s="25">
        <v>7</v>
      </c>
      <c r="R100" s="26">
        <v>15400</v>
      </c>
      <c r="S100" s="25">
        <v>272807.43310684932</v>
      </c>
      <c r="T100" s="25">
        <v>38972.490443835617</v>
      </c>
      <c r="U100" s="25"/>
      <c r="V100" s="25">
        <v>0</v>
      </c>
      <c r="W100" s="25">
        <v>38972.490443835617</v>
      </c>
      <c r="X100" s="25">
        <v>38972.490443835617</v>
      </c>
      <c r="Y100" s="25">
        <v>0</v>
      </c>
      <c r="Z100" s="24">
        <v>288207.43310684932</v>
      </c>
      <c r="AA100" s="27">
        <v>249234.9426630137</v>
      </c>
      <c r="AB100" s="16"/>
      <c r="AC100" s="27">
        <v>249234.9426630137</v>
      </c>
      <c r="AD100" s="16"/>
      <c r="AE100" s="16"/>
      <c r="AF100" s="28">
        <v>1.8630136986301369</v>
      </c>
      <c r="AG100" s="29">
        <v>6.1369863013698627</v>
      </c>
      <c r="AH100" s="27">
        <v>15400</v>
      </c>
      <c r="AI100" s="30">
        <v>272807.43310684932</v>
      </c>
      <c r="AJ100" s="31">
        <v>38972.490443835617</v>
      </c>
      <c r="AK100" s="32">
        <v>210262.45221917809</v>
      </c>
      <c r="AL100" s="16"/>
      <c r="AM100" s="27">
        <v>210262.45221917809</v>
      </c>
      <c r="AN100" s="16"/>
      <c r="AO100" s="16"/>
      <c r="AP100" s="28">
        <v>2.8657534246575342</v>
      </c>
      <c r="AQ100" s="29">
        <v>5.1342465753424662</v>
      </c>
      <c r="AR100" s="27">
        <v>15400</v>
      </c>
      <c r="AS100" s="30">
        <v>233834.9426630137</v>
      </c>
      <c r="AT100" s="31">
        <v>38972.490443835617</v>
      </c>
      <c r="AU100" s="33">
        <v>171289.96177534247</v>
      </c>
      <c r="AW100" s="27">
        <v>171289.96177534247</v>
      </c>
      <c r="AX100" s="16"/>
      <c r="AY100" s="16"/>
      <c r="AZ100" s="28">
        <v>3.8657534246575342</v>
      </c>
      <c r="BA100" s="29">
        <v>4.1342465753424662</v>
      </c>
      <c r="BB100" s="27">
        <v>15400</v>
      </c>
      <c r="BC100" s="30">
        <v>194862.45221917809</v>
      </c>
      <c r="BD100" s="34">
        <v>38972.490443835617</v>
      </c>
      <c r="BE100" s="33">
        <v>132317.47133150685</v>
      </c>
      <c r="BF100" s="33"/>
      <c r="BG100" s="27">
        <v>132317.47133150685</v>
      </c>
      <c r="BH100" s="16"/>
      <c r="BI100" s="16"/>
      <c r="BJ100" s="28">
        <v>4.8657534246575347</v>
      </c>
      <c r="BK100" s="29">
        <v>3.1342465753424653</v>
      </c>
      <c r="BL100" s="27">
        <v>15400</v>
      </c>
      <c r="BM100" s="30">
        <v>116917.47133150685</v>
      </c>
      <c r="BN100" s="34">
        <v>38972.490443835617</v>
      </c>
      <c r="BO100" s="35">
        <v>93344.980887671234</v>
      </c>
      <c r="BP100" s="36"/>
      <c r="BQ100" s="27">
        <v>93344.980887671234</v>
      </c>
      <c r="BR100" s="16"/>
      <c r="BS100" s="16"/>
      <c r="BT100" s="28">
        <v>5.8657534246575347</v>
      </c>
      <c r="BU100" s="29">
        <v>2.1342465753424653</v>
      </c>
      <c r="BV100" s="27">
        <v>15400</v>
      </c>
      <c r="BW100" s="30">
        <v>77944.980887671234</v>
      </c>
      <c r="BX100" s="34">
        <v>38972.490443835617</v>
      </c>
      <c r="BY100" s="35">
        <v>54372.490443835617</v>
      </c>
      <c r="CA100" s="35">
        <v>54372.490443835617</v>
      </c>
      <c r="CB100" s="16"/>
      <c r="CC100" s="16"/>
      <c r="CD100" s="28">
        <v>6.8684931506849312</v>
      </c>
      <c r="CE100" s="29">
        <v>1.1315068493150688</v>
      </c>
      <c r="CF100" s="27">
        <v>15400</v>
      </c>
      <c r="CG100" s="30">
        <v>38972.490443835617</v>
      </c>
      <c r="CH100" s="31">
        <v>38972.490443835617</v>
      </c>
      <c r="CI100" s="35">
        <v>15400</v>
      </c>
      <c r="CK100" s="36">
        <v>0</v>
      </c>
      <c r="CL100" s="35">
        <v>15400</v>
      </c>
      <c r="CM100" s="16"/>
      <c r="CN100" s="16"/>
      <c r="CO100" s="28">
        <v>7.8684931506849312</v>
      </c>
      <c r="CP100" s="29">
        <v>0.13150684931506884</v>
      </c>
      <c r="CQ100" s="27">
        <v>15400</v>
      </c>
      <c r="CR100" s="34">
        <v>0</v>
      </c>
      <c r="CS100" s="34">
        <v>0</v>
      </c>
      <c r="CT100" s="35">
        <v>15400</v>
      </c>
      <c r="CV100" s="35">
        <v>0</v>
      </c>
      <c r="CW100" s="35">
        <v>15400</v>
      </c>
      <c r="CX100" s="16"/>
      <c r="CY100" s="16"/>
      <c r="CZ100" s="28">
        <v>9.868493150684932</v>
      </c>
      <c r="DA100" s="29">
        <v>-1.868493150684932</v>
      </c>
      <c r="DB100" s="27">
        <v>15400</v>
      </c>
      <c r="DC100" s="34">
        <v>0</v>
      </c>
      <c r="DD100" s="34">
        <v>0</v>
      </c>
      <c r="DE100" s="35">
        <v>15400</v>
      </c>
      <c r="DG100" s="35">
        <v>308000</v>
      </c>
      <c r="DH100" s="35">
        <v>292600</v>
      </c>
      <c r="DI100" s="35">
        <f t="shared" si="4"/>
        <v>15400</v>
      </c>
      <c r="DJ100" s="132">
        <f t="shared" si="5"/>
        <v>15400</v>
      </c>
      <c r="DK100" s="132">
        <f t="shared" si="6"/>
        <v>0</v>
      </c>
      <c r="DL100" s="132">
        <f t="shared" si="7"/>
        <v>0</v>
      </c>
    </row>
    <row r="101" spans="2:116" s="4" customFormat="1" ht="17.25" customHeight="1" x14ac:dyDescent="0.25">
      <c r="B101" s="13" t="s">
        <v>4</v>
      </c>
      <c r="C101" s="14" t="s">
        <v>4</v>
      </c>
      <c r="D101" s="15" t="s">
        <v>277</v>
      </c>
      <c r="E101" s="15" t="s">
        <v>315</v>
      </c>
      <c r="F101" s="44" t="s">
        <v>314</v>
      </c>
      <c r="G101" s="40" t="s">
        <v>111</v>
      </c>
      <c r="H101" s="17">
        <v>41414</v>
      </c>
      <c r="I101" s="18" t="s">
        <v>421</v>
      </c>
      <c r="J101" s="19">
        <v>1</v>
      </c>
      <c r="K101" s="41">
        <v>8</v>
      </c>
      <c r="L101" s="21">
        <v>7</v>
      </c>
      <c r="M101" s="22">
        <v>170519</v>
      </c>
      <c r="N101" s="23">
        <v>10957.820500172604</v>
      </c>
      <c r="O101" s="24">
        <v>159561.17949982738</v>
      </c>
      <c r="P101" s="24"/>
      <c r="Q101" s="25">
        <v>7</v>
      </c>
      <c r="R101" s="26">
        <v>8525.9500000000007</v>
      </c>
      <c r="S101" s="25">
        <v>151035.22949982737</v>
      </c>
      <c r="T101" s="25">
        <v>21576.461357118194</v>
      </c>
      <c r="U101" s="25"/>
      <c r="V101" s="25">
        <v>0</v>
      </c>
      <c r="W101" s="25">
        <v>21576.461357118194</v>
      </c>
      <c r="X101" s="25">
        <v>21576.461357118194</v>
      </c>
      <c r="Y101" s="25">
        <v>0</v>
      </c>
      <c r="Z101" s="24">
        <v>159561.17949982738</v>
      </c>
      <c r="AA101" s="27">
        <v>137984.7181427092</v>
      </c>
      <c r="AB101" s="16"/>
      <c r="AC101" s="27">
        <v>137984.7181427092</v>
      </c>
      <c r="AD101" s="16"/>
      <c r="AE101" s="16"/>
      <c r="AF101" s="28">
        <v>1.8630136986301369</v>
      </c>
      <c r="AG101" s="29">
        <v>6.1369863013698627</v>
      </c>
      <c r="AH101" s="27">
        <v>8525.9500000000007</v>
      </c>
      <c r="AI101" s="30">
        <v>151035.22949982737</v>
      </c>
      <c r="AJ101" s="31">
        <v>21576.461357118194</v>
      </c>
      <c r="AK101" s="32">
        <v>116408.256785591</v>
      </c>
      <c r="AL101" s="16"/>
      <c r="AM101" s="27">
        <v>116408.256785591</v>
      </c>
      <c r="AN101" s="16"/>
      <c r="AO101" s="16"/>
      <c r="AP101" s="28">
        <v>2.8657534246575342</v>
      </c>
      <c r="AQ101" s="29">
        <v>5.1342465753424662</v>
      </c>
      <c r="AR101" s="27">
        <v>8525.9500000000007</v>
      </c>
      <c r="AS101" s="30">
        <v>129458.7681427092</v>
      </c>
      <c r="AT101" s="31">
        <v>21576.461357118194</v>
      </c>
      <c r="AU101" s="33">
        <v>94831.795428472804</v>
      </c>
      <c r="AW101" s="27">
        <v>94831.795428472804</v>
      </c>
      <c r="AX101" s="16"/>
      <c r="AY101" s="16"/>
      <c r="AZ101" s="28">
        <v>3.8657534246575342</v>
      </c>
      <c r="BA101" s="29">
        <v>4.1342465753424662</v>
      </c>
      <c r="BB101" s="27">
        <v>8525.9500000000007</v>
      </c>
      <c r="BC101" s="30">
        <v>107882.306785591</v>
      </c>
      <c r="BD101" s="34">
        <v>21576.461357118194</v>
      </c>
      <c r="BE101" s="33">
        <v>73255.334071354606</v>
      </c>
      <c r="BF101" s="33"/>
      <c r="BG101" s="27">
        <v>73255.334071354606</v>
      </c>
      <c r="BH101" s="16"/>
      <c r="BI101" s="16"/>
      <c r="BJ101" s="28">
        <v>4.8657534246575347</v>
      </c>
      <c r="BK101" s="29">
        <v>3.1342465753424653</v>
      </c>
      <c r="BL101" s="27">
        <v>8525.9500000000007</v>
      </c>
      <c r="BM101" s="30">
        <v>64729.384071354609</v>
      </c>
      <c r="BN101" s="34">
        <v>21576.461357118194</v>
      </c>
      <c r="BO101" s="35">
        <v>51678.872714236408</v>
      </c>
      <c r="BP101" s="36"/>
      <c r="BQ101" s="27">
        <v>51678.872714236408</v>
      </c>
      <c r="BR101" s="16"/>
      <c r="BS101" s="16"/>
      <c r="BT101" s="28">
        <v>5.8657534246575347</v>
      </c>
      <c r="BU101" s="29">
        <v>2.1342465753424653</v>
      </c>
      <c r="BV101" s="27">
        <v>8525.9500000000007</v>
      </c>
      <c r="BW101" s="30">
        <v>43152.922714236411</v>
      </c>
      <c r="BX101" s="34">
        <v>21576.461357118194</v>
      </c>
      <c r="BY101" s="35">
        <v>30102.411357118213</v>
      </c>
      <c r="CA101" s="35">
        <v>30102.411357118213</v>
      </c>
      <c r="CB101" s="16"/>
      <c r="CC101" s="16"/>
      <c r="CD101" s="28">
        <v>6.8684931506849312</v>
      </c>
      <c r="CE101" s="29">
        <v>1.1315068493150688</v>
      </c>
      <c r="CF101" s="27">
        <v>8525.9500000000007</v>
      </c>
      <c r="CG101" s="30">
        <v>21576.461357118213</v>
      </c>
      <c r="CH101" s="31">
        <v>21576.461357118194</v>
      </c>
      <c r="CI101" s="35">
        <v>8525.9500000000189</v>
      </c>
      <c r="CK101" s="36">
        <v>1.8189894035458565E-11</v>
      </c>
      <c r="CL101" s="35">
        <v>8525.9500000000189</v>
      </c>
      <c r="CM101" s="16"/>
      <c r="CN101" s="16"/>
      <c r="CO101" s="28">
        <v>7.8684931506849312</v>
      </c>
      <c r="CP101" s="29">
        <v>0.13150684931506884</v>
      </c>
      <c r="CQ101" s="27">
        <v>8525.9500000000007</v>
      </c>
      <c r="CR101" s="34">
        <v>1.8189894035458565E-11</v>
      </c>
      <c r="CS101" s="34">
        <v>0</v>
      </c>
      <c r="CT101" s="35">
        <v>8525.9500000000189</v>
      </c>
      <c r="CV101" s="35">
        <v>1.8189894035458565E-11</v>
      </c>
      <c r="CW101" s="35">
        <v>8525.9500000000189</v>
      </c>
      <c r="CX101" s="16"/>
      <c r="CY101" s="16"/>
      <c r="CZ101" s="28">
        <v>9.868493150684932</v>
      </c>
      <c r="DA101" s="29">
        <v>-1.868493150684932</v>
      </c>
      <c r="DB101" s="27">
        <v>8525.9500000000007</v>
      </c>
      <c r="DC101" s="34">
        <v>0</v>
      </c>
      <c r="DD101" s="34">
        <v>0</v>
      </c>
      <c r="DE101" s="35">
        <v>8525.9500000000189</v>
      </c>
      <c r="DG101" s="35">
        <v>170519</v>
      </c>
      <c r="DH101" s="35">
        <v>161993.04999999996</v>
      </c>
      <c r="DI101" s="35">
        <f t="shared" si="4"/>
        <v>8525.9500000000407</v>
      </c>
      <c r="DJ101" s="132">
        <f t="shared" si="5"/>
        <v>8525.9500000000407</v>
      </c>
      <c r="DK101" s="132">
        <f t="shared" si="6"/>
        <v>0</v>
      </c>
      <c r="DL101" s="132">
        <f t="shared" si="7"/>
        <v>-2.1827872842550278E-11</v>
      </c>
    </row>
    <row r="102" spans="2:116" s="4" customFormat="1" ht="17.25" customHeight="1" x14ac:dyDescent="0.25">
      <c r="B102" s="13" t="s">
        <v>4</v>
      </c>
      <c r="C102" s="14" t="s">
        <v>4</v>
      </c>
      <c r="D102" s="15" t="s">
        <v>277</v>
      </c>
      <c r="E102" s="15" t="s">
        <v>316</v>
      </c>
      <c r="F102" s="44" t="s">
        <v>317</v>
      </c>
      <c r="G102" s="40" t="s">
        <v>111</v>
      </c>
      <c r="H102" s="17">
        <v>41544</v>
      </c>
      <c r="I102" s="18" t="s">
        <v>421</v>
      </c>
      <c r="J102" s="19">
        <v>1</v>
      </c>
      <c r="K102" s="41">
        <v>8</v>
      </c>
      <c r="L102" s="21">
        <v>7</v>
      </c>
      <c r="M102" s="22">
        <v>183000</v>
      </c>
      <c r="N102" s="23">
        <v>6864.5315506849329</v>
      </c>
      <c r="O102" s="24">
        <v>176135.46844931506</v>
      </c>
      <c r="P102" s="24"/>
      <c r="Q102" s="25">
        <v>7</v>
      </c>
      <c r="R102" s="26">
        <v>9150</v>
      </c>
      <c r="S102" s="25">
        <v>166985.46844931506</v>
      </c>
      <c r="T102" s="25">
        <v>23855.066921330723</v>
      </c>
      <c r="U102" s="25"/>
      <c r="V102" s="25">
        <v>0</v>
      </c>
      <c r="W102" s="25">
        <v>23855.066921330723</v>
      </c>
      <c r="X102" s="25">
        <v>23855.066921330723</v>
      </c>
      <c r="Y102" s="25">
        <v>0</v>
      </c>
      <c r="Z102" s="24">
        <v>176135.46844931506</v>
      </c>
      <c r="AA102" s="27">
        <v>152280.40152798433</v>
      </c>
      <c r="AB102" s="16"/>
      <c r="AC102" s="27">
        <v>152280.40152798433</v>
      </c>
      <c r="AD102" s="16"/>
      <c r="AE102" s="16"/>
      <c r="AF102" s="28">
        <v>1.5068493150684932</v>
      </c>
      <c r="AG102" s="29">
        <v>6.493150684931507</v>
      </c>
      <c r="AH102" s="27">
        <v>9150</v>
      </c>
      <c r="AI102" s="30">
        <v>166985.46844931506</v>
      </c>
      <c r="AJ102" s="31">
        <v>23855.066921330723</v>
      </c>
      <c r="AK102" s="32">
        <v>128425.3346066536</v>
      </c>
      <c r="AL102" s="16"/>
      <c r="AM102" s="27">
        <v>128425.3346066536</v>
      </c>
      <c r="AN102" s="16"/>
      <c r="AO102" s="16"/>
      <c r="AP102" s="28">
        <v>2.5095890410958903</v>
      </c>
      <c r="AQ102" s="29">
        <v>5.4904109589041097</v>
      </c>
      <c r="AR102" s="27">
        <v>9150</v>
      </c>
      <c r="AS102" s="30">
        <v>143130.40152798433</v>
      </c>
      <c r="AT102" s="31">
        <v>23855.066921330723</v>
      </c>
      <c r="AU102" s="33">
        <v>104570.26768532288</v>
      </c>
      <c r="AW102" s="27">
        <v>104570.26768532288</v>
      </c>
      <c r="AX102" s="16"/>
      <c r="AY102" s="16"/>
      <c r="AZ102" s="28">
        <v>3.5095890410958903</v>
      </c>
      <c r="BA102" s="29">
        <v>4.4904109589041097</v>
      </c>
      <c r="BB102" s="27">
        <v>9150</v>
      </c>
      <c r="BC102" s="30">
        <v>119275.3346066536</v>
      </c>
      <c r="BD102" s="34">
        <v>23855.066921330723</v>
      </c>
      <c r="BE102" s="33">
        <v>80715.20076399215</v>
      </c>
      <c r="BF102" s="33"/>
      <c r="BG102" s="27">
        <v>80715.20076399215</v>
      </c>
      <c r="BH102" s="16"/>
      <c r="BI102" s="16"/>
      <c r="BJ102" s="28">
        <v>4.5095890410958903</v>
      </c>
      <c r="BK102" s="29">
        <v>3.4904109589041097</v>
      </c>
      <c r="BL102" s="27">
        <v>9150</v>
      </c>
      <c r="BM102" s="30">
        <v>71565.20076399215</v>
      </c>
      <c r="BN102" s="34">
        <v>23855.066921330723</v>
      </c>
      <c r="BO102" s="35">
        <v>56860.133842661424</v>
      </c>
      <c r="BP102" s="36"/>
      <c r="BQ102" s="27">
        <v>56860.133842661424</v>
      </c>
      <c r="BR102" s="16"/>
      <c r="BS102" s="16"/>
      <c r="BT102" s="28">
        <v>5.5095890410958903</v>
      </c>
      <c r="BU102" s="29">
        <v>2.4904109589041097</v>
      </c>
      <c r="BV102" s="27">
        <v>9150</v>
      </c>
      <c r="BW102" s="30">
        <v>47710.133842661424</v>
      </c>
      <c r="BX102" s="34">
        <v>23855.066921330723</v>
      </c>
      <c r="BY102" s="35">
        <v>33005.066921330697</v>
      </c>
      <c r="CA102" s="35">
        <v>33005.066921330697</v>
      </c>
      <c r="CB102" s="16"/>
      <c r="CC102" s="16"/>
      <c r="CD102" s="28">
        <v>6.5123287671232877</v>
      </c>
      <c r="CE102" s="29">
        <v>1.4876712328767123</v>
      </c>
      <c r="CF102" s="27">
        <v>9150</v>
      </c>
      <c r="CG102" s="30">
        <v>23855.066921330697</v>
      </c>
      <c r="CH102" s="31">
        <v>23855.066921330723</v>
      </c>
      <c r="CI102" s="35">
        <v>9149.9999999999745</v>
      </c>
      <c r="CK102" s="36">
        <v>-2.5465851649641991E-11</v>
      </c>
      <c r="CL102" s="35">
        <v>9149.9999999999745</v>
      </c>
      <c r="CM102" s="16"/>
      <c r="CN102" s="16"/>
      <c r="CO102" s="28">
        <v>7.5123287671232877</v>
      </c>
      <c r="CP102" s="29">
        <v>0.48767123287671232</v>
      </c>
      <c r="CQ102" s="27">
        <v>9150</v>
      </c>
      <c r="CR102" s="34">
        <v>0</v>
      </c>
      <c r="CS102" s="34">
        <v>0</v>
      </c>
      <c r="CT102" s="35">
        <v>9149.9999999999745</v>
      </c>
      <c r="CV102" s="35">
        <v>-2.5465851649641991E-11</v>
      </c>
      <c r="CW102" s="35">
        <v>9149.9999999999745</v>
      </c>
      <c r="CX102" s="16"/>
      <c r="CY102" s="16"/>
      <c r="CZ102" s="28">
        <v>9.5123287671232877</v>
      </c>
      <c r="DA102" s="29">
        <v>-1.5123287671232877</v>
      </c>
      <c r="DB102" s="27">
        <v>9150</v>
      </c>
      <c r="DC102" s="34">
        <v>0</v>
      </c>
      <c r="DD102" s="34"/>
      <c r="DE102" s="35">
        <v>9149.9999999999745</v>
      </c>
      <c r="DG102" s="35">
        <v>183000</v>
      </c>
      <c r="DH102" s="35">
        <v>173850</v>
      </c>
      <c r="DI102" s="35">
        <f t="shared" si="4"/>
        <v>9150</v>
      </c>
      <c r="DJ102" s="132">
        <f t="shared" si="5"/>
        <v>9150</v>
      </c>
      <c r="DK102" s="132">
        <f t="shared" si="6"/>
        <v>0</v>
      </c>
      <c r="DL102" s="132">
        <f t="shared" si="7"/>
        <v>-2.5465851649641991E-11</v>
      </c>
    </row>
    <row r="103" spans="2:116" s="4" customFormat="1" ht="17.25" customHeight="1" x14ac:dyDescent="0.25">
      <c r="B103" s="13" t="s">
        <v>4</v>
      </c>
      <c r="C103" s="14" t="s">
        <v>4</v>
      </c>
      <c r="D103" s="15" t="s">
        <v>277</v>
      </c>
      <c r="E103" s="15" t="s">
        <v>318</v>
      </c>
      <c r="F103" s="44" t="s">
        <v>317</v>
      </c>
      <c r="G103" s="40" t="s">
        <v>111</v>
      </c>
      <c r="H103" s="17">
        <v>41592</v>
      </c>
      <c r="I103" s="18" t="s">
        <v>421</v>
      </c>
      <c r="J103" s="19">
        <v>1</v>
      </c>
      <c r="K103" s="41">
        <v>8</v>
      </c>
      <c r="L103" s="21">
        <v>7</v>
      </c>
      <c r="M103" s="22">
        <v>165000</v>
      </c>
      <c r="N103" s="23">
        <v>4642.2980547945208</v>
      </c>
      <c r="O103" s="24">
        <v>160357.70194520548</v>
      </c>
      <c r="P103" s="24"/>
      <c r="Q103" s="25">
        <v>7</v>
      </c>
      <c r="R103" s="26">
        <v>8250</v>
      </c>
      <c r="S103" s="25">
        <v>152107.70194520548</v>
      </c>
      <c r="T103" s="25">
        <v>21729.671706457924</v>
      </c>
      <c r="U103" s="25"/>
      <c r="V103" s="25">
        <v>0</v>
      </c>
      <c r="W103" s="25">
        <v>21729.671706457924</v>
      </c>
      <c r="X103" s="25">
        <v>21729.671706457924</v>
      </c>
      <c r="Y103" s="25">
        <v>0</v>
      </c>
      <c r="Z103" s="24">
        <v>160357.70194520548</v>
      </c>
      <c r="AA103" s="27">
        <v>138628.03023874757</v>
      </c>
      <c r="AB103" s="16"/>
      <c r="AC103" s="27">
        <v>138628.03023874757</v>
      </c>
      <c r="AD103" s="16"/>
      <c r="AE103" s="16"/>
      <c r="AF103" s="28">
        <v>1.3753424657534246</v>
      </c>
      <c r="AG103" s="29">
        <v>6.624657534246575</v>
      </c>
      <c r="AH103" s="27">
        <v>8250</v>
      </c>
      <c r="AI103" s="30">
        <v>152107.70194520548</v>
      </c>
      <c r="AJ103" s="31">
        <v>21729.671706457924</v>
      </c>
      <c r="AK103" s="32">
        <v>116898.35853228964</v>
      </c>
      <c r="AL103" s="16"/>
      <c r="AM103" s="27">
        <v>116898.35853228964</v>
      </c>
      <c r="AN103" s="16"/>
      <c r="AO103" s="16"/>
      <c r="AP103" s="28">
        <v>2.3780821917808219</v>
      </c>
      <c r="AQ103" s="29">
        <v>5.6219178082191785</v>
      </c>
      <c r="AR103" s="27">
        <v>8250</v>
      </c>
      <c r="AS103" s="30">
        <v>130378.03023874757</v>
      </c>
      <c r="AT103" s="31">
        <v>21729.671706457924</v>
      </c>
      <c r="AU103" s="33">
        <v>95168.686825831712</v>
      </c>
      <c r="AW103" s="27">
        <v>95168.686825831712</v>
      </c>
      <c r="AX103" s="16"/>
      <c r="AY103" s="16"/>
      <c r="AZ103" s="28">
        <v>3.3780821917808219</v>
      </c>
      <c r="BA103" s="29">
        <v>4.6219178082191785</v>
      </c>
      <c r="BB103" s="27">
        <v>8250</v>
      </c>
      <c r="BC103" s="30">
        <v>108648.35853228964</v>
      </c>
      <c r="BD103" s="34">
        <v>21729.671706457924</v>
      </c>
      <c r="BE103" s="33">
        <v>73439.015119373784</v>
      </c>
      <c r="BF103" s="33"/>
      <c r="BG103" s="27">
        <v>73439.015119373784</v>
      </c>
      <c r="BH103" s="16"/>
      <c r="BI103" s="16"/>
      <c r="BJ103" s="28">
        <v>4.3780821917808215</v>
      </c>
      <c r="BK103" s="29">
        <v>3.6219178082191785</v>
      </c>
      <c r="BL103" s="27">
        <v>8250</v>
      </c>
      <c r="BM103" s="30">
        <v>65189.015119373784</v>
      </c>
      <c r="BN103" s="34">
        <v>21729.671706457924</v>
      </c>
      <c r="BO103" s="35">
        <v>51709.343412915856</v>
      </c>
      <c r="BP103" s="36"/>
      <c r="BQ103" s="27">
        <v>51709.343412915856</v>
      </c>
      <c r="BR103" s="16"/>
      <c r="BS103" s="16"/>
      <c r="BT103" s="28">
        <v>5.3780821917808215</v>
      </c>
      <c r="BU103" s="29">
        <v>2.6219178082191785</v>
      </c>
      <c r="BV103" s="27">
        <v>8250</v>
      </c>
      <c r="BW103" s="30">
        <v>43459.343412915856</v>
      </c>
      <c r="BX103" s="34">
        <v>21729.671706457924</v>
      </c>
      <c r="BY103" s="35">
        <v>29979.671706457932</v>
      </c>
      <c r="CA103" s="35">
        <v>29979.671706457932</v>
      </c>
      <c r="CB103" s="16"/>
      <c r="CC103" s="16"/>
      <c r="CD103" s="28">
        <v>6.3808219178082188</v>
      </c>
      <c r="CE103" s="29">
        <v>1.6191780821917812</v>
      </c>
      <c r="CF103" s="27">
        <v>8250</v>
      </c>
      <c r="CG103" s="30">
        <v>21729.671706457932</v>
      </c>
      <c r="CH103" s="31">
        <v>21729.671706457924</v>
      </c>
      <c r="CI103" s="35">
        <v>8250.0000000000073</v>
      </c>
      <c r="CK103" s="36">
        <v>0</v>
      </c>
      <c r="CL103" s="35">
        <v>8250.0000000000073</v>
      </c>
      <c r="CM103" s="16"/>
      <c r="CN103" s="16"/>
      <c r="CO103" s="28">
        <v>7.3808219178082188</v>
      </c>
      <c r="CP103" s="29">
        <v>0.61917808219178117</v>
      </c>
      <c r="CQ103" s="27">
        <v>8250</v>
      </c>
      <c r="CR103" s="34">
        <v>7.2759576141834259E-12</v>
      </c>
      <c r="CS103" s="34">
        <v>0</v>
      </c>
      <c r="CT103" s="35">
        <v>8250.0000000000073</v>
      </c>
      <c r="CV103" s="35">
        <v>0</v>
      </c>
      <c r="CW103" s="35">
        <v>8250.0000000000073</v>
      </c>
      <c r="CX103" s="16"/>
      <c r="CY103" s="16"/>
      <c r="CZ103" s="28">
        <v>9.3808219178082197</v>
      </c>
      <c r="DA103" s="29">
        <v>-1.3808219178082197</v>
      </c>
      <c r="DB103" s="27">
        <v>8250</v>
      </c>
      <c r="DC103" s="34">
        <v>0</v>
      </c>
      <c r="DD103" s="34">
        <v>0</v>
      </c>
      <c r="DE103" s="35">
        <v>8250.0000000000073</v>
      </c>
      <c r="DG103" s="35">
        <v>165000</v>
      </c>
      <c r="DH103" s="35">
        <v>156750</v>
      </c>
      <c r="DI103" s="35">
        <f t="shared" si="4"/>
        <v>8250</v>
      </c>
      <c r="DJ103" s="132">
        <f t="shared" si="5"/>
        <v>8250</v>
      </c>
      <c r="DK103" s="132">
        <f t="shared" si="6"/>
        <v>0</v>
      </c>
      <c r="DL103" s="132">
        <f t="shared" si="7"/>
        <v>0</v>
      </c>
    </row>
    <row r="104" spans="2:116" s="4" customFormat="1" ht="17.25" customHeight="1" x14ac:dyDescent="0.25">
      <c r="B104" s="13" t="s">
        <v>4</v>
      </c>
      <c r="C104" s="14" t="s">
        <v>4</v>
      </c>
      <c r="D104" s="15" t="s">
        <v>277</v>
      </c>
      <c r="E104" s="15" t="s">
        <v>319</v>
      </c>
      <c r="F104" s="44" t="s">
        <v>317</v>
      </c>
      <c r="G104" s="40" t="s">
        <v>111</v>
      </c>
      <c r="H104" s="17">
        <v>41592</v>
      </c>
      <c r="I104" s="18" t="s">
        <v>421</v>
      </c>
      <c r="J104" s="19">
        <v>1</v>
      </c>
      <c r="K104" s="41">
        <v>8</v>
      </c>
      <c r="L104" s="21">
        <v>7</v>
      </c>
      <c r="M104" s="22">
        <v>23408</v>
      </c>
      <c r="N104" s="23">
        <v>658.58735070684929</v>
      </c>
      <c r="O104" s="24">
        <v>22749.41264929315</v>
      </c>
      <c r="P104" s="24"/>
      <c r="Q104" s="25">
        <v>7</v>
      </c>
      <c r="R104" s="26">
        <v>1170.4000000000001</v>
      </c>
      <c r="S104" s="25">
        <v>21579.012649293149</v>
      </c>
      <c r="T104" s="25">
        <v>3082.716092756164</v>
      </c>
      <c r="U104" s="25"/>
      <c r="V104" s="25">
        <v>0</v>
      </c>
      <c r="W104" s="25">
        <v>3082.716092756164</v>
      </c>
      <c r="X104" s="25">
        <v>3082.716092756164</v>
      </c>
      <c r="Y104" s="25">
        <v>0</v>
      </c>
      <c r="Z104" s="24">
        <v>22749.41264929315</v>
      </c>
      <c r="AA104" s="27">
        <v>19666.696556536986</v>
      </c>
      <c r="AB104" s="16"/>
      <c r="AC104" s="27">
        <v>19666.696556536986</v>
      </c>
      <c r="AD104" s="16"/>
      <c r="AE104" s="16"/>
      <c r="AF104" s="28">
        <v>1.3753424657534246</v>
      </c>
      <c r="AG104" s="29">
        <v>6.624657534246575</v>
      </c>
      <c r="AH104" s="27">
        <v>1170.4000000000001</v>
      </c>
      <c r="AI104" s="30">
        <v>21579.012649293149</v>
      </c>
      <c r="AJ104" s="31">
        <v>3082.716092756164</v>
      </c>
      <c r="AK104" s="32">
        <v>16583.980463780823</v>
      </c>
      <c r="AL104" s="16"/>
      <c r="AM104" s="27">
        <v>16583.980463780823</v>
      </c>
      <c r="AN104" s="16"/>
      <c r="AO104" s="16"/>
      <c r="AP104" s="28">
        <v>2.3780821917808219</v>
      </c>
      <c r="AQ104" s="29">
        <v>5.6219178082191785</v>
      </c>
      <c r="AR104" s="27">
        <v>1170.4000000000001</v>
      </c>
      <c r="AS104" s="30">
        <v>18496.296556536985</v>
      </c>
      <c r="AT104" s="31">
        <v>3082.716092756164</v>
      </c>
      <c r="AU104" s="33">
        <v>13501.264371024659</v>
      </c>
      <c r="AW104" s="27">
        <v>13501.264371024659</v>
      </c>
      <c r="AX104" s="16"/>
      <c r="AY104" s="16"/>
      <c r="AZ104" s="28">
        <v>3.3780821917808219</v>
      </c>
      <c r="BA104" s="29">
        <v>4.6219178082191785</v>
      </c>
      <c r="BB104" s="27">
        <v>1170.4000000000001</v>
      </c>
      <c r="BC104" s="30">
        <v>15413.580463780823</v>
      </c>
      <c r="BD104" s="34">
        <v>3082.716092756164</v>
      </c>
      <c r="BE104" s="33">
        <v>10418.548278268496</v>
      </c>
      <c r="BF104" s="33"/>
      <c r="BG104" s="27">
        <v>10418.548278268496</v>
      </c>
      <c r="BH104" s="16"/>
      <c r="BI104" s="16"/>
      <c r="BJ104" s="28">
        <v>4.3780821917808215</v>
      </c>
      <c r="BK104" s="29">
        <v>3.6219178082191785</v>
      </c>
      <c r="BL104" s="27">
        <v>1170.4000000000001</v>
      </c>
      <c r="BM104" s="30">
        <v>9248.1482782684961</v>
      </c>
      <c r="BN104" s="34">
        <v>3082.716092756164</v>
      </c>
      <c r="BO104" s="35">
        <v>7335.8321855123322</v>
      </c>
      <c r="BP104" s="36"/>
      <c r="BQ104" s="27">
        <v>7335.8321855123322</v>
      </c>
      <c r="BR104" s="16"/>
      <c r="BS104" s="16"/>
      <c r="BT104" s="28">
        <v>5.3780821917808215</v>
      </c>
      <c r="BU104" s="29">
        <v>2.6219178082191785</v>
      </c>
      <c r="BV104" s="27">
        <v>1170.4000000000001</v>
      </c>
      <c r="BW104" s="30">
        <v>6165.4321855123326</v>
      </c>
      <c r="BX104" s="34">
        <v>3082.716092756164</v>
      </c>
      <c r="BY104" s="35">
        <v>4253.1160927561687</v>
      </c>
      <c r="CA104" s="35">
        <v>4253.1160927561687</v>
      </c>
      <c r="CB104" s="16"/>
      <c r="CC104" s="16"/>
      <c r="CD104" s="28">
        <v>6.3808219178082188</v>
      </c>
      <c r="CE104" s="29">
        <v>1.6191780821917812</v>
      </c>
      <c r="CF104" s="27">
        <v>1170.4000000000001</v>
      </c>
      <c r="CG104" s="30">
        <v>3082.7160927561686</v>
      </c>
      <c r="CH104" s="31">
        <v>3082.716092756164</v>
      </c>
      <c r="CI104" s="35">
        <v>1170.4000000000046</v>
      </c>
      <c r="CK104" s="36">
        <v>4.5474735088646412E-12</v>
      </c>
      <c r="CL104" s="35">
        <v>1170.4000000000046</v>
      </c>
      <c r="CM104" s="16"/>
      <c r="CN104" s="16"/>
      <c r="CO104" s="28">
        <v>7.3808219178082188</v>
      </c>
      <c r="CP104" s="29">
        <v>0.61917808219178117</v>
      </c>
      <c r="CQ104" s="27">
        <v>1170.4000000000001</v>
      </c>
      <c r="CR104" s="34">
        <v>4.5474735088646412E-12</v>
      </c>
      <c r="CS104" s="34">
        <v>0</v>
      </c>
      <c r="CT104" s="35">
        <v>1170.4000000000046</v>
      </c>
      <c r="CV104" s="35">
        <v>4.5474735088646412E-12</v>
      </c>
      <c r="CW104" s="35">
        <v>1170.4000000000046</v>
      </c>
      <c r="CX104" s="16"/>
      <c r="CY104" s="16"/>
      <c r="CZ104" s="28">
        <v>9.3808219178082197</v>
      </c>
      <c r="DA104" s="29">
        <v>-1.3808219178082197</v>
      </c>
      <c r="DB104" s="27">
        <v>1170.4000000000001</v>
      </c>
      <c r="DC104" s="34">
        <v>0</v>
      </c>
      <c r="DD104" s="34">
        <v>0</v>
      </c>
      <c r="DE104" s="35">
        <v>1170.4000000000046</v>
      </c>
      <c r="DG104" s="35">
        <v>23408</v>
      </c>
      <c r="DH104" s="35">
        <v>22237.599999999995</v>
      </c>
      <c r="DI104" s="35">
        <f t="shared" si="4"/>
        <v>1170.4000000000051</v>
      </c>
      <c r="DJ104" s="132">
        <f t="shared" si="5"/>
        <v>1170.4000000000051</v>
      </c>
      <c r="DK104" s="132">
        <f t="shared" si="6"/>
        <v>0</v>
      </c>
      <c r="DL104" s="132">
        <f t="shared" si="7"/>
        <v>0</v>
      </c>
    </row>
    <row r="105" spans="2:116" s="4" customFormat="1" ht="17.25" customHeight="1" x14ac:dyDescent="0.25">
      <c r="B105" s="13" t="s">
        <v>4</v>
      </c>
      <c r="C105" s="14" t="s">
        <v>4</v>
      </c>
      <c r="D105" s="15" t="s">
        <v>277</v>
      </c>
      <c r="E105" s="15" t="s">
        <v>320</v>
      </c>
      <c r="F105" s="42" t="s">
        <v>321</v>
      </c>
      <c r="G105" s="43" t="s">
        <v>111</v>
      </c>
      <c r="H105" s="17">
        <v>41820</v>
      </c>
      <c r="I105" s="18" t="s">
        <v>422</v>
      </c>
      <c r="J105" s="19">
        <v>0</v>
      </c>
      <c r="K105" s="41">
        <v>8</v>
      </c>
      <c r="L105" s="21">
        <v>8</v>
      </c>
      <c r="M105" s="23">
        <v>124000</v>
      </c>
      <c r="N105" s="38">
        <v>0</v>
      </c>
      <c r="O105" s="24">
        <v>124000</v>
      </c>
      <c r="P105" s="24">
        <v>274</v>
      </c>
      <c r="Q105" s="25">
        <v>8</v>
      </c>
      <c r="R105" s="26">
        <v>6200</v>
      </c>
      <c r="S105" s="25">
        <v>117800</v>
      </c>
      <c r="T105" s="25">
        <v>11053.835616438355</v>
      </c>
      <c r="U105" s="25"/>
      <c r="V105" s="25">
        <v>0</v>
      </c>
      <c r="W105" s="25">
        <v>11053.835616438355</v>
      </c>
      <c r="X105" s="25">
        <v>11053.835616438355</v>
      </c>
      <c r="Y105" s="25">
        <v>0</v>
      </c>
      <c r="Z105" s="24">
        <v>124000</v>
      </c>
      <c r="AA105" s="27">
        <v>112946.16438356164</v>
      </c>
      <c r="AB105" s="16"/>
      <c r="AC105" s="27">
        <v>112946.16438356164</v>
      </c>
      <c r="AD105" s="16"/>
      <c r="AE105" s="16"/>
      <c r="AF105" s="28">
        <v>0.75068493150684934</v>
      </c>
      <c r="AG105" s="29">
        <v>7.2493150684931509</v>
      </c>
      <c r="AH105" s="27">
        <v>6200</v>
      </c>
      <c r="AI105" s="30">
        <v>117800</v>
      </c>
      <c r="AJ105" s="31">
        <v>14725</v>
      </c>
      <c r="AK105" s="32">
        <v>98221.164383561641</v>
      </c>
      <c r="AL105" s="16"/>
      <c r="AM105" s="27">
        <v>98221.164383561641</v>
      </c>
      <c r="AN105" s="16"/>
      <c r="AO105" s="16"/>
      <c r="AP105" s="28">
        <v>1.7534246575342465</v>
      </c>
      <c r="AQ105" s="29">
        <v>6.2465753424657535</v>
      </c>
      <c r="AR105" s="27">
        <v>6200</v>
      </c>
      <c r="AS105" s="30">
        <v>106746.16438356164</v>
      </c>
      <c r="AT105" s="31">
        <v>14725</v>
      </c>
      <c r="AU105" s="33">
        <v>83496.164383561641</v>
      </c>
      <c r="AW105" s="27">
        <v>83496.164383561641</v>
      </c>
      <c r="AX105" s="16"/>
      <c r="AY105" s="16"/>
      <c r="AZ105" s="28">
        <v>2.7534246575342465</v>
      </c>
      <c r="BA105" s="29">
        <v>5.2465753424657535</v>
      </c>
      <c r="BB105" s="27">
        <v>6200</v>
      </c>
      <c r="BC105" s="30">
        <v>92021.164383561641</v>
      </c>
      <c r="BD105" s="34">
        <v>14725</v>
      </c>
      <c r="BE105" s="33">
        <v>68771.164383561641</v>
      </c>
      <c r="BF105" s="33"/>
      <c r="BG105" s="27">
        <v>68771.164383561641</v>
      </c>
      <c r="BH105" s="16"/>
      <c r="BI105" s="16"/>
      <c r="BJ105" s="28">
        <v>3.7534246575342465</v>
      </c>
      <c r="BK105" s="29">
        <v>4.2465753424657535</v>
      </c>
      <c r="BL105" s="27">
        <v>6200</v>
      </c>
      <c r="BM105" s="30">
        <v>62571.164383561641</v>
      </c>
      <c r="BN105" s="34">
        <v>14725</v>
      </c>
      <c r="BO105" s="35">
        <v>54046.164383561641</v>
      </c>
      <c r="BP105" s="36"/>
      <c r="BQ105" s="27">
        <v>54046.164383561641</v>
      </c>
      <c r="BR105" s="16"/>
      <c r="BS105" s="16"/>
      <c r="BT105" s="28">
        <v>4.7534246575342465</v>
      </c>
      <c r="BU105" s="29">
        <v>3.2465753424657535</v>
      </c>
      <c r="BV105" s="27">
        <v>6200</v>
      </c>
      <c r="BW105" s="30">
        <v>47846.164383561641</v>
      </c>
      <c r="BX105" s="34">
        <v>14725</v>
      </c>
      <c r="BY105" s="35">
        <v>39321.164383561641</v>
      </c>
      <c r="CA105" s="35">
        <v>39321.164383561641</v>
      </c>
      <c r="CB105" s="16"/>
      <c r="CC105" s="16"/>
      <c r="CD105" s="28">
        <v>5.7561643835616438</v>
      </c>
      <c r="CE105" s="29">
        <v>2.2438356164383562</v>
      </c>
      <c r="CF105" s="27">
        <v>6200</v>
      </c>
      <c r="CG105" s="30">
        <v>33121.164383561641</v>
      </c>
      <c r="CH105" s="31">
        <v>14725</v>
      </c>
      <c r="CI105" s="35">
        <v>24596.164383561641</v>
      </c>
      <c r="CK105" s="36">
        <v>18396.164383561641</v>
      </c>
      <c r="CL105" s="35">
        <v>24596.164383561641</v>
      </c>
      <c r="CM105" s="16"/>
      <c r="CN105" s="16"/>
      <c r="CO105" s="28">
        <v>6.7561643835616438</v>
      </c>
      <c r="CP105" s="29">
        <v>1.2438356164383562</v>
      </c>
      <c r="CQ105" s="27">
        <v>6200</v>
      </c>
      <c r="CR105" s="34">
        <v>18396.164383561641</v>
      </c>
      <c r="CS105" s="34">
        <v>14725</v>
      </c>
      <c r="CT105" s="35">
        <v>9871.1643835616414</v>
      </c>
      <c r="CV105" s="35">
        <v>3671.1643835616414</v>
      </c>
      <c r="CW105" s="35">
        <v>9871.1643835616414</v>
      </c>
      <c r="CX105" s="16"/>
      <c r="CY105" s="16"/>
      <c r="CZ105" s="28">
        <v>8.7561643835616429</v>
      </c>
      <c r="DA105" s="29">
        <v>-0.75616438356164295</v>
      </c>
      <c r="DB105" s="27">
        <v>6200</v>
      </c>
      <c r="DC105" s="34">
        <v>0</v>
      </c>
      <c r="DD105" s="34">
        <v>0</v>
      </c>
      <c r="DE105" s="35">
        <v>9871.1643835616414</v>
      </c>
      <c r="DG105" s="35">
        <v>124000</v>
      </c>
      <c r="DH105" s="35">
        <v>114128.83561643836</v>
      </c>
      <c r="DI105" s="35">
        <f t="shared" si="4"/>
        <v>9871.1643835616414</v>
      </c>
      <c r="DJ105" s="132">
        <f t="shared" si="5"/>
        <v>9871.1643835616414</v>
      </c>
      <c r="DK105" s="132">
        <f t="shared" si="6"/>
        <v>0</v>
      </c>
      <c r="DL105" s="132">
        <f t="shared" si="7"/>
        <v>0</v>
      </c>
    </row>
    <row r="106" spans="2:116" s="4" customFormat="1" ht="17.25" customHeight="1" x14ac:dyDescent="0.25">
      <c r="B106" s="13" t="s">
        <v>4</v>
      </c>
      <c r="C106" s="14" t="s">
        <v>4</v>
      </c>
      <c r="D106" s="15" t="s">
        <v>277</v>
      </c>
      <c r="E106" s="15" t="s">
        <v>324</v>
      </c>
      <c r="F106" s="42" t="s">
        <v>325</v>
      </c>
      <c r="G106" s="43" t="s">
        <v>111</v>
      </c>
      <c r="H106" s="17">
        <v>41859</v>
      </c>
      <c r="I106" s="18" t="s">
        <v>422</v>
      </c>
      <c r="J106" s="19">
        <v>0</v>
      </c>
      <c r="K106" s="41">
        <v>8</v>
      </c>
      <c r="L106" s="21">
        <v>8</v>
      </c>
      <c r="M106" s="23">
        <v>156000</v>
      </c>
      <c r="N106" s="38">
        <v>0</v>
      </c>
      <c r="O106" s="24">
        <v>156000</v>
      </c>
      <c r="P106" s="24">
        <v>235</v>
      </c>
      <c r="Q106" s="25">
        <v>8</v>
      </c>
      <c r="R106" s="26">
        <v>7800</v>
      </c>
      <c r="S106" s="25">
        <v>148200</v>
      </c>
      <c r="T106" s="25">
        <v>11927.054794520547</v>
      </c>
      <c r="U106" s="25"/>
      <c r="V106" s="25">
        <v>0</v>
      </c>
      <c r="W106" s="25">
        <v>11927.054794520547</v>
      </c>
      <c r="X106" s="25">
        <v>11927.054794520547</v>
      </c>
      <c r="Y106" s="25">
        <v>0</v>
      </c>
      <c r="Z106" s="24">
        <v>156000</v>
      </c>
      <c r="AA106" s="27">
        <v>144072.94520547945</v>
      </c>
      <c r="AB106" s="16"/>
      <c r="AC106" s="27">
        <v>144072.94520547945</v>
      </c>
      <c r="AD106" s="16"/>
      <c r="AE106" s="16"/>
      <c r="AF106" s="28">
        <v>0.64383561643835618</v>
      </c>
      <c r="AG106" s="29">
        <v>7.3561643835616435</v>
      </c>
      <c r="AH106" s="27">
        <v>7800</v>
      </c>
      <c r="AI106" s="30">
        <v>148200</v>
      </c>
      <c r="AJ106" s="31">
        <v>18525</v>
      </c>
      <c r="AK106" s="32">
        <v>125547.94520547945</v>
      </c>
      <c r="AL106" s="16"/>
      <c r="AM106" s="27">
        <v>125547.94520547945</v>
      </c>
      <c r="AN106" s="16"/>
      <c r="AO106" s="16"/>
      <c r="AP106" s="28">
        <v>1.6465753424657534</v>
      </c>
      <c r="AQ106" s="29">
        <v>6.3534246575342461</v>
      </c>
      <c r="AR106" s="27">
        <v>7800</v>
      </c>
      <c r="AS106" s="30">
        <v>136272.94520547945</v>
      </c>
      <c r="AT106" s="31">
        <v>18525</v>
      </c>
      <c r="AU106" s="33">
        <v>107022.94520547945</v>
      </c>
      <c r="AW106" s="27">
        <v>107022.94520547945</v>
      </c>
      <c r="AX106" s="16"/>
      <c r="AY106" s="16"/>
      <c r="AZ106" s="28">
        <v>2.6465753424657534</v>
      </c>
      <c r="BA106" s="29">
        <v>5.3534246575342461</v>
      </c>
      <c r="BB106" s="27">
        <v>7800</v>
      </c>
      <c r="BC106" s="30">
        <v>117747.94520547945</v>
      </c>
      <c r="BD106" s="34">
        <v>18525</v>
      </c>
      <c r="BE106" s="33">
        <v>88497.945205479453</v>
      </c>
      <c r="BF106" s="33"/>
      <c r="BG106" s="27">
        <v>88497.945205479453</v>
      </c>
      <c r="BH106" s="16"/>
      <c r="BI106" s="16"/>
      <c r="BJ106" s="28">
        <v>3.6465753424657534</v>
      </c>
      <c r="BK106" s="29">
        <v>4.3534246575342461</v>
      </c>
      <c r="BL106" s="27">
        <v>7800</v>
      </c>
      <c r="BM106" s="30">
        <v>80697.945205479453</v>
      </c>
      <c r="BN106" s="34">
        <v>18525</v>
      </c>
      <c r="BO106" s="35">
        <v>69972.945205479453</v>
      </c>
      <c r="BP106" s="36"/>
      <c r="BQ106" s="27">
        <v>69972.945205479453</v>
      </c>
      <c r="BR106" s="16"/>
      <c r="BS106" s="16"/>
      <c r="BT106" s="28">
        <v>4.646575342465753</v>
      </c>
      <c r="BU106" s="29">
        <v>3.353424657534247</v>
      </c>
      <c r="BV106" s="27">
        <v>7800</v>
      </c>
      <c r="BW106" s="30">
        <v>62172.945205479453</v>
      </c>
      <c r="BX106" s="34">
        <v>18525</v>
      </c>
      <c r="BY106" s="35">
        <v>51447.945205479453</v>
      </c>
      <c r="CA106" s="35">
        <v>51447.945205479453</v>
      </c>
      <c r="CB106" s="16"/>
      <c r="CC106" s="16"/>
      <c r="CD106" s="28">
        <v>5.6493150684931503</v>
      </c>
      <c r="CE106" s="29">
        <v>2.3506849315068497</v>
      </c>
      <c r="CF106" s="27">
        <v>7800</v>
      </c>
      <c r="CG106" s="30">
        <v>43647.945205479453</v>
      </c>
      <c r="CH106" s="31">
        <v>18525</v>
      </c>
      <c r="CI106" s="35">
        <v>32922.945205479453</v>
      </c>
      <c r="CK106" s="36">
        <v>25122.945205479453</v>
      </c>
      <c r="CL106" s="35">
        <v>32922.945205479453</v>
      </c>
      <c r="CM106" s="16"/>
      <c r="CN106" s="16"/>
      <c r="CO106" s="28">
        <v>6.6493150684931503</v>
      </c>
      <c r="CP106" s="29">
        <v>1.3506849315068497</v>
      </c>
      <c r="CQ106" s="27">
        <v>7800</v>
      </c>
      <c r="CR106" s="34">
        <v>25122.945205479453</v>
      </c>
      <c r="CS106" s="34">
        <v>18525</v>
      </c>
      <c r="CT106" s="35">
        <v>14397.945205479453</v>
      </c>
      <c r="CV106" s="35">
        <v>6597.9452054794529</v>
      </c>
      <c r="CW106" s="35">
        <v>14397.945205479453</v>
      </c>
      <c r="CX106" s="16"/>
      <c r="CY106" s="16"/>
      <c r="CZ106" s="28">
        <v>8.6493150684931503</v>
      </c>
      <c r="DA106" s="29">
        <v>-0.64931506849315035</v>
      </c>
      <c r="DB106" s="27">
        <v>7800</v>
      </c>
      <c r="DC106" s="34">
        <v>0</v>
      </c>
      <c r="DD106" s="34">
        <v>6597.9452054794529</v>
      </c>
      <c r="DE106" s="35">
        <v>7800</v>
      </c>
      <c r="DG106" s="35">
        <v>156000</v>
      </c>
      <c r="DH106" s="35">
        <v>148200</v>
      </c>
      <c r="DI106" s="35">
        <f t="shared" si="4"/>
        <v>7800</v>
      </c>
      <c r="DJ106" s="132">
        <f t="shared" si="5"/>
        <v>7800</v>
      </c>
      <c r="DK106" s="132">
        <f t="shared" si="6"/>
        <v>0</v>
      </c>
      <c r="DL106" s="132">
        <f t="shared" si="7"/>
        <v>0</v>
      </c>
    </row>
    <row r="107" spans="2:116" s="4" customFormat="1" ht="17.25" customHeight="1" x14ac:dyDescent="0.25">
      <c r="B107" s="13" t="s">
        <v>4</v>
      </c>
      <c r="C107" s="14" t="s">
        <v>4</v>
      </c>
      <c r="D107" s="15" t="s">
        <v>277</v>
      </c>
      <c r="E107" s="15" t="s">
        <v>326</v>
      </c>
      <c r="F107" s="42" t="s">
        <v>327</v>
      </c>
      <c r="G107" s="43" t="s">
        <v>111</v>
      </c>
      <c r="H107" s="17">
        <v>41864</v>
      </c>
      <c r="I107" s="18" t="s">
        <v>422</v>
      </c>
      <c r="J107" s="19">
        <v>0</v>
      </c>
      <c r="K107" s="41">
        <v>8</v>
      </c>
      <c r="L107" s="21">
        <v>8</v>
      </c>
      <c r="M107" s="23">
        <v>156433</v>
      </c>
      <c r="N107" s="38">
        <v>0</v>
      </c>
      <c r="O107" s="24">
        <v>156433</v>
      </c>
      <c r="P107" s="24">
        <v>230</v>
      </c>
      <c r="Q107" s="25">
        <v>8</v>
      </c>
      <c r="R107" s="26">
        <v>7821.6500000000005</v>
      </c>
      <c r="S107" s="25">
        <v>148611.35</v>
      </c>
      <c r="T107" s="25">
        <v>11705.68852739726</v>
      </c>
      <c r="U107" s="25"/>
      <c r="V107" s="25">
        <v>0</v>
      </c>
      <c r="W107" s="25">
        <v>11705.68852739726</v>
      </c>
      <c r="X107" s="25">
        <v>11705.68852739726</v>
      </c>
      <c r="Y107" s="25">
        <v>0</v>
      </c>
      <c r="Z107" s="24">
        <v>156433</v>
      </c>
      <c r="AA107" s="27">
        <v>144727.31147260274</v>
      </c>
      <c r="AB107" s="16"/>
      <c r="AC107" s="27">
        <v>144727.31147260274</v>
      </c>
      <c r="AD107" s="16"/>
      <c r="AE107" s="16"/>
      <c r="AF107" s="28">
        <v>0.63013698630136983</v>
      </c>
      <c r="AG107" s="29">
        <v>7.3698630136986303</v>
      </c>
      <c r="AH107" s="27">
        <v>7821.6500000000005</v>
      </c>
      <c r="AI107" s="30">
        <v>148611.35</v>
      </c>
      <c r="AJ107" s="31">
        <v>18576.418750000001</v>
      </c>
      <c r="AK107" s="32">
        <v>126150.89272260274</v>
      </c>
      <c r="AL107" s="16"/>
      <c r="AM107" s="27">
        <v>126150.89272260274</v>
      </c>
      <c r="AN107" s="16"/>
      <c r="AO107" s="16"/>
      <c r="AP107" s="28">
        <v>1.6328767123287671</v>
      </c>
      <c r="AQ107" s="29">
        <v>6.3671232876712329</v>
      </c>
      <c r="AR107" s="27">
        <v>7821.6500000000005</v>
      </c>
      <c r="AS107" s="30">
        <v>136905.66147260275</v>
      </c>
      <c r="AT107" s="31">
        <v>18576.418750000001</v>
      </c>
      <c r="AU107" s="33">
        <v>107574.47397260275</v>
      </c>
      <c r="AW107" s="27">
        <v>107574.47397260275</v>
      </c>
      <c r="AX107" s="16"/>
      <c r="AY107" s="16"/>
      <c r="AZ107" s="28">
        <v>2.6328767123287671</v>
      </c>
      <c r="BA107" s="29">
        <v>5.3671232876712329</v>
      </c>
      <c r="BB107" s="27">
        <v>7821.6500000000005</v>
      </c>
      <c r="BC107" s="30">
        <v>118329.24272260275</v>
      </c>
      <c r="BD107" s="34">
        <v>18576.418750000001</v>
      </c>
      <c r="BE107" s="33">
        <v>88998.05522260275</v>
      </c>
      <c r="BF107" s="33"/>
      <c r="BG107" s="27">
        <v>88998.05522260275</v>
      </c>
      <c r="BH107" s="16"/>
      <c r="BI107" s="16"/>
      <c r="BJ107" s="28">
        <v>3.6328767123287671</v>
      </c>
      <c r="BK107" s="29">
        <v>4.3671232876712329</v>
      </c>
      <c r="BL107" s="27">
        <v>7821.6500000000005</v>
      </c>
      <c r="BM107" s="30">
        <v>81176.405222602756</v>
      </c>
      <c r="BN107" s="34">
        <v>18576.418750000001</v>
      </c>
      <c r="BO107" s="35">
        <v>70421.636472602753</v>
      </c>
      <c r="BP107" s="36"/>
      <c r="BQ107" s="27">
        <v>70421.636472602753</v>
      </c>
      <c r="BR107" s="16"/>
      <c r="BS107" s="16"/>
      <c r="BT107" s="28">
        <v>4.6328767123287671</v>
      </c>
      <c r="BU107" s="29">
        <v>3.3671232876712329</v>
      </c>
      <c r="BV107" s="27">
        <v>7821.6500000000005</v>
      </c>
      <c r="BW107" s="30">
        <v>62599.986472602752</v>
      </c>
      <c r="BX107" s="34">
        <v>18576.418750000001</v>
      </c>
      <c r="BY107" s="35">
        <v>51845.217722602756</v>
      </c>
      <c r="CA107" s="35">
        <v>51845.217722602756</v>
      </c>
      <c r="CB107" s="16"/>
      <c r="CC107" s="16"/>
      <c r="CD107" s="28">
        <v>5.6356164383561644</v>
      </c>
      <c r="CE107" s="29">
        <v>2.3643835616438356</v>
      </c>
      <c r="CF107" s="27">
        <v>7821.6500000000005</v>
      </c>
      <c r="CG107" s="30">
        <v>44023.567722602755</v>
      </c>
      <c r="CH107" s="31">
        <v>18576.418750000001</v>
      </c>
      <c r="CI107" s="35">
        <v>33268.798972602759</v>
      </c>
      <c r="CK107" s="36">
        <v>25447.148972602758</v>
      </c>
      <c r="CL107" s="35">
        <v>33268.798972602759</v>
      </c>
      <c r="CM107" s="16"/>
      <c r="CN107" s="16"/>
      <c r="CO107" s="28">
        <v>6.6356164383561644</v>
      </c>
      <c r="CP107" s="29">
        <v>1.3643835616438356</v>
      </c>
      <c r="CQ107" s="27">
        <v>7821.6500000000005</v>
      </c>
      <c r="CR107" s="34">
        <v>25447.148972602758</v>
      </c>
      <c r="CS107" s="34">
        <v>18576.418750000001</v>
      </c>
      <c r="CT107" s="35">
        <v>14692.380222602758</v>
      </c>
      <c r="CV107" s="35">
        <v>6870.7302226027577</v>
      </c>
      <c r="CW107" s="35">
        <v>14692.380222602758</v>
      </c>
      <c r="CX107" s="16"/>
      <c r="CY107" s="16"/>
      <c r="CZ107" s="28">
        <v>8.6356164383561644</v>
      </c>
      <c r="DA107" s="29">
        <v>-0.63561643835616444</v>
      </c>
      <c r="DB107" s="27">
        <v>7821.6500000000005</v>
      </c>
      <c r="DC107" s="34">
        <v>0</v>
      </c>
      <c r="DD107" s="34">
        <v>6870.7302226027577</v>
      </c>
      <c r="DE107" s="35">
        <v>7821.6500000000005</v>
      </c>
      <c r="DG107" s="35">
        <v>156433</v>
      </c>
      <c r="DH107" s="35">
        <v>148611.35</v>
      </c>
      <c r="DI107" s="35">
        <f t="shared" si="4"/>
        <v>7821.6499999999942</v>
      </c>
      <c r="DJ107" s="132">
        <f t="shared" si="5"/>
        <v>7821.6499999999942</v>
      </c>
      <c r="DK107" s="132">
        <f t="shared" si="6"/>
        <v>0</v>
      </c>
      <c r="DL107" s="132">
        <f t="shared" si="7"/>
        <v>0</v>
      </c>
    </row>
    <row r="108" spans="2:116" s="4" customFormat="1" ht="17.25" customHeight="1" x14ac:dyDescent="0.25">
      <c r="B108" s="13" t="s">
        <v>4</v>
      </c>
      <c r="C108" s="14" t="s">
        <v>4</v>
      </c>
      <c r="D108" s="15" t="s">
        <v>277</v>
      </c>
      <c r="E108" s="15" t="s">
        <v>328</v>
      </c>
      <c r="F108" s="42" t="s">
        <v>329</v>
      </c>
      <c r="G108" s="43">
        <v>2</v>
      </c>
      <c r="H108" s="17">
        <v>41975</v>
      </c>
      <c r="I108" s="18" t="s">
        <v>422</v>
      </c>
      <c r="J108" s="19">
        <v>0</v>
      </c>
      <c r="K108" s="41">
        <v>8</v>
      </c>
      <c r="L108" s="21">
        <v>8</v>
      </c>
      <c r="M108" s="23">
        <v>181082</v>
      </c>
      <c r="N108" s="38">
        <v>0</v>
      </c>
      <c r="O108" s="24">
        <v>181082</v>
      </c>
      <c r="P108" s="24">
        <v>119</v>
      </c>
      <c r="Q108" s="25">
        <v>8</v>
      </c>
      <c r="R108" s="26">
        <v>9054.1</v>
      </c>
      <c r="S108" s="25">
        <v>172027.9</v>
      </c>
      <c r="T108" s="25">
        <v>7010.7260616438361</v>
      </c>
      <c r="U108" s="25"/>
      <c r="V108" s="25">
        <v>0</v>
      </c>
      <c r="W108" s="25">
        <v>7010.7260616438361</v>
      </c>
      <c r="X108" s="25">
        <v>7010.7260616438361</v>
      </c>
      <c r="Y108" s="25">
        <v>0</v>
      </c>
      <c r="Z108" s="24">
        <v>181082</v>
      </c>
      <c r="AA108" s="27">
        <v>174071.27393835617</v>
      </c>
      <c r="AB108" s="16"/>
      <c r="AC108" s="27">
        <v>174071.27393835617</v>
      </c>
      <c r="AD108" s="16"/>
      <c r="AE108" s="16"/>
      <c r="AF108" s="28">
        <v>0.32602739726027397</v>
      </c>
      <c r="AG108" s="29">
        <v>7.6739726027397257</v>
      </c>
      <c r="AH108" s="27">
        <v>9054.1</v>
      </c>
      <c r="AI108" s="30">
        <v>172027.9</v>
      </c>
      <c r="AJ108" s="31">
        <v>21503.487499999999</v>
      </c>
      <c r="AK108" s="32">
        <v>152567.78643835618</v>
      </c>
      <c r="AL108" s="16"/>
      <c r="AM108" s="27">
        <v>152567.78643835618</v>
      </c>
      <c r="AN108" s="16"/>
      <c r="AO108" s="16"/>
      <c r="AP108" s="28">
        <v>1.3287671232876712</v>
      </c>
      <c r="AQ108" s="29">
        <v>6.6712328767123292</v>
      </c>
      <c r="AR108" s="27">
        <v>9054.1</v>
      </c>
      <c r="AS108" s="30">
        <v>165017.17393835617</v>
      </c>
      <c r="AT108" s="31">
        <v>21503.487499999999</v>
      </c>
      <c r="AU108" s="33">
        <v>131064.29893835618</v>
      </c>
      <c r="AW108" s="27">
        <v>131064.29893835618</v>
      </c>
      <c r="AX108" s="16"/>
      <c r="AY108" s="16"/>
      <c r="AZ108" s="28">
        <v>2.3287671232876712</v>
      </c>
      <c r="BA108" s="29">
        <v>5.6712328767123292</v>
      </c>
      <c r="BB108" s="27">
        <v>9054.1</v>
      </c>
      <c r="BC108" s="30">
        <v>143513.68643835618</v>
      </c>
      <c r="BD108" s="34">
        <v>21503.487499999999</v>
      </c>
      <c r="BE108" s="33">
        <v>109560.81143835618</v>
      </c>
      <c r="BF108" s="33"/>
      <c r="BG108" s="27">
        <v>109560.81143835618</v>
      </c>
      <c r="BH108" s="16"/>
      <c r="BI108" s="16"/>
      <c r="BJ108" s="28">
        <v>3.3287671232876712</v>
      </c>
      <c r="BK108" s="29">
        <v>4.6712328767123292</v>
      </c>
      <c r="BL108" s="27">
        <v>9054.1</v>
      </c>
      <c r="BM108" s="30">
        <v>100506.71143835617</v>
      </c>
      <c r="BN108" s="34">
        <v>21503.487499999999</v>
      </c>
      <c r="BO108" s="35">
        <v>88057.323938356174</v>
      </c>
      <c r="BP108" s="36"/>
      <c r="BQ108" s="27">
        <v>88057.323938356174</v>
      </c>
      <c r="BR108" s="16"/>
      <c r="BS108" s="16"/>
      <c r="BT108" s="28">
        <v>4.3287671232876717</v>
      </c>
      <c r="BU108" s="29">
        <v>3.6712328767123283</v>
      </c>
      <c r="BV108" s="27">
        <v>9054.1</v>
      </c>
      <c r="BW108" s="30">
        <v>79003.223938356168</v>
      </c>
      <c r="BX108" s="34">
        <v>21503.487499999999</v>
      </c>
      <c r="BY108" s="35">
        <v>66553.836438356171</v>
      </c>
      <c r="CA108" s="35">
        <v>66553.836438356171</v>
      </c>
      <c r="CB108" s="16"/>
      <c r="CC108" s="16"/>
      <c r="CD108" s="28">
        <v>5.3315068493150681</v>
      </c>
      <c r="CE108" s="29">
        <v>2.6684931506849319</v>
      </c>
      <c r="CF108" s="27">
        <v>9054.1</v>
      </c>
      <c r="CG108" s="30">
        <v>57499.736438356173</v>
      </c>
      <c r="CH108" s="31">
        <v>21503.487499999999</v>
      </c>
      <c r="CI108" s="35">
        <v>45050.348938356168</v>
      </c>
      <c r="CK108" s="36">
        <v>35996.24893835617</v>
      </c>
      <c r="CL108" s="35">
        <v>45050.348938356168</v>
      </c>
      <c r="CM108" s="16"/>
      <c r="CN108" s="16"/>
      <c r="CO108" s="28">
        <v>6.3315068493150681</v>
      </c>
      <c r="CP108" s="29">
        <v>1.6684931506849319</v>
      </c>
      <c r="CQ108" s="27">
        <v>9054.1</v>
      </c>
      <c r="CR108" s="34">
        <v>35996.24893835617</v>
      </c>
      <c r="CS108" s="34">
        <v>21503.487499999999</v>
      </c>
      <c r="CT108" s="35">
        <v>23546.861438356169</v>
      </c>
      <c r="CV108" s="35">
        <v>14492.761438356169</v>
      </c>
      <c r="CW108" s="35">
        <v>23546.861438356169</v>
      </c>
      <c r="CX108" s="16"/>
      <c r="CY108" s="16"/>
      <c r="CZ108" s="28">
        <v>8.331506849315069</v>
      </c>
      <c r="DA108" s="29">
        <v>-0.33150684931506902</v>
      </c>
      <c r="DB108" s="27">
        <v>9054.1</v>
      </c>
      <c r="DC108" s="34">
        <v>0</v>
      </c>
      <c r="DD108" s="34">
        <v>0</v>
      </c>
      <c r="DE108" s="35">
        <v>23546.861438356169</v>
      </c>
      <c r="DG108" s="35">
        <v>181082</v>
      </c>
      <c r="DH108" s="35">
        <v>157535.13856164383</v>
      </c>
      <c r="DI108" s="35">
        <f t="shared" si="4"/>
        <v>23546.861438356165</v>
      </c>
      <c r="DJ108" s="132">
        <f t="shared" si="5"/>
        <v>23546.861438356165</v>
      </c>
      <c r="DK108" s="132">
        <f t="shared" si="6"/>
        <v>0</v>
      </c>
      <c r="DL108" s="132">
        <f t="shared" si="7"/>
        <v>0</v>
      </c>
    </row>
    <row r="109" spans="2:116" s="4" customFormat="1" ht="17.25" customHeight="1" x14ac:dyDescent="0.25">
      <c r="B109" s="45" t="s">
        <v>4</v>
      </c>
      <c r="C109" s="64" t="s">
        <v>332</v>
      </c>
      <c r="D109" s="15" t="s">
        <v>277</v>
      </c>
      <c r="E109" s="15" t="s">
        <v>333</v>
      </c>
      <c r="F109" s="42" t="s">
        <v>334</v>
      </c>
      <c r="G109" s="43" t="s">
        <v>111</v>
      </c>
      <c r="H109" s="17">
        <v>42128</v>
      </c>
      <c r="I109" s="19" t="s">
        <v>423</v>
      </c>
      <c r="J109" s="19">
        <v>0</v>
      </c>
      <c r="K109" s="52">
        <v>8</v>
      </c>
      <c r="L109" s="53">
        <v>8</v>
      </c>
      <c r="M109" s="23">
        <v>0</v>
      </c>
      <c r="N109" s="38"/>
      <c r="O109" s="24"/>
      <c r="P109" s="24">
        <v>0</v>
      </c>
      <c r="Q109" s="25"/>
      <c r="R109" s="26">
        <v>0</v>
      </c>
      <c r="S109" s="25"/>
      <c r="T109" s="25"/>
      <c r="U109" s="25"/>
      <c r="V109" s="25"/>
      <c r="W109" s="25"/>
      <c r="X109" s="25"/>
      <c r="Y109" s="25"/>
      <c r="Z109" s="24"/>
      <c r="AA109" s="27"/>
      <c r="AB109" s="60"/>
      <c r="AC109" s="27"/>
      <c r="AD109" s="65">
        <v>45000</v>
      </c>
      <c r="AE109" s="35">
        <v>333</v>
      </c>
      <c r="AF109" s="28">
        <v>0</v>
      </c>
      <c r="AG109" s="61">
        <v>8</v>
      </c>
      <c r="AH109" s="27">
        <v>2250</v>
      </c>
      <c r="AI109" s="30">
        <v>42750</v>
      </c>
      <c r="AJ109" s="31">
        <v>4875.2568493150684</v>
      </c>
      <c r="AK109" s="32">
        <v>40124.743150684932</v>
      </c>
      <c r="AL109" s="16"/>
      <c r="AM109" s="27">
        <v>40124.743150684932</v>
      </c>
      <c r="AN109" s="16"/>
      <c r="AO109" s="16"/>
      <c r="AP109" s="28">
        <v>0.90958904109589045</v>
      </c>
      <c r="AQ109" s="29">
        <v>7.0904109589041093</v>
      </c>
      <c r="AR109" s="27">
        <v>2250</v>
      </c>
      <c r="AS109" s="30">
        <v>42750</v>
      </c>
      <c r="AT109" s="31">
        <v>5343.75</v>
      </c>
      <c r="AU109" s="31">
        <v>34780.993150684932</v>
      </c>
      <c r="AW109" s="27">
        <v>34780.993150684932</v>
      </c>
      <c r="AX109" s="16"/>
      <c r="AY109" s="16"/>
      <c r="AZ109" s="28">
        <v>1.9095890410958904</v>
      </c>
      <c r="BA109" s="29">
        <v>6.0904109589041093</v>
      </c>
      <c r="BB109" s="27">
        <v>2250</v>
      </c>
      <c r="BC109" s="30">
        <v>37874.743150684932</v>
      </c>
      <c r="BD109" s="34">
        <v>5343.75</v>
      </c>
      <c r="BE109" s="31">
        <v>29437.243150684932</v>
      </c>
      <c r="BF109" s="31"/>
      <c r="BG109" s="27">
        <v>29437.243150684932</v>
      </c>
      <c r="BH109" s="16"/>
      <c r="BI109" s="16"/>
      <c r="BJ109" s="28">
        <v>2.9095890410958902</v>
      </c>
      <c r="BK109" s="29">
        <v>5.0904109589041102</v>
      </c>
      <c r="BL109" s="27">
        <v>2250</v>
      </c>
      <c r="BM109" s="30">
        <v>27187.243150684932</v>
      </c>
      <c r="BN109" s="34">
        <v>5343.75</v>
      </c>
      <c r="BO109" s="35">
        <v>24093.493150684932</v>
      </c>
      <c r="BP109" s="36"/>
      <c r="BQ109" s="27">
        <v>24093.493150684932</v>
      </c>
      <c r="BR109" s="16"/>
      <c r="BS109" s="16"/>
      <c r="BT109" s="28">
        <v>3.9095890410958902</v>
      </c>
      <c r="BU109" s="29">
        <v>4.0904109589041102</v>
      </c>
      <c r="BV109" s="27">
        <v>2250</v>
      </c>
      <c r="BW109" s="30">
        <v>21843.493150684932</v>
      </c>
      <c r="BX109" s="34">
        <v>5343.75</v>
      </c>
      <c r="BY109" s="35">
        <v>18749.743150684932</v>
      </c>
      <c r="CA109" s="35">
        <v>18749.743150684932</v>
      </c>
      <c r="CB109" s="16"/>
      <c r="CC109" s="16"/>
      <c r="CD109" s="28">
        <v>4.912328767123288</v>
      </c>
      <c r="CE109" s="29">
        <v>3.087671232876712</v>
      </c>
      <c r="CF109" s="27">
        <v>2250</v>
      </c>
      <c r="CG109" s="30">
        <v>16499.743150684932</v>
      </c>
      <c r="CH109" s="31">
        <v>5343.75</v>
      </c>
      <c r="CI109" s="35">
        <v>13405.993150684932</v>
      </c>
      <c r="CK109" s="36">
        <v>11155.993150684932</v>
      </c>
      <c r="CL109" s="35">
        <v>13405.993150684932</v>
      </c>
      <c r="CM109" s="16"/>
      <c r="CN109" s="16"/>
      <c r="CO109" s="28">
        <v>5.912328767123288</v>
      </c>
      <c r="CP109" s="29">
        <v>2.087671232876712</v>
      </c>
      <c r="CQ109" s="27">
        <v>2250</v>
      </c>
      <c r="CR109" s="34">
        <v>11155.993150684932</v>
      </c>
      <c r="CS109" s="34">
        <v>5343.75</v>
      </c>
      <c r="CT109" s="35">
        <v>8062.2431506849316</v>
      </c>
      <c r="CV109" s="35">
        <v>5812.2431506849316</v>
      </c>
      <c r="CW109" s="35">
        <v>8062.2431506849316</v>
      </c>
      <c r="CX109" s="16"/>
      <c r="CY109" s="16"/>
      <c r="CZ109" s="28">
        <v>7.912328767123288</v>
      </c>
      <c r="DA109" s="29">
        <v>8.7671232876711969E-2</v>
      </c>
      <c r="DB109" s="27">
        <v>2250</v>
      </c>
      <c r="DC109" s="34">
        <v>5812.2431506849316</v>
      </c>
      <c r="DD109" s="34">
        <v>5343.75</v>
      </c>
      <c r="DE109" s="35">
        <v>2718.4931506849316</v>
      </c>
      <c r="DG109" s="35">
        <v>45000</v>
      </c>
      <c r="DH109" s="35">
        <v>42281.506849315068</v>
      </c>
      <c r="DI109" s="35">
        <f t="shared" si="4"/>
        <v>2718.4931506849316</v>
      </c>
      <c r="DJ109" s="132">
        <f t="shared" si="5"/>
        <v>2718.4931506849316</v>
      </c>
      <c r="DK109" s="132">
        <f t="shared" si="6"/>
        <v>0</v>
      </c>
      <c r="DL109" s="132">
        <f t="shared" si="7"/>
        <v>0</v>
      </c>
    </row>
    <row r="110" spans="2:116" s="4" customFormat="1" ht="17.25" customHeight="1" x14ac:dyDescent="0.25">
      <c r="B110" s="45" t="s">
        <v>4</v>
      </c>
      <c r="C110" s="15" t="s">
        <v>332</v>
      </c>
      <c r="D110" s="15" t="s">
        <v>101</v>
      </c>
      <c r="E110" s="15" t="s">
        <v>335</v>
      </c>
      <c r="F110" s="66" t="s">
        <v>336</v>
      </c>
      <c r="G110" s="67" t="s">
        <v>111</v>
      </c>
      <c r="H110" s="17">
        <v>42277</v>
      </c>
      <c r="I110" s="19" t="s">
        <v>423</v>
      </c>
      <c r="J110" s="19">
        <v>0</v>
      </c>
      <c r="K110" s="52">
        <v>10</v>
      </c>
      <c r="L110" s="53">
        <v>10</v>
      </c>
      <c r="M110" s="23">
        <v>0</v>
      </c>
      <c r="N110" s="38"/>
      <c r="O110" s="24"/>
      <c r="P110" s="24"/>
      <c r="Q110" s="25"/>
      <c r="R110" s="26">
        <v>0</v>
      </c>
      <c r="S110" s="25"/>
      <c r="T110" s="25"/>
      <c r="U110" s="25"/>
      <c r="V110" s="25"/>
      <c r="W110" s="25"/>
      <c r="X110" s="25"/>
      <c r="Y110" s="25"/>
      <c r="Z110" s="24"/>
      <c r="AA110" s="27"/>
      <c r="AB110" s="60"/>
      <c r="AC110" s="27"/>
      <c r="AD110" s="65">
        <v>1270000</v>
      </c>
      <c r="AE110" s="35">
        <v>184</v>
      </c>
      <c r="AF110" s="28">
        <v>0</v>
      </c>
      <c r="AG110" s="61">
        <v>10</v>
      </c>
      <c r="AH110" s="27">
        <v>63500</v>
      </c>
      <c r="AI110" s="30">
        <v>1206500</v>
      </c>
      <c r="AJ110" s="31">
        <v>60820.821917808214</v>
      </c>
      <c r="AK110" s="32">
        <v>1209179.1780821919</v>
      </c>
      <c r="AL110" s="16"/>
      <c r="AM110" s="68">
        <v>1209179.1780821919</v>
      </c>
      <c r="AN110" s="16"/>
      <c r="AO110" s="16"/>
      <c r="AP110" s="28">
        <v>0.50136986301369868</v>
      </c>
      <c r="AQ110" s="29">
        <v>9.4986301369863018</v>
      </c>
      <c r="AR110" s="27">
        <v>63500</v>
      </c>
      <c r="AS110" s="30">
        <v>1206500</v>
      </c>
      <c r="AT110" s="31">
        <v>120650</v>
      </c>
      <c r="AU110" s="31">
        <v>1088529.1780821919</v>
      </c>
      <c r="AW110" s="68">
        <v>1088529.1780821919</v>
      </c>
      <c r="AX110" s="16"/>
      <c r="AY110" s="16"/>
      <c r="AZ110" s="28">
        <v>1.5013698630136987</v>
      </c>
      <c r="BA110" s="29">
        <v>8.4986301369863018</v>
      </c>
      <c r="BB110" s="27">
        <v>63500</v>
      </c>
      <c r="BC110" s="30">
        <v>1145679.1780821919</v>
      </c>
      <c r="BD110" s="34">
        <v>120650</v>
      </c>
      <c r="BE110" s="31">
        <v>967879.17808219185</v>
      </c>
      <c r="BF110" s="31"/>
      <c r="BG110" s="27">
        <v>967879.17808219185</v>
      </c>
      <c r="BH110" s="16"/>
      <c r="BI110" s="16"/>
      <c r="BJ110" s="28">
        <v>2.5013698630136987</v>
      </c>
      <c r="BK110" s="29">
        <v>7.4986301369863018</v>
      </c>
      <c r="BL110" s="27">
        <v>63500</v>
      </c>
      <c r="BM110" s="30">
        <v>904379.17808219185</v>
      </c>
      <c r="BN110" s="34">
        <v>120650</v>
      </c>
      <c r="BO110" s="35">
        <v>847229.17808219185</v>
      </c>
      <c r="BP110" s="36"/>
      <c r="BQ110" s="27">
        <v>847229.17808219185</v>
      </c>
      <c r="BR110" s="16"/>
      <c r="BS110" s="16"/>
      <c r="BT110" s="28">
        <v>3.5013698630136987</v>
      </c>
      <c r="BU110" s="29">
        <v>6.4986301369863018</v>
      </c>
      <c r="BV110" s="27">
        <v>63500</v>
      </c>
      <c r="BW110" s="30">
        <v>783729.17808219185</v>
      </c>
      <c r="BX110" s="34">
        <v>120650</v>
      </c>
      <c r="BY110" s="35">
        <v>726579.17808219185</v>
      </c>
      <c r="CA110" s="35">
        <v>726579.17808219185</v>
      </c>
      <c r="CB110" s="16"/>
      <c r="CC110" s="16"/>
      <c r="CD110" s="28">
        <v>4.5041095890410956</v>
      </c>
      <c r="CE110" s="29">
        <v>5.4958904109589044</v>
      </c>
      <c r="CF110" s="27">
        <v>63500</v>
      </c>
      <c r="CG110" s="30">
        <v>663079.17808219185</v>
      </c>
      <c r="CH110" s="31">
        <v>120650</v>
      </c>
      <c r="CI110" s="35">
        <v>605929.17808219185</v>
      </c>
      <c r="CK110" s="36">
        <v>542429.17808219185</v>
      </c>
      <c r="CL110" s="35">
        <v>605929.17808219185</v>
      </c>
      <c r="CM110" s="16"/>
      <c r="CN110" s="16"/>
      <c r="CO110" s="28">
        <v>5.5041095890410956</v>
      </c>
      <c r="CP110" s="29">
        <v>4.4958904109589044</v>
      </c>
      <c r="CQ110" s="27">
        <v>63500</v>
      </c>
      <c r="CR110" s="34">
        <v>542429.17808219185</v>
      </c>
      <c r="CS110" s="34">
        <v>120650</v>
      </c>
      <c r="CT110" s="35">
        <v>485279.17808219185</v>
      </c>
      <c r="CV110" s="35">
        <v>421779.17808219185</v>
      </c>
      <c r="CW110" s="35">
        <v>485279.17808219185</v>
      </c>
      <c r="CX110" s="16"/>
      <c r="CY110" s="16"/>
      <c r="CZ110" s="28">
        <v>7.5041095890410956</v>
      </c>
      <c r="DA110" s="29">
        <v>2.4958904109589044</v>
      </c>
      <c r="DB110" s="27">
        <v>63500</v>
      </c>
      <c r="DC110" s="34">
        <v>421779.17808219185</v>
      </c>
      <c r="DD110" s="34">
        <v>120650</v>
      </c>
      <c r="DE110" s="35">
        <v>364629.17808219185</v>
      </c>
      <c r="DG110" s="35">
        <v>1270000</v>
      </c>
      <c r="DH110" s="35">
        <v>905370.82191780815</v>
      </c>
      <c r="DI110" s="35">
        <f t="shared" si="4"/>
        <v>364629.17808219185</v>
      </c>
      <c r="DJ110" s="132">
        <f t="shared" si="5"/>
        <v>364629.17808219185</v>
      </c>
      <c r="DK110" s="132">
        <f t="shared" si="6"/>
        <v>0</v>
      </c>
      <c r="DL110" s="132">
        <f t="shared" si="7"/>
        <v>0</v>
      </c>
    </row>
    <row r="111" spans="2:116" s="4" customFormat="1" ht="17.25" customHeight="1" x14ac:dyDescent="0.25">
      <c r="B111" s="45" t="s">
        <v>4</v>
      </c>
      <c r="C111" s="15" t="s">
        <v>332</v>
      </c>
      <c r="D111" s="15" t="s">
        <v>101</v>
      </c>
      <c r="E111" s="15" t="s">
        <v>337</v>
      </c>
      <c r="F111" s="69" t="s">
        <v>338</v>
      </c>
      <c r="G111" s="70" t="s">
        <v>111</v>
      </c>
      <c r="H111" s="17">
        <v>42277</v>
      </c>
      <c r="I111" s="19" t="s">
        <v>423</v>
      </c>
      <c r="J111" s="19">
        <v>0</v>
      </c>
      <c r="K111" s="52">
        <v>10</v>
      </c>
      <c r="L111" s="53">
        <v>10</v>
      </c>
      <c r="M111" s="23">
        <v>0</v>
      </c>
      <c r="N111" s="38"/>
      <c r="O111" s="24"/>
      <c r="P111" s="24"/>
      <c r="Q111" s="25"/>
      <c r="R111" s="26"/>
      <c r="S111" s="25"/>
      <c r="T111" s="25"/>
      <c r="U111" s="25"/>
      <c r="V111" s="25"/>
      <c r="W111" s="25"/>
      <c r="X111" s="25"/>
      <c r="Y111" s="25"/>
      <c r="Z111" s="24"/>
      <c r="AA111" s="27"/>
      <c r="AB111" s="60"/>
      <c r="AC111" s="27"/>
      <c r="AD111" s="65">
        <v>140000</v>
      </c>
      <c r="AE111" s="35">
        <v>184</v>
      </c>
      <c r="AF111" s="28">
        <v>0</v>
      </c>
      <c r="AG111" s="61">
        <v>10</v>
      </c>
      <c r="AH111" s="27">
        <v>7000</v>
      </c>
      <c r="AI111" s="30">
        <v>133000</v>
      </c>
      <c r="AJ111" s="31">
        <v>6704.6575342465758</v>
      </c>
      <c r="AK111" s="32">
        <v>133295.34246575343</v>
      </c>
      <c r="AL111" s="16"/>
      <c r="AM111" s="68">
        <v>133295.34246575343</v>
      </c>
      <c r="AN111" s="16"/>
      <c r="AO111" s="16"/>
      <c r="AP111" s="28">
        <v>0.50136986301369868</v>
      </c>
      <c r="AQ111" s="29">
        <v>9.4986301369863018</v>
      </c>
      <c r="AR111" s="27">
        <v>7000</v>
      </c>
      <c r="AS111" s="30">
        <v>133000</v>
      </c>
      <c r="AT111" s="31">
        <v>13300</v>
      </c>
      <c r="AU111" s="31">
        <v>119995.34246575343</v>
      </c>
      <c r="AW111" s="68">
        <v>119995.34246575343</v>
      </c>
      <c r="AX111" s="16"/>
      <c r="AY111" s="16"/>
      <c r="AZ111" s="28">
        <v>1.5013698630136987</v>
      </c>
      <c r="BA111" s="29">
        <v>8.4986301369863018</v>
      </c>
      <c r="BB111" s="27">
        <v>7000</v>
      </c>
      <c r="BC111" s="30">
        <v>126295.34246575343</v>
      </c>
      <c r="BD111" s="34">
        <v>13300</v>
      </c>
      <c r="BE111" s="31">
        <v>106695.34246575343</v>
      </c>
      <c r="BF111" s="31"/>
      <c r="BG111" s="27">
        <v>106695.34246575343</v>
      </c>
      <c r="BH111" s="16"/>
      <c r="BI111" s="16"/>
      <c r="BJ111" s="28">
        <v>2.5013698630136987</v>
      </c>
      <c r="BK111" s="29">
        <v>7.4986301369863018</v>
      </c>
      <c r="BL111" s="27">
        <v>7000</v>
      </c>
      <c r="BM111" s="30">
        <v>99695.342465753434</v>
      </c>
      <c r="BN111" s="34">
        <v>13300</v>
      </c>
      <c r="BO111" s="35">
        <v>93395.342465753434</v>
      </c>
      <c r="BP111" s="36"/>
      <c r="BQ111" s="27">
        <v>93395.342465753434</v>
      </c>
      <c r="BR111" s="16"/>
      <c r="BS111" s="16"/>
      <c r="BT111" s="28">
        <v>3.5013698630136987</v>
      </c>
      <c r="BU111" s="29">
        <v>6.4986301369863018</v>
      </c>
      <c r="BV111" s="27">
        <v>7000</v>
      </c>
      <c r="BW111" s="30">
        <v>86395.342465753434</v>
      </c>
      <c r="BX111" s="34">
        <v>13300</v>
      </c>
      <c r="BY111" s="35">
        <v>80095.342465753434</v>
      </c>
      <c r="CA111" s="35">
        <v>80095.342465753434</v>
      </c>
      <c r="CB111" s="16"/>
      <c r="CC111" s="16"/>
      <c r="CD111" s="28">
        <v>4.5041095890410956</v>
      </c>
      <c r="CE111" s="29">
        <v>5.4958904109589044</v>
      </c>
      <c r="CF111" s="27">
        <v>7000</v>
      </c>
      <c r="CG111" s="30">
        <v>73095.342465753434</v>
      </c>
      <c r="CH111" s="31">
        <v>13300</v>
      </c>
      <c r="CI111" s="35">
        <v>66795.342465753434</v>
      </c>
      <c r="CK111" s="36">
        <v>59795.342465753434</v>
      </c>
      <c r="CL111" s="35">
        <v>66795.342465753434</v>
      </c>
      <c r="CM111" s="16"/>
      <c r="CN111" s="16"/>
      <c r="CO111" s="28">
        <v>5.5041095890410956</v>
      </c>
      <c r="CP111" s="29">
        <v>4.4958904109589044</v>
      </c>
      <c r="CQ111" s="27">
        <v>7000</v>
      </c>
      <c r="CR111" s="34">
        <v>59795.342465753434</v>
      </c>
      <c r="CS111" s="34">
        <v>13300</v>
      </c>
      <c r="CT111" s="35">
        <v>53495.342465753434</v>
      </c>
      <c r="CV111" s="35">
        <v>46495.342465753434</v>
      </c>
      <c r="CW111" s="35">
        <v>53495.342465753434</v>
      </c>
      <c r="CX111" s="16"/>
      <c r="CY111" s="16"/>
      <c r="CZ111" s="28">
        <v>7.5041095890410956</v>
      </c>
      <c r="DA111" s="29">
        <v>2.4958904109589044</v>
      </c>
      <c r="DB111" s="27">
        <v>7000</v>
      </c>
      <c r="DC111" s="34">
        <v>46495.342465753434</v>
      </c>
      <c r="DD111" s="34">
        <v>13300</v>
      </c>
      <c r="DE111" s="35">
        <v>40195.342465753434</v>
      </c>
      <c r="DG111" s="35">
        <v>140000</v>
      </c>
      <c r="DH111" s="35">
        <v>99804.65753424658</v>
      </c>
      <c r="DI111" s="35">
        <f t="shared" si="4"/>
        <v>40195.34246575342</v>
      </c>
      <c r="DJ111" s="132">
        <f t="shared" si="5"/>
        <v>40195.34246575342</v>
      </c>
      <c r="DK111" s="132">
        <f t="shared" si="6"/>
        <v>0</v>
      </c>
      <c r="DL111" s="132">
        <f t="shared" si="7"/>
        <v>0</v>
      </c>
    </row>
    <row r="112" spans="2:116" s="4" customFormat="1" ht="17.25" customHeight="1" x14ac:dyDescent="0.25">
      <c r="B112" s="45" t="s">
        <v>4</v>
      </c>
      <c r="C112" s="15" t="s">
        <v>332</v>
      </c>
      <c r="D112" s="15" t="s">
        <v>101</v>
      </c>
      <c r="E112" s="15" t="s">
        <v>346</v>
      </c>
      <c r="F112" s="42" t="s">
        <v>347</v>
      </c>
      <c r="G112" s="43" t="s">
        <v>111</v>
      </c>
      <c r="H112" s="17">
        <v>42384</v>
      </c>
      <c r="I112" s="19" t="s">
        <v>423</v>
      </c>
      <c r="J112" s="19">
        <v>0</v>
      </c>
      <c r="K112" s="52">
        <v>10</v>
      </c>
      <c r="L112" s="53">
        <v>10</v>
      </c>
      <c r="M112" s="71">
        <v>0</v>
      </c>
      <c r="N112" s="72"/>
      <c r="O112" s="73"/>
      <c r="P112" s="74"/>
      <c r="Q112" s="75"/>
      <c r="R112" s="76"/>
      <c r="S112" s="77"/>
      <c r="T112" s="77"/>
      <c r="U112" s="77"/>
      <c r="V112" s="75"/>
      <c r="W112" s="77"/>
      <c r="X112" s="77"/>
      <c r="Y112" s="77"/>
      <c r="Z112" s="73"/>
      <c r="AA112" s="78"/>
      <c r="AB112" s="79"/>
      <c r="AC112" s="27"/>
      <c r="AD112" s="65">
        <v>15051</v>
      </c>
      <c r="AE112" s="35">
        <v>77</v>
      </c>
      <c r="AF112" s="28">
        <v>0</v>
      </c>
      <c r="AG112" s="61">
        <v>10</v>
      </c>
      <c r="AH112" s="27">
        <v>752.55000000000007</v>
      </c>
      <c r="AI112" s="30">
        <v>14298.45</v>
      </c>
      <c r="AJ112" s="31">
        <v>301.63853424657532</v>
      </c>
      <c r="AK112" s="32">
        <v>14749.361465753425</v>
      </c>
      <c r="AL112" s="16"/>
      <c r="AM112" s="68">
        <v>14749.361465753425</v>
      </c>
      <c r="AN112" s="16"/>
      <c r="AO112" s="16"/>
      <c r="AP112" s="28">
        <v>0.20821917808219179</v>
      </c>
      <c r="AQ112" s="29">
        <v>9.7917808219178077</v>
      </c>
      <c r="AR112" s="27">
        <v>752.55000000000007</v>
      </c>
      <c r="AS112" s="30">
        <v>14298.45</v>
      </c>
      <c r="AT112" s="31">
        <v>1429.845</v>
      </c>
      <c r="AU112" s="31">
        <v>13319.516465753426</v>
      </c>
      <c r="AW112" s="68">
        <v>13319.516465753426</v>
      </c>
      <c r="AX112" s="16"/>
      <c r="AY112" s="16"/>
      <c r="AZ112" s="28">
        <v>1.2082191780821918</v>
      </c>
      <c r="BA112" s="29">
        <v>8.7917808219178077</v>
      </c>
      <c r="BB112" s="27">
        <v>752.55000000000007</v>
      </c>
      <c r="BC112" s="30">
        <v>13996.811465753426</v>
      </c>
      <c r="BD112" s="34">
        <v>1429.845</v>
      </c>
      <c r="BE112" s="31">
        <v>11889.671465753427</v>
      </c>
      <c r="BF112" s="31"/>
      <c r="BG112" s="27">
        <v>11889.671465753427</v>
      </c>
      <c r="BH112" s="16"/>
      <c r="BI112" s="16"/>
      <c r="BJ112" s="28">
        <v>2.2082191780821918</v>
      </c>
      <c r="BK112" s="29">
        <v>7.7917808219178077</v>
      </c>
      <c r="BL112" s="27">
        <v>752.55000000000007</v>
      </c>
      <c r="BM112" s="30">
        <v>11137.121465753427</v>
      </c>
      <c r="BN112" s="34">
        <v>1429.845</v>
      </c>
      <c r="BO112" s="35">
        <v>10459.826465753427</v>
      </c>
      <c r="BP112" s="36"/>
      <c r="BQ112" s="27">
        <v>10459.826465753427</v>
      </c>
      <c r="BR112" s="16"/>
      <c r="BS112" s="16"/>
      <c r="BT112" s="28">
        <v>3.2082191780821918</v>
      </c>
      <c r="BU112" s="29">
        <v>6.7917808219178077</v>
      </c>
      <c r="BV112" s="27">
        <v>752.55000000000007</v>
      </c>
      <c r="BW112" s="30">
        <v>9707.2764657534281</v>
      </c>
      <c r="BX112" s="34">
        <v>1429.845</v>
      </c>
      <c r="BY112" s="35">
        <v>9029.981465753428</v>
      </c>
      <c r="CA112" s="35">
        <v>9029.981465753428</v>
      </c>
      <c r="CB112" s="16"/>
      <c r="CC112" s="16"/>
      <c r="CD112" s="28">
        <v>4.2109589041095887</v>
      </c>
      <c r="CE112" s="29">
        <v>5.7890410958904113</v>
      </c>
      <c r="CF112" s="27">
        <v>752.55000000000007</v>
      </c>
      <c r="CG112" s="30">
        <v>8277.4314657534287</v>
      </c>
      <c r="CH112" s="31">
        <v>1429.845</v>
      </c>
      <c r="CI112" s="35">
        <v>7600.1364657534277</v>
      </c>
      <c r="CK112" s="36">
        <v>6847.5864657534275</v>
      </c>
      <c r="CL112" s="35">
        <v>7600.1364657534277</v>
      </c>
      <c r="CM112" s="16"/>
      <c r="CN112" s="16"/>
      <c r="CO112" s="28">
        <v>5.2109589041095887</v>
      </c>
      <c r="CP112" s="29">
        <v>4.7890410958904113</v>
      </c>
      <c r="CQ112" s="27">
        <v>752.55000000000007</v>
      </c>
      <c r="CR112" s="34">
        <v>6847.5864657534275</v>
      </c>
      <c r="CS112" s="34">
        <v>1429.845</v>
      </c>
      <c r="CT112" s="35">
        <v>6170.2914657534275</v>
      </c>
      <c r="CV112" s="35">
        <v>5417.7414657534273</v>
      </c>
      <c r="CW112" s="35">
        <v>6170.2914657534275</v>
      </c>
      <c r="CX112" s="16"/>
      <c r="CY112" s="16"/>
      <c r="CZ112" s="28">
        <v>7.2109589041095887</v>
      </c>
      <c r="DA112" s="29">
        <v>2.7890410958904113</v>
      </c>
      <c r="DB112" s="27">
        <v>752.55000000000007</v>
      </c>
      <c r="DC112" s="34">
        <v>5417.7414657534273</v>
      </c>
      <c r="DD112" s="34">
        <v>1429.845</v>
      </c>
      <c r="DE112" s="35">
        <v>4740.4464657534272</v>
      </c>
      <c r="DG112" s="35">
        <v>15051</v>
      </c>
      <c r="DH112" s="35">
        <v>10310.553534246576</v>
      </c>
      <c r="DI112" s="35">
        <f t="shared" si="4"/>
        <v>4740.4464657534245</v>
      </c>
      <c r="DJ112" s="132">
        <f t="shared" si="5"/>
        <v>4740.4464657534245</v>
      </c>
      <c r="DK112" s="132">
        <f t="shared" si="6"/>
        <v>0</v>
      </c>
      <c r="DL112" s="132">
        <f t="shared" si="7"/>
        <v>0</v>
      </c>
    </row>
    <row r="113" spans="2:116" s="4" customFormat="1" ht="17.25" customHeight="1" x14ac:dyDescent="0.25">
      <c r="B113" s="45" t="s">
        <v>4</v>
      </c>
      <c r="C113" s="46" t="s">
        <v>332</v>
      </c>
      <c r="D113" s="46" t="s">
        <v>101</v>
      </c>
      <c r="E113" s="46" t="s">
        <v>348</v>
      </c>
      <c r="F113" s="47" t="s">
        <v>137</v>
      </c>
      <c r="G113" s="48" t="s">
        <v>111</v>
      </c>
      <c r="H113" s="49">
        <v>42450</v>
      </c>
      <c r="I113" s="51" t="s">
        <v>423</v>
      </c>
      <c r="J113" s="51">
        <v>0</v>
      </c>
      <c r="K113" s="52">
        <v>10</v>
      </c>
      <c r="L113" s="53">
        <v>10</v>
      </c>
      <c r="M113" s="71">
        <v>0</v>
      </c>
      <c r="N113" s="72"/>
      <c r="O113" s="73"/>
      <c r="P113" s="74"/>
      <c r="Q113" s="75"/>
      <c r="R113" s="76"/>
      <c r="S113" s="77"/>
      <c r="T113" s="77"/>
      <c r="U113" s="77"/>
      <c r="V113" s="75"/>
      <c r="W113" s="77"/>
      <c r="X113" s="77"/>
      <c r="Y113" s="77"/>
      <c r="Z113" s="73"/>
      <c r="AA113" s="78"/>
      <c r="AB113" s="79"/>
      <c r="AC113" s="59"/>
      <c r="AD113" s="80">
        <v>11246</v>
      </c>
      <c r="AE113" s="81">
        <v>11</v>
      </c>
      <c r="AF113" s="82">
        <v>0</v>
      </c>
      <c r="AG113" s="61">
        <v>10</v>
      </c>
      <c r="AH113" s="59">
        <v>562.30000000000007</v>
      </c>
      <c r="AI113" s="62">
        <v>10683.7</v>
      </c>
      <c r="AJ113" s="63">
        <v>32.197452054794525</v>
      </c>
      <c r="AK113" s="83">
        <v>11213.802547945206</v>
      </c>
      <c r="AL113" s="16"/>
      <c r="AM113" s="68">
        <v>11213.802547945206</v>
      </c>
      <c r="AN113" s="16"/>
      <c r="AO113" s="16"/>
      <c r="AP113" s="28">
        <v>2.7397260273972601E-2</v>
      </c>
      <c r="AQ113" s="29">
        <v>9.9726027397260282</v>
      </c>
      <c r="AR113" s="27">
        <v>562.30000000000007</v>
      </c>
      <c r="AS113" s="30">
        <v>10683.7</v>
      </c>
      <c r="AT113" s="31">
        <v>1068.3700000000001</v>
      </c>
      <c r="AU113" s="31">
        <v>10145.432547945205</v>
      </c>
      <c r="AW113" s="68">
        <v>10145.432547945205</v>
      </c>
      <c r="AX113" s="16"/>
      <c r="AY113" s="16"/>
      <c r="AZ113" s="28">
        <v>1.0273972602739727</v>
      </c>
      <c r="BA113" s="29">
        <v>8.9726027397260282</v>
      </c>
      <c r="BB113" s="27">
        <v>562.30000000000007</v>
      </c>
      <c r="BC113" s="30">
        <v>10651.502547945207</v>
      </c>
      <c r="BD113" s="34">
        <v>1068.3700000000001</v>
      </c>
      <c r="BE113" s="31">
        <v>9077.0625479452046</v>
      </c>
      <c r="BF113" s="31"/>
      <c r="BG113" s="27">
        <v>9077.0625479452046</v>
      </c>
      <c r="BH113" s="16"/>
      <c r="BI113" s="16"/>
      <c r="BJ113" s="28">
        <v>2.0273972602739727</v>
      </c>
      <c r="BK113" s="29">
        <v>7.9726027397260273</v>
      </c>
      <c r="BL113" s="27">
        <v>562.30000000000007</v>
      </c>
      <c r="BM113" s="30">
        <v>8514.7625479452054</v>
      </c>
      <c r="BN113" s="34">
        <v>1068.3700000000001</v>
      </c>
      <c r="BO113" s="35">
        <v>8008.6925479452048</v>
      </c>
      <c r="BP113" s="36"/>
      <c r="BQ113" s="27">
        <v>8008.6925479452048</v>
      </c>
      <c r="BR113" s="16"/>
      <c r="BS113" s="16"/>
      <c r="BT113" s="28">
        <v>3.0273972602739727</v>
      </c>
      <c r="BU113" s="29">
        <v>6.9726027397260273</v>
      </c>
      <c r="BV113" s="27">
        <v>562.30000000000007</v>
      </c>
      <c r="BW113" s="30">
        <v>7446.3925479452046</v>
      </c>
      <c r="BX113" s="34">
        <v>1068.3700000000001</v>
      </c>
      <c r="BY113" s="35">
        <v>6940.3225479452049</v>
      </c>
      <c r="CA113" s="35">
        <v>6940.3225479452049</v>
      </c>
      <c r="CB113" s="16"/>
      <c r="CC113" s="16"/>
      <c r="CD113" s="28">
        <v>4.0301369863013701</v>
      </c>
      <c r="CE113" s="29">
        <v>5.9698630136986299</v>
      </c>
      <c r="CF113" s="27">
        <v>562.30000000000007</v>
      </c>
      <c r="CG113" s="30">
        <v>6378.0225479452047</v>
      </c>
      <c r="CH113" s="31">
        <v>1068.3700000000001</v>
      </c>
      <c r="CI113" s="35">
        <v>5871.952547945205</v>
      </c>
      <c r="CK113" s="36">
        <v>5309.6525479452048</v>
      </c>
      <c r="CL113" s="35">
        <v>5871.952547945205</v>
      </c>
      <c r="CM113" s="16"/>
      <c r="CN113" s="16"/>
      <c r="CO113" s="28">
        <v>5.0301369863013701</v>
      </c>
      <c r="CP113" s="29">
        <v>4.9698630136986299</v>
      </c>
      <c r="CQ113" s="27">
        <v>562.30000000000007</v>
      </c>
      <c r="CR113" s="34">
        <v>5309.6525479452048</v>
      </c>
      <c r="CS113" s="34">
        <v>1068.3700000000001</v>
      </c>
      <c r="CT113" s="35">
        <v>4803.5825479452051</v>
      </c>
      <c r="CV113" s="35">
        <v>4241.2825479452049</v>
      </c>
      <c r="CW113" s="35">
        <v>4803.5825479452051</v>
      </c>
      <c r="CX113" s="16"/>
      <c r="CY113" s="16"/>
      <c r="CZ113" s="28">
        <v>7.0301369863013701</v>
      </c>
      <c r="DA113" s="29">
        <v>2.9698630136986299</v>
      </c>
      <c r="DB113" s="27">
        <v>562.30000000000007</v>
      </c>
      <c r="DC113" s="34">
        <v>4241.2825479452049</v>
      </c>
      <c r="DD113" s="34">
        <v>1068.3700000000001</v>
      </c>
      <c r="DE113" s="35">
        <v>3735.2125479452052</v>
      </c>
      <c r="DG113" s="35">
        <v>11246</v>
      </c>
      <c r="DH113" s="35">
        <v>7510.7874520547939</v>
      </c>
      <c r="DI113" s="35">
        <f t="shared" si="4"/>
        <v>3735.2125479452061</v>
      </c>
      <c r="DJ113" s="132">
        <f t="shared" si="5"/>
        <v>3735.2125479452061</v>
      </c>
      <c r="DK113" s="132">
        <f t="shared" si="6"/>
        <v>0</v>
      </c>
      <c r="DL113" s="132">
        <f t="shared" si="7"/>
        <v>0</v>
      </c>
    </row>
    <row r="114" spans="2:116" s="4" customFormat="1" ht="17.25" customHeight="1" x14ac:dyDescent="0.25">
      <c r="B114" s="13" t="s">
        <v>4</v>
      </c>
      <c r="C114" s="15" t="s">
        <v>332</v>
      </c>
      <c r="D114" s="15" t="s">
        <v>101</v>
      </c>
      <c r="E114" s="15" t="s">
        <v>349</v>
      </c>
      <c r="F114" s="42" t="s">
        <v>350</v>
      </c>
      <c r="G114" s="43">
        <v>2</v>
      </c>
      <c r="H114" s="17">
        <v>42308</v>
      </c>
      <c r="I114" s="19" t="s">
        <v>423</v>
      </c>
      <c r="J114" s="19">
        <v>0</v>
      </c>
      <c r="K114" s="41">
        <v>10</v>
      </c>
      <c r="L114" s="21">
        <v>10</v>
      </c>
      <c r="M114" s="23">
        <v>0</v>
      </c>
      <c r="N114" s="38"/>
      <c r="O114" s="24"/>
      <c r="P114" s="24"/>
      <c r="Q114" s="25"/>
      <c r="R114" s="26"/>
      <c r="S114" s="25"/>
      <c r="T114" s="25"/>
      <c r="U114" s="25"/>
      <c r="V114" s="25"/>
      <c r="W114" s="25"/>
      <c r="X114" s="25"/>
      <c r="Y114" s="25"/>
      <c r="Z114" s="24"/>
      <c r="AA114" s="27"/>
      <c r="AB114" s="16"/>
      <c r="AC114" s="27"/>
      <c r="AD114" s="65">
        <v>3037875</v>
      </c>
      <c r="AE114" s="35">
        <v>153</v>
      </c>
      <c r="AF114" s="28">
        <v>0</v>
      </c>
      <c r="AG114" s="29">
        <v>10</v>
      </c>
      <c r="AH114" s="27">
        <v>151893.75</v>
      </c>
      <c r="AI114" s="30">
        <v>2885981.25</v>
      </c>
      <c r="AJ114" s="31">
        <v>120974.00856164383</v>
      </c>
      <c r="AK114" s="32">
        <v>2916900.9914383562</v>
      </c>
      <c r="AL114" s="16"/>
      <c r="AM114" s="68">
        <v>2916900.9914383562</v>
      </c>
      <c r="AN114" s="16"/>
      <c r="AO114" s="16"/>
      <c r="AP114" s="28">
        <v>0.41643835616438357</v>
      </c>
      <c r="AQ114" s="29">
        <v>9.5835616438356173</v>
      </c>
      <c r="AR114" s="27">
        <v>151893.75</v>
      </c>
      <c r="AS114" s="30">
        <v>2885981.25</v>
      </c>
      <c r="AT114" s="31">
        <v>288598.125</v>
      </c>
      <c r="AU114" s="31">
        <v>2628302.8664383562</v>
      </c>
      <c r="AW114" s="68">
        <v>2628302.8664383562</v>
      </c>
      <c r="AX114" s="16"/>
      <c r="AY114" s="16"/>
      <c r="AZ114" s="28">
        <v>1.4164383561643836</v>
      </c>
      <c r="BA114" s="29">
        <v>8.5835616438356155</v>
      </c>
      <c r="BB114" s="27">
        <v>151893.75</v>
      </c>
      <c r="BC114" s="30">
        <v>2765007.2414383562</v>
      </c>
      <c r="BD114" s="34">
        <v>288598.125</v>
      </c>
      <c r="BE114" s="31">
        <v>2339704.7414383562</v>
      </c>
      <c r="BF114" s="31"/>
      <c r="BG114" s="27">
        <v>2339704.7414383562</v>
      </c>
      <c r="BH114" s="16"/>
      <c r="BI114" s="16"/>
      <c r="BJ114" s="28">
        <v>2.4164383561643836</v>
      </c>
      <c r="BK114" s="29">
        <v>7.5835616438356164</v>
      </c>
      <c r="BL114" s="27">
        <v>151893.75</v>
      </c>
      <c r="BM114" s="30">
        <v>2187810.9914383562</v>
      </c>
      <c r="BN114" s="34">
        <v>288598.125</v>
      </c>
      <c r="BO114" s="35">
        <v>2051106.6164383562</v>
      </c>
      <c r="BP114" s="36"/>
      <c r="BQ114" s="27">
        <v>2051106.6164383562</v>
      </c>
      <c r="BR114" s="16"/>
      <c r="BS114" s="16"/>
      <c r="BT114" s="28">
        <v>3.4164383561643836</v>
      </c>
      <c r="BU114" s="29">
        <v>6.5835616438356164</v>
      </c>
      <c r="BV114" s="27">
        <v>151893.75</v>
      </c>
      <c r="BW114" s="30">
        <v>1899212.8664383562</v>
      </c>
      <c r="BX114" s="34">
        <v>288598.125</v>
      </c>
      <c r="BY114" s="35">
        <v>1762508.4914383562</v>
      </c>
      <c r="CA114" s="35">
        <v>1762508.4914383562</v>
      </c>
      <c r="CB114" s="16"/>
      <c r="CC114" s="16"/>
      <c r="CD114" s="28">
        <v>4.419178082191781</v>
      </c>
      <c r="CE114" s="29">
        <v>5.580821917808219</v>
      </c>
      <c r="CF114" s="27">
        <v>151893.75</v>
      </c>
      <c r="CG114" s="30">
        <v>1610614.7414383562</v>
      </c>
      <c r="CH114" s="31">
        <v>288598.125</v>
      </c>
      <c r="CI114" s="35">
        <v>1473910.3664383562</v>
      </c>
      <c r="CK114" s="36">
        <v>1322016.6164383562</v>
      </c>
      <c r="CL114" s="35">
        <v>1473910.3664383562</v>
      </c>
      <c r="CM114" s="16"/>
      <c r="CN114" s="16"/>
      <c r="CO114" s="28">
        <v>5.419178082191781</v>
      </c>
      <c r="CP114" s="29">
        <v>4.580821917808219</v>
      </c>
      <c r="CQ114" s="27">
        <v>151893.75</v>
      </c>
      <c r="CR114" s="34">
        <v>1322016.6164383562</v>
      </c>
      <c r="CS114" s="34">
        <v>288598.125</v>
      </c>
      <c r="CT114" s="35">
        <v>1185312.2414383562</v>
      </c>
      <c r="CV114" s="35">
        <v>1033418.4914383562</v>
      </c>
      <c r="CW114" s="35">
        <v>1185312.2414383562</v>
      </c>
      <c r="CX114" s="16"/>
      <c r="CY114" s="16"/>
      <c r="CZ114" s="28">
        <v>7.419178082191781</v>
      </c>
      <c r="DA114" s="29">
        <v>2.580821917808219</v>
      </c>
      <c r="DB114" s="27">
        <v>151893.75</v>
      </c>
      <c r="DC114" s="34">
        <v>1033418.4914383562</v>
      </c>
      <c r="DD114" s="34">
        <v>288598.125</v>
      </c>
      <c r="DE114" s="35">
        <v>896714.11643835623</v>
      </c>
      <c r="DG114" s="35">
        <v>3037875</v>
      </c>
      <c r="DH114" s="35">
        <v>2141160.8835616438</v>
      </c>
      <c r="DI114" s="35">
        <f t="shared" si="4"/>
        <v>896714.11643835623</v>
      </c>
      <c r="DJ114" s="132">
        <f t="shared" si="5"/>
        <v>896714.11643835623</v>
      </c>
      <c r="DK114" s="132">
        <f t="shared" si="6"/>
        <v>0</v>
      </c>
      <c r="DL114" s="132">
        <f t="shared" si="7"/>
        <v>0</v>
      </c>
    </row>
    <row r="115" spans="2:116" s="4" customFormat="1" ht="17.25" customHeight="1" x14ac:dyDescent="0.25">
      <c r="B115" s="86" t="s">
        <v>4</v>
      </c>
      <c r="C115" s="15" t="s">
        <v>332</v>
      </c>
      <c r="D115" s="15" t="s">
        <v>101</v>
      </c>
      <c r="E115" s="15" t="s">
        <v>358</v>
      </c>
      <c r="F115" s="39" t="s">
        <v>359</v>
      </c>
      <c r="G115" s="40">
        <v>2</v>
      </c>
      <c r="H115" s="87">
        <v>42591</v>
      </c>
      <c r="I115" s="19" t="s">
        <v>424</v>
      </c>
      <c r="J115" s="19">
        <v>0</v>
      </c>
      <c r="K115" s="41" t="s">
        <v>353</v>
      </c>
      <c r="L115" s="21">
        <v>10</v>
      </c>
      <c r="M115" s="88">
        <v>0</v>
      </c>
      <c r="N115" s="38"/>
      <c r="O115" s="24"/>
      <c r="P115" s="24"/>
      <c r="Q115" s="25"/>
      <c r="R115" s="26"/>
      <c r="S115" s="25"/>
      <c r="T115" s="25"/>
      <c r="U115" s="25"/>
      <c r="V115" s="25"/>
      <c r="W115" s="25"/>
      <c r="X115" s="25"/>
      <c r="Y115" s="25"/>
      <c r="Z115" s="24"/>
      <c r="AA115" s="27"/>
      <c r="AB115" s="16"/>
      <c r="AC115" s="27"/>
      <c r="AD115" s="65"/>
      <c r="AE115" s="35"/>
      <c r="AF115" s="28"/>
      <c r="AG115" s="29"/>
      <c r="AH115" s="27"/>
      <c r="AI115" s="30"/>
      <c r="AJ115" s="31"/>
      <c r="AK115" s="32"/>
      <c r="AL115" s="16"/>
      <c r="AM115" s="68">
        <v>0</v>
      </c>
      <c r="AN115" s="38">
        <v>1824525</v>
      </c>
      <c r="AO115" s="84">
        <v>235</v>
      </c>
      <c r="AP115" s="28">
        <v>0</v>
      </c>
      <c r="AQ115" s="29">
        <v>10</v>
      </c>
      <c r="AR115" s="27">
        <v>91226.25</v>
      </c>
      <c r="AS115" s="85">
        <v>1733298.75</v>
      </c>
      <c r="AT115" s="27">
        <v>111595.94691780821</v>
      </c>
      <c r="AU115" s="27">
        <v>1712929.0530821919</v>
      </c>
      <c r="AW115" s="68">
        <v>1712929.0530821919</v>
      </c>
      <c r="AX115" s="38"/>
      <c r="AY115" s="84"/>
      <c r="AZ115" s="28">
        <v>0.64109589041095894</v>
      </c>
      <c r="BA115" s="29">
        <v>9.3589041095890408</v>
      </c>
      <c r="BB115" s="29">
        <v>91226.25</v>
      </c>
      <c r="BC115" s="29">
        <v>1621702.8030821919</v>
      </c>
      <c r="BD115" s="35">
        <v>173279.13440427402</v>
      </c>
      <c r="BE115" s="31">
        <v>1539649.9186779179</v>
      </c>
      <c r="BF115" s="31"/>
      <c r="BG115" s="27">
        <v>1539649.9186779179</v>
      </c>
      <c r="BH115" s="38"/>
      <c r="BI115" s="84"/>
      <c r="BJ115" s="28">
        <v>1.6410958904109589</v>
      </c>
      <c r="BK115" s="29">
        <v>8.3589041095890408</v>
      </c>
      <c r="BL115" s="27">
        <v>91226.25</v>
      </c>
      <c r="BM115" s="30">
        <v>1448423.6686779179</v>
      </c>
      <c r="BN115" s="34">
        <v>173279.13440427402</v>
      </c>
      <c r="BO115" s="35">
        <v>1366370.784273644</v>
      </c>
      <c r="BP115" s="36"/>
      <c r="BQ115" s="27">
        <v>1366370.784273644</v>
      </c>
      <c r="BR115" s="38"/>
      <c r="BS115" s="84"/>
      <c r="BT115" s="28">
        <v>2.6410958904109587</v>
      </c>
      <c r="BU115" s="29">
        <v>7.3589041095890408</v>
      </c>
      <c r="BV115" s="27">
        <v>91226.25</v>
      </c>
      <c r="BW115" s="30">
        <v>1275144.534273644</v>
      </c>
      <c r="BX115" s="34">
        <v>173279.13440427402</v>
      </c>
      <c r="BY115" s="35">
        <v>1193091.64986937</v>
      </c>
      <c r="CA115" s="34">
        <v>1193091.64986937</v>
      </c>
      <c r="CB115" s="38"/>
      <c r="CC115" s="84"/>
      <c r="CD115" s="28">
        <v>3.6438356164383561</v>
      </c>
      <c r="CE115" s="29">
        <v>6.3561643835616444</v>
      </c>
      <c r="CF115" s="27">
        <v>91226.25</v>
      </c>
      <c r="CG115" s="30">
        <v>1101865.39986937</v>
      </c>
      <c r="CH115" s="31">
        <v>173279.13440427402</v>
      </c>
      <c r="CI115" s="35">
        <v>1019812.515465096</v>
      </c>
      <c r="CK115" s="36">
        <v>928586.26546509599</v>
      </c>
      <c r="CL115" s="35">
        <v>1019812.515465096</v>
      </c>
      <c r="CM115" s="38"/>
      <c r="CN115" s="84"/>
      <c r="CO115" s="28">
        <v>4.6438356164383565</v>
      </c>
      <c r="CP115" s="29">
        <v>5.3561643835616435</v>
      </c>
      <c r="CQ115" s="27">
        <v>91226.25</v>
      </c>
      <c r="CR115" s="34">
        <v>928586.26546509599</v>
      </c>
      <c r="CS115" s="34">
        <v>173279.13440427402</v>
      </c>
      <c r="CT115" s="35">
        <v>846533.38106082194</v>
      </c>
      <c r="CV115" s="35">
        <v>755307.13106082194</v>
      </c>
      <c r="CW115" s="35">
        <v>846533.38106082194</v>
      </c>
      <c r="CX115" s="38"/>
      <c r="CY115" s="84"/>
      <c r="CZ115" s="28">
        <v>6.6438356164383565</v>
      </c>
      <c r="DA115" s="29">
        <v>3.3561643835616435</v>
      </c>
      <c r="DB115" s="27">
        <v>91226.25</v>
      </c>
      <c r="DC115" s="34">
        <v>755307.13106082194</v>
      </c>
      <c r="DD115" s="34">
        <v>173279.13440427402</v>
      </c>
      <c r="DE115" s="35">
        <v>673254.24665654788</v>
      </c>
      <c r="DG115" s="35">
        <v>1824525</v>
      </c>
      <c r="DH115" s="35">
        <v>1151270.7533434525</v>
      </c>
      <c r="DI115" s="35">
        <f t="shared" si="4"/>
        <v>673254.24665654753</v>
      </c>
      <c r="DJ115" s="132">
        <f t="shared" si="5"/>
        <v>673254.24665654753</v>
      </c>
      <c r="DK115" s="132">
        <f t="shared" si="6"/>
        <v>0</v>
      </c>
      <c r="DL115" s="132">
        <f t="shared" si="7"/>
        <v>0</v>
      </c>
    </row>
    <row r="116" spans="2:116" s="4" customFormat="1" ht="17.25" customHeight="1" x14ac:dyDescent="0.25">
      <c r="B116" s="86" t="s">
        <v>4</v>
      </c>
      <c r="C116" s="15" t="s">
        <v>332</v>
      </c>
      <c r="D116" s="15" t="s">
        <v>101</v>
      </c>
      <c r="E116" s="15" t="s">
        <v>360</v>
      </c>
      <c r="F116" s="42" t="s">
        <v>361</v>
      </c>
      <c r="G116" s="43">
        <v>2</v>
      </c>
      <c r="H116" s="87">
        <v>42607</v>
      </c>
      <c r="I116" s="19" t="s">
        <v>424</v>
      </c>
      <c r="J116" s="19">
        <v>0</v>
      </c>
      <c r="K116" s="41" t="s">
        <v>353</v>
      </c>
      <c r="L116" s="21">
        <v>10</v>
      </c>
      <c r="M116" s="23">
        <v>0</v>
      </c>
      <c r="N116" s="38"/>
      <c r="O116" s="24"/>
      <c r="P116" s="24"/>
      <c r="Q116" s="25"/>
      <c r="R116" s="26"/>
      <c r="S116" s="25"/>
      <c r="T116" s="25"/>
      <c r="U116" s="25"/>
      <c r="V116" s="25"/>
      <c r="W116" s="25"/>
      <c r="X116" s="25"/>
      <c r="Y116" s="25"/>
      <c r="Z116" s="24"/>
      <c r="AA116" s="27"/>
      <c r="AB116" s="16"/>
      <c r="AC116" s="27"/>
      <c r="AD116" s="65"/>
      <c r="AE116" s="35"/>
      <c r="AF116" s="28"/>
      <c r="AG116" s="29"/>
      <c r="AH116" s="27"/>
      <c r="AI116" s="30"/>
      <c r="AJ116" s="31"/>
      <c r="AK116" s="32"/>
      <c r="AL116" s="16"/>
      <c r="AM116" s="68">
        <v>0</v>
      </c>
      <c r="AN116" s="38">
        <v>1728025</v>
      </c>
      <c r="AO116" s="84">
        <v>219</v>
      </c>
      <c r="AP116" s="28">
        <v>0</v>
      </c>
      <c r="AQ116" s="29">
        <v>10</v>
      </c>
      <c r="AR116" s="27">
        <v>86401.25</v>
      </c>
      <c r="AS116" s="85">
        <v>1641623.75</v>
      </c>
      <c r="AT116" s="27">
        <v>98497.425000000003</v>
      </c>
      <c r="AU116" s="27">
        <v>1629527.575</v>
      </c>
      <c r="AW116" s="68">
        <v>1629527.575</v>
      </c>
      <c r="AX116" s="38"/>
      <c r="AY116" s="84"/>
      <c r="AZ116" s="28">
        <v>0.59726027397260273</v>
      </c>
      <c r="BA116" s="29">
        <v>9.4027397260273968</v>
      </c>
      <c r="BB116" s="29">
        <v>86401.25</v>
      </c>
      <c r="BC116" s="29">
        <v>1543126.325</v>
      </c>
      <c r="BD116" s="35">
        <v>164114.54214015152</v>
      </c>
      <c r="BE116" s="31">
        <v>1465413.0328598483</v>
      </c>
      <c r="BF116" s="31"/>
      <c r="BG116" s="27">
        <v>1465413.0328598483</v>
      </c>
      <c r="BH116" s="38"/>
      <c r="BI116" s="84"/>
      <c r="BJ116" s="28">
        <v>1.5972602739726027</v>
      </c>
      <c r="BK116" s="29">
        <v>8.4027397260273968</v>
      </c>
      <c r="BL116" s="27">
        <v>86401.25</v>
      </c>
      <c r="BM116" s="30">
        <v>1379011.7828598483</v>
      </c>
      <c r="BN116" s="34">
        <v>164114.54214015152</v>
      </c>
      <c r="BO116" s="35">
        <v>1301298.4907196967</v>
      </c>
      <c r="BP116" s="36"/>
      <c r="BQ116" s="27">
        <v>1301298.4907196967</v>
      </c>
      <c r="BR116" s="38"/>
      <c r="BS116" s="84"/>
      <c r="BT116" s="28">
        <v>2.5972602739726027</v>
      </c>
      <c r="BU116" s="29">
        <v>7.4027397260273968</v>
      </c>
      <c r="BV116" s="27">
        <v>86401.25</v>
      </c>
      <c r="BW116" s="30">
        <v>1214897.2407196967</v>
      </c>
      <c r="BX116" s="34">
        <v>164114.54214015152</v>
      </c>
      <c r="BY116" s="35">
        <v>1137183.9485795451</v>
      </c>
      <c r="CA116" s="34">
        <v>1137183.9485795451</v>
      </c>
      <c r="CB116" s="38"/>
      <c r="CC116" s="84"/>
      <c r="CD116" s="28">
        <v>3.6</v>
      </c>
      <c r="CE116" s="29">
        <v>6.4</v>
      </c>
      <c r="CF116" s="27">
        <v>86401.25</v>
      </c>
      <c r="CG116" s="30">
        <v>1050782.6985795451</v>
      </c>
      <c r="CH116" s="31">
        <v>164114.54214015152</v>
      </c>
      <c r="CI116" s="35">
        <v>973069.40643939364</v>
      </c>
      <c r="CK116" s="36">
        <v>886668.15643939364</v>
      </c>
      <c r="CL116" s="35">
        <v>973069.40643939364</v>
      </c>
      <c r="CM116" s="38"/>
      <c r="CN116" s="84"/>
      <c r="CO116" s="28">
        <v>4.5999999999999996</v>
      </c>
      <c r="CP116" s="29">
        <v>5.4</v>
      </c>
      <c r="CQ116" s="27">
        <v>86401.25</v>
      </c>
      <c r="CR116" s="34">
        <v>886668.15643939364</v>
      </c>
      <c r="CS116" s="34">
        <v>164114.54214015152</v>
      </c>
      <c r="CT116" s="35">
        <v>808954.86429924215</v>
      </c>
      <c r="CV116" s="35">
        <v>722553.61429924215</v>
      </c>
      <c r="CW116" s="35">
        <v>808954.86429924215</v>
      </c>
      <c r="CX116" s="38"/>
      <c r="CY116" s="84"/>
      <c r="CZ116" s="28">
        <v>6.6</v>
      </c>
      <c r="DA116" s="29">
        <v>3.4000000000000004</v>
      </c>
      <c r="DB116" s="27">
        <v>86401.25</v>
      </c>
      <c r="DC116" s="34">
        <v>722553.61429924215</v>
      </c>
      <c r="DD116" s="34">
        <v>164114.54214015152</v>
      </c>
      <c r="DE116" s="35">
        <v>644840.32215909066</v>
      </c>
      <c r="DG116" s="35">
        <v>1728025</v>
      </c>
      <c r="DH116" s="35">
        <v>1083184.677840909</v>
      </c>
      <c r="DI116" s="35">
        <f t="shared" si="4"/>
        <v>644840.32215909101</v>
      </c>
      <c r="DJ116" s="132">
        <f t="shared" si="5"/>
        <v>644840.32215909101</v>
      </c>
      <c r="DK116" s="132">
        <f t="shared" si="6"/>
        <v>0</v>
      </c>
      <c r="DL116" s="132">
        <f t="shared" si="7"/>
        <v>0</v>
      </c>
    </row>
    <row r="117" spans="2:116" s="4" customFormat="1" ht="17.25" customHeight="1" x14ac:dyDescent="0.25">
      <c r="B117" s="86" t="s">
        <v>4</v>
      </c>
      <c r="C117" s="15" t="s">
        <v>332</v>
      </c>
      <c r="D117" s="15" t="s">
        <v>101</v>
      </c>
      <c r="E117" s="15" t="s">
        <v>364</v>
      </c>
      <c r="F117" s="42" t="s">
        <v>365</v>
      </c>
      <c r="G117" s="43">
        <v>2</v>
      </c>
      <c r="H117" s="17">
        <v>42825</v>
      </c>
      <c r="I117" s="19" t="s">
        <v>424</v>
      </c>
      <c r="J117" s="19">
        <v>0</v>
      </c>
      <c r="K117" s="41" t="s">
        <v>353</v>
      </c>
      <c r="L117" s="21">
        <v>10</v>
      </c>
      <c r="M117" s="23">
        <v>0</v>
      </c>
      <c r="N117" s="38"/>
      <c r="O117" s="24"/>
      <c r="P117" s="24"/>
      <c r="Q117" s="25"/>
      <c r="R117" s="26"/>
      <c r="S117" s="25"/>
      <c r="T117" s="25"/>
      <c r="U117" s="25"/>
      <c r="V117" s="25"/>
      <c r="W117" s="25"/>
      <c r="X117" s="25"/>
      <c r="Y117" s="25"/>
      <c r="Z117" s="24"/>
      <c r="AA117" s="27"/>
      <c r="AB117" s="16"/>
      <c r="AC117" s="27"/>
      <c r="AD117" s="65"/>
      <c r="AE117" s="35"/>
      <c r="AF117" s="28"/>
      <c r="AG117" s="29"/>
      <c r="AH117" s="27"/>
      <c r="AI117" s="30"/>
      <c r="AJ117" s="31"/>
      <c r="AK117" s="32"/>
      <c r="AL117" s="16"/>
      <c r="AM117" s="68">
        <v>0</v>
      </c>
      <c r="AN117" s="38">
        <v>224808</v>
      </c>
      <c r="AO117" s="84">
        <v>1</v>
      </c>
      <c r="AP117" s="28">
        <v>0</v>
      </c>
      <c r="AQ117" s="29">
        <v>10</v>
      </c>
      <c r="AR117" s="27">
        <v>11240.400000000001</v>
      </c>
      <c r="AS117" s="85">
        <v>213567.6</v>
      </c>
      <c r="AT117" s="27">
        <v>58.511671232876715</v>
      </c>
      <c r="AU117" s="27">
        <v>224749.48832876713</v>
      </c>
      <c r="AW117" s="68">
        <v>224749.48832876713</v>
      </c>
      <c r="AX117" s="38"/>
      <c r="AY117" s="84"/>
      <c r="AZ117" s="28">
        <v>0</v>
      </c>
      <c r="BA117" s="29">
        <v>10</v>
      </c>
      <c r="BB117" s="29">
        <v>11240.400000000001</v>
      </c>
      <c r="BC117" s="29">
        <v>213509.08832876713</v>
      </c>
      <c r="BD117" s="35">
        <v>21350.908832876714</v>
      </c>
      <c r="BE117" s="31">
        <v>203398.57949589042</v>
      </c>
      <c r="BF117" s="31"/>
      <c r="BG117" s="27">
        <v>203398.57949589042</v>
      </c>
      <c r="BH117" s="38"/>
      <c r="BI117" s="84"/>
      <c r="BJ117" s="28">
        <v>1</v>
      </c>
      <c r="BK117" s="29">
        <v>9</v>
      </c>
      <c r="BL117" s="27">
        <v>11240.400000000001</v>
      </c>
      <c r="BM117" s="30">
        <v>192158.17949589042</v>
      </c>
      <c r="BN117" s="34">
        <v>21350.908832876714</v>
      </c>
      <c r="BO117" s="35">
        <v>182047.67066301371</v>
      </c>
      <c r="BP117" s="36"/>
      <c r="BQ117" s="27">
        <v>182047.67066301371</v>
      </c>
      <c r="BR117" s="38"/>
      <c r="BS117" s="84"/>
      <c r="BT117" s="28">
        <v>2</v>
      </c>
      <c r="BU117" s="29">
        <v>8</v>
      </c>
      <c r="BV117" s="27">
        <v>11240.400000000001</v>
      </c>
      <c r="BW117" s="30">
        <v>170807.27066301371</v>
      </c>
      <c r="BX117" s="34">
        <v>21350.908832876714</v>
      </c>
      <c r="BY117" s="35">
        <v>160696.76183013699</v>
      </c>
      <c r="CA117" s="34">
        <v>160696.76183013699</v>
      </c>
      <c r="CB117" s="38"/>
      <c r="CC117" s="84"/>
      <c r="CD117" s="28">
        <v>3.0027397260273974</v>
      </c>
      <c r="CE117" s="29">
        <v>6.9972602739726026</v>
      </c>
      <c r="CF117" s="27">
        <v>11240.400000000001</v>
      </c>
      <c r="CG117" s="30">
        <v>149456.361830137</v>
      </c>
      <c r="CH117" s="31">
        <v>21350.908832876714</v>
      </c>
      <c r="CI117" s="35">
        <v>139345.85299726028</v>
      </c>
      <c r="CK117" s="36">
        <v>128105.45299726029</v>
      </c>
      <c r="CL117" s="35">
        <v>139345.85299726028</v>
      </c>
      <c r="CM117" s="38"/>
      <c r="CN117" s="84"/>
      <c r="CO117" s="28">
        <v>4.0027397260273974</v>
      </c>
      <c r="CP117" s="29">
        <v>5.9972602739726026</v>
      </c>
      <c r="CQ117" s="27">
        <v>11240.400000000001</v>
      </c>
      <c r="CR117" s="34">
        <v>128105.45299726029</v>
      </c>
      <c r="CS117" s="34">
        <v>21350.908832876714</v>
      </c>
      <c r="CT117" s="35">
        <v>117994.94416438357</v>
      </c>
      <c r="CV117" s="35">
        <v>106754.54416438358</v>
      </c>
      <c r="CW117" s="35">
        <v>117994.94416438357</v>
      </c>
      <c r="CX117" s="38"/>
      <c r="CY117" s="84"/>
      <c r="CZ117" s="28">
        <v>6.0027397260273974</v>
      </c>
      <c r="DA117" s="29">
        <v>3.9972602739726026</v>
      </c>
      <c r="DB117" s="27">
        <v>11240.400000000001</v>
      </c>
      <c r="DC117" s="34">
        <v>106754.54416438358</v>
      </c>
      <c r="DD117" s="34">
        <v>21350.908832876714</v>
      </c>
      <c r="DE117" s="35">
        <v>96644.035331506864</v>
      </c>
      <c r="DG117" s="35">
        <v>224808</v>
      </c>
      <c r="DH117" s="35">
        <v>128163.96466849315</v>
      </c>
      <c r="DI117" s="35">
        <f t="shared" si="4"/>
        <v>96644.03533150685</v>
      </c>
      <c r="DJ117" s="132">
        <f t="shared" si="5"/>
        <v>96644.03533150685</v>
      </c>
      <c r="DK117" s="132">
        <f t="shared" si="6"/>
        <v>0</v>
      </c>
      <c r="DL117" s="132">
        <f t="shared" si="7"/>
        <v>0</v>
      </c>
    </row>
    <row r="118" spans="2:116" s="4" customFormat="1" ht="17.25" customHeight="1" x14ac:dyDescent="0.25">
      <c r="B118" s="86" t="s">
        <v>4</v>
      </c>
      <c r="C118" s="15" t="s">
        <v>332</v>
      </c>
      <c r="D118" s="15" t="s">
        <v>101</v>
      </c>
      <c r="E118" s="15" t="s">
        <v>366</v>
      </c>
      <c r="F118" s="42" t="s">
        <v>367</v>
      </c>
      <c r="G118" s="43">
        <v>2</v>
      </c>
      <c r="H118" s="17">
        <v>42880</v>
      </c>
      <c r="I118" s="19" t="s">
        <v>425</v>
      </c>
      <c r="J118" s="19">
        <v>0</v>
      </c>
      <c r="K118" s="19">
        <v>10</v>
      </c>
      <c r="L118" s="21">
        <v>10</v>
      </c>
      <c r="M118" s="23">
        <v>0</v>
      </c>
      <c r="N118" s="38"/>
      <c r="O118" s="24"/>
      <c r="P118" s="24"/>
      <c r="Q118" s="25"/>
      <c r="R118" s="26"/>
      <c r="S118" s="25"/>
      <c r="T118" s="25"/>
      <c r="U118" s="25"/>
      <c r="V118" s="25"/>
      <c r="W118" s="25"/>
      <c r="X118" s="25"/>
      <c r="Y118" s="25"/>
      <c r="Z118" s="24"/>
      <c r="AA118" s="27"/>
      <c r="AB118" s="16"/>
      <c r="AC118" s="27"/>
      <c r="AD118" s="65"/>
      <c r="AE118" s="35"/>
      <c r="AF118" s="28"/>
      <c r="AG118" s="29"/>
      <c r="AH118" s="27"/>
      <c r="AI118" s="30"/>
      <c r="AJ118" s="31"/>
      <c r="AK118" s="32"/>
      <c r="AL118" s="16"/>
      <c r="AM118" s="68"/>
      <c r="AN118" s="16"/>
      <c r="AO118" s="84"/>
      <c r="AP118" s="28"/>
      <c r="AQ118" s="29"/>
      <c r="AR118" s="27"/>
      <c r="AS118" s="30"/>
      <c r="AT118" s="16"/>
      <c r="AU118" s="16"/>
      <c r="AW118" s="68"/>
      <c r="AX118" s="27">
        <v>125000</v>
      </c>
      <c r="AY118" s="89">
        <v>311</v>
      </c>
      <c r="AZ118" s="28">
        <v>0</v>
      </c>
      <c r="BA118" s="28">
        <v>10</v>
      </c>
      <c r="BB118" s="29">
        <v>6250</v>
      </c>
      <c r="BC118" s="85">
        <v>118750</v>
      </c>
      <c r="BD118" s="35">
        <v>10118.150684931506</v>
      </c>
      <c r="BE118" s="31">
        <v>114881.8493150685</v>
      </c>
      <c r="BF118" s="31"/>
      <c r="BG118" s="27">
        <v>114881.8493150685</v>
      </c>
      <c r="BH118" s="16"/>
      <c r="BI118" s="25"/>
      <c r="BJ118" s="28">
        <v>0.84931506849315064</v>
      </c>
      <c r="BK118" s="28">
        <v>9.1506849315068486</v>
      </c>
      <c r="BL118" s="27">
        <v>6250</v>
      </c>
      <c r="BM118" s="30">
        <v>108631.8493150685</v>
      </c>
      <c r="BN118" s="34">
        <v>11871.444610778444</v>
      </c>
      <c r="BO118" s="35">
        <v>103010.40470429005</v>
      </c>
      <c r="BP118" s="36"/>
      <c r="BQ118" s="27">
        <v>103010.40470429005</v>
      </c>
      <c r="BR118" s="16"/>
      <c r="BS118" s="25"/>
      <c r="BT118" s="28">
        <v>1.8493150684931507</v>
      </c>
      <c r="BU118" s="29">
        <v>8.1506849315068486</v>
      </c>
      <c r="BV118" s="27">
        <v>6250</v>
      </c>
      <c r="BW118" s="30">
        <v>96760.404704290049</v>
      </c>
      <c r="BX118" s="34">
        <v>11871.444610778444</v>
      </c>
      <c r="BY118" s="35">
        <v>91138.960093511603</v>
      </c>
      <c r="CA118" s="35">
        <v>91138.960093511603</v>
      </c>
      <c r="CB118" s="16"/>
      <c r="CC118" s="25"/>
      <c r="CD118" s="28">
        <v>2.8520547945205479</v>
      </c>
      <c r="CE118" s="29">
        <v>7.1479452054794521</v>
      </c>
      <c r="CF118" s="27">
        <v>6250</v>
      </c>
      <c r="CG118" s="30">
        <v>84888.960093511603</v>
      </c>
      <c r="CH118" s="31">
        <v>11871.444610778444</v>
      </c>
      <c r="CI118" s="35">
        <v>79267.515482733157</v>
      </c>
      <c r="CK118" s="36">
        <v>73017.515482733157</v>
      </c>
      <c r="CL118" s="35">
        <v>79267.515482733157</v>
      </c>
      <c r="CM118" s="16"/>
      <c r="CN118" s="25"/>
      <c r="CO118" s="28">
        <v>3.8520547945205479</v>
      </c>
      <c r="CP118" s="29">
        <v>6.1479452054794521</v>
      </c>
      <c r="CQ118" s="27">
        <v>6250</v>
      </c>
      <c r="CR118" s="34">
        <v>73017.515482733157</v>
      </c>
      <c r="CS118" s="34">
        <v>11871.444610778444</v>
      </c>
      <c r="CT118" s="35">
        <v>67396.070871954711</v>
      </c>
      <c r="CV118" s="35">
        <v>61146.070871954711</v>
      </c>
      <c r="CW118" s="35">
        <v>67396.070871954711</v>
      </c>
      <c r="CX118" s="16"/>
      <c r="CY118" s="25"/>
      <c r="CZ118" s="28">
        <v>5.8520547945205479</v>
      </c>
      <c r="DA118" s="29">
        <v>4.1479452054794521</v>
      </c>
      <c r="DB118" s="27">
        <v>6250</v>
      </c>
      <c r="DC118" s="34">
        <v>61146.070871954711</v>
      </c>
      <c r="DD118" s="34">
        <v>11871.444610778444</v>
      </c>
      <c r="DE118" s="35">
        <v>55524.626261176265</v>
      </c>
      <c r="DG118" s="35">
        <v>125000</v>
      </c>
      <c r="DH118" s="35">
        <v>69475.373738823735</v>
      </c>
      <c r="DI118" s="35">
        <f t="shared" si="4"/>
        <v>55524.626261176265</v>
      </c>
      <c r="DJ118" s="132">
        <f t="shared" si="5"/>
        <v>55524.626261176265</v>
      </c>
      <c r="DK118" s="132">
        <f t="shared" si="6"/>
        <v>0</v>
      </c>
      <c r="DL118" s="132">
        <f t="shared" si="7"/>
        <v>0</v>
      </c>
    </row>
    <row r="119" spans="2:116" ht="17.25" customHeight="1" x14ac:dyDescent="0.25">
      <c r="B119" s="86" t="s">
        <v>4</v>
      </c>
      <c r="C119" s="15" t="s">
        <v>332</v>
      </c>
      <c r="D119" s="15" t="s">
        <v>101</v>
      </c>
      <c r="E119" s="15" t="s">
        <v>368</v>
      </c>
      <c r="F119" s="128" t="s">
        <v>369</v>
      </c>
      <c r="G119" s="43"/>
      <c r="H119" s="17">
        <v>43320</v>
      </c>
      <c r="I119" s="19" t="s">
        <v>370</v>
      </c>
      <c r="J119" s="19">
        <v>0</v>
      </c>
      <c r="K119" s="19">
        <v>10</v>
      </c>
      <c r="L119" s="21">
        <v>10</v>
      </c>
      <c r="M119" s="23">
        <v>0</v>
      </c>
      <c r="N119" s="38"/>
      <c r="O119" s="24"/>
      <c r="P119" s="24"/>
      <c r="Q119" s="25"/>
      <c r="R119" s="26"/>
      <c r="S119" s="25"/>
      <c r="T119" s="25"/>
      <c r="U119" s="25"/>
      <c r="V119" s="25"/>
      <c r="W119" s="25"/>
      <c r="X119" s="25"/>
      <c r="Y119" s="25"/>
      <c r="Z119" s="24"/>
      <c r="AA119" s="27"/>
      <c r="AB119" s="16"/>
      <c r="AC119" s="27"/>
      <c r="AD119" s="65"/>
      <c r="AE119" s="35"/>
      <c r="AF119" s="28"/>
      <c r="AG119" s="29"/>
      <c r="AH119" s="27"/>
      <c r="AI119" s="30"/>
      <c r="AJ119" s="31"/>
      <c r="AK119" s="32"/>
      <c r="AL119" s="16"/>
      <c r="AM119" s="68"/>
      <c r="AN119" s="16"/>
      <c r="AO119" s="84"/>
      <c r="AP119" s="28"/>
      <c r="AQ119" s="29"/>
      <c r="AR119" s="27"/>
      <c r="AS119" s="30"/>
      <c r="AT119" s="16"/>
      <c r="AU119" s="16"/>
      <c r="AV119" s="4"/>
      <c r="AW119" s="68"/>
      <c r="AX119" s="16"/>
      <c r="AY119" s="11"/>
      <c r="AZ119" s="28"/>
      <c r="BA119" s="28"/>
      <c r="BB119" s="29"/>
      <c r="BC119" s="85"/>
      <c r="BD119" s="35"/>
      <c r="BE119" s="31"/>
      <c r="BF119" s="31"/>
      <c r="BG119" s="27"/>
      <c r="BH119" s="27">
        <v>117000</v>
      </c>
      <c r="BI119" s="27">
        <v>236</v>
      </c>
      <c r="BJ119" s="28"/>
      <c r="BK119" s="28">
        <v>10</v>
      </c>
      <c r="BL119" s="27">
        <v>5850</v>
      </c>
      <c r="BM119" s="30">
        <v>111150</v>
      </c>
      <c r="BN119" s="30">
        <v>7186.6849315068494</v>
      </c>
      <c r="BO119" s="35">
        <v>109813.31506849315</v>
      </c>
      <c r="BP119" s="36"/>
      <c r="BQ119" s="27">
        <v>109813.31506849315</v>
      </c>
      <c r="BR119" s="27"/>
      <c r="BS119" s="27"/>
      <c r="BT119" s="28">
        <v>0.64383561643835618</v>
      </c>
      <c r="BU119" s="29">
        <v>9.3561643835616444</v>
      </c>
      <c r="BV119" s="27">
        <v>5850</v>
      </c>
      <c r="BW119" s="30">
        <v>103963.31506849315</v>
      </c>
      <c r="BX119" s="34">
        <v>11111.745241581259</v>
      </c>
      <c r="BY119" s="35">
        <v>98701.569826911888</v>
      </c>
      <c r="BZ119" s="4"/>
      <c r="CA119" s="35">
        <v>98701.569826911888</v>
      </c>
      <c r="CB119" s="27"/>
      <c r="CC119" s="27"/>
      <c r="CD119" s="28">
        <v>1.6465753424657534</v>
      </c>
      <c r="CE119" s="29">
        <v>8.3534246575342461</v>
      </c>
      <c r="CF119" s="27">
        <v>5850</v>
      </c>
      <c r="CG119" s="30">
        <v>92851.569826911888</v>
      </c>
      <c r="CH119" s="31">
        <v>11111.745241581259</v>
      </c>
      <c r="CI119" s="35">
        <v>87589.824585330629</v>
      </c>
      <c r="CJ119" s="4"/>
      <c r="CK119" s="36">
        <v>81739.824585330629</v>
      </c>
      <c r="CL119" s="35">
        <v>87589.824585330629</v>
      </c>
      <c r="CM119" s="27"/>
      <c r="CN119" s="27"/>
      <c r="CO119" s="28">
        <v>2.6465753424657534</v>
      </c>
      <c r="CP119" s="29">
        <v>7.3534246575342461</v>
      </c>
      <c r="CQ119" s="27">
        <v>5850</v>
      </c>
      <c r="CR119" s="34">
        <v>81739.824585330629</v>
      </c>
      <c r="CS119" s="34">
        <v>11111.745241581259</v>
      </c>
      <c r="CT119" s="35">
        <v>76478.07934374937</v>
      </c>
      <c r="CU119" s="4"/>
      <c r="CV119" s="37">
        <v>70628.07934374937</v>
      </c>
      <c r="CW119" s="35">
        <v>76478.07934374937</v>
      </c>
      <c r="CX119" s="27"/>
      <c r="CY119" s="27"/>
      <c r="CZ119" s="28">
        <v>4.646575342465753</v>
      </c>
      <c r="DA119" s="29">
        <v>5.353424657534247</v>
      </c>
      <c r="DB119" s="27">
        <v>5850</v>
      </c>
      <c r="DC119" s="34">
        <v>70628.07934374937</v>
      </c>
      <c r="DD119" s="34">
        <v>11111.745241581259</v>
      </c>
      <c r="DE119" s="35">
        <v>65366.334102168112</v>
      </c>
      <c r="DG119" s="35">
        <v>117000</v>
      </c>
      <c r="DH119" s="35">
        <v>51633.665897831888</v>
      </c>
      <c r="DI119" s="35">
        <f t="shared" si="4"/>
        <v>65366.334102168112</v>
      </c>
      <c r="DJ119" s="132">
        <f t="shared" si="5"/>
        <v>65366.334102168112</v>
      </c>
      <c r="DK119" s="132">
        <f t="shared" si="6"/>
        <v>0</v>
      </c>
      <c r="DL119" s="132">
        <f t="shared" si="7"/>
        <v>0</v>
      </c>
    </row>
    <row r="120" spans="2:116" ht="17.25" customHeight="1" x14ac:dyDescent="0.25">
      <c r="B120" s="86" t="s">
        <v>4</v>
      </c>
      <c r="C120" s="15" t="s">
        <v>332</v>
      </c>
      <c r="D120" s="15" t="s">
        <v>101</v>
      </c>
      <c r="E120" s="46" t="s">
        <v>373</v>
      </c>
      <c r="F120" s="127" t="s">
        <v>317</v>
      </c>
      <c r="G120" s="48"/>
      <c r="H120" s="49">
        <v>43431</v>
      </c>
      <c r="I120" s="19" t="s">
        <v>370</v>
      </c>
      <c r="J120" s="19">
        <v>0</v>
      </c>
      <c r="K120" s="19">
        <v>10</v>
      </c>
      <c r="L120" s="21">
        <v>10</v>
      </c>
      <c r="M120" s="23">
        <v>0</v>
      </c>
      <c r="N120" s="55"/>
      <c r="O120" s="56"/>
      <c r="P120" s="56"/>
      <c r="Q120" s="57"/>
      <c r="R120" s="58"/>
      <c r="S120" s="57"/>
      <c r="T120" s="57"/>
      <c r="U120" s="57"/>
      <c r="V120" s="57"/>
      <c r="W120" s="57"/>
      <c r="X120" s="57"/>
      <c r="Y120" s="57"/>
      <c r="Z120" s="56"/>
      <c r="AA120" s="59"/>
      <c r="AB120" s="60"/>
      <c r="AC120" s="59"/>
      <c r="AD120" s="80"/>
      <c r="AE120" s="81"/>
      <c r="AF120" s="82"/>
      <c r="AG120" s="61"/>
      <c r="AH120" s="59"/>
      <c r="AI120" s="62"/>
      <c r="AJ120" s="63"/>
      <c r="AK120" s="83"/>
      <c r="AL120" s="60"/>
      <c r="AM120" s="90"/>
      <c r="AN120" s="60"/>
      <c r="AO120" s="91"/>
      <c r="AP120" s="82"/>
      <c r="AQ120" s="61"/>
      <c r="AR120" s="59"/>
      <c r="AS120" s="62"/>
      <c r="AT120" s="60"/>
      <c r="AU120" s="60"/>
      <c r="AV120" s="4"/>
      <c r="AW120" s="90"/>
      <c r="AX120" s="60"/>
      <c r="AY120" s="92"/>
      <c r="AZ120" s="82"/>
      <c r="BA120" s="82"/>
      <c r="BB120" s="61"/>
      <c r="BC120" s="93"/>
      <c r="BD120" s="81"/>
      <c r="BE120" s="63"/>
      <c r="BF120" s="63"/>
      <c r="BG120" s="59"/>
      <c r="BH120" s="59">
        <v>174000</v>
      </c>
      <c r="BI120" s="27">
        <v>125</v>
      </c>
      <c r="BJ120" s="82"/>
      <c r="BK120" s="28">
        <v>10</v>
      </c>
      <c r="BL120" s="27">
        <v>8700</v>
      </c>
      <c r="BM120" s="30">
        <v>165300</v>
      </c>
      <c r="BN120" s="30">
        <v>5660.9589041095887</v>
      </c>
      <c r="BO120" s="35">
        <v>168339.04109589042</v>
      </c>
      <c r="BP120" s="36"/>
      <c r="BQ120" s="59">
        <v>168339.04109589042</v>
      </c>
      <c r="BR120" s="59"/>
      <c r="BS120" s="27"/>
      <c r="BT120" s="28">
        <v>0.33972602739726027</v>
      </c>
      <c r="BU120" s="29">
        <v>9.6602739726027398</v>
      </c>
      <c r="BV120" s="27">
        <v>8700</v>
      </c>
      <c r="BW120" s="30">
        <v>159639.04109589042</v>
      </c>
      <c r="BX120" s="34">
        <v>16525.311968235961</v>
      </c>
      <c r="BY120" s="35">
        <v>151813.72912765446</v>
      </c>
      <c r="BZ120" s="4"/>
      <c r="CA120" s="81">
        <v>151813.72912765446</v>
      </c>
      <c r="CB120" s="59"/>
      <c r="CC120" s="27"/>
      <c r="CD120" s="28">
        <v>1.3424657534246576</v>
      </c>
      <c r="CE120" s="29">
        <v>8.6575342465753415</v>
      </c>
      <c r="CF120" s="27">
        <v>8700</v>
      </c>
      <c r="CG120" s="30">
        <v>143113.72912765446</v>
      </c>
      <c r="CH120" s="31">
        <v>16525.311968235961</v>
      </c>
      <c r="CI120" s="35">
        <v>135288.41715941849</v>
      </c>
      <c r="CJ120" s="4"/>
      <c r="CK120" s="36">
        <v>126588.41715941849</v>
      </c>
      <c r="CL120" s="35">
        <v>135288.41715941849</v>
      </c>
      <c r="CM120" s="59"/>
      <c r="CN120" s="27"/>
      <c r="CO120" s="28">
        <v>2.3424657534246576</v>
      </c>
      <c r="CP120" s="29">
        <v>7.6575342465753424</v>
      </c>
      <c r="CQ120" s="27">
        <v>8700</v>
      </c>
      <c r="CR120" s="34">
        <v>126588.41715941849</v>
      </c>
      <c r="CS120" s="34">
        <v>16525.311968235961</v>
      </c>
      <c r="CT120" s="35">
        <v>118763.10519118252</v>
      </c>
      <c r="CU120" s="4"/>
      <c r="CV120" s="37">
        <v>110063.10519118252</v>
      </c>
      <c r="CW120" s="35">
        <v>118763.10519118252</v>
      </c>
      <c r="CX120" s="59"/>
      <c r="CY120" s="27"/>
      <c r="CZ120" s="28">
        <v>4.3424657534246576</v>
      </c>
      <c r="DA120" s="29">
        <v>5.6575342465753424</v>
      </c>
      <c r="DB120" s="27">
        <v>8700</v>
      </c>
      <c r="DC120" s="34">
        <v>110063.10519118252</v>
      </c>
      <c r="DD120" s="34">
        <v>16525.311968235961</v>
      </c>
      <c r="DE120" s="35">
        <v>102237.79322294655</v>
      </c>
      <c r="DG120" s="35">
        <v>174000</v>
      </c>
      <c r="DH120" s="35">
        <v>71762.206777053434</v>
      </c>
      <c r="DI120" s="35">
        <f t="shared" si="4"/>
        <v>102237.79322294657</v>
      </c>
      <c r="DJ120" s="132">
        <f t="shared" si="5"/>
        <v>102237.79322294657</v>
      </c>
      <c r="DK120" s="132">
        <f t="shared" si="6"/>
        <v>0</v>
      </c>
      <c r="DL120" s="132">
        <f t="shared" si="7"/>
        <v>0</v>
      </c>
    </row>
    <row r="121" spans="2:116" ht="17.25" customHeight="1" x14ac:dyDescent="0.25">
      <c r="B121" s="86" t="s">
        <v>4</v>
      </c>
      <c r="C121" s="15" t="s">
        <v>332</v>
      </c>
      <c r="D121" s="15" t="s">
        <v>101</v>
      </c>
      <c r="E121" s="46" t="s">
        <v>376</v>
      </c>
      <c r="F121" s="127" t="s">
        <v>377</v>
      </c>
      <c r="G121" s="47"/>
      <c r="H121" s="49">
        <v>43552</v>
      </c>
      <c r="I121" s="19" t="s">
        <v>370</v>
      </c>
      <c r="J121" s="19">
        <v>0</v>
      </c>
      <c r="K121" s="19">
        <v>10</v>
      </c>
      <c r="L121" s="21">
        <v>10</v>
      </c>
      <c r="M121" s="54"/>
      <c r="N121" s="55"/>
      <c r="O121" s="56"/>
      <c r="P121" s="56"/>
      <c r="Q121" s="57"/>
      <c r="R121" s="58"/>
      <c r="S121" s="57"/>
      <c r="T121" s="57"/>
      <c r="U121" s="57"/>
      <c r="V121" s="57"/>
      <c r="W121" s="57"/>
      <c r="X121" s="57"/>
      <c r="Y121" s="57"/>
      <c r="Z121" s="56"/>
      <c r="AA121" s="59"/>
      <c r="AB121" s="60"/>
      <c r="AC121" s="59"/>
      <c r="AD121" s="80"/>
      <c r="AE121" s="81"/>
      <c r="AF121" s="82"/>
      <c r="AG121" s="61"/>
      <c r="AH121" s="59"/>
      <c r="AI121" s="62"/>
      <c r="AJ121" s="63"/>
      <c r="AK121" s="83"/>
      <c r="AL121" s="60"/>
      <c r="AM121" s="90"/>
      <c r="AN121" s="60"/>
      <c r="AO121" s="91"/>
      <c r="AP121" s="82"/>
      <c r="AQ121" s="61"/>
      <c r="AR121" s="59"/>
      <c r="AS121" s="62"/>
      <c r="AT121" s="60"/>
      <c r="AU121" s="60"/>
      <c r="AV121" s="4"/>
      <c r="AW121" s="90"/>
      <c r="AX121" s="60"/>
      <c r="AY121" s="91"/>
      <c r="AZ121" s="82"/>
      <c r="BA121" s="61"/>
      <c r="BB121" s="59"/>
      <c r="BC121" s="62"/>
      <c r="BD121" s="81"/>
      <c r="BE121" s="60"/>
      <c r="BF121" s="60"/>
      <c r="BG121" s="90"/>
      <c r="BH121" s="60">
        <v>450330</v>
      </c>
      <c r="BI121" s="27">
        <v>4</v>
      </c>
      <c r="BJ121" s="82"/>
      <c r="BK121" s="28">
        <v>10</v>
      </c>
      <c r="BL121" s="27">
        <v>22516.5</v>
      </c>
      <c r="BM121" s="30">
        <v>427813.5</v>
      </c>
      <c r="BN121" s="30">
        <v>468.83671232876713</v>
      </c>
      <c r="BO121" s="35">
        <v>449861.16328767122</v>
      </c>
      <c r="BP121" s="4"/>
      <c r="BQ121" s="90">
        <v>449861.16328767122</v>
      </c>
      <c r="BR121" s="60"/>
      <c r="BS121" s="27"/>
      <c r="BT121" s="28">
        <v>8.21917808219178E-3</v>
      </c>
      <c r="BU121" s="29">
        <v>9.9917808219178088</v>
      </c>
      <c r="BV121" s="27">
        <v>22516.5</v>
      </c>
      <c r="BW121" s="30">
        <v>427344.66328767122</v>
      </c>
      <c r="BX121" s="34">
        <v>42769.619440636139</v>
      </c>
      <c r="BY121" s="35">
        <v>407091.54384703509</v>
      </c>
      <c r="BZ121" s="4"/>
      <c r="CA121" s="81">
        <v>407091.54384703509</v>
      </c>
      <c r="CB121" s="60"/>
      <c r="CC121" s="27"/>
      <c r="CD121" s="28">
        <v>1.010958904109589</v>
      </c>
      <c r="CE121" s="29">
        <v>8.9890410958904106</v>
      </c>
      <c r="CF121" s="27">
        <v>22516.5</v>
      </c>
      <c r="CG121" s="30">
        <v>384575.04384703509</v>
      </c>
      <c r="CH121" s="31">
        <v>42769.619440636139</v>
      </c>
      <c r="CI121" s="35">
        <v>364321.92440639896</v>
      </c>
      <c r="CJ121" s="4"/>
      <c r="CK121" s="36">
        <v>341805.42440639896</v>
      </c>
      <c r="CL121" s="35">
        <v>364321.92440639896</v>
      </c>
      <c r="CM121" s="60"/>
      <c r="CN121" s="27"/>
      <c r="CO121" s="28">
        <v>2.010958904109589</v>
      </c>
      <c r="CP121" s="29">
        <v>7.9890410958904106</v>
      </c>
      <c r="CQ121" s="27">
        <v>22516.5</v>
      </c>
      <c r="CR121" s="34">
        <v>341805.42440639896</v>
      </c>
      <c r="CS121" s="34">
        <v>42769.619440636139</v>
      </c>
      <c r="CT121" s="35">
        <v>321552.30496576283</v>
      </c>
      <c r="CU121" s="4"/>
      <c r="CV121" s="37">
        <v>299035.80496576283</v>
      </c>
      <c r="CW121" s="35">
        <v>321552.30496576283</v>
      </c>
      <c r="CX121" s="60"/>
      <c r="CY121" s="27"/>
      <c r="CZ121" s="28">
        <v>4.0109589041095894</v>
      </c>
      <c r="DA121" s="29">
        <v>5.9890410958904106</v>
      </c>
      <c r="DB121" s="27">
        <v>22516.5</v>
      </c>
      <c r="DC121" s="34">
        <v>299035.80496576283</v>
      </c>
      <c r="DD121" s="34">
        <v>42769.619440636139</v>
      </c>
      <c r="DE121" s="35">
        <v>278782.6855251267</v>
      </c>
      <c r="DG121" s="35">
        <v>450330</v>
      </c>
      <c r="DH121" s="35">
        <v>171547.3144748733</v>
      </c>
      <c r="DI121" s="35">
        <f t="shared" si="4"/>
        <v>278782.6855251267</v>
      </c>
      <c r="DJ121" s="132">
        <f t="shared" si="5"/>
        <v>278782.6855251267</v>
      </c>
      <c r="DK121" s="132">
        <f t="shared" si="6"/>
        <v>0</v>
      </c>
      <c r="DL121" s="132">
        <f t="shared" si="7"/>
        <v>0</v>
      </c>
    </row>
    <row r="122" spans="2:116" ht="30.75" customHeight="1" x14ac:dyDescent="0.25">
      <c r="B122" s="94" t="s">
        <v>4</v>
      </c>
      <c r="C122" s="46" t="s">
        <v>332</v>
      </c>
      <c r="D122" s="46" t="s">
        <v>101</v>
      </c>
      <c r="E122" s="46" t="s">
        <v>381</v>
      </c>
      <c r="F122" s="127" t="s">
        <v>382</v>
      </c>
      <c r="G122" s="47"/>
      <c r="H122" s="49">
        <v>43556</v>
      </c>
      <c r="I122" s="51" t="s">
        <v>380</v>
      </c>
      <c r="J122" s="51">
        <v>0</v>
      </c>
      <c r="K122" s="51">
        <v>10</v>
      </c>
      <c r="L122" s="53">
        <v>10</v>
      </c>
      <c r="M122" s="54"/>
      <c r="N122" s="55"/>
      <c r="O122" s="56"/>
      <c r="P122" s="56"/>
      <c r="Q122" s="57"/>
      <c r="R122" s="58"/>
      <c r="S122" s="57"/>
      <c r="T122" s="57"/>
      <c r="U122" s="57"/>
      <c r="V122" s="57"/>
      <c r="W122" s="57"/>
      <c r="X122" s="57"/>
      <c r="Y122" s="57"/>
      <c r="Z122" s="56"/>
      <c r="AA122" s="59"/>
      <c r="AB122" s="60"/>
      <c r="AC122" s="59"/>
      <c r="AD122" s="80"/>
      <c r="AE122" s="81"/>
      <c r="AF122" s="82"/>
      <c r="AG122" s="61"/>
      <c r="AH122" s="59"/>
      <c r="AI122" s="62"/>
      <c r="AJ122" s="63"/>
      <c r="AK122" s="83"/>
      <c r="AL122" s="60"/>
      <c r="AM122" s="90"/>
      <c r="AN122" s="60"/>
      <c r="AO122" s="91"/>
      <c r="AP122" s="82"/>
      <c r="AQ122" s="61"/>
      <c r="AR122" s="59"/>
      <c r="AS122" s="62"/>
      <c r="AT122" s="60"/>
      <c r="AU122" s="60"/>
      <c r="AV122" s="4"/>
      <c r="AW122" s="90"/>
      <c r="AX122" s="60"/>
      <c r="AY122" s="91"/>
      <c r="AZ122" s="82"/>
      <c r="BA122" s="61"/>
      <c r="BB122" s="59"/>
      <c r="BC122" s="62"/>
      <c r="BD122" s="81"/>
      <c r="BE122" s="60"/>
      <c r="BF122" s="60"/>
      <c r="BG122" s="90"/>
      <c r="BH122" s="60"/>
      <c r="BI122" s="59"/>
      <c r="BJ122" s="82"/>
      <c r="BK122" s="82"/>
      <c r="BL122" s="59"/>
      <c r="BM122" s="62"/>
      <c r="BN122" s="62"/>
      <c r="BO122" s="81"/>
      <c r="BP122" s="4"/>
      <c r="BQ122" s="90"/>
      <c r="BR122" s="81">
        <v>314670</v>
      </c>
      <c r="BS122" s="59">
        <v>366</v>
      </c>
      <c r="BT122" s="82"/>
      <c r="BU122" s="61">
        <v>10</v>
      </c>
      <c r="BV122" s="81">
        <v>15733.5</v>
      </c>
      <c r="BW122" s="62">
        <v>298936.5</v>
      </c>
      <c r="BX122" s="95">
        <v>29975.550410958906</v>
      </c>
      <c r="BY122" s="81">
        <v>284694.44958904112</v>
      </c>
      <c r="BZ122" s="4"/>
      <c r="CA122" s="81">
        <v>284694.44958904112</v>
      </c>
      <c r="CB122" s="81"/>
      <c r="CC122" s="59"/>
      <c r="CD122" s="28">
        <v>1</v>
      </c>
      <c r="CE122" s="28">
        <v>9</v>
      </c>
      <c r="CF122" s="59">
        <v>15733.5</v>
      </c>
      <c r="CG122" s="59">
        <v>268960.94958904112</v>
      </c>
      <c r="CH122" s="95">
        <v>29884.549954337901</v>
      </c>
      <c r="CI122" s="95">
        <v>254809.89963470321</v>
      </c>
      <c r="CJ122" s="4"/>
      <c r="CK122" s="36">
        <v>239076.39963470321</v>
      </c>
      <c r="CL122" s="35">
        <v>254809.89963470321</v>
      </c>
      <c r="CM122" s="81"/>
      <c r="CN122" s="59"/>
      <c r="CO122" s="28">
        <v>2</v>
      </c>
      <c r="CP122" s="29">
        <v>8</v>
      </c>
      <c r="CQ122" s="27">
        <v>15733.5</v>
      </c>
      <c r="CR122" s="34">
        <v>239076.39963470321</v>
      </c>
      <c r="CS122" s="34">
        <v>29884.549954337901</v>
      </c>
      <c r="CT122" s="35">
        <v>224925.3496803653</v>
      </c>
      <c r="CU122" s="4"/>
      <c r="CV122" s="37">
        <v>209191.8496803653</v>
      </c>
      <c r="CW122" s="35">
        <v>224925.3496803653</v>
      </c>
      <c r="CX122" s="81"/>
      <c r="CY122" s="59"/>
      <c r="CZ122" s="28">
        <v>4</v>
      </c>
      <c r="DA122" s="29">
        <v>6</v>
      </c>
      <c r="DB122" s="27">
        <v>15733.5</v>
      </c>
      <c r="DC122" s="34">
        <v>209191.8496803653</v>
      </c>
      <c r="DD122" s="34">
        <v>29884.549954337901</v>
      </c>
      <c r="DE122" s="35">
        <v>195040.79972602738</v>
      </c>
      <c r="DG122" s="35">
        <v>314670</v>
      </c>
      <c r="DH122" s="35">
        <v>119629.2002739726</v>
      </c>
      <c r="DI122" s="35">
        <f t="shared" si="4"/>
        <v>195040.79972602741</v>
      </c>
      <c r="DJ122" s="132">
        <f t="shared" si="5"/>
        <v>195040.79972602741</v>
      </c>
      <c r="DK122" s="132">
        <f t="shared" si="6"/>
        <v>0</v>
      </c>
      <c r="DL122" s="132">
        <f t="shared" si="7"/>
        <v>0</v>
      </c>
    </row>
    <row r="123" spans="2:116" ht="30" customHeight="1" x14ac:dyDescent="0.25">
      <c r="B123" s="94" t="s">
        <v>4</v>
      </c>
      <c r="C123" s="46" t="s">
        <v>332</v>
      </c>
      <c r="D123" s="46" t="s">
        <v>101</v>
      </c>
      <c r="E123" s="46" t="s">
        <v>383</v>
      </c>
      <c r="F123" s="127" t="s">
        <v>384</v>
      </c>
      <c r="G123" s="47"/>
      <c r="H123" s="49">
        <v>44252</v>
      </c>
      <c r="I123" s="51" t="s">
        <v>385</v>
      </c>
      <c r="J123" s="51">
        <v>0</v>
      </c>
      <c r="K123" s="51">
        <v>10</v>
      </c>
      <c r="L123" s="53">
        <v>10</v>
      </c>
      <c r="M123" s="54"/>
      <c r="N123" s="55"/>
      <c r="O123" s="56"/>
      <c r="P123" s="56"/>
      <c r="Q123" s="57"/>
      <c r="R123" s="58"/>
      <c r="S123" s="57"/>
      <c r="T123" s="57"/>
      <c r="U123" s="57"/>
      <c r="V123" s="57"/>
      <c r="W123" s="57"/>
      <c r="X123" s="57"/>
      <c r="Y123" s="57"/>
      <c r="Z123" s="56"/>
      <c r="AA123" s="59"/>
      <c r="AB123" s="60"/>
      <c r="AC123" s="59"/>
      <c r="AD123" s="80"/>
      <c r="AE123" s="81"/>
      <c r="AF123" s="82"/>
      <c r="AG123" s="61"/>
      <c r="AH123" s="59"/>
      <c r="AI123" s="62"/>
      <c r="AJ123" s="63"/>
      <c r="AK123" s="83"/>
      <c r="AL123" s="60"/>
      <c r="AM123" s="90"/>
      <c r="AN123" s="60"/>
      <c r="AO123" s="91"/>
      <c r="AP123" s="82"/>
      <c r="AQ123" s="61"/>
      <c r="AR123" s="59"/>
      <c r="AS123" s="62"/>
      <c r="AT123" s="60"/>
      <c r="AU123" s="60"/>
      <c r="AV123" s="4"/>
      <c r="AW123" s="90"/>
      <c r="AX123" s="60"/>
      <c r="AY123" s="91"/>
      <c r="AZ123" s="82"/>
      <c r="BA123" s="61"/>
      <c r="BB123" s="59"/>
      <c r="BC123" s="62"/>
      <c r="BD123" s="81"/>
      <c r="BE123" s="60"/>
      <c r="BF123" s="60"/>
      <c r="BG123" s="90"/>
      <c r="BH123" s="60"/>
      <c r="BI123" s="59"/>
      <c r="BJ123" s="82"/>
      <c r="BK123" s="82"/>
      <c r="BL123" s="59"/>
      <c r="BM123" s="62"/>
      <c r="BN123" s="62"/>
      <c r="BO123" s="81"/>
      <c r="BP123" s="4"/>
      <c r="BQ123" s="90"/>
      <c r="BR123" s="81"/>
      <c r="BS123" s="59"/>
      <c r="BT123" s="82"/>
      <c r="BU123" s="61"/>
      <c r="BV123" s="81"/>
      <c r="BW123" s="62"/>
      <c r="BX123" s="95"/>
      <c r="BY123" s="81"/>
      <c r="BZ123" s="4"/>
      <c r="CA123" s="81"/>
      <c r="CB123" s="81">
        <v>320000</v>
      </c>
      <c r="CC123" s="59">
        <v>35</v>
      </c>
      <c r="CD123" s="28"/>
      <c r="CE123" s="28">
        <v>10</v>
      </c>
      <c r="CF123" s="59">
        <v>16000</v>
      </c>
      <c r="CG123" s="59">
        <v>304000</v>
      </c>
      <c r="CH123" s="95">
        <v>2915.0684931506853</v>
      </c>
      <c r="CI123" s="133">
        <v>317084.9315068493</v>
      </c>
      <c r="CJ123" s="4"/>
      <c r="CK123" s="36"/>
      <c r="CL123" s="35">
        <v>317084.9315068493</v>
      </c>
      <c r="CM123" s="81"/>
      <c r="CN123" s="59"/>
      <c r="CO123" s="28">
        <v>9.3150684931506855E-2</v>
      </c>
      <c r="CP123" s="29">
        <v>9.9068493150684933</v>
      </c>
      <c r="CQ123" s="27">
        <v>16000</v>
      </c>
      <c r="CR123" s="34">
        <v>301084.9315068493</v>
      </c>
      <c r="CS123" s="34">
        <v>30391.592920353982</v>
      </c>
      <c r="CT123" s="35">
        <v>286693.33858649532</v>
      </c>
      <c r="CU123" s="4"/>
      <c r="CV123" s="37">
        <v>270693.33858649532</v>
      </c>
      <c r="CW123" s="35">
        <v>286693.33858649532</v>
      </c>
      <c r="CX123" s="81"/>
      <c r="CY123" s="59"/>
      <c r="CZ123" s="28">
        <v>2.0931506849315067</v>
      </c>
      <c r="DA123" s="29">
        <v>7.9068493150684933</v>
      </c>
      <c r="DB123" s="27">
        <v>16000</v>
      </c>
      <c r="DC123" s="34">
        <v>270693.33858649532</v>
      </c>
      <c r="DD123" s="34">
        <v>30391.592920353982</v>
      </c>
      <c r="DE123" s="35">
        <v>256301.74566614133</v>
      </c>
      <c r="DG123" s="35">
        <v>320000</v>
      </c>
      <c r="DH123" s="35">
        <v>63698.254333858655</v>
      </c>
      <c r="DI123" s="35">
        <f t="shared" si="4"/>
        <v>256301.74566614133</v>
      </c>
      <c r="DJ123" s="132">
        <f t="shared" si="5"/>
        <v>256301.74566614133</v>
      </c>
      <c r="DK123" s="132">
        <f t="shared" si="6"/>
        <v>0</v>
      </c>
      <c r="DL123" s="132">
        <f t="shared" si="7"/>
        <v>0</v>
      </c>
    </row>
    <row r="124" spans="2:116" ht="17.25" customHeight="1" x14ac:dyDescent="0.25">
      <c r="B124" s="94" t="s">
        <v>4</v>
      </c>
      <c r="C124" s="46" t="s">
        <v>332</v>
      </c>
      <c r="D124" s="46" t="s">
        <v>101</v>
      </c>
      <c r="E124" s="46" t="s">
        <v>389</v>
      </c>
      <c r="F124" s="127" t="s">
        <v>390</v>
      </c>
      <c r="G124" s="47"/>
      <c r="H124" s="49">
        <v>44363</v>
      </c>
      <c r="I124" s="51" t="s">
        <v>388</v>
      </c>
      <c r="J124" s="51">
        <v>0</v>
      </c>
      <c r="K124" s="51">
        <v>10</v>
      </c>
      <c r="L124" s="53">
        <v>10</v>
      </c>
      <c r="M124" s="54"/>
      <c r="N124" s="55"/>
      <c r="O124" s="56"/>
      <c r="P124" s="56"/>
      <c r="Q124" s="57"/>
      <c r="R124" s="58"/>
      <c r="S124" s="57"/>
      <c r="T124" s="57"/>
      <c r="U124" s="57"/>
      <c r="V124" s="57"/>
      <c r="W124" s="57"/>
      <c r="X124" s="57"/>
      <c r="Y124" s="57"/>
      <c r="Z124" s="56"/>
      <c r="AA124" s="59"/>
      <c r="AB124" s="60"/>
      <c r="AC124" s="59"/>
      <c r="AD124" s="80"/>
      <c r="AE124" s="81"/>
      <c r="AF124" s="82"/>
      <c r="AG124" s="61"/>
      <c r="AH124" s="59"/>
      <c r="AI124" s="62"/>
      <c r="AJ124" s="63"/>
      <c r="AK124" s="83"/>
      <c r="AL124" s="60"/>
      <c r="AM124" s="90"/>
      <c r="AN124" s="60"/>
      <c r="AO124" s="91"/>
      <c r="AP124" s="82"/>
      <c r="AQ124" s="61"/>
      <c r="AR124" s="59"/>
      <c r="AS124" s="62"/>
      <c r="AT124" s="60"/>
      <c r="AU124" s="60"/>
      <c r="AV124" s="4"/>
      <c r="AW124" s="90"/>
      <c r="AX124" s="60"/>
      <c r="AY124" s="91"/>
      <c r="AZ124" s="82"/>
      <c r="BA124" s="61"/>
      <c r="BB124" s="59"/>
      <c r="BC124" s="62"/>
      <c r="BD124" s="81"/>
      <c r="BE124" s="60"/>
      <c r="BF124" s="60"/>
      <c r="BG124" s="90"/>
      <c r="BH124" s="60"/>
      <c r="BI124" s="59"/>
      <c r="BJ124" s="82"/>
      <c r="BK124" s="82"/>
      <c r="BL124" s="59"/>
      <c r="BM124" s="62"/>
      <c r="BN124" s="62"/>
      <c r="BO124" s="81"/>
      <c r="BP124" s="4"/>
      <c r="BQ124" s="90"/>
      <c r="BR124" s="81"/>
      <c r="BS124" s="59"/>
      <c r="BT124" s="82"/>
      <c r="BU124" s="61"/>
      <c r="BV124" s="81"/>
      <c r="BW124" s="62"/>
      <c r="BX124" s="95"/>
      <c r="BY124" s="81"/>
      <c r="BZ124" s="4"/>
      <c r="CA124" s="81"/>
      <c r="CB124" s="81"/>
      <c r="CC124" s="59"/>
      <c r="CD124" s="28"/>
      <c r="CE124" s="28"/>
      <c r="CF124" s="59"/>
      <c r="CG124" s="59"/>
      <c r="CH124" s="95"/>
      <c r="CI124" s="95"/>
      <c r="CJ124" s="4"/>
      <c r="CK124" s="36"/>
      <c r="CL124" s="35"/>
      <c r="CM124" s="81">
        <v>29900</v>
      </c>
      <c r="CN124" s="59">
        <v>289</v>
      </c>
      <c r="CO124" s="28"/>
      <c r="CP124" s="29">
        <v>10</v>
      </c>
      <c r="CQ124" s="27">
        <v>1495</v>
      </c>
      <c r="CR124" s="34">
        <v>28405</v>
      </c>
      <c r="CS124" s="34">
        <f>2249.05342465753</f>
        <v>2249.0534246575298</v>
      </c>
      <c r="CT124" s="35">
        <v>27650.946575342467</v>
      </c>
      <c r="CU124" s="4"/>
      <c r="CV124" s="37">
        <v>26155.946575342467</v>
      </c>
      <c r="CW124" s="35">
        <v>27650.946575342467</v>
      </c>
      <c r="CX124" s="81"/>
      <c r="CY124" s="59"/>
      <c r="CZ124" s="28">
        <v>1.789041095890411</v>
      </c>
      <c r="DA124" s="29">
        <v>8.2109589041095887</v>
      </c>
      <c r="DB124" s="27">
        <v>1307.7973287671234</v>
      </c>
      <c r="DC124" s="34">
        <v>24848.149246575344</v>
      </c>
      <c r="DD124" s="34">
        <v>3026.2177093760429</v>
      </c>
      <c r="DE124" s="35">
        <f>CW124-DD124</f>
        <v>24624.728865966423</v>
      </c>
      <c r="DG124" s="35">
        <v>29900</v>
      </c>
      <c r="DH124" s="35">
        <v>5275.2711340335727</v>
      </c>
      <c r="DI124" s="35">
        <f t="shared" si="4"/>
        <v>24624.728865966426</v>
      </c>
      <c r="DJ124" s="132">
        <f t="shared" si="5"/>
        <v>24624.728865966426</v>
      </c>
      <c r="DK124" s="132">
        <f t="shared" si="6"/>
        <v>0</v>
      </c>
      <c r="DL124" s="132">
        <f t="shared" si="7"/>
        <v>0</v>
      </c>
    </row>
    <row r="125" spans="2:116" ht="30" customHeight="1" x14ac:dyDescent="0.25">
      <c r="B125" s="94" t="s">
        <v>4</v>
      </c>
      <c r="C125" s="46" t="s">
        <v>332</v>
      </c>
      <c r="D125" s="46" t="s">
        <v>101</v>
      </c>
      <c r="E125" s="46" t="s">
        <v>383</v>
      </c>
      <c r="F125" s="127" t="s">
        <v>384</v>
      </c>
      <c r="G125" s="47"/>
      <c r="H125" s="49">
        <v>44379</v>
      </c>
      <c r="I125" s="51" t="s">
        <v>388</v>
      </c>
      <c r="J125" s="51">
        <v>0</v>
      </c>
      <c r="K125" s="51">
        <v>10</v>
      </c>
      <c r="L125" s="53">
        <v>10</v>
      </c>
      <c r="M125" s="54"/>
      <c r="N125" s="55"/>
      <c r="O125" s="56"/>
      <c r="P125" s="56"/>
      <c r="Q125" s="57"/>
      <c r="R125" s="58"/>
      <c r="S125" s="57"/>
      <c r="T125" s="57"/>
      <c r="U125" s="57"/>
      <c r="V125" s="57"/>
      <c r="W125" s="57"/>
      <c r="X125" s="57"/>
      <c r="Y125" s="57"/>
      <c r="Z125" s="56"/>
      <c r="AA125" s="59"/>
      <c r="AB125" s="60"/>
      <c r="AC125" s="59"/>
      <c r="AD125" s="80"/>
      <c r="AE125" s="81"/>
      <c r="AF125" s="82"/>
      <c r="AG125" s="61"/>
      <c r="AH125" s="59"/>
      <c r="AI125" s="62"/>
      <c r="AJ125" s="63"/>
      <c r="AK125" s="83"/>
      <c r="AL125" s="60"/>
      <c r="AM125" s="90"/>
      <c r="AN125" s="60"/>
      <c r="AO125" s="91"/>
      <c r="AP125" s="82"/>
      <c r="AQ125" s="61"/>
      <c r="AR125" s="59"/>
      <c r="AS125" s="62"/>
      <c r="AT125" s="60"/>
      <c r="AU125" s="60"/>
      <c r="AV125" s="4"/>
      <c r="AW125" s="90"/>
      <c r="AX125" s="60"/>
      <c r="AY125" s="91"/>
      <c r="AZ125" s="82"/>
      <c r="BA125" s="61"/>
      <c r="BB125" s="59"/>
      <c r="BC125" s="62"/>
      <c r="BD125" s="81"/>
      <c r="BE125" s="60"/>
      <c r="BF125" s="60"/>
      <c r="BG125" s="90"/>
      <c r="BH125" s="60"/>
      <c r="BI125" s="59"/>
      <c r="BJ125" s="82"/>
      <c r="BK125" s="82"/>
      <c r="BL125" s="59"/>
      <c r="BM125" s="62"/>
      <c r="BN125" s="62"/>
      <c r="BO125" s="81"/>
      <c r="BP125" s="4"/>
      <c r="BQ125" s="90"/>
      <c r="BR125" s="81"/>
      <c r="BS125" s="59"/>
      <c r="BT125" s="82"/>
      <c r="BU125" s="61"/>
      <c r="BV125" s="81"/>
      <c r="BW125" s="62"/>
      <c r="BX125" s="95"/>
      <c r="BY125" s="81"/>
      <c r="BZ125" s="4"/>
      <c r="CA125" s="81"/>
      <c r="CB125" s="81"/>
      <c r="CC125" s="59"/>
      <c r="CD125" s="28"/>
      <c r="CE125" s="28"/>
      <c r="CF125" s="59"/>
      <c r="CG125" s="59"/>
      <c r="CH125" s="95"/>
      <c r="CI125" s="95"/>
      <c r="CJ125" s="4"/>
      <c r="CK125" s="36"/>
      <c r="CL125" s="35"/>
      <c r="CM125" s="81">
        <v>320000</v>
      </c>
      <c r="CN125" s="59">
        <v>273</v>
      </c>
      <c r="CO125" s="28"/>
      <c r="CP125" s="29">
        <v>10</v>
      </c>
      <c r="CQ125" s="27">
        <v>16000</v>
      </c>
      <c r="CR125" s="34">
        <v>304000</v>
      </c>
      <c r="CS125" s="34">
        <f>22737.5342465753</f>
        <v>22737.534246575298</v>
      </c>
      <c r="CT125" s="35">
        <v>297262.46575342468</v>
      </c>
      <c r="CU125" s="4"/>
      <c r="CV125" s="37">
        <v>281262.46575342468</v>
      </c>
      <c r="CW125" s="35">
        <v>297262.46575342468</v>
      </c>
      <c r="CX125" s="81"/>
      <c r="CY125" s="59"/>
      <c r="CZ125" s="28">
        <v>1.7452054794520548</v>
      </c>
      <c r="DA125" s="29">
        <v>8.2547945205479447</v>
      </c>
      <c r="DB125" s="27">
        <v>14063.123287671235</v>
      </c>
      <c r="DC125" s="34">
        <v>267199.34246575343</v>
      </c>
      <c r="DD125" s="34">
        <v>32368.987719880522</v>
      </c>
      <c r="DE125" s="35">
        <f>CW125-DD125</f>
        <v>264893.47803354415</v>
      </c>
      <c r="DG125" s="35">
        <v>320000</v>
      </c>
      <c r="DH125" s="35">
        <v>55106.521966455824</v>
      </c>
      <c r="DI125" s="35">
        <f t="shared" si="4"/>
        <v>264893.47803354415</v>
      </c>
      <c r="DJ125" s="132">
        <f t="shared" si="5"/>
        <v>264893.47803354415</v>
      </c>
      <c r="DK125" s="132">
        <f t="shared" si="6"/>
        <v>0</v>
      </c>
      <c r="DL125" s="132">
        <f>DE125-DJ125</f>
        <v>0</v>
      </c>
    </row>
    <row r="126" spans="2:116" ht="17.25" customHeight="1" x14ac:dyDescent="0.25">
      <c r="B126" s="94" t="s">
        <v>4</v>
      </c>
      <c r="C126" s="46" t="s">
        <v>332</v>
      </c>
      <c r="D126" s="46" t="s">
        <v>101</v>
      </c>
      <c r="E126" s="46" t="s">
        <v>391</v>
      </c>
      <c r="F126" s="127" t="s">
        <v>392</v>
      </c>
      <c r="G126" s="47"/>
      <c r="H126" s="49">
        <v>44683</v>
      </c>
      <c r="I126" s="51" t="s">
        <v>393</v>
      </c>
      <c r="J126" s="51">
        <v>0</v>
      </c>
      <c r="K126" s="51">
        <v>10</v>
      </c>
      <c r="L126" s="53">
        <v>10</v>
      </c>
      <c r="M126" s="54"/>
      <c r="N126" s="55"/>
      <c r="O126" s="56"/>
      <c r="P126" s="56"/>
      <c r="Q126" s="57"/>
      <c r="R126" s="58"/>
      <c r="S126" s="57"/>
      <c r="T126" s="57"/>
      <c r="U126" s="57"/>
      <c r="V126" s="57"/>
      <c r="W126" s="57"/>
      <c r="X126" s="57"/>
      <c r="Y126" s="57"/>
      <c r="Z126" s="56"/>
      <c r="AA126" s="59"/>
      <c r="AB126" s="60"/>
      <c r="AC126" s="59"/>
      <c r="AD126" s="80"/>
      <c r="AE126" s="81"/>
      <c r="AF126" s="82"/>
      <c r="AG126" s="61"/>
      <c r="AH126" s="59"/>
      <c r="AI126" s="62"/>
      <c r="AJ126" s="63"/>
      <c r="AK126" s="83"/>
      <c r="AL126" s="60"/>
      <c r="AM126" s="90"/>
      <c r="AN126" s="60"/>
      <c r="AO126" s="91"/>
      <c r="AP126" s="82"/>
      <c r="AQ126" s="61"/>
      <c r="AR126" s="59"/>
      <c r="AS126" s="62"/>
      <c r="AT126" s="60"/>
      <c r="AU126" s="60"/>
      <c r="AV126" s="4"/>
      <c r="AW126" s="90"/>
      <c r="AX126" s="60"/>
      <c r="AY126" s="91"/>
      <c r="AZ126" s="82"/>
      <c r="BA126" s="61"/>
      <c r="BB126" s="59"/>
      <c r="BC126" s="62"/>
      <c r="BD126" s="81"/>
      <c r="BE126" s="60"/>
      <c r="BF126" s="60"/>
      <c r="BG126" s="90"/>
      <c r="BH126" s="60"/>
      <c r="BI126" s="59"/>
      <c r="BJ126" s="82"/>
      <c r="BK126" s="82"/>
      <c r="BL126" s="59"/>
      <c r="BM126" s="62"/>
      <c r="BN126" s="62"/>
      <c r="BO126" s="81"/>
      <c r="BP126" s="4"/>
      <c r="BQ126" s="90"/>
      <c r="BR126" s="81"/>
      <c r="BS126" s="59"/>
      <c r="BT126" s="82"/>
      <c r="BU126" s="61"/>
      <c r="BV126" s="81"/>
      <c r="BW126" s="62"/>
      <c r="BX126" s="95"/>
      <c r="BY126" s="81"/>
      <c r="BZ126" s="4"/>
      <c r="CA126" s="81"/>
      <c r="CB126" s="81"/>
      <c r="CC126" s="59"/>
      <c r="CD126" s="28"/>
      <c r="CE126" s="28"/>
      <c r="CF126" s="59"/>
      <c r="CG126" s="59"/>
      <c r="CH126" s="95"/>
      <c r="CI126" s="95"/>
      <c r="CJ126" s="4"/>
      <c r="CK126" s="36"/>
      <c r="CL126" s="35"/>
      <c r="CM126" s="81"/>
      <c r="CN126" s="59"/>
      <c r="CO126" s="28"/>
      <c r="CP126" s="29"/>
      <c r="CQ126" s="27"/>
      <c r="CR126" s="34"/>
      <c r="CS126" s="34"/>
      <c r="CT126" s="35"/>
      <c r="CU126" s="4"/>
      <c r="CV126" s="37"/>
      <c r="CW126" s="35"/>
      <c r="CX126" s="81">
        <v>76000</v>
      </c>
      <c r="CY126" s="59">
        <v>334</v>
      </c>
      <c r="CZ126" s="28">
        <v>0.9123287671232877</v>
      </c>
      <c r="DA126" s="29">
        <v>9.087671232876712</v>
      </c>
      <c r="DB126" s="27">
        <v>3800</v>
      </c>
      <c r="DC126" s="34">
        <v>72200</v>
      </c>
      <c r="DD126" s="34">
        <v>7270.0633102200782</v>
      </c>
      <c r="DE126" s="35">
        <v>68729.936689779919</v>
      </c>
      <c r="DG126" s="35">
        <v>76000</v>
      </c>
      <c r="DH126" s="35">
        <v>7270.0633102200782</v>
      </c>
      <c r="DI126" s="35">
        <f t="shared" si="4"/>
        <v>68729.936689779919</v>
      </c>
      <c r="DJ126" s="132">
        <f t="shared" si="5"/>
        <v>68729.936689779919</v>
      </c>
      <c r="DK126" s="132">
        <f t="shared" si="6"/>
        <v>0</v>
      </c>
      <c r="DL126" s="132">
        <f t="shared" si="7"/>
        <v>0</v>
      </c>
    </row>
    <row r="127" spans="2:116" ht="30" customHeight="1" x14ac:dyDescent="0.25">
      <c r="B127" s="94" t="s">
        <v>4</v>
      </c>
      <c r="C127" s="46" t="s">
        <v>332</v>
      </c>
      <c r="D127" s="46" t="s">
        <v>101</v>
      </c>
      <c r="E127" s="46" t="s">
        <v>394</v>
      </c>
      <c r="F127" s="127" t="s">
        <v>395</v>
      </c>
      <c r="G127" s="47"/>
      <c r="H127" s="49">
        <v>44697</v>
      </c>
      <c r="I127" s="51" t="s">
        <v>393</v>
      </c>
      <c r="J127" s="51">
        <v>0</v>
      </c>
      <c r="K127" s="51">
        <v>10</v>
      </c>
      <c r="L127" s="53">
        <v>10</v>
      </c>
      <c r="M127" s="54"/>
      <c r="N127" s="55"/>
      <c r="O127" s="56"/>
      <c r="P127" s="56"/>
      <c r="Q127" s="57"/>
      <c r="R127" s="58"/>
      <c r="S127" s="57"/>
      <c r="T127" s="57"/>
      <c r="U127" s="57"/>
      <c r="V127" s="57"/>
      <c r="W127" s="57"/>
      <c r="X127" s="57"/>
      <c r="Y127" s="57"/>
      <c r="Z127" s="56"/>
      <c r="AA127" s="59"/>
      <c r="AB127" s="60"/>
      <c r="AC127" s="59"/>
      <c r="AD127" s="80"/>
      <c r="AE127" s="81"/>
      <c r="AF127" s="82"/>
      <c r="AG127" s="61"/>
      <c r="AH127" s="59"/>
      <c r="AI127" s="62"/>
      <c r="AJ127" s="63"/>
      <c r="AK127" s="83"/>
      <c r="AL127" s="60"/>
      <c r="AM127" s="90"/>
      <c r="AN127" s="60"/>
      <c r="AO127" s="91"/>
      <c r="AP127" s="82"/>
      <c r="AQ127" s="61"/>
      <c r="AR127" s="59"/>
      <c r="AS127" s="62"/>
      <c r="AT127" s="60"/>
      <c r="AU127" s="60"/>
      <c r="AV127" s="4"/>
      <c r="AW127" s="90"/>
      <c r="AX127" s="60"/>
      <c r="AY127" s="91"/>
      <c r="AZ127" s="82"/>
      <c r="BA127" s="61"/>
      <c r="BB127" s="59"/>
      <c r="BC127" s="62"/>
      <c r="BD127" s="81"/>
      <c r="BE127" s="60"/>
      <c r="BF127" s="60"/>
      <c r="BG127" s="90"/>
      <c r="BH127" s="60"/>
      <c r="BI127" s="59"/>
      <c r="BJ127" s="82"/>
      <c r="BK127" s="82"/>
      <c r="BL127" s="59"/>
      <c r="BM127" s="62"/>
      <c r="BN127" s="62"/>
      <c r="BO127" s="81"/>
      <c r="BP127" s="4"/>
      <c r="BQ127" s="90"/>
      <c r="BR127" s="81"/>
      <c r="BS127" s="59"/>
      <c r="BT127" s="82"/>
      <c r="BU127" s="61"/>
      <c r="BV127" s="81"/>
      <c r="BW127" s="62"/>
      <c r="BX127" s="95"/>
      <c r="BY127" s="81"/>
      <c r="BZ127" s="4"/>
      <c r="CA127" s="81"/>
      <c r="CB127" s="81"/>
      <c r="CC127" s="59"/>
      <c r="CD127" s="82"/>
      <c r="CE127" s="82"/>
      <c r="CF127" s="59"/>
      <c r="CG127" s="59"/>
      <c r="CH127" s="95"/>
      <c r="CI127" s="95"/>
      <c r="CJ127" s="4"/>
      <c r="CK127" s="36"/>
      <c r="CL127" s="81"/>
      <c r="CM127" s="81"/>
      <c r="CN127" s="59"/>
      <c r="CO127" s="82"/>
      <c r="CP127" s="61"/>
      <c r="CQ127" s="59"/>
      <c r="CR127" s="95"/>
      <c r="CS127" s="95"/>
      <c r="CT127" s="81"/>
      <c r="CU127" s="4"/>
      <c r="CV127" s="37"/>
      <c r="CW127" s="81"/>
      <c r="CX127" s="81">
        <v>188000</v>
      </c>
      <c r="CY127" s="59">
        <v>320</v>
      </c>
      <c r="CZ127" s="28">
        <v>0.87397260273972599</v>
      </c>
      <c r="DA127" s="29">
        <v>9.1260273972602732</v>
      </c>
      <c r="DB127" s="27">
        <v>9400</v>
      </c>
      <c r="DC127" s="34">
        <v>178600</v>
      </c>
      <c r="DD127" s="34">
        <v>17157.61032722906</v>
      </c>
      <c r="DE127" s="35">
        <v>170842.38967277095</v>
      </c>
      <c r="DG127" s="35">
        <v>188000</v>
      </c>
      <c r="DH127" s="35">
        <v>17157.61032722906</v>
      </c>
      <c r="DI127" s="35">
        <f t="shared" si="4"/>
        <v>170842.38967277095</v>
      </c>
      <c r="DJ127" s="132">
        <f t="shared" si="5"/>
        <v>170842.38967277095</v>
      </c>
      <c r="DK127" s="132">
        <f t="shared" si="6"/>
        <v>0</v>
      </c>
      <c r="DL127" s="132">
        <f t="shared" si="7"/>
        <v>0</v>
      </c>
    </row>
    <row r="128" spans="2:116" ht="17.25" customHeight="1" x14ac:dyDescent="0.25">
      <c r="B128" s="86" t="s">
        <v>4</v>
      </c>
      <c r="C128" s="15" t="s">
        <v>332</v>
      </c>
      <c r="D128" s="15" t="s">
        <v>101</v>
      </c>
      <c r="E128" s="15" t="s">
        <v>398</v>
      </c>
      <c r="F128" s="128" t="s">
        <v>399</v>
      </c>
      <c r="G128" s="42"/>
      <c r="H128" s="17">
        <v>44928</v>
      </c>
      <c r="I128" s="19" t="s">
        <v>393</v>
      </c>
      <c r="J128" s="19"/>
      <c r="K128" s="19">
        <v>10</v>
      </c>
      <c r="L128" s="21">
        <v>10</v>
      </c>
      <c r="M128" s="23"/>
      <c r="N128" s="38"/>
      <c r="O128" s="24"/>
      <c r="P128" s="24"/>
      <c r="Q128" s="25"/>
      <c r="R128" s="26"/>
      <c r="S128" s="25"/>
      <c r="T128" s="25"/>
      <c r="U128" s="25"/>
      <c r="V128" s="25"/>
      <c r="W128" s="25"/>
      <c r="X128" s="25"/>
      <c r="Y128" s="25"/>
      <c r="Z128" s="24"/>
      <c r="AA128" s="27"/>
      <c r="AB128" s="16"/>
      <c r="AC128" s="27"/>
      <c r="AD128" s="65"/>
      <c r="AE128" s="35"/>
      <c r="AF128" s="28"/>
      <c r="AG128" s="29"/>
      <c r="AH128" s="27"/>
      <c r="AI128" s="30"/>
      <c r="AJ128" s="31"/>
      <c r="AK128" s="96"/>
      <c r="AL128" s="16"/>
      <c r="AM128" s="68"/>
      <c r="AN128" s="16"/>
      <c r="AO128" s="84"/>
      <c r="AP128" s="28"/>
      <c r="AQ128" s="29"/>
      <c r="AR128" s="27"/>
      <c r="AS128" s="30"/>
      <c r="AT128" s="16"/>
      <c r="AU128" s="16"/>
      <c r="AV128" s="16"/>
      <c r="AW128" s="68"/>
      <c r="AX128" s="16"/>
      <c r="AY128" s="84"/>
      <c r="AZ128" s="28"/>
      <c r="BA128" s="29"/>
      <c r="BB128" s="27"/>
      <c r="BC128" s="30"/>
      <c r="BD128" s="35"/>
      <c r="BE128" s="16"/>
      <c r="BF128" s="16"/>
      <c r="BG128" s="68"/>
      <c r="BH128" s="16"/>
      <c r="BI128" s="27"/>
      <c r="BJ128" s="28"/>
      <c r="BK128" s="28"/>
      <c r="BL128" s="27"/>
      <c r="BM128" s="30"/>
      <c r="BN128" s="30"/>
      <c r="BO128" s="35"/>
      <c r="BP128" s="16"/>
      <c r="BQ128" s="68"/>
      <c r="BR128" s="35"/>
      <c r="BS128" s="27"/>
      <c r="BT128" s="28"/>
      <c r="BU128" s="29"/>
      <c r="BV128" s="35"/>
      <c r="BW128" s="30"/>
      <c r="BX128" s="34"/>
      <c r="BY128" s="35"/>
      <c r="BZ128" s="16"/>
      <c r="CA128" s="35"/>
      <c r="CB128" s="35"/>
      <c r="CC128" s="27"/>
      <c r="CD128" s="28"/>
      <c r="CE128" s="28"/>
      <c r="CF128" s="27"/>
      <c r="CG128" s="27"/>
      <c r="CH128" s="34"/>
      <c r="CI128" s="34"/>
      <c r="CJ128" s="16"/>
      <c r="CK128" s="27"/>
      <c r="CL128" s="35"/>
      <c r="CM128" s="35"/>
      <c r="CN128" s="27"/>
      <c r="CO128" s="28"/>
      <c r="CP128" s="29"/>
      <c r="CQ128" s="27"/>
      <c r="CR128" s="34"/>
      <c r="CS128" s="34"/>
      <c r="CT128" s="35"/>
      <c r="CU128" s="16"/>
      <c r="CV128" s="35"/>
      <c r="CW128" s="35"/>
      <c r="CX128" s="35">
        <v>99200</v>
      </c>
      <c r="CY128" s="59">
        <v>89</v>
      </c>
      <c r="CZ128" s="28">
        <v>0.24109589041095891</v>
      </c>
      <c r="DA128" s="29">
        <v>9.7589041095890412</v>
      </c>
      <c r="DB128" s="27">
        <v>4960</v>
      </c>
      <c r="DC128" s="34">
        <v>94240</v>
      </c>
      <c r="DD128" s="34">
        <v>2354.6771476698486</v>
      </c>
      <c r="DE128" s="35">
        <v>96845.322852330151</v>
      </c>
      <c r="DG128" s="35">
        <v>99200</v>
      </c>
      <c r="DH128" s="35">
        <v>2354.6771476698486</v>
      </c>
      <c r="DI128" s="35">
        <f t="shared" si="4"/>
        <v>96845.322852330151</v>
      </c>
      <c r="DJ128" s="132">
        <f t="shared" si="5"/>
        <v>96845.322852330151</v>
      </c>
      <c r="DK128" s="132">
        <f t="shared" si="6"/>
        <v>0</v>
      </c>
      <c r="DL128" s="132">
        <f t="shared" si="7"/>
        <v>0</v>
      </c>
    </row>
    <row r="129" spans="2:116" ht="17.25" customHeight="1" x14ac:dyDescent="0.25">
      <c r="B129" s="86" t="s">
        <v>4</v>
      </c>
      <c r="C129" s="15" t="s">
        <v>332</v>
      </c>
      <c r="D129" s="15" t="s">
        <v>101</v>
      </c>
      <c r="E129" s="15" t="s">
        <v>404</v>
      </c>
      <c r="F129" s="128" t="s">
        <v>405</v>
      </c>
      <c r="G129" s="42"/>
      <c r="H129" s="17">
        <v>44984</v>
      </c>
      <c r="I129" s="19" t="s">
        <v>393</v>
      </c>
      <c r="J129" s="19"/>
      <c r="K129" s="19">
        <v>10</v>
      </c>
      <c r="L129" s="21">
        <v>10</v>
      </c>
      <c r="M129" s="23"/>
      <c r="N129" s="38"/>
      <c r="O129" s="24"/>
      <c r="P129" s="24"/>
      <c r="Q129" s="25"/>
      <c r="R129" s="26"/>
      <c r="S129" s="25"/>
      <c r="T129" s="25"/>
      <c r="U129" s="25"/>
      <c r="V129" s="25"/>
      <c r="W129" s="25"/>
      <c r="X129" s="25"/>
      <c r="Y129" s="25"/>
      <c r="Z129" s="24"/>
      <c r="AA129" s="27"/>
      <c r="AB129" s="16"/>
      <c r="AC129" s="27"/>
      <c r="AD129" s="65"/>
      <c r="AE129" s="35"/>
      <c r="AF129" s="28"/>
      <c r="AG129" s="29"/>
      <c r="AH129" s="27"/>
      <c r="AI129" s="30"/>
      <c r="AJ129" s="31"/>
      <c r="AK129" s="96"/>
      <c r="AL129" s="16"/>
      <c r="AM129" s="68"/>
      <c r="AN129" s="16"/>
      <c r="AO129" s="84"/>
      <c r="AP129" s="28"/>
      <c r="AQ129" s="29"/>
      <c r="AR129" s="27"/>
      <c r="AS129" s="30"/>
      <c r="AT129" s="16"/>
      <c r="AU129" s="16"/>
      <c r="AV129" s="16"/>
      <c r="AW129" s="68"/>
      <c r="AX129" s="16"/>
      <c r="AY129" s="84"/>
      <c r="AZ129" s="28"/>
      <c r="BA129" s="29"/>
      <c r="BB129" s="27"/>
      <c r="BC129" s="30"/>
      <c r="BD129" s="35"/>
      <c r="BE129" s="16"/>
      <c r="BF129" s="16"/>
      <c r="BG129" s="68"/>
      <c r="BH129" s="16"/>
      <c r="BI129" s="27"/>
      <c r="BJ129" s="28"/>
      <c r="BK129" s="28"/>
      <c r="BL129" s="27"/>
      <c r="BM129" s="30"/>
      <c r="BN129" s="30"/>
      <c r="BO129" s="35"/>
      <c r="BP129" s="16"/>
      <c r="BQ129" s="68"/>
      <c r="BR129" s="35"/>
      <c r="BS129" s="27"/>
      <c r="BT129" s="28"/>
      <c r="BU129" s="29"/>
      <c r="BV129" s="35"/>
      <c r="BW129" s="30"/>
      <c r="BX129" s="34"/>
      <c r="BY129" s="35"/>
      <c r="BZ129" s="16"/>
      <c r="CA129" s="35"/>
      <c r="CB129" s="35"/>
      <c r="CC129" s="27"/>
      <c r="CD129" s="28"/>
      <c r="CE129" s="28"/>
      <c r="CF129" s="27"/>
      <c r="CG129" s="27"/>
      <c r="CH129" s="34"/>
      <c r="CI129" s="34"/>
      <c r="CJ129" s="16"/>
      <c r="CK129" s="27"/>
      <c r="CL129" s="35"/>
      <c r="CM129" s="35"/>
      <c r="CN129" s="27"/>
      <c r="CO129" s="28"/>
      <c r="CP129" s="29"/>
      <c r="CQ129" s="27"/>
      <c r="CR129" s="34"/>
      <c r="CS129" s="34"/>
      <c r="CT129" s="35"/>
      <c r="CU129" s="16"/>
      <c r="CV129" s="35"/>
      <c r="CW129" s="35"/>
      <c r="CX129" s="35">
        <v>26400</v>
      </c>
      <c r="CY129" s="59">
        <v>33</v>
      </c>
      <c r="CZ129" s="28">
        <v>8.7671232876712329E-2</v>
      </c>
      <c r="DA129" s="29">
        <v>9.912328767123288</v>
      </c>
      <c r="DB129" s="27">
        <v>1320</v>
      </c>
      <c r="DC129" s="34">
        <v>25080</v>
      </c>
      <c r="DD129" s="34">
        <v>228.75621890547265</v>
      </c>
      <c r="DE129" s="35">
        <v>26171.243781094527</v>
      </c>
      <c r="DG129" s="35">
        <v>26400</v>
      </c>
      <c r="DH129" s="35">
        <v>228.75621890547265</v>
      </c>
      <c r="DI129" s="35">
        <f t="shared" si="4"/>
        <v>26171.243781094527</v>
      </c>
      <c r="DJ129" s="132">
        <f t="shared" si="5"/>
        <v>26171.243781094527</v>
      </c>
      <c r="DK129" s="132">
        <f t="shared" si="6"/>
        <v>0</v>
      </c>
      <c r="DL129" s="132">
        <f t="shared" si="7"/>
        <v>0</v>
      </c>
    </row>
    <row r="130" spans="2:116" ht="17.25" customHeight="1" x14ac:dyDescent="0.25">
      <c r="B130" s="86" t="s">
        <v>4</v>
      </c>
      <c r="C130" s="15" t="s">
        <v>332</v>
      </c>
      <c r="D130" s="15" t="s">
        <v>101</v>
      </c>
      <c r="E130" s="15" t="s">
        <v>407</v>
      </c>
      <c r="F130" s="128" t="s">
        <v>408</v>
      </c>
      <c r="G130" s="42"/>
      <c r="H130" s="17">
        <v>44987</v>
      </c>
      <c r="I130" s="19" t="s">
        <v>393</v>
      </c>
      <c r="J130" s="19"/>
      <c r="K130" s="19">
        <v>10</v>
      </c>
      <c r="L130" s="21">
        <v>10</v>
      </c>
      <c r="M130" s="23"/>
      <c r="N130" s="38"/>
      <c r="O130" s="24"/>
      <c r="P130" s="24"/>
      <c r="Q130" s="25"/>
      <c r="R130" s="26"/>
      <c r="S130" s="25"/>
      <c r="T130" s="25"/>
      <c r="U130" s="25"/>
      <c r="V130" s="25"/>
      <c r="W130" s="25"/>
      <c r="X130" s="25"/>
      <c r="Y130" s="25"/>
      <c r="Z130" s="24"/>
      <c r="AA130" s="27"/>
      <c r="AB130" s="16"/>
      <c r="AC130" s="27"/>
      <c r="AD130" s="65"/>
      <c r="AE130" s="35"/>
      <c r="AF130" s="28"/>
      <c r="AG130" s="29"/>
      <c r="AH130" s="27"/>
      <c r="AI130" s="30"/>
      <c r="AJ130" s="31"/>
      <c r="AK130" s="96"/>
      <c r="AL130" s="16"/>
      <c r="AM130" s="68"/>
      <c r="AN130" s="16"/>
      <c r="AO130" s="84"/>
      <c r="AP130" s="28"/>
      <c r="AQ130" s="29"/>
      <c r="AR130" s="27"/>
      <c r="AS130" s="30"/>
      <c r="AT130" s="16"/>
      <c r="AU130" s="16"/>
      <c r="AV130" s="16"/>
      <c r="AW130" s="68"/>
      <c r="AX130" s="16"/>
      <c r="AY130" s="84"/>
      <c r="AZ130" s="28"/>
      <c r="BA130" s="29"/>
      <c r="BB130" s="27"/>
      <c r="BC130" s="30"/>
      <c r="BD130" s="35"/>
      <c r="BE130" s="16"/>
      <c r="BF130" s="16"/>
      <c r="BG130" s="68"/>
      <c r="BH130" s="16"/>
      <c r="BI130" s="27"/>
      <c r="BJ130" s="28"/>
      <c r="BK130" s="28"/>
      <c r="BL130" s="27"/>
      <c r="BM130" s="30"/>
      <c r="BN130" s="30"/>
      <c r="BO130" s="35"/>
      <c r="BP130" s="16"/>
      <c r="BQ130" s="68"/>
      <c r="BR130" s="35"/>
      <c r="BS130" s="27"/>
      <c r="BT130" s="28"/>
      <c r="BU130" s="29"/>
      <c r="BV130" s="35"/>
      <c r="BW130" s="30"/>
      <c r="BX130" s="34"/>
      <c r="BY130" s="35"/>
      <c r="BZ130" s="16"/>
      <c r="CA130" s="35"/>
      <c r="CB130" s="35"/>
      <c r="CC130" s="27"/>
      <c r="CD130" s="28"/>
      <c r="CE130" s="28"/>
      <c r="CF130" s="27"/>
      <c r="CG130" s="27"/>
      <c r="CH130" s="34"/>
      <c r="CI130" s="34"/>
      <c r="CJ130" s="16"/>
      <c r="CK130" s="27"/>
      <c r="CL130" s="35"/>
      <c r="CM130" s="35"/>
      <c r="CN130" s="27"/>
      <c r="CO130" s="28"/>
      <c r="CP130" s="29"/>
      <c r="CQ130" s="27"/>
      <c r="CR130" s="34"/>
      <c r="CS130" s="34"/>
      <c r="CT130" s="35"/>
      <c r="CU130" s="16"/>
      <c r="CV130" s="35"/>
      <c r="CW130" s="35"/>
      <c r="CX130" s="35">
        <v>2060000</v>
      </c>
      <c r="CY130" s="59">
        <v>30</v>
      </c>
      <c r="CZ130" s="28">
        <v>7.9452054794520555E-2</v>
      </c>
      <c r="DA130" s="29">
        <v>9.9205479452054792</v>
      </c>
      <c r="DB130" s="27">
        <v>103000</v>
      </c>
      <c r="DC130" s="34">
        <v>1957000</v>
      </c>
      <c r="DD130" s="34">
        <v>16213.753106876555</v>
      </c>
      <c r="DE130" s="35">
        <v>2043786.2468931235</v>
      </c>
      <c r="DG130" s="35">
        <v>2060000</v>
      </c>
      <c r="DH130" s="35">
        <v>16213.753106876555</v>
      </c>
      <c r="DI130" s="35">
        <f t="shared" si="4"/>
        <v>2043786.2468931235</v>
      </c>
      <c r="DJ130" s="132">
        <f t="shared" si="5"/>
        <v>2043786.2468931235</v>
      </c>
      <c r="DK130" s="132">
        <f t="shared" si="6"/>
        <v>0</v>
      </c>
      <c r="DL130" s="132">
        <f t="shared" si="7"/>
        <v>0</v>
      </c>
    </row>
    <row r="131" spans="2:116" ht="17.25" customHeight="1" x14ac:dyDescent="0.25">
      <c r="B131" s="86" t="s">
        <v>4</v>
      </c>
      <c r="C131" s="15" t="s">
        <v>332</v>
      </c>
      <c r="D131" s="15" t="s">
        <v>101</v>
      </c>
      <c r="E131" s="15" t="s">
        <v>413</v>
      </c>
      <c r="F131" s="128" t="s">
        <v>414</v>
      </c>
      <c r="G131" s="42"/>
      <c r="H131" s="17">
        <v>45012</v>
      </c>
      <c r="I131" s="19" t="s">
        <v>393</v>
      </c>
      <c r="J131" s="19"/>
      <c r="K131" s="19">
        <v>10</v>
      </c>
      <c r="L131" s="21">
        <v>10</v>
      </c>
      <c r="M131" s="23"/>
      <c r="N131" s="38"/>
      <c r="O131" s="24"/>
      <c r="P131" s="24"/>
      <c r="Q131" s="25"/>
      <c r="R131" s="26"/>
      <c r="S131" s="25"/>
      <c r="T131" s="25"/>
      <c r="U131" s="25"/>
      <c r="V131" s="25"/>
      <c r="W131" s="25"/>
      <c r="X131" s="25"/>
      <c r="Y131" s="25"/>
      <c r="Z131" s="24"/>
      <c r="AA131" s="27"/>
      <c r="AB131" s="16"/>
      <c r="AC131" s="27"/>
      <c r="AD131" s="65"/>
      <c r="AE131" s="35"/>
      <c r="AF131" s="28"/>
      <c r="AG131" s="29"/>
      <c r="AH131" s="27"/>
      <c r="AI131" s="30"/>
      <c r="AJ131" s="31"/>
      <c r="AK131" s="96"/>
      <c r="AL131" s="16"/>
      <c r="AM131" s="68"/>
      <c r="AN131" s="16"/>
      <c r="AO131" s="84"/>
      <c r="AP131" s="28"/>
      <c r="AQ131" s="29"/>
      <c r="AR131" s="27"/>
      <c r="AS131" s="30"/>
      <c r="AT131" s="16"/>
      <c r="AU131" s="16"/>
      <c r="AV131" s="16"/>
      <c r="AW131" s="68"/>
      <c r="AX131" s="16"/>
      <c r="AY131" s="84"/>
      <c r="AZ131" s="28"/>
      <c r="BA131" s="29"/>
      <c r="BB131" s="27"/>
      <c r="BC131" s="30"/>
      <c r="BD131" s="35"/>
      <c r="BE131" s="16"/>
      <c r="BF131" s="16"/>
      <c r="BG131" s="68"/>
      <c r="BH131" s="16"/>
      <c r="BI131" s="27"/>
      <c r="BJ131" s="28"/>
      <c r="BK131" s="28"/>
      <c r="BL131" s="27"/>
      <c r="BM131" s="30"/>
      <c r="BN131" s="30"/>
      <c r="BO131" s="35"/>
      <c r="BP131" s="16"/>
      <c r="BQ131" s="68"/>
      <c r="BR131" s="35"/>
      <c r="BS131" s="27"/>
      <c r="BT131" s="28"/>
      <c r="BU131" s="29"/>
      <c r="BV131" s="35"/>
      <c r="BW131" s="30"/>
      <c r="BX131" s="34"/>
      <c r="BY131" s="35"/>
      <c r="BZ131" s="16"/>
      <c r="CA131" s="35"/>
      <c r="CB131" s="35"/>
      <c r="CC131" s="27"/>
      <c r="CD131" s="28"/>
      <c r="CE131" s="28"/>
      <c r="CF131" s="27"/>
      <c r="CG131" s="27"/>
      <c r="CH131" s="34"/>
      <c r="CI131" s="34"/>
      <c r="CJ131" s="16"/>
      <c r="CK131" s="27"/>
      <c r="CL131" s="35"/>
      <c r="CM131" s="35"/>
      <c r="CN131" s="27"/>
      <c r="CO131" s="28"/>
      <c r="CP131" s="29"/>
      <c r="CQ131" s="27"/>
      <c r="CR131" s="34"/>
      <c r="CS131" s="34"/>
      <c r="CT131" s="35"/>
      <c r="CU131" s="16"/>
      <c r="CV131" s="35"/>
      <c r="CW131" s="35"/>
      <c r="CX131" s="35">
        <v>13050</v>
      </c>
      <c r="CY131" s="59">
        <v>5</v>
      </c>
      <c r="CZ131" s="28">
        <v>1.0958904109589041E-2</v>
      </c>
      <c r="DA131" s="29">
        <v>9.9890410958904106</v>
      </c>
      <c r="DB131" s="27">
        <v>652.5</v>
      </c>
      <c r="DC131" s="34">
        <v>12397.5</v>
      </c>
      <c r="DD131" s="34">
        <v>17.001508502468461</v>
      </c>
      <c r="DE131" s="35">
        <v>13032.998491497532</v>
      </c>
      <c r="DG131" s="35">
        <v>13050</v>
      </c>
      <c r="DH131" s="35">
        <v>17.001508502468461</v>
      </c>
      <c r="DI131" s="35">
        <f t="shared" si="4"/>
        <v>13032.998491497532</v>
      </c>
      <c r="DJ131" s="132">
        <f t="shared" si="5"/>
        <v>13032.998491497532</v>
      </c>
      <c r="DK131" s="132">
        <f t="shared" si="6"/>
        <v>0</v>
      </c>
      <c r="DL131" s="132">
        <f t="shared" si="7"/>
        <v>0</v>
      </c>
    </row>
    <row r="132" spans="2:116" s="4" customFormat="1" ht="17.25" customHeight="1" x14ac:dyDescent="0.25">
      <c r="B132" s="86"/>
      <c r="C132" s="15"/>
      <c r="D132" s="15"/>
      <c r="E132" s="15"/>
      <c r="F132" s="42"/>
      <c r="G132" s="43"/>
      <c r="H132" s="17"/>
      <c r="I132" s="19"/>
      <c r="J132" s="19"/>
      <c r="K132" s="19"/>
      <c r="L132" s="21"/>
      <c r="M132" s="23"/>
      <c r="N132" s="38"/>
      <c r="O132" s="24"/>
      <c r="P132" s="24"/>
      <c r="Q132" s="25"/>
      <c r="R132" s="26"/>
      <c r="S132" s="25"/>
      <c r="T132" s="25"/>
      <c r="U132" s="25"/>
      <c r="V132" s="25"/>
      <c r="W132" s="25"/>
      <c r="X132" s="25"/>
      <c r="Y132" s="25"/>
      <c r="Z132" s="24"/>
      <c r="AA132" s="27"/>
      <c r="AB132" s="16"/>
      <c r="AC132" s="27"/>
      <c r="AD132" s="65"/>
      <c r="AE132" s="35"/>
      <c r="AF132" s="28"/>
      <c r="AG132" s="29"/>
      <c r="AH132" s="27"/>
      <c r="AI132" s="30"/>
      <c r="AJ132" s="31"/>
      <c r="AK132" s="32"/>
      <c r="AL132" s="16"/>
      <c r="AM132" s="68"/>
      <c r="AN132" s="16"/>
      <c r="AO132" s="84"/>
      <c r="AP132" s="28"/>
      <c r="AQ132" s="29"/>
      <c r="AR132" s="27"/>
      <c r="AS132" s="30"/>
      <c r="AT132" s="16"/>
      <c r="AU132" s="16"/>
      <c r="AW132" s="68"/>
      <c r="AX132" s="27"/>
      <c r="AY132" s="89"/>
      <c r="AZ132" s="28"/>
      <c r="BA132" s="28"/>
      <c r="BB132" s="29"/>
      <c r="BC132" s="85"/>
      <c r="BD132" s="35"/>
      <c r="BE132" s="31"/>
      <c r="BF132" s="31"/>
      <c r="BG132" s="27"/>
      <c r="BH132" s="16"/>
      <c r="BI132" s="25"/>
      <c r="BJ132" s="28"/>
      <c r="BK132" s="28"/>
      <c r="BL132" s="27"/>
      <c r="BM132" s="30"/>
      <c r="BN132" s="34"/>
      <c r="BO132" s="35"/>
      <c r="BP132" s="36"/>
      <c r="BQ132" s="27"/>
      <c r="BR132" s="16"/>
      <c r="BS132" s="25"/>
      <c r="BT132" s="28"/>
      <c r="BU132" s="29"/>
      <c r="BV132" s="27"/>
      <c r="BW132" s="30"/>
      <c r="BX132" s="34"/>
      <c r="BY132" s="35"/>
      <c r="CA132" s="35"/>
      <c r="CB132" s="16"/>
      <c r="CC132" s="25"/>
      <c r="CD132" s="28"/>
      <c r="CE132" s="29"/>
      <c r="CF132" s="27"/>
      <c r="CG132" s="30"/>
      <c r="CH132" s="31"/>
      <c r="CI132" s="35"/>
      <c r="CK132" s="36"/>
      <c r="CL132" s="35"/>
      <c r="CM132" s="16"/>
      <c r="CN132" s="25"/>
      <c r="CO132" s="28"/>
      <c r="CP132" s="29"/>
      <c r="CQ132" s="27"/>
      <c r="CR132" s="34"/>
      <c r="CS132" s="34"/>
      <c r="CT132" s="35"/>
      <c r="CV132" s="35"/>
      <c r="CW132" s="35"/>
      <c r="CX132" s="16"/>
      <c r="CY132" s="25"/>
      <c r="CZ132" s="28"/>
      <c r="DA132" s="29"/>
      <c r="DB132" s="27"/>
      <c r="DC132" s="34"/>
      <c r="DD132" s="34"/>
      <c r="DE132" s="35"/>
      <c r="DG132" s="35">
        <f>M132+AD132+AN132+AX132+BH132+BR132+CB132+CM132+CX132</f>
        <v>0</v>
      </c>
      <c r="DH132" s="35">
        <f>N132+T132+AJ132+AT132+BD132+BN132+BX132+CH132+CS132+DD132</f>
        <v>0</v>
      </c>
      <c r="DI132" s="35">
        <f>O132+U132+AK132+AU132+BE132+BO132+BY132+CI132+CT132+DE132</f>
        <v>0</v>
      </c>
    </row>
    <row r="133" spans="2:116" s="108" customFormat="1" x14ac:dyDescent="0.25">
      <c r="B133" s="97"/>
      <c r="C133" s="98"/>
      <c r="D133" s="98"/>
      <c r="E133" s="98"/>
      <c r="F133" s="99"/>
      <c r="G133" s="99"/>
      <c r="H133" s="100"/>
      <c r="I133" s="101"/>
      <c r="J133" s="101"/>
      <c r="K133" s="101"/>
      <c r="L133" s="102"/>
      <c r="M133" s="104">
        <f>SUM(M7:M132)</f>
        <v>27721972</v>
      </c>
      <c r="N133" s="104">
        <f t="shared" ref="N133:O133" si="8">SUM(N7:N132)</f>
        <v>3625814.3473275937</v>
      </c>
      <c r="O133" s="104">
        <f t="shared" si="8"/>
        <v>24096157.652672403</v>
      </c>
      <c r="P133" s="104"/>
      <c r="Q133" s="104"/>
      <c r="R133" s="104">
        <f t="shared" ref="R133" si="9">SUM(R7:R132)</f>
        <v>1386098.5999999999</v>
      </c>
      <c r="S133" s="104">
        <f t="shared" ref="S133" si="10">SUM(S7:S132)</f>
        <v>22710059.052672409</v>
      </c>
      <c r="T133" s="104">
        <f t="shared" ref="T133" si="11">SUM(T7:T132)</f>
        <v>2838524.7262035101</v>
      </c>
      <c r="U133" s="104">
        <f t="shared" ref="U133" si="12">SUM(U7:U132)</f>
        <v>0</v>
      </c>
      <c r="V133" s="104">
        <f t="shared" ref="V133" si="13">SUM(V7:V132)</f>
        <v>0</v>
      </c>
      <c r="W133" s="104">
        <f t="shared" ref="W133" si="14">SUM(W7:W132)</f>
        <v>2838524.7262035101</v>
      </c>
      <c r="X133" s="104">
        <f t="shared" ref="X133" si="15">SUM(X7:X132)</f>
        <v>2838524.7262035101</v>
      </c>
      <c r="Y133" s="104">
        <f t="shared" ref="Y133" si="16">SUM(Y7:Y132)</f>
        <v>0</v>
      </c>
      <c r="Z133" s="104">
        <f t="shared" ref="Z133" si="17">SUM(Z7:Z132)</f>
        <v>24096157.652672403</v>
      </c>
      <c r="AA133" s="104">
        <f t="shared" ref="AA133" si="18">SUM(AA7:AA132)</f>
        <v>21257632.926468905</v>
      </c>
      <c r="AB133" s="104">
        <f t="shared" ref="AB133" si="19">SUM(AB7:AB132)</f>
        <v>0</v>
      </c>
      <c r="AC133" s="104">
        <f t="shared" ref="AC133" si="20">SUM(AC7:AC132)</f>
        <v>21257632.926468905</v>
      </c>
      <c r="AD133" s="104">
        <f t="shared" ref="AD133" si="21">SUM(AD7:AD132)</f>
        <v>4519172</v>
      </c>
      <c r="AE133" s="104"/>
      <c r="AF133" s="104"/>
      <c r="AG133" s="104"/>
      <c r="AH133" s="104">
        <f t="shared" ref="AH133" si="22">SUM(AH7:AH132)</f>
        <v>1612057.2</v>
      </c>
      <c r="AI133" s="104">
        <f t="shared" ref="AI133" si="23">SUM(AI7:AI132)</f>
        <v>27003272.452672407</v>
      </c>
      <c r="AJ133" s="104">
        <f t="shared" ref="AJ133" si="24">SUM(AJ7:AJ132)</f>
        <v>3153741.1939466619</v>
      </c>
      <c r="AK133" s="104">
        <f t="shared" ref="AK133" si="25">SUM(AK7:AK132)</f>
        <v>22623063.732522231</v>
      </c>
      <c r="AL133" s="104">
        <f t="shared" ref="AL133:BP133" si="26">SUM(AL7:AL118)</f>
        <v>0</v>
      </c>
      <c r="AM133" s="104">
        <f t="shared" ref="AM133" si="27">SUM(AM7:AM132)</f>
        <v>22623063.732522231</v>
      </c>
      <c r="AN133" s="104">
        <f t="shared" ref="AN133" si="28">SUM(AN7:AN132)</f>
        <v>3777358</v>
      </c>
      <c r="AO133" s="104"/>
      <c r="AP133" s="104"/>
      <c r="AQ133" s="104"/>
      <c r="AR133" s="104">
        <f t="shared" ref="AR133" si="29">SUM(AR7:AR132)</f>
        <v>1800925.0999999999</v>
      </c>
      <c r="AS133" s="104">
        <f t="shared" ref="AS133" si="30">SUM(AS7:AS132)</f>
        <v>27753237.826468896</v>
      </c>
      <c r="AT133" s="104">
        <f t="shared" ref="AT133" si="31">SUM(AT7:AT132)</f>
        <v>3600574.5866863881</v>
      </c>
      <c r="AU133" s="104">
        <f t="shared" ref="AU133" si="32">SUM(AU7:AU132)</f>
        <v>22799872.145835839</v>
      </c>
      <c r="AV133" s="104">
        <f t="shared" si="26"/>
        <v>0</v>
      </c>
      <c r="AW133" s="104">
        <f t="shared" ref="AW133" si="33">SUM(AW7:AW132)</f>
        <v>22799872.145835839</v>
      </c>
      <c r="AX133" s="104">
        <f t="shared" ref="AX133" si="34">SUM(AX7:AX132)</f>
        <v>125000</v>
      </c>
      <c r="AY133" s="104"/>
      <c r="AZ133" s="104"/>
      <c r="BA133" s="104"/>
      <c r="BB133" s="104">
        <f t="shared" ref="BB133" si="35">SUM(BB7:BB132)</f>
        <v>1807175.0999999999</v>
      </c>
      <c r="BC133" s="104">
        <f t="shared" ref="BC133" si="36">SUM(BC7:BC132)</f>
        <v>23150720.580622647</v>
      </c>
      <c r="BD133" s="104">
        <f t="shared" ref="BD133" si="37">SUM(BD7:BD132)</f>
        <v>3617565.626667677</v>
      </c>
      <c r="BE133" s="104">
        <f t="shared" ref="BE133" si="38">SUM(BE7:BE132)</f>
        <v>19307306.519168165</v>
      </c>
      <c r="BF133" s="104">
        <f t="shared" si="26"/>
        <v>0</v>
      </c>
      <c r="BG133" s="104">
        <f t="shared" ref="BG133" si="39">SUM(BG7:BG132)</f>
        <v>19307306.519168165</v>
      </c>
      <c r="BH133" s="104">
        <f t="shared" ref="BH133" si="40">SUM(BH7:BH132)</f>
        <v>741330</v>
      </c>
      <c r="BI133" s="104"/>
      <c r="BJ133" s="104"/>
      <c r="BK133" s="104"/>
      <c r="BL133" s="104">
        <f t="shared" ref="BL133" si="41">SUM(BL7:BL132)</f>
        <v>1844241.5999999999</v>
      </c>
      <c r="BM133" s="104">
        <f t="shared" ref="BM133" si="42">SUM(BM7:BM132)</f>
        <v>18204394.919168167</v>
      </c>
      <c r="BN133" s="104">
        <f t="shared" ref="BN133" si="43">SUM(BN7:BN132)</f>
        <v>3611105.156541469</v>
      </c>
      <c r="BO133" s="104">
        <f t="shared" ref="BO133" si="44">SUM(BO7:BO132)</f>
        <v>16437531.36262669</v>
      </c>
      <c r="BP133" s="104">
        <f t="shared" si="26"/>
        <v>0</v>
      </c>
      <c r="BQ133" s="104">
        <f t="shared" ref="BQ133" si="45">SUM(BQ7:BQ132)</f>
        <v>16437531.36262669</v>
      </c>
      <c r="BR133" s="104">
        <f t="shared" ref="BR133" si="46">SUM(BR7:BR132)</f>
        <v>314670</v>
      </c>
      <c r="BS133" s="104"/>
      <c r="BT133" s="104"/>
      <c r="BU133" s="104"/>
      <c r="BV133" s="104">
        <f t="shared" ref="BV133" si="47">SUM(BV7:BV132)</f>
        <v>1859975.0999999999</v>
      </c>
      <c r="BW133" s="104">
        <f t="shared" ref="BW133" si="48">SUM(BW7:BW132)</f>
        <v>14892226.262626691</v>
      </c>
      <c r="BX133" s="104">
        <f t="shared" ref="BX133" si="49">SUM(BX7:BX132)</f>
        <v>3582135.4241749365</v>
      </c>
      <c r="BY133" s="104">
        <f t="shared" ref="BY133" si="50">SUM(BY7:BY132)</f>
        <v>13170065.938451758</v>
      </c>
      <c r="BZ133" s="104">
        <f t="shared" ref="BZ133" si="51">SUM(BZ7:BZ118)</f>
        <v>0</v>
      </c>
      <c r="CA133" s="104">
        <f t="shared" ref="CA133" si="52">SUM(CA7:CA132)</f>
        <v>13170065.938451758</v>
      </c>
      <c r="CB133" s="104">
        <f t="shared" ref="CB133" si="53">SUM(CB7:CB132)</f>
        <v>320000</v>
      </c>
      <c r="CC133" s="104"/>
      <c r="CD133" s="104"/>
      <c r="CE133" s="104"/>
      <c r="CF133" s="104">
        <f t="shared" ref="CF133" si="54">SUM(CF7:CF132)</f>
        <v>1875975.0999999999</v>
      </c>
      <c r="CG133" s="104">
        <f t="shared" ref="CG133" si="55">SUM(CG7:CG132)</f>
        <v>11614090.83845176</v>
      </c>
      <c r="CH133" s="104">
        <f t="shared" ref="CH133" si="56">SUM(CH7:CH132)</f>
        <v>3392456.2431246825</v>
      </c>
      <c r="CI133" s="104">
        <f t="shared" ref="CI133" si="57">SUM(CI7:CI132)</f>
        <v>10097609.695327075</v>
      </c>
      <c r="CJ133" s="104">
        <f t="shared" ref="CJ133" si="58">SUM(CJ7:CJ132)</f>
        <v>0</v>
      </c>
      <c r="CK133" s="104">
        <f t="shared" ref="CK133" si="59">SUM(CK7:CK132)</f>
        <v>7920549.6638202276</v>
      </c>
      <c r="CL133" s="104">
        <f t="shared" ref="CL133" si="60">SUM(CL7:CL132)</f>
        <v>10097609.695327075</v>
      </c>
      <c r="CM133" s="104">
        <f t="shared" ref="CM133" si="61">SUM(CM7:CM132)</f>
        <v>349900</v>
      </c>
      <c r="CN133" s="104"/>
      <c r="CO133" s="104"/>
      <c r="CP133" s="104"/>
      <c r="CQ133" s="104">
        <f t="shared" ref="CQ133" si="62">SUM(CQ7:CQ132)</f>
        <v>1893470.0999999999</v>
      </c>
      <c r="CR133" s="104">
        <f t="shared" ref="CR133" si="63">SUM(CR7:CR132)</f>
        <v>8554039.5953270756</v>
      </c>
      <c r="CS133" s="104">
        <f t="shared" ref="CS133" si="64">SUM(CS7:CS132)</f>
        <v>2754515.0002969997</v>
      </c>
      <c r="CT133" s="104">
        <f t="shared" ref="CT133" si="65">SUM(CT7:CT132)</f>
        <v>7692994.6950300764</v>
      </c>
      <c r="CU133" s="104">
        <f t="shared" ref="CU133" si="66">SUM(CU7:CU132)</f>
        <v>0</v>
      </c>
      <c r="CV133" s="104">
        <f t="shared" ref="CV133" si="67">SUM(CV7:CV132)</f>
        <v>5799524.5950300749</v>
      </c>
      <c r="CW133" s="104">
        <f t="shared" ref="CW133" si="68">SUM(CW7:CW132)</f>
        <v>7692994.6950300764</v>
      </c>
      <c r="CX133" s="104">
        <f t="shared" ref="CX133" si="69">SUM(CX7:CX132)</f>
        <v>2462650</v>
      </c>
      <c r="CY133" s="104"/>
      <c r="CZ133" s="104"/>
      <c r="DA133" s="104"/>
      <c r="DB133" s="104">
        <f t="shared" ref="DB133" si="70">SUM(DB7:DB132)</f>
        <v>2014478.5206164382</v>
      </c>
      <c r="DC133" s="104">
        <f t="shared" ref="DC133" si="71">SUM(DC7:DC132)</f>
        <v>7885838.5261373483</v>
      </c>
      <c r="DD133" s="104">
        <f t="shared" ref="DD133" si="72">SUM(DD7:DD132)</f>
        <v>1929786.3173873064</v>
      </c>
      <c r="DE133" s="104">
        <f t="shared" ref="DE133" si="73">SUM(DE7:DE132)</f>
        <v>8225858.3776427703</v>
      </c>
      <c r="DG133" s="104">
        <f>M133+AD133+AN133+AX133+BH133+BR133+CB133+CM133+CX133</f>
        <v>40332052</v>
      </c>
      <c r="DH133" s="104">
        <f>N133+T133+AJ133+AT133+BD133+BN133+BX133+CH133+CS133+DD133</f>
        <v>32106218.622357227</v>
      </c>
      <c r="DI133" s="104">
        <f>O133+U133+AK133+AU133+BE133+BO133+BY133+CI133+CT133+DE133</f>
        <v>144450460.119277</v>
      </c>
    </row>
    <row r="135" spans="2:116" x14ac:dyDescent="0.25">
      <c r="DI135" s="124">
        <f>DG133-DH133</f>
        <v>8225833.3776427731</v>
      </c>
    </row>
    <row r="137" spans="2:116" x14ac:dyDescent="0.25">
      <c r="DI137" s="124">
        <f>DE133-DI135</f>
        <v>24.999999997206032</v>
      </c>
    </row>
  </sheetData>
  <autoFilter ref="B5:DE118">
    <filterColumn colId="18" showButton="0"/>
    <filterColumn colId="19" showButton="0"/>
  </autoFilter>
  <mergeCells count="4">
    <mergeCell ref="B5:B6"/>
    <mergeCell ref="C5:C6"/>
    <mergeCell ref="D5:D6"/>
    <mergeCell ref="T5:V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J31"/>
  <sheetViews>
    <sheetView workbookViewId="0">
      <pane xSplit="6" ySplit="5" topLeftCell="DB24" activePane="bottomRight" state="frozen"/>
      <selection pane="topRight" activeCell="G1" sqref="G1"/>
      <selection pane="bottomLeft" activeCell="A6" sqref="A6"/>
      <selection pane="bottomRight" activeCell="F29" sqref="F29"/>
    </sheetView>
  </sheetViews>
  <sheetFormatPr defaultRowHeight="15" x14ac:dyDescent="0.25"/>
  <cols>
    <col min="1" max="1" width="1.42578125" customWidth="1"/>
    <col min="2" max="4" width="0" hidden="1" customWidth="1"/>
    <col min="6" max="6" width="52.5703125" bestFit="1" customWidth="1"/>
    <col min="8" max="8" width="12.140625" bestFit="1" customWidth="1"/>
    <col min="13" max="13" width="11.5703125" bestFit="1" customWidth="1"/>
    <col min="14" max="14" width="9.5703125" bestFit="1" customWidth="1"/>
    <col min="15" max="15" width="11.140625" bestFit="1" customWidth="1"/>
    <col min="18" max="18" width="9.5703125" customWidth="1"/>
    <col min="19" max="19" width="11" customWidth="1"/>
    <col min="20" max="20" width="9.7109375" bestFit="1" customWidth="1"/>
    <col min="21" max="21" width="6.85546875" customWidth="1"/>
    <col min="22" max="22" width="7.85546875" customWidth="1"/>
    <col min="23" max="23" width="9.7109375" bestFit="1" customWidth="1"/>
    <col min="24" max="24" width="9.85546875" bestFit="1" customWidth="1"/>
    <col min="26" max="27" width="11.140625" bestFit="1" customWidth="1"/>
    <col min="28" max="28" width="1.42578125" customWidth="1"/>
    <col min="29" max="29" width="11.140625" bestFit="1" customWidth="1"/>
    <col min="30" max="30" width="8.28515625" customWidth="1"/>
    <col min="34" max="34" width="9.7109375" bestFit="1" customWidth="1"/>
    <col min="35" max="35" width="10.5703125" customWidth="1"/>
    <col min="36" max="36" width="9.7109375" bestFit="1" customWidth="1"/>
    <col min="37" max="37" width="11.140625" bestFit="1" customWidth="1"/>
    <col min="38" max="38" width="1.5703125" customWidth="1"/>
    <col min="39" max="39" width="11.140625" bestFit="1" customWidth="1"/>
    <col min="40" max="40" width="7.5703125" customWidth="1"/>
    <col min="41" max="41" width="8.28515625" customWidth="1"/>
    <col min="44" max="44" width="9.7109375" bestFit="1" customWidth="1"/>
    <col min="45" max="45" width="10.85546875" bestFit="1" customWidth="1"/>
    <col min="46" max="46" width="9.7109375" bestFit="1" customWidth="1"/>
    <col min="47" max="47" width="11.140625" bestFit="1" customWidth="1"/>
    <col min="48" max="48" width="1" customWidth="1"/>
    <col min="49" max="49" width="11.140625" bestFit="1" customWidth="1"/>
    <col min="50" max="50" width="8.140625" customWidth="1"/>
    <col min="51" max="51" width="8.28515625" customWidth="1"/>
    <col min="54" max="54" width="10" customWidth="1"/>
    <col min="55" max="55" width="10.85546875" bestFit="1" customWidth="1"/>
    <col min="56" max="56" width="9.5703125" bestFit="1" customWidth="1"/>
    <col min="57" max="57" width="9.85546875" customWidth="1"/>
    <col min="58" max="58" width="1.7109375" customWidth="1"/>
    <col min="59" max="59" width="10.85546875" customWidth="1"/>
    <col min="60" max="60" width="8" customWidth="1"/>
    <col min="61" max="62" width="8.28515625" customWidth="1"/>
    <col min="63" max="63" width="7.85546875" customWidth="1"/>
    <col min="64" max="64" width="9.7109375" bestFit="1" customWidth="1"/>
    <col min="65" max="65" width="10.85546875" bestFit="1" customWidth="1"/>
    <col min="66" max="67" width="9.5703125" bestFit="1" customWidth="1"/>
    <col min="68" max="68" width="1.42578125" customWidth="1"/>
    <col min="69" max="69" width="9.7109375" bestFit="1" customWidth="1"/>
    <col min="70" max="70" width="8.28515625" customWidth="1"/>
    <col min="71" max="71" width="8.5703125" customWidth="1"/>
    <col min="72" max="72" width="8.28515625" customWidth="1"/>
    <col min="74" max="74" width="9.42578125" customWidth="1"/>
    <col min="75" max="75" width="9.5703125" customWidth="1"/>
    <col min="76" max="77" width="9.5703125" bestFit="1" customWidth="1"/>
    <col min="78" max="78" width="2.140625" customWidth="1"/>
    <col min="79" max="79" width="9.5703125" bestFit="1" customWidth="1"/>
    <col min="80" max="80" width="8.7109375" customWidth="1"/>
    <col min="82" max="82" width="8.140625" customWidth="1"/>
    <col min="84" max="84" width="9.5703125" customWidth="1"/>
    <col min="85" max="85" width="9.7109375" customWidth="1"/>
    <col min="86" max="86" width="9.42578125" customWidth="1"/>
    <col min="87" max="87" width="9.7109375" customWidth="1"/>
    <col min="88" max="88" width="0" hidden="1" customWidth="1"/>
    <col min="89" max="89" width="9.7109375" customWidth="1"/>
    <col min="90" max="90" width="9.42578125" customWidth="1"/>
    <col min="91" max="91" width="8.7109375" customWidth="1"/>
    <col min="92" max="92" width="8.85546875" customWidth="1"/>
    <col min="93" max="93" width="8.7109375" customWidth="1"/>
    <col min="94" max="94" width="8.42578125" customWidth="1"/>
    <col min="95" max="95" width="9.7109375" bestFit="1" customWidth="1"/>
    <col min="98" max="98" width="9.5703125" bestFit="1" customWidth="1"/>
    <col min="99" max="99" width="0" hidden="1" customWidth="1"/>
    <col min="100" max="100" width="8" bestFit="1" customWidth="1"/>
    <col min="101" max="101" width="9.5703125" bestFit="1" customWidth="1"/>
    <col min="104" max="104" width="8.7109375" customWidth="1"/>
    <col min="105" max="105" width="9" customWidth="1"/>
    <col min="106" max="106" width="9.7109375" bestFit="1" customWidth="1"/>
    <col min="108" max="108" width="8.7109375" bestFit="1" customWidth="1"/>
    <col min="109" max="109" width="9.5703125" bestFit="1" customWidth="1"/>
    <col min="110" max="110" width="2.140625" customWidth="1"/>
    <col min="111" max="112" width="10.7109375" bestFit="1" customWidth="1"/>
    <col min="113" max="113" width="9.5703125" bestFit="1" customWidth="1"/>
  </cols>
  <sheetData>
    <row r="5" spans="2:114" ht="117.75" customHeight="1" x14ac:dyDescent="0.25">
      <c r="B5" s="231" t="s">
        <v>9</v>
      </c>
      <c r="C5" s="231" t="s">
        <v>10</v>
      </c>
      <c r="D5" s="231" t="s">
        <v>11</v>
      </c>
      <c r="E5" s="109"/>
      <c r="F5" s="110" t="s">
        <v>8</v>
      </c>
      <c r="G5" s="110" t="s">
        <v>12</v>
      </c>
      <c r="H5" s="111" t="s">
        <v>13</v>
      </c>
      <c r="I5" s="111" t="s">
        <v>14</v>
      </c>
      <c r="J5" s="112" t="s">
        <v>15</v>
      </c>
      <c r="K5" s="113" t="s">
        <v>16</v>
      </c>
      <c r="L5" s="111" t="s">
        <v>17</v>
      </c>
      <c r="M5" s="109" t="s">
        <v>18</v>
      </c>
      <c r="N5" s="114" t="s">
        <v>19</v>
      </c>
      <c r="O5" s="114" t="s">
        <v>20</v>
      </c>
      <c r="P5" s="114" t="s">
        <v>21</v>
      </c>
      <c r="Q5" s="111" t="s">
        <v>22</v>
      </c>
      <c r="R5" s="114" t="s">
        <v>23</v>
      </c>
      <c r="S5" s="114" t="s">
        <v>24</v>
      </c>
      <c r="T5" s="233" t="s">
        <v>25</v>
      </c>
      <c r="U5" s="234"/>
      <c r="V5" s="234"/>
      <c r="W5" s="115" t="s">
        <v>0</v>
      </c>
      <c r="X5" s="115" t="s">
        <v>25</v>
      </c>
      <c r="Y5" s="115" t="s">
        <v>26</v>
      </c>
      <c r="Z5" s="115" t="s">
        <v>27</v>
      </c>
      <c r="AA5" s="115" t="s">
        <v>28</v>
      </c>
      <c r="AB5" s="116"/>
      <c r="AC5" s="109" t="s">
        <v>29</v>
      </c>
      <c r="AD5" s="109" t="s">
        <v>30</v>
      </c>
      <c r="AE5" s="109" t="s">
        <v>31</v>
      </c>
      <c r="AF5" s="109" t="s">
        <v>32</v>
      </c>
      <c r="AG5" s="111" t="s">
        <v>33</v>
      </c>
      <c r="AH5" s="114" t="s">
        <v>23</v>
      </c>
      <c r="AI5" s="114" t="s">
        <v>34</v>
      </c>
      <c r="AJ5" s="115" t="s">
        <v>35</v>
      </c>
      <c r="AK5" s="117" t="s">
        <v>36</v>
      </c>
      <c r="AL5" s="116"/>
      <c r="AM5" s="109" t="s">
        <v>37</v>
      </c>
      <c r="AN5" s="109" t="s">
        <v>38</v>
      </c>
      <c r="AO5" s="109" t="s">
        <v>39</v>
      </c>
      <c r="AP5" s="109" t="s">
        <v>40</v>
      </c>
      <c r="AQ5" s="111" t="s">
        <v>41</v>
      </c>
      <c r="AR5" s="114" t="s">
        <v>23</v>
      </c>
      <c r="AS5" s="114" t="s">
        <v>42</v>
      </c>
      <c r="AT5" s="115" t="s">
        <v>35</v>
      </c>
      <c r="AU5" s="114" t="s">
        <v>43</v>
      </c>
      <c r="AV5" s="118"/>
      <c r="AW5" s="109" t="s">
        <v>44</v>
      </c>
      <c r="AX5" s="109" t="s">
        <v>45</v>
      </c>
      <c r="AY5" s="109" t="s">
        <v>46</v>
      </c>
      <c r="AZ5" s="109" t="s">
        <v>47</v>
      </c>
      <c r="BA5" s="111" t="s">
        <v>48</v>
      </c>
      <c r="BB5" s="114" t="s">
        <v>23</v>
      </c>
      <c r="BC5" s="114" t="s">
        <v>49</v>
      </c>
      <c r="BD5" s="119" t="s">
        <v>35</v>
      </c>
      <c r="BE5" s="114" t="s">
        <v>50</v>
      </c>
      <c r="BF5" s="114"/>
      <c r="BG5" s="109" t="s">
        <v>51</v>
      </c>
      <c r="BH5" s="109" t="s">
        <v>52</v>
      </c>
      <c r="BI5" s="109" t="s">
        <v>53</v>
      </c>
      <c r="BJ5" s="109" t="s">
        <v>54</v>
      </c>
      <c r="BK5" s="111" t="s">
        <v>55</v>
      </c>
      <c r="BL5" s="114" t="s">
        <v>23</v>
      </c>
      <c r="BM5" s="114" t="s">
        <v>56</v>
      </c>
      <c r="BN5" s="119" t="s">
        <v>35</v>
      </c>
      <c r="BO5" s="120" t="s">
        <v>57</v>
      </c>
      <c r="BP5" s="118"/>
      <c r="BQ5" s="109" t="s">
        <v>58</v>
      </c>
      <c r="BR5" s="109" t="s">
        <v>59</v>
      </c>
      <c r="BS5" s="109" t="s">
        <v>60</v>
      </c>
      <c r="BT5" s="109" t="s">
        <v>61</v>
      </c>
      <c r="BU5" s="111" t="s">
        <v>62</v>
      </c>
      <c r="BV5" s="114" t="s">
        <v>23</v>
      </c>
      <c r="BW5" s="114" t="s">
        <v>63</v>
      </c>
      <c r="BX5" s="119" t="s">
        <v>35</v>
      </c>
      <c r="BY5" s="120" t="s">
        <v>64</v>
      </c>
      <c r="BZ5" s="118"/>
      <c r="CA5" s="119" t="s">
        <v>65</v>
      </c>
      <c r="CB5" s="109" t="s">
        <v>66</v>
      </c>
      <c r="CC5" s="109" t="s">
        <v>67</v>
      </c>
      <c r="CD5" s="109" t="s">
        <v>68</v>
      </c>
      <c r="CE5" s="111" t="s">
        <v>62</v>
      </c>
      <c r="CF5" s="114" t="s">
        <v>23</v>
      </c>
      <c r="CG5" s="114" t="s">
        <v>63</v>
      </c>
      <c r="CH5" s="119" t="s">
        <v>35</v>
      </c>
      <c r="CI5" s="120" t="s">
        <v>69</v>
      </c>
      <c r="CJ5" s="118"/>
      <c r="CK5" s="118"/>
      <c r="CL5" s="109" t="s">
        <v>70</v>
      </c>
      <c r="CM5" s="109" t="s">
        <v>71</v>
      </c>
      <c r="CN5" s="109" t="s">
        <v>72</v>
      </c>
      <c r="CO5" s="109" t="s">
        <v>73</v>
      </c>
      <c r="CP5" s="111" t="s">
        <v>74</v>
      </c>
      <c r="CQ5" s="114" t="s">
        <v>23</v>
      </c>
      <c r="CR5" s="114" t="s">
        <v>75</v>
      </c>
      <c r="CS5" s="119" t="s">
        <v>35</v>
      </c>
      <c r="CT5" s="120" t="s">
        <v>76</v>
      </c>
      <c r="CU5" s="118"/>
      <c r="CV5" s="116"/>
      <c r="CW5" s="109" t="s">
        <v>77</v>
      </c>
      <c r="CX5" s="109" t="s">
        <v>78</v>
      </c>
      <c r="CY5" s="109" t="s">
        <v>79</v>
      </c>
      <c r="CZ5" s="109" t="s">
        <v>80</v>
      </c>
      <c r="DA5" s="111" t="s">
        <v>81</v>
      </c>
      <c r="DB5" s="114" t="s">
        <v>23</v>
      </c>
      <c r="DC5" s="114" t="s">
        <v>82</v>
      </c>
      <c r="DD5" s="119" t="s">
        <v>35</v>
      </c>
      <c r="DE5" s="120" t="s">
        <v>83</v>
      </c>
      <c r="DG5" s="120" t="s">
        <v>1</v>
      </c>
      <c r="DH5" s="120" t="s">
        <v>426</v>
      </c>
      <c r="DI5" s="120" t="s">
        <v>3</v>
      </c>
    </row>
    <row r="6" spans="2:114" ht="18.75" customHeight="1" x14ac:dyDescent="0.25">
      <c r="B6" s="231"/>
      <c r="C6" s="232"/>
      <c r="D6" s="232"/>
      <c r="E6" s="121"/>
      <c r="F6" s="110" t="s">
        <v>84</v>
      </c>
      <c r="G6" s="110"/>
      <c r="H6" s="110" t="s">
        <v>85</v>
      </c>
      <c r="I6" s="110" t="s">
        <v>86</v>
      </c>
      <c r="J6" s="110"/>
      <c r="K6" s="113" t="s">
        <v>87</v>
      </c>
      <c r="L6" s="110" t="s">
        <v>88</v>
      </c>
      <c r="M6" s="110" t="s">
        <v>89</v>
      </c>
      <c r="N6" s="110" t="s">
        <v>90</v>
      </c>
      <c r="O6" s="110" t="s">
        <v>91</v>
      </c>
      <c r="P6" s="110"/>
      <c r="Q6" s="110" t="s">
        <v>92</v>
      </c>
      <c r="R6" s="110" t="s">
        <v>93</v>
      </c>
      <c r="S6" s="110" t="s">
        <v>94</v>
      </c>
      <c r="T6" s="110" t="s">
        <v>95</v>
      </c>
      <c r="U6" s="110" t="s">
        <v>96</v>
      </c>
      <c r="V6" s="110" t="s">
        <v>97</v>
      </c>
      <c r="W6" s="110" t="s">
        <v>98</v>
      </c>
      <c r="X6" s="110"/>
      <c r="Y6" s="110" t="s">
        <v>99</v>
      </c>
      <c r="Z6" s="110" t="s">
        <v>100</v>
      </c>
      <c r="AA6" s="110"/>
      <c r="AB6" s="116"/>
      <c r="AC6" s="116"/>
      <c r="AD6" s="116"/>
      <c r="AE6" s="116"/>
      <c r="AF6" s="116"/>
      <c r="AG6" s="116"/>
      <c r="AH6" s="116"/>
      <c r="AI6" s="116"/>
      <c r="AJ6" s="116"/>
      <c r="AK6" s="122"/>
      <c r="AL6" s="116"/>
      <c r="AM6" s="116"/>
      <c r="AN6" s="116"/>
      <c r="AO6" s="116"/>
      <c r="AP6" s="116"/>
      <c r="AQ6" s="116"/>
      <c r="AR6" s="116"/>
      <c r="AS6" s="116"/>
      <c r="AT6" s="116"/>
      <c r="AU6" s="116"/>
      <c r="AV6" s="118"/>
      <c r="AW6" s="116"/>
      <c r="AX6" s="116"/>
      <c r="AY6" s="116"/>
      <c r="AZ6" s="116"/>
      <c r="BA6" s="116"/>
      <c r="BB6" s="116"/>
      <c r="BC6" s="116"/>
      <c r="BD6" s="123"/>
      <c r="BE6" s="116"/>
      <c r="BF6" s="116"/>
      <c r="BG6" s="116"/>
      <c r="BH6" s="116"/>
      <c r="BI6" s="116"/>
      <c r="BJ6" s="116"/>
      <c r="BK6" s="116"/>
      <c r="BL6" s="116"/>
      <c r="BM6" s="116"/>
      <c r="BN6" s="123"/>
      <c r="BO6" s="123"/>
      <c r="BP6" s="118"/>
      <c r="BQ6" s="116"/>
      <c r="BR6" s="116"/>
      <c r="BS6" s="116"/>
      <c r="BT6" s="116"/>
      <c r="BU6" s="116"/>
      <c r="BV6" s="116"/>
      <c r="BW6" s="116"/>
      <c r="BX6" s="123"/>
      <c r="BY6" s="123"/>
      <c r="BZ6" s="118"/>
      <c r="CA6" s="123"/>
      <c r="CB6" s="116"/>
      <c r="CC6" s="116"/>
      <c r="CD6" s="116"/>
      <c r="CE6" s="116"/>
      <c r="CF6" s="116"/>
      <c r="CG6" s="116"/>
      <c r="CH6" s="123"/>
      <c r="CI6" s="123"/>
      <c r="CJ6" s="118"/>
      <c r="CK6" s="118"/>
      <c r="CL6" s="123"/>
      <c r="CM6" s="116"/>
      <c r="CN6" s="116"/>
      <c r="CO6" s="116"/>
      <c r="CP6" s="116"/>
      <c r="CQ6" s="116"/>
      <c r="CR6" s="116"/>
      <c r="CS6" s="123"/>
      <c r="CT6" s="123"/>
      <c r="CU6" s="118"/>
      <c r="CV6" s="118"/>
      <c r="CW6" s="123"/>
      <c r="CX6" s="116"/>
      <c r="CY6" s="116"/>
      <c r="CZ6" s="116"/>
      <c r="DA6" s="116"/>
      <c r="DB6" s="116"/>
      <c r="DC6" s="116"/>
      <c r="DD6" s="123"/>
      <c r="DE6" s="123"/>
      <c r="DG6" s="123"/>
      <c r="DH6" s="123"/>
      <c r="DI6" s="123"/>
    </row>
    <row r="7" spans="2:114" ht="18.75" customHeight="1" x14ac:dyDescent="0.25">
      <c r="B7" s="13" t="s">
        <v>4</v>
      </c>
      <c r="C7" s="14" t="s">
        <v>4</v>
      </c>
      <c r="D7" s="15" t="s">
        <v>101</v>
      </c>
      <c r="E7" s="15" t="s">
        <v>102</v>
      </c>
      <c r="F7" s="16" t="s">
        <v>103</v>
      </c>
      <c r="G7" s="11" t="s">
        <v>104</v>
      </c>
      <c r="H7" s="17">
        <v>40234</v>
      </c>
      <c r="I7" s="18" t="s">
        <v>417</v>
      </c>
      <c r="J7" s="19">
        <v>4</v>
      </c>
      <c r="K7" s="20">
        <v>10</v>
      </c>
      <c r="L7" s="21">
        <v>6</v>
      </c>
      <c r="M7" s="22">
        <v>430000</v>
      </c>
      <c r="N7" s="23">
        <v>132106</v>
      </c>
      <c r="O7" s="24">
        <v>297894</v>
      </c>
      <c r="P7" s="24"/>
      <c r="Q7" s="25">
        <v>6</v>
      </c>
      <c r="R7" s="26">
        <v>21500</v>
      </c>
      <c r="S7" s="25">
        <v>276394</v>
      </c>
      <c r="T7" s="25">
        <v>46065.666666666664</v>
      </c>
      <c r="U7" s="25"/>
      <c r="V7" s="25">
        <v>0</v>
      </c>
      <c r="W7" s="25">
        <v>46065.666666666664</v>
      </c>
      <c r="X7" s="25">
        <v>46065.666666666664</v>
      </c>
      <c r="Y7" s="25">
        <v>0</v>
      </c>
      <c r="Z7" s="24">
        <v>297894</v>
      </c>
      <c r="AA7" s="27">
        <v>251828.33333333334</v>
      </c>
      <c r="AB7" s="16"/>
      <c r="AC7" s="27">
        <v>251828.33333333334</v>
      </c>
      <c r="AD7" s="16"/>
      <c r="AE7" s="16"/>
      <c r="AF7" s="28">
        <v>5.095890410958904</v>
      </c>
      <c r="AG7" s="29">
        <v>4.904109589041096</v>
      </c>
      <c r="AH7" s="27">
        <v>21500</v>
      </c>
      <c r="AI7" s="30">
        <v>276394</v>
      </c>
      <c r="AJ7" s="31">
        <v>46065.666666666664</v>
      </c>
      <c r="AK7" s="32">
        <v>205762.66666666669</v>
      </c>
      <c r="AL7" s="16"/>
      <c r="AM7" s="27">
        <v>205762.66666666669</v>
      </c>
      <c r="AN7" s="16"/>
      <c r="AO7" s="16"/>
      <c r="AP7" s="28">
        <v>6.0986301369863014</v>
      </c>
      <c r="AQ7" s="29">
        <v>3.9013698630136986</v>
      </c>
      <c r="AR7" s="27">
        <v>21500</v>
      </c>
      <c r="AS7" s="30">
        <v>230328.33333333334</v>
      </c>
      <c r="AT7" s="31">
        <v>46065.666666666664</v>
      </c>
      <c r="AU7" s="33">
        <v>159697.00000000003</v>
      </c>
      <c r="AV7" s="4"/>
      <c r="AW7" s="27">
        <v>159697.00000000003</v>
      </c>
      <c r="AX7" s="16"/>
      <c r="AY7" s="16"/>
      <c r="AZ7" s="28">
        <v>7.0986301369863014</v>
      </c>
      <c r="BA7" s="29">
        <v>2.9013698630136986</v>
      </c>
      <c r="BB7" s="27">
        <v>21500</v>
      </c>
      <c r="BC7" s="30">
        <v>184262.66666666669</v>
      </c>
      <c r="BD7" s="34">
        <v>46065.666666666664</v>
      </c>
      <c r="BE7" s="33">
        <v>113631.33333333337</v>
      </c>
      <c r="BF7" s="33"/>
      <c r="BG7" s="27">
        <v>113631.33333333337</v>
      </c>
      <c r="BH7" s="16"/>
      <c r="BI7" s="16"/>
      <c r="BJ7" s="28">
        <v>8.0986301369863014</v>
      </c>
      <c r="BK7" s="29">
        <v>1.9013698630136986</v>
      </c>
      <c r="BL7" s="27">
        <v>21500</v>
      </c>
      <c r="BM7" s="30">
        <v>92131.333333333372</v>
      </c>
      <c r="BN7" s="34">
        <v>46065.666666666664</v>
      </c>
      <c r="BO7" s="35">
        <v>67565.666666666715</v>
      </c>
      <c r="BP7" s="36"/>
      <c r="BQ7" s="27">
        <v>67565.666666666715</v>
      </c>
      <c r="BR7" s="16"/>
      <c r="BS7" s="16"/>
      <c r="BT7" s="28">
        <v>9.0986301369863014</v>
      </c>
      <c r="BU7" s="29">
        <v>0.90136986301369859</v>
      </c>
      <c r="BV7" s="27">
        <v>21500</v>
      </c>
      <c r="BW7" s="30">
        <v>46065.666666666715</v>
      </c>
      <c r="BX7" s="34">
        <v>46065.666666666664</v>
      </c>
      <c r="BY7" s="35">
        <v>21500.000000000051</v>
      </c>
      <c r="BZ7" s="4"/>
      <c r="CA7" s="35">
        <v>21500.000000000051</v>
      </c>
      <c r="CB7" s="16"/>
      <c r="CC7" s="16"/>
      <c r="CD7" s="28">
        <v>10.101369863013698</v>
      </c>
      <c r="CE7" s="29">
        <v>-0.10136986301369788</v>
      </c>
      <c r="CF7" s="27">
        <v>21500</v>
      </c>
      <c r="CG7" s="30">
        <v>0</v>
      </c>
      <c r="CH7" s="31"/>
      <c r="CI7" s="35">
        <v>21500.000000000051</v>
      </c>
      <c r="CJ7" s="4"/>
      <c r="CK7" s="36">
        <v>5.0931703299283981E-11</v>
      </c>
      <c r="CL7" s="35">
        <v>21500.000000000051</v>
      </c>
      <c r="CM7" s="16"/>
      <c r="CN7" s="16"/>
      <c r="CO7" s="28">
        <v>11.101369863013698</v>
      </c>
      <c r="CP7" s="29">
        <v>-1.1013698630136979</v>
      </c>
      <c r="CQ7" s="27">
        <v>21500</v>
      </c>
      <c r="CR7" s="34">
        <v>0</v>
      </c>
      <c r="CS7" s="34">
        <v>0</v>
      </c>
      <c r="CT7" s="35">
        <v>21500.000000000051</v>
      </c>
      <c r="CU7" s="4"/>
      <c r="CV7" s="37">
        <v>5.0931703299283981E-11</v>
      </c>
      <c r="CW7" s="35">
        <v>21500.000000000051</v>
      </c>
      <c r="CX7" s="16"/>
      <c r="CY7" s="16"/>
      <c r="CZ7" s="28">
        <v>13.101369863013698</v>
      </c>
      <c r="DA7" s="29">
        <v>-3.1013698630136979</v>
      </c>
      <c r="DB7" s="27">
        <v>21500</v>
      </c>
      <c r="DC7" s="34">
        <v>0</v>
      </c>
      <c r="DD7" s="34">
        <v>0</v>
      </c>
      <c r="DE7" s="35">
        <v>21500.000000000051</v>
      </c>
      <c r="DG7" s="35">
        <v>430000</v>
      </c>
      <c r="DH7" s="65">
        <v>408500.00000000006</v>
      </c>
      <c r="DI7" s="65">
        <f t="shared" ref="DI7:DI30" si="0">DG7-DH7</f>
        <v>21499.999999999942</v>
      </c>
      <c r="DJ7" s="124">
        <f>DE7-DI7</f>
        <v>1.0913936421275139E-10</v>
      </c>
    </row>
    <row r="8" spans="2:114" ht="18.75" customHeight="1" x14ac:dyDescent="0.25">
      <c r="B8" s="13" t="s">
        <v>4</v>
      </c>
      <c r="C8" s="14" t="s">
        <v>4</v>
      </c>
      <c r="D8" s="15" t="s">
        <v>101</v>
      </c>
      <c r="E8" s="15" t="s">
        <v>105</v>
      </c>
      <c r="F8" s="16" t="s">
        <v>106</v>
      </c>
      <c r="G8" s="11" t="s">
        <v>104</v>
      </c>
      <c r="H8" s="17">
        <v>40267</v>
      </c>
      <c r="I8" s="18" t="s">
        <v>417</v>
      </c>
      <c r="J8" s="19">
        <v>4</v>
      </c>
      <c r="K8" s="20">
        <v>10</v>
      </c>
      <c r="L8" s="21">
        <v>6</v>
      </c>
      <c r="M8" s="22">
        <v>315630</v>
      </c>
      <c r="N8" s="23">
        <v>93807.31137534247</v>
      </c>
      <c r="O8" s="24">
        <v>221822.68862465752</v>
      </c>
      <c r="P8" s="24"/>
      <c r="Q8" s="25">
        <v>6</v>
      </c>
      <c r="R8" s="26">
        <v>15781.5</v>
      </c>
      <c r="S8" s="25">
        <v>206041.18862465752</v>
      </c>
      <c r="T8" s="25">
        <v>34340.198104109586</v>
      </c>
      <c r="U8" s="25"/>
      <c r="V8" s="25">
        <v>0</v>
      </c>
      <c r="W8" s="25">
        <v>34340.198104109586</v>
      </c>
      <c r="X8" s="25">
        <v>34340.198104109586</v>
      </c>
      <c r="Y8" s="25">
        <v>0</v>
      </c>
      <c r="Z8" s="24">
        <v>221822.68862465752</v>
      </c>
      <c r="AA8" s="27">
        <v>187482.49052054793</v>
      </c>
      <c r="AB8" s="16"/>
      <c r="AC8" s="27">
        <v>187482.49052054793</v>
      </c>
      <c r="AD8" s="16"/>
      <c r="AE8" s="16"/>
      <c r="AF8" s="28">
        <v>5.0054794520547947</v>
      </c>
      <c r="AG8" s="29">
        <v>4.9945205479452053</v>
      </c>
      <c r="AH8" s="27">
        <v>15781.5</v>
      </c>
      <c r="AI8" s="30">
        <v>206041.18862465752</v>
      </c>
      <c r="AJ8" s="31">
        <v>34340.198104109586</v>
      </c>
      <c r="AK8" s="32">
        <v>153142.29241643834</v>
      </c>
      <c r="AL8" s="16"/>
      <c r="AM8" s="27">
        <v>153142.29241643834</v>
      </c>
      <c r="AN8" s="16"/>
      <c r="AO8" s="16"/>
      <c r="AP8" s="28">
        <v>6.0082191780821921</v>
      </c>
      <c r="AQ8" s="29">
        <v>3.9917808219178079</v>
      </c>
      <c r="AR8" s="27">
        <v>15781.5</v>
      </c>
      <c r="AS8" s="30">
        <v>171700.99052054793</v>
      </c>
      <c r="AT8" s="31">
        <v>34340.198104109586</v>
      </c>
      <c r="AU8" s="33">
        <v>118802.09431232876</v>
      </c>
      <c r="AV8" s="4"/>
      <c r="AW8" s="27">
        <v>118802.09431232876</v>
      </c>
      <c r="AX8" s="16"/>
      <c r="AY8" s="16"/>
      <c r="AZ8" s="28">
        <v>7.0082191780821921</v>
      </c>
      <c r="BA8" s="29">
        <v>2.9917808219178079</v>
      </c>
      <c r="BB8" s="27">
        <v>15781.5</v>
      </c>
      <c r="BC8" s="30">
        <v>137360.79241643834</v>
      </c>
      <c r="BD8" s="34">
        <v>34340.198104109586</v>
      </c>
      <c r="BE8" s="33">
        <v>84461.896208219172</v>
      </c>
      <c r="BF8" s="33"/>
      <c r="BG8" s="27">
        <v>84461.896208219172</v>
      </c>
      <c r="BH8" s="16"/>
      <c r="BI8" s="16"/>
      <c r="BJ8" s="28">
        <v>8.0082191780821912</v>
      </c>
      <c r="BK8" s="29">
        <v>1.9917808219178088</v>
      </c>
      <c r="BL8" s="27">
        <v>15781.5</v>
      </c>
      <c r="BM8" s="30">
        <v>68680.396208219172</v>
      </c>
      <c r="BN8" s="34">
        <v>34340.198104109586</v>
      </c>
      <c r="BO8" s="35">
        <v>50121.698104109586</v>
      </c>
      <c r="BP8" s="36"/>
      <c r="BQ8" s="27">
        <v>50121.698104109586</v>
      </c>
      <c r="BR8" s="16"/>
      <c r="BS8" s="16"/>
      <c r="BT8" s="28">
        <v>9.0082191780821912</v>
      </c>
      <c r="BU8" s="29">
        <v>0.99178082191780881</v>
      </c>
      <c r="BV8" s="27">
        <v>15781.5</v>
      </c>
      <c r="BW8" s="30">
        <v>34340.198104109586</v>
      </c>
      <c r="BX8" s="34">
        <v>34340.198104109586</v>
      </c>
      <c r="BY8" s="35">
        <v>15781.5</v>
      </c>
      <c r="BZ8" s="4"/>
      <c r="CA8" s="35">
        <v>15781.5</v>
      </c>
      <c r="CB8" s="16"/>
      <c r="CC8" s="16"/>
      <c r="CD8" s="28">
        <v>10.010958904109589</v>
      </c>
      <c r="CE8" s="29">
        <v>-1.095890410958944E-2</v>
      </c>
      <c r="CF8" s="27">
        <v>15781.5</v>
      </c>
      <c r="CG8" s="30">
        <v>0</v>
      </c>
      <c r="CH8" s="31"/>
      <c r="CI8" s="35">
        <v>15781.5</v>
      </c>
      <c r="CJ8" s="4"/>
      <c r="CK8" s="36">
        <v>0</v>
      </c>
      <c r="CL8" s="35">
        <v>15781.5</v>
      </c>
      <c r="CM8" s="16"/>
      <c r="CN8" s="16"/>
      <c r="CO8" s="28">
        <v>11.010958904109589</v>
      </c>
      <c r="CP8" s="29">
        <v>-1.0109589041095894</v>
      </c>
      <c r="CQ8" s="27">
        <v>15781.5</v>
      </c>
      <c r="CR8" s="34">
        <v>0</v>
      </c>
      <c r="CS8" s="34">
        <v>0</v>
      </c>
      <c r="CT8" s="35">
        <v>15781.5</v>
      </c>
      <c r="CU8" s="4"/>
      <c r="CV8" s="37">
        <v>0</v>
      </c>
      <c r="CW8" s="35">
        <v>15781.5</v>
      </c>
      <c r="CX8" s="16"/>
      <c r="CY8" s="16"/>
      <c r="CZ8" s="28">
        <v>13.010958904109589</v>
      </c>
      <c r="DA8" s="29">
        <v>-3.0109589041095894</v>
      </c>
      <c r="DB8" s="27">
        <v>15781.5</v>
      </c>
      <c r="DC8" s="34">
        <v>0</v>
      </c>
      <c r="DD8" s="34">
        <v>0</v>
      </c>
      <c r="DE8" s="35">
        <v>15781.5</v>
      </c>
      <c r="DG8" s="35">
        <v>315630</v>
      </c>
      <c r="DH8" s="65">
        <v>299848.5</v>
      </c>
      <c r="DI8" s="65">
        <f t="shared" si="0"/>
        <v>15781.5</v>
      </c>
      <c r="DJ8" s="124">
        <f t="shared" ref="DJ8:DJ30" si="1">DE8-DI8</f>
        <v>0</v>
      </c>
    </row>
    <row r="9" spans="2:114" ht="18.75" customHeight="1" x14ac:dyDescent="0.25">
      <c r="B9" s="13" t="s">
        <v>4</v>
      </c>
      <c r="C9" s="14" t="s">
        <v>4</v>
      </c>
      <c r="D9" s="15" t="s">
        <v>101</v>
      </c>
      <c r="E9" s="15" t="s">
        <v>107</v>
      </c>
      <c r="F9" s="16" t="s">
        <v>108</v>
      </c>
      <c r="G9" s="11" t="s">
        <v>104</v>
      </c>
      <c r="H9" s="17">
        <v>40267</v>
      </c>
      <c r="I9" s="18" t="s">
        <v>417</v>
      </c>
      <c r="J9" s="19">
        <v>4</v>
      </c>
      <c r="K9" s="20">
        <v>10</v>
      </c>
      <c r="L9" s="21">
        <v>6</v>
      </c>
      <c r="M9" s="22">
        <v>252497</v>
      </c>
      <c r="N9" s="23">
        <v>75043.768654246567</v>
      </c>
      <c r="O9" s="24">
        <v>177453.23134575342</v>
      </c>
      <c r="P9" s="24"/>
      <c r="Q9" s="25">
        <v>6</v>
      </c>
      <c r="R9" s="26">
        <v>12624.85</v>
      </c>
      <c r="S9" s="25">
        <v>164828.38134575341</v>
      </c>
      <c r="T9" s="25">
        <v>27471.396890958902</v>
      </c>
      <c r="U9" s="25"/>
      <c r="V9" s="25">
        <v>0</v>
      </c>
      <c r="W9" s="25">
        <v>27471.396890958902</v>
      </c>
      <c r="X9" s="25">
        <v>27471.396890958902</v>
      </c>
      <c r="Y9" s="25">
        <v>0</v>
      </c>
      <c r="Z9" s="24">
        <v>177453.23134575342</v>
      </c>
      <c r="AA9" s="27">
        <v>149981.83445479453</v>
      </c>
      <c r="AB9" s="16"/>
      <c r="AC9" s="27">
        <v>149981.83445479453</v>
      </c>
      <c r="AD9" s="16"/>
      <c r="AE9" s="16"/>
      <c r="AF9" s="28">
        <v>5.0054794520547947</v>
      </c>
      <c r="AG9" s="29">
        <v>4.9945205479452053</v>
      </c>
      <c r="AH9" s="27">
        <v>12624.85</v>
      </c>
      <c r="AI9" s="30">
        <v>164828.38134575341</v>
      </c>
      <c r="AJ9" s="31">
        <v>27471.396890958902</v>
      </c>
      <c r="AK9" s="32">
        <v>122510.43756383563</v>
      </c>
      <c r="AL9" s="16"/>
      <c r="AM9" s="27">
        <v>122510.43756383563</v>
      </c>
      <c r="AN9" s="16"/>
      <c r="AO9" s="16"/>
      <c r="AP9" s="28">
        <v>6.0082191780821921</v>
      </c>
      <c r="AQ9" s="29">
        <v>3.9917808219178079</v>
      </c>
      <c r="AR9" s="27">
        <v>12624.85</v>
      </c>
      <c r="AS9" s="30">
        <v>137356.98445479452</v>
      </c>
      <c r="AT9" s="31">
        <v>27471.396890958902</v>
      </c>
      <c r="AU9" s="33">
        <v>95039.040672876727</v>
      </c>
      <c r="AV9" s="4"/>
      <c r="AW9" s="27">
        <v>95039.040672876727</v>
      </c>
      <c r="AX9" s="16"/>
      <c r="AY9" s="16"/>
      <c r="AZ9" s="28">
        <v>7.0082191780821921</v>
      </c>
      <c r="BA9" s="29">
        <v>2.9917808219178079</v>
      </c>
      <c r="BB9" s="27">
        <v>12624.85</v>
      </c>
      <c r="BC9" s="30">
        <v>109885.58756383562</v>
      </c>
      <c r="BD9" s="34">
        <v>27471.396890958902</v>
      </c>
      <c r="BE9" s="33">
        <v>67567.643781917825</v>
      </c>
      <c r="BF9" s="33"/>
      <c r="BG9" s="27">
        <v>67567.643781917825</v>
      </c>
      <c r="BH9" s="16"/>
      <c r="BI9" s="16"/>
      <c r="BJ9" s="28">
        <v>8.0082191780821912</v>
      </c>
      <c r="BK9" s="29">
        <v>1.9917808219178088</v>
      </c>
      <c r="BL9" s="27">
        <v>12624.85</v>
      </c>
      <c r="BM9" s="30">
        <v>54942.793781917826</v>
      </c>
      <c r="BN9" s="34">
        <v>27471.396890958902</v>
      </c>
      <c r="BO9" s="35">
        <v>40096.246890958922</v>
      </c>
      <c r="BP9" s="36"/>
      <c r="BQ9" s="27">
        <v>40096.246890958922</v>
      </c>
      <c r="BR9" s="16"/>
      <c r="BS9" s="16"/>
      <c r="BT9" s="28">
        <v>9.0082191780821912</v>
      </c>
      <c r="BU9" s="29">
        <v>0.99178082191780881</v>
      </c>
      <c r="BV9" s="27">
        <v>12624.85</v>
      </c>
      <c r="BW9" s="30">
        <v>27471.396890958924</v>
      </c>
      <c r="BX9" s="34">
        <v>27471.396890958902</v>
      </c>
      <c r="BY9" s="35">
        <v>12624.85000000002</v>
      </c>
      <c r="BZ9" s="4"/>
      <c r="CA9" s="35">
        <v>12624.85000000002</v>
      </c>
      <c r="CB9" s="16"/>
      <c r="CC9" s="16"/>
      <c r="CD9" s="28">
        <v>10.010958904109589</v>
      </c>
      <c r="CE9" s="29">
        <v>-1.095890410958944E-2</v>
      </c>
      <c r="CF9" s="27">
        <v>12624.85</v>
      </c>
      <c r="CG9" s="30">
        <v>0</v>
      </c>
      <c r="CH9" s="31"/>
      <c r="CI9" s="35">
        <v>12624.85000000002</v>
      </c>
      <c r="CJ9" s="4"/>
      <c r="CK9" s="36">
        <v>2.0008883439004421E-11</v>
      </c>
      <c r="CL9" s="35">
        <v>12624.85000000002</v>
      </c>
      <c r="CM9" s="16"/>
      <c r="CN9" s="16"/>
      <c r="CO9" s="28">
        <v>11.010958904109589</v>
      </c>
      <c r="CP9" s="29">
        <v>-1.0109589041095894</v>
      </c>
      <c r="CQ9" s="27">
        <v>12624.85</v>
      </c>
      <c r="CR9" s="34">
        <v>0</v>
      </c>
      <c r="CS9" s="34">
        <v>0</v>
      </c>
      <c r="CT9" s="35">
        <v>12624.85000000002</v>
      </c>
      <c r="CU9" s="4"/>
      <c r="CV9" s="37">
        <v>2.0008883439004421E-11</v>
      </c>
      <c r="CW9" s="35">
        <v>12624.85000000002</v>
      </c>
      <c r="CX9" s="16"/>
      <c r="CY9" s="16"/>
      <c r="CZ9" s="28">
        <v>13.010958904109589</v>
      </c>
      <c r="DA9" s="29">
        <v>-3.0109589041095894</v>
      </c>
      <c r="DB9" s="27">
        <v>12624.85</v>
      </c>
      <c r="DC9" s="34">
        <v>0</v>
      </c>
      <c r="DD9" s="34">
        <v>0</v>
      </c>
      <c r="DE9" s="35">
        <v>12624.85000000002</v>
      </c>
      <c r="DG9" s="35">
        <v>252497</v>
      </c>
      <c r="DH9" s="65">
        <v>239872.14999999997</v>
      </c>
      <c r="DI9" s="65">
        <f t="shared" si="0"/>
        <v>12624.850000000035</v>
      </c>
      <c r="DJ9" s="124">
        <f t="shared" si="1"/>
        <v>-1.4551915228366852E-11</v>
      </c>
    </row>
    <row r="10" spans="2:114" ht="18.75" customHeight="1" x14ac:dyDescent="0.25">
      <c r="B10" s="13" t="s">
        <v>4</v>
      </c>
      <c r="C10" s="14" t="s">
        <v>4</v>
      </c>
      <c r="D10" s="15" t="s">
        <v>101</v>
      </c>
      <c r="E10" s="15" t="s">
        <v>112</v>
      </c>
      <c r="F10" s="16" t="s">
        <v>113</v>
      </c>
      <c r="G10" s="11" t="s">
        <v>104</v>
      </c>
      <c r="H10" s="17">
        <v>40267</v>
      </c>
      <c r="I10" s="18" t="s">
        <v>417</v>
      </c>
      <c r="J10" s="19">
        <v>4</v>
      </c>
      <c r="K10" s="20">
        <v>10</v>
      </c>
      <c r="L10" s="21">
        <v>6</v>
      </c>
      <c r="M10" s="22">
        <v>26020</v>
      </c>
      <c r="N10" s="23">
        <v>7727.7359999999999</v>
      </c>
      <c r="O10" s="24">
        <v>18292.263999999999</v>
      </c>
      <c r="P10" s="24"/>
      <c r="Q10" s="25">
        <v>6</v>
      </c>
      <c r="R10" s="26">
        <v>1301</v>
      </c>
      <c r="S10" s="25">
        <v>16991.263999999999</v>
      </c>
      <c r="T10" s="25">
        <v>2831.8773333333334</v>
      </c>
      <c r="U10" s="25"/>
      <c r="V10" s="25">
        <v>0</v>
      </c>
      <c r="W10" s="25">
        <v>2831.8773333333334</v>
      </c>
      <c r="X10" s="25">
        <v>2831.8773333333334</v>
      </c>
      <c r="Y10" s="25">
        <v>0</v>
      </c>
      <c r="Z10" s="24">
        <v>18292.263999999999</v>
      </c>
      <c r="AA10" s="27">
        <v>15460.386666666665</v>
      </c>
      <c r="AB10" s="16"/>
      <c r="AC10" s="27">
        <v>15460.386666666665</v>
      </c>
      <c r="AD10" s="16"/>
      <c r="AE10" s="16"/>
      <c r="AF10" s="28">
        <v>5.0054794520547947</v>
      </c>
      <c r="AG10" s="29">
        <v>4.9945205479452053</v>
      </c>
      <c r="AH10" s="27">
        <v>1301</v>
      </c>
      <c r="AI10" s="30">
        <v>16991.263999999999</v>
      </c>
      <c r="AJ10" s="31">
        <v>2831.8773333333334</v>
      </c>
      <c r="AK10" s="32">
        <v>12628.509333333332</v>
      </c>
      <c r="AL10" s="16"/>
      <c r="AM10" s="27">
        <v>12628.509333333332</v>
      </c>
      <c r="AN10" s="16"/>
      <c r="AO10" s="16"/>
      <c r="AP10" s="28">
        <v>6.0082191780821921</v>
      </c>
      <c r="AQ10" s="29">
        <v>3.9917808219178079</v>
      </c>
      <c r="AR10" s="27">
        <v>1301</v>
      </c>
      <c r="AS10" s="30">
        <v>14159.386666666665</v>
      </c>
      <c r="AT10" s="31">
        <v>2831.8773333333334</v>
      </c>
      <c r="AU10" s="33">
        <v>9796.6319999999978</v>
      </c>
      <c r="AV10" s="4"/>
      <c r="AW10" s="27">
        <v>9796.6319999999978</v>
      </c>
      <c r="AX10" s="16"/>
      <c r="AY10" s="16"/>
      <c r="AZ10" s="28">
        <v>7.0082191780821921</v>
      </c>
      <c r="BA10" s="29">
        <v>2.9917808219178079</v>
      </c>
      <c r="BB10" s="27">
        <v>1301</v>
      </c>
      <c r="BC10" s="30">
        <v>11327.509333333332</v>
      </c>
      <c r="BD10" s="34">
        <v>2831.8773333333334</v>
      </c>
      <c r="BE10" s="33">
        <v>6964.754666666664</v>
      </c>
      <c r="BF10" s="33"/>
      <c r="BG10" s="27">
        <v>6964.754666666664</v>
      </c>
      <c r="BH10" s="16"/>
      <c r="BI10" s="16"/>
      <c r="BJ10" s="28">
        <v>8.0082191780821912</v>
      </c>
      <c r="BK10" s="29">
        <v>1.9917808219178088</v>
      </c>
      <c r="BL10" s="27">
        <v>1301</v>
      </c>
      <c r="BM10" s="30">
        <v>5663.754666666664</v>
      </c>
      <c r="BN10" s="34">
        <v>2831.8773333333334</v>
      </c>
      <c r="BO10" s="35">
        <v>4132.8773333333302</v>
      </c>
      <c r="BP10" s="36"/>
      <c r="BQ10" s="27">
        <v>4132.8773333333302</v>
      </c>
      <c r="BR10" s="16"/>
      <c r="BS10" s="16"/>
      <c r="BT10" s="28">
        <v>9.0082191780821912</v>
      </c>
      <c r="BU10" s="29">
        <v>0.99178082191780881</v>
      </c>
      <c r="BV10" s="27">
        <v>1301</v>
      </c>
      <c r="BW10" s="30">
        <v>2831.8773333333302</v>
      </c>
      <c r="BX10" s="34">
        <v>2831.8773333333334</v>
      </c>
      <c r="BY10" s="35">
        <v>1300.9999999999968</v>
      </c>
      <c r="BZ10" s="4"/>
      <c r="CA10" s="35">
        <v>1300.9999999999968</v>
      </c>
      <c r="CB10" s="16"/>
      <c r="CC10" s="16"/>
      <c r="CD10" s="28">
        <v>10.010958904109589</v>
      </c>
      <c r="CE10" s="29">
        <v>-1.095890410958944E-2</v>
      </c>
      <c r="CF10" s="27">
        <v>1301</v>
      </c>
      <c r="CG10" s="30">
        <v>0</v>
      </c>
      <c r="CH10" s="31"/>
      <c r="CI10" s="35">
        <v>1300.9999999999968</v>
      </c>
      <c r="CJ10" s="4"/>
      <c r="CK10" s="36">
        <v>-3.1832314562052488E-12</v>
      </c>
      <c r="CL10" s="35">
        <v>1300.9999999999968</v>
      </c>
      <c r="CM10" s="16"/>
      <c r="CN10" s="16"/>
      <c r="CO10" s="28">
        <v>11.010958904109589</v>
      </c>
      <c r="CP10" s="29">
        <v>-1.0109589041095894</v>
      </c>
      <c r="CQ10" s="27">
        <v>1301</v>
      </c>
      <c r="CR10" s="34">
        <v>0</v>
      </c>
      <c r="CS10" s="34">
        <v>0</v>
      </c>
      <c r="CT10" s="35">
        <v>1300.9999999999968</v>
      </c>
      <c r="CU10" s="4"/>
      <c r="CV10" s="37">
        <v>-3.1832314562052488E-12</v>
      </c>
      <c r="CW10" s="35">
        <v>1300.9999999999968</v>
      </c>
      <c r="CX10" s="16"/>
      <c r="CY10" s="16"/>
      <c r="CZ10" s="28">
        <v>13.010958904109589</v>
      </c>
      <c r="DA10" s="29">
        <v>-3.0109589041095894</v>
      </c>
      <c r="DB10" s="27">
        <v>1301</v>
      </c>
      <c r="DC10" s="34">
        <v>0</v>
      </c>
      <c r="DD10" s="34">
        <v>0</v>
      </c>
      <c r="DE10" s="35">
        <v>1300.9999999999968</v>
      </c>
      <c r="DG10" s="35">
        <v>26020</v>
      </c>
      <c r="DH10" s="65">
        <v>24719</v>
      </c>
      <c r="DI10" s="65">
        <f t="shared" si="0"/>
        <v>1301</v>
      </c>
      <c r="DJ10" s="124">
        <f t="shared" si="1"/>
        <v>-3.1832314562052488E-12</v>
      </c>
    </row>
    <row r="11" spans="2:114" ht="18.75" customHeight="1" x14ac:dyDescent="0.25">
      <c r="B11" s="13" t="s">
        <v>4</v>
      </c>
      <c r="C11" s="14" t="s">
        <v>4</v>
      </c>
      <c r="D11" s="15" t="s">
        <v>101</v>
      </c>
      <c r="E11" s="15" t="s">
        <v>114</v>
      </c>
      <c r="F11" s="16" t="s">
        <v>115</v>
      </c>
      <c r="G11" s="11" t="s">
        <v>104</v>
      </c>
      <c r="H11" s="17">
        <v>40267</v>
      </c>
      <c r="I11" s="18" t="s">
        <v>417</v>
      </c>
      <c r="J11" s="19">
        <v>4</v>
      </c>
      <c r="K11" s="20">
        <v>10</v>
      </c>
      <c r="L11" s="21">
        <v>6</v>
      </c>
      <c r="M11" s="22">
        <v>28188</v>
      </c>
      <c r="N11" s="23">
        <v>8372.1984000000011</v>
      </c>
      <c r="O11" s="24">
        <v>19815.801599999999</v>
      </c>
      <c r="P11" s="24"/>
      <c r="Q11" s="25">
        <v>6</v>
      </c>
      <c r="R11" s="26">
        <v>1409.4</v>
      </c>
      <c r="S11" s="25">
        <v>18406.401599999997</v>
      </c>
      <c r="T11" s="25">
        <v>3067.7335999999996</v>
      </c>
      <c r="U11" s="25"/>
      <c r="V11" s="25">
        <v>0</v>
      </c>
      <c r="W11" s="25">
        <v>3067.7335999999996</v>
      </c>
      <c r="X11" s="25">
        <v>3067.7335999999996</v>
      </c>
      <c r="Y11" s="25">
        <v>0</v>
      </c>
      <c r="Z11" s="24">
        <v>19815.801599999999</v>
      </c>
      <c r="AA11" s="27">
        <v>16748.067999999999</v>
      </c>
      <c r="AB11" s="16"/>
      <c r="AC11" s="27">
        <v>16748.067999999999</v>
      </c>
      <c r="AD11" s="16"/>
      <c r="AE11" s="16"/>
      <c r="AF11" s="28">
        <v>5.0054794520547947</v>
      </c>
      <c r="AG11" s="29">
        <v>4.9945205479452053</v>
      </c>
      <c r="AH11" s="27">
        <v>1409.4</v>
      </c>
      <c r="AI11" s="30">
        <v>18406.401599999997</v>
      </c>
      <c r="AJ11" s="31">
        <v>3067.7335999999996</v>
      </c>
      <c r="AK11" s="32">
        <v>13680.3344</v>
      </c>
      <c r="AL11" s="16"/>
      <c r="AM11" s="27">
        <v>13680.3344</v>
      </c>
      <c r="AN11" s="16"/>
      <c r="AO11" s="16"/>
      <c r="AP11" s="28">
        <v>6.0082191780821921</v>
      </c>
      <c r="AQ11" s="29">
        <v>3.9917808219178079</v>
      </c>
      <c r="AR11" s="27">
        <v>1409.4</v>
      </c>
      <c r="AS11" s="30">
        <v>15338.668</v>
      </c>
      <c r="AT11" s="31">
        <v>3067.7335999999996</v>
      </c>
      <c r="AU11" s="33">
        <v>10612.6008</v>
      </c>
      <c r="AV11" s="4"/>
      <c r="AW11" s="27">
        <v>10612.6008</v>
      </c>
      <c r="AX11" s="16"/>
      <c r="AY11" s="16"/>
      <c r="AZ11" s="28">
        <v>7.0082191780821921</v>
      </c>
      <c r="BA11" s="29">
        <v>2.9917808219178079</v>
      </c>
      <c r="BB11" s="27">
        <v>1409.4</v>
      </c>
      <c r="BC11" s="30">
        <v>12270.9344</v>
      </c>
      <c r="BD11" s="34">
        <v>3067.7335999999996</v>
      </c>
      <c r="BE11" s="33">
        <v>7544.8672000000006</v>
      </c>
      <c r="BF11" s="33"/>
      <c r="BG11" s="27">
        <v>7544.8672000000006</v>
      </c>
      <c r="BH11" s="16"/>
      <c r="BI11" s="16"/>
      <c r="BJ11" s="28">
        <v>8.0082191780821912</v>
      </c>
      <c r="BK11" s="29">
        <v>1.9917808219178088</v>
      </c>
      <c r="BL11" s="27">
        <v>1409.4</v>
      </c>
      <c r="BM11" s="30">
        <v>6135.467200000001</v>
      </c>
      <c r="BN11" s="34">
        <v>3067.7335999999996</v>
      </c>
      <c r="BO11" s="35">
        <v>4477.133600000001</v>
      </c>
      <c r="BP11" s="36"/>
      <c r="BQ11" s="27">
        <v>4477.133600000001</v>
      </c>
      <c r="BR11" s="16"/>
      <c r="BS11" s="16"/>
      <c r="BT11" s="28">
        <v>9.0082191780821912</v>
      </c>
      <c r="BU11" s="29">
        <v>0.99178082191780881</v>
      </c>
      <c r="BV11" s="27">
        <v>1409.4</v>
      </c>
      <c r="BW11" s="30">
        <v>3067.7336000000009</v>
      </c>
      <c r="BX11" s="34">
        <v>3067.7335999999996</v>
      </c>
      <c r="BY11" s="35">
        <v>1409.4000000000015</v>
      </c>
      <c r="BZ11" s="4"/>
      <c r="CA11" s="35">
        <v>1409.4000000000015</v>
      </c>
      <c r="CB11" s="16"/>
      <c r="CC11" s="16"/>
      <c r="CD11" s="28">
        <v>10.010958904109589</v>
      </c>
      <c r="CE11" s="29">
        <v>-1.095890410958944E-2</v>
      </c>
      <c r="CF11" s="27">
        <v>1409.4</v>
      </c>
      <c r="CG11" s="30">
        <v>0</v>
      </c>
      <c r="CH11" s="31"/>
      <c r="CI11" s="35">
        <v>1409.4000000000015</v>
      </c>
      <c r="CJ11" s="4"/>
      <c r="CK11" s="36">
        <v>0</v>
      </c>
      <c r="CL11" s="35">
        <v>1409.4000000000015</v>
      </c>
      <c r="CM11" s="16"/>
      <c r="CN11" s="16"/>
      <c r="CO11" s="28">
        <v>11.010958904109589</v>
      </c>
      <c r="CP11" s="29">
        <v>-1.0109589041095894</v>
      </c>
      <c r="CQ11" s="27">
        <v>1409.4</v>
      </c>
      <c r="CR11" s="34">
        <v>0</v>
      </c>
      <c r="CS11" s="34">
        <v>0</v>
      </c>
      <c r="CT11" s="35">
        <v>1409.4000000000015</v>
      </c>
      <c r="CU11" s="4"/>
      <c r="CV11" s="37">
        <v>0</v>
      </c>
      <c r="CW11" s="35">
        <v>1409.4000000000015</v>
      </c>
      <c r="CX11" s="16"/>
      <c r="CY11" s="16"/>
      <c r="CZ11" s="28">
        <v>13.010958904109589</v>
      </c>
      <c r="DA11" s="29">
        <v>-3.0109589041095894</v>
      </c>
      <c r="DB11" s="27">
        <v>1409.4</v>
      </c>
      <c r="DC11" s="34">
        <v>0</v>
      </c>
      <c r="DD11" s="34">
        <v>0</v>
      </c>
      <c r="DE11" s="35">
        <v>1409.4000000000015</v>
      </c>
      <c r="DG11" s="35">
        <v>28188</v>
      </c>
      <c r="DH11" s="65">
        <v>26778.6</v>
      </c>
      <c r="DI11" s="65">
        <f t="shared" si="0"/>
        <v>1409.4000000000015</v>
      </c>
      <c r="DJ11" s="124">
        <f t="shared" si="1"/>
        <v>0</v>
      </c>
    </row>
    <row r="12" spans="2:114" ht="18.75" customHeight="1" x14ac:dyDescent="0.25">
      <c r="B12" s="13" t="s">
        <v>4</v>
      </c>
      <c r="C12" s="14" t="s">
        <v>4</v>
      </c>
      <c r="D12" s="15" t="s">
        <v>101</v>
      </c>
      <c r="E12" s="15" t="s">
        <v>116</v>
      </c>
      <c r="F12" s="16" t="s">
        <v>117</v>
      </c>
      <c r="G12" s="11" t="s">
        <v>104</v>
      </c>
      <c r="H12" s="17">
        <v>40267</v>
      </c>
      <c r="I12" s="18" t="s">
        <v>417</v>
      </c>
      <c r="J12" s="19">
        <v>4</v>
      </c>
      <c r="K12" s="20">
        <v>10</v>
      </c>
      <c r="L12" s="21">
        <v>6</v>
      </c>
      <c r="M12" s="22">
        <v>28000</v>
      </c>
      <c r="N12" s="23">
        <v>8316.4</v>
      </c>
      <c r="O12" s="24">
        <v>19683.599999999999</v>
      </c>
      <c r="P12" s="24"/>
      <c r="Q12" s="25">
        <v>6</v>
      </c>
      <c r="R12" s="26">
        <v>1400</v>
      </c>
      <c r="S12" s="25">
        <v>18283.599999999999</v>
      </c>
      <c r="T12" s="25">
        <v>3047.2666666666664</v>
      </c>
      <c r="U12" s="25"/>
      <c r="V12" s="25">
        <v>0</v>
      </c>
      <c r="W12" s="25">
        <v>3047.2666666666664</v>
      </c>
      <c r="X12" s="25">
        <v>3047.2666666666664</v>
      </c>
      <c r="Y12" s="25">
        <v>0</v>
      </c>
      <c r="Z12" s="24">
        <v>19683.599999999999</v>
      </c>
      <c r="AA12" s="27">
        <v>16636.333333333332</v>
      </c>
      <c r="AB12" s="16"/>
      <c r="AC12" s="27">
        <v>16636.333333333332</v>
      </c>
      <c r="AD12" s="16"/>
      <c r="AE12" s="16"/>
      <c r="AF12" s="28">
        <v>5.0054794520547947</v>
      </c>
      <c r="AG12" s="29">
        <v>4.9945205479452053</v>
      </c>
      <c r="AH12" s="27">
        <v>1400</v>
      </c>
      <c r="AI12" s="30">
        <v>18283.599999999999</v>
      </c>
      <c r="AJ12" s="31">
        <v>3047.2666666666664</v>
      </c>
      <c r="AK12" s="32">
        <v>13589.066666666666</v>
      </c>
      <c r="AL12" s="16"/>
      <c r="AM12" s="27">
        <v>13589.066666666666</v>
      </c>
      <c r="AN12" s="16"/>
      <c r="AO12" s="16"/>
      <c r="AP12" s="28">
        <v>6.0082191780821921</v>
      </c>
      <c r="AQ12" s="29">
        <v>3.9917808219178079</v>
      </c>
      <c r="AR12" s="27">
        <v>1400</v>
      </c>
      <c r="AS12" s="30">
        <v>15236.333333333332</v>
      </c>
      <c r="AT12" s="31">
        <v>3047.2666666666664</v>
      </c>
      <c r="AU12" s="33">
        <v>10541.8</v>
      </c>
      <c r="AV12" s="4"/>
      <c r="AW12" s="27">
        <v>10541.8</v>
      </c>
      <c r="AX12" s="16"/>
      <c r="AY12" s="16"/>
      <c r="AZ12" s="28">
        <v>7.0082191780821921</v>
      </c>
      <c r="BA12" s="29">
        <v>2.9917808219178079</v>
      </c>
      <c r="BB12" s="27">
        <v>1400</v>
      </c>
      <c r="BC12" s="30">
        <v>12189.066666666666</v>
      </c>
      <c r="BD12" s="34">
        <v>3047.2666666666664</v>
      </c>
      <c r="BE12" s="33">
        <v>7494.5333333333328</v>
      </c>
      <c r="BF12" s="33"/>
      <c r="BG12" s="27">
        <v>7494.5333333333328</v>
      </c>
      <c r="BH12" s="16"/>
      <c r="BI12" s="16"/>
      <c r="BJ12" s="28">
        <v>8.0082191780821912</v>
      </c>
      <c r="BK12" s="29">
        <v>1.9917808219178088</v>
      </c>
      <c r="BL12" s="27">
        <v>1400</v>
      </c>
      <c r="BM12" s="30">
        <v>6094.5333333333328</v>
      </c>
      <c r="BN12" s="34">
        <v>3047.2666666666664</v>
      </c>
      <c r="BO12" s="35">
        <v>4447.2666666666664</v>
      </c>
      <c r="BP12" s="36"/>
      <c r="BQ12" s="27">
        <v>4447.2666666666664</v>
      </c>
      <c r="BR12" s="16"/>
      <c r="BS12" s="16"/>
      <c r="BT12" s="28">
        <v>9.0082191780821912</v>
      </c>
      <c r="BU12" s="29">
        <v>0.99178082191780881</v>
      </c>
      <c r="BV12" s="27">
        <v>1400</v>
      </c>
      <c r="BW12" s="30">
        <v>3047.2666666666664</v>
      </c>
      <c r="BX12" s="34">
        <v>3047.2666666666664</v>
      </c>
      <c r="BY12" s="35">
        <v>1400</v>
      </c>
      <c r="BZ12" s="4"/>
      <c r="CA12" s="35">
        <v>1400</v>
      </c>
      <c r="CB12" s="16"/>
      <c r="CC12" s="16"/>
      <c r="CD12" s="28">
        <v>10.010958904109589</v>
      </c>
      <c r="CE12" s="29">
        <v>-1.095890410958944E-2</v>
      </c>
      <c r="CF12" s="27">
        <v>1400</v>
      </c>
      <c r="CG12" s="30">
        <v>0</v>
      </c>
      <c r="CH12" s="31"/>
      <c r="CI12" s="35">
        <v>1400</v>
      </c>
      <c r="CJ12" s="4"/>
      <c r="CK12" s="36">
        <v>0</v>
      </c>
      <c r="CL12" s="35">
        <v>1400</v>
      </c>
      <c r="CM12" s="16"/>
      <c r="CN12" s="16"/>
      <c r="CO12" s="28">
        <v>11.010958904109589</v>
      </c>
      <c r="CP12" s="29">
        <v>-1.0109589041095894</v>
      </c>
      <c r="CQ12" s="27">
        <v>1400</v>
      </c>
      <c r="CR12" s="34">
        <v>0</v>
      </c>
      <c r="CS12" s="34">
        <v>0</v>
      </c>
      <c r="CT12" s="35">
        <v>1400</v>
      </c>
      <c r="CU12" s="4"/>
      <c r="CV12" s="37">
        <v>0</v>
      </c>
      <c r="CW12" s="35">
        <v>1400</v>
      </c>
      <c r="CX12" s="16"/>
      <c r="CY12" s="16"/>
      <c r="CZ12" s="28">
        <v>13.010958904109589</v>
      </c>
      <c r="DA12" s="29">
        <v>-3.0109589041095894</v>
      </c>
      <c r="DB12" s="27">
        <v>1400</v>
      </c>
      <c r="DC12" s="34">
        <v>0</v>
      </c>
      <c r="DD12" s="34">
        <v>0</v>
      </c>
      <c r="DE12" s="35">
        <v>1400</v>
      </c>
      <c r="DG12" s="35">
        <v>28000</v>
      </c>
      <c r="DH12" s="65">
        <v>26599.999999999996</v>
      </c>
      <c r="DI12" s="65">
        <f t="shared" si="0"/>
        <v>1400.0000000000036</v>
      </c>
      <c r="DJ12" s="124">
        <f t="shared" si="1"/>
        <v>-3.637978807091713E-12</v>
      </c>
    </row>
    <row r="13" spans="2:114" ht="18.75" customHeight="1" x14ac:dyDescent="0.25">
      <c r="B13" s="13" t="s">
        <v>4</v>
      </c>
      <c r="C13" s="14" t="s">
        <v>4</v>
      </c>
      <c r="D13" s="15" t="s">
        <v>101</v>
      </c>
      <c r="E13" s="15" t="s">
        <v>125</v>
      </c>
      <c r="F13" s="16" t="s">
        <v>126</v>
      </c>
      <c r="G13" s="11" t="s">
        <v>104</v>
      </c>
      <c r="H13" s="17">
        <v>40543</v>
      </c>
      <c r="I13" s="18" t="s">
        <v>418</v>
      </c>
      <c r="J13" s="19">
        <v>4</v>
      </c>
      <c r="K13" s="20">
        <v>10</v>
      </c>
      <c r="L13" s="21">
        <v>6</v>
      </c>
      <c r="M13" s="22">
        <v>250000</v>
      </c>
      <c r="N13" s="23">
        <v>60275</v>
      </c>
      <c r="O13" s="24">
        <v>189725</v>
      </c>
      <c r="P13" s="24"/>
      <c r="Q13" s="25">
        <v>6</v>
      </c>
      <c r="R13" s="26">
        <v>12500</v>
      </c>
      <c r="S13" s="25">
        <v>177225</v>
      </c>
      <c r="T13" s="25">
        <v>29537.5</v>
      </c>
      <c r="U13" s="25"/>
      <c r="V13" s="25">
        <v>0</v>
      </c>
      <c r="W13" s="25">
        <v>29537.5</v>
      </c>
      <c r="X13" s="25">
        <v>29537.5</v>
      </c>
      <c r="Y13" s="25">
        <v>0</v>
      </c>
      <c r="Z13" s="24">
        <v>189725</v>
      </c>
      <c r="AA13" s="27">
        <v>160187.5</v>
      </c>
      <c r="AB13" s="16"/>
      <c r="AC13" s="27">
        <v>160187.5</v>
      </c>
      <c r="AD13" s="16"/>
      <c r="AE13" s="16"/>
      <c r="AF13" s="28">
        <v>4.2493150684931509</v>
      </c>
      <c r="AG13" s="29">
        <v>5.7506849315068491</v>
      </c>
      <c r="AH13" s="27">
        <v>12500</v>
      </c>
      <c r="AI13" s="30">
        <v>177225</v>
      </c>
      <c r="AJ13" s="31">
        <v>29537.5</v>
      </c>
      <c r="AK13" s="32">
        <v>130650</v>
      </c>
      <c r="AL13" s="16"/>
      <c r="AM13" s="27">
        <v>130650</v>
      </c>
      <c r="AN13" s="16"/>
      <c r="AO13" s="16"/>
      <c r="AP13" s="28">
        <v>5.2520547945205482</v>
      </c>
      <c r="AQ13" s="29">
        <v>4.7479452054794518</v>
      </c>
      <c r="AR13" s="27">
        <v>12500</v>
      </c>
      <c r="AS13" s="30">
        <v>147687.5</v>
      </c>
      <c r="AT13" s="31">
        <v>29537.5</v>
      </c>
      <c r="AU13" s="33">
        <v>101112.5</v>
      </c>
      <c r="AV13" s="4"/>
      <c r="AW13" s="27">
        <v>101112.5</v>
      </c>
      <c r="AX13" s="16"/>
      <c r="AY13" s="16"/>
      <c r="AZ13" s="28">
        <v>6.2520547945205482</v>
      </c>
      <c r="BA13" s="29">
        <v>3.7479452054794518</v>
      </c>
      <c r="BB13" s="27">
        <v>12500</v>
      </c>
      <c r="BC13" s="30">
        <v>118150</v>
      </c>
      <c r="BD13" s="34">
        <v>29537.5</v>
      </c>
      <c r="BE13" s="33">
        <v>71575</v>
      </c>
      <c r="BF13" s="33"/>
      <c r="BG13" s="27">
        <v>71575</v>
      </c>
      <c r="BH13" s="16"/>
      <c r="BI13" s="16"/>
      <c r="BJ13" s="28">
        <v>7.2520547945205482</v>
      </c>
      <c r="BK13" s="29">
        <v>2.7479452054794518</v>
      </c>
      <c r="BL13" s="27">
        <v>12500</v>
      </c>
      <c r="BM13" s="30">
        <v>59075</v>
      </c>
      <c r="BN13" s="34">
        <v>29537.5</v>
      </c>
      <c r="BO13" s="35">
        <v>42037.5</v>
      </c>
      <c r="BP13" s="36"/>
      <c r="BQ13" s="27">
        <v>42037.5</v>
      </c>
      <c r="BR13" s="16"/>
      <c r="BS13" s="16"/>
      <c r="BT13" s="28">
        <v>8.2520547945205482</v>
      </c>
      <c r="BU13" s="29">
        <v>1.7479452054794518</v>
      </c>
      <c r="BV13" s="27">
        <v>12500</v>
      </c>
      <c r="BW13" s="30">
        <v>29537.5</v>
      </c>
      <c r="BX13" s="34">
        <v>29537.5</v>
      </c>
      <c r="BY13" s="35">
        <v>12500</v>
      </c>
      <c r="BZ13" s="4"/>
      <c r="CA13" s="35">
        <v>12500</v>
      </c>
      <c r="CB13" s="16"/>
      <c r="CC13" s="16"/>
      <c r="CD13" s="28">
        <v>9.2547945205479447</v>
      </c>
      <c r="CE13" s="29">
        <v>0.74520547945205529</v>
      </c>
      <c r="CF13" s="27">
        <v>12500</v>
      </c>
      <c r="CG13" s="30">
        <v>0</v>
      </c>
      <c r="CH13" s="31"/>
      <c r="CI13" s="35">
        <v>12500</v>
      </c>
      <c r="CJ13" s="4"/>
      <c r="CK13" s="36">
        <v>0</v>
      </c>
      <c r="CL13" s="35">
        <v>12500</v>
      </c>
      <c r="CM13" s="16"/>
      <c r="CN13" s="16"/>
      <c r="CO13" s="28">
        <v>10.254794520547945</v>
      </c>
      <c r="CP13" s="29">
        <v>-0.25479452054794471</v>
      </c>
      <c r="CQ13" s="27">
        <v>12500</v>
      </c>
      <c r="CR13" s="34">
        <v>0</v>
      </c>
      <c r="CS13" s="34">
        <v>0</v>
      </c>
      <c r="CT13" s="35">
        <v>12500</v>
      </c>
      <c r="CU13" s="4"/>
      <c r="CV13" s="37">
        <v>0</v>
      </c>
      <c r="CW13" s="35">
        <v>12500</v>
      </c>
      <c r="CX13" s="16"/>
      <c r="CY13" s="16"/>
      <c r="CZ13" s="28">
        <v>12.254794520547945</v>
      </c>
      <c r="DA13" s="29">
        <v>-2.2547945205479447</v>
      </c>
      <c r="DB13" s="27">
        <v>12500</v>
      </c>
      <c r="DC13" s="34">
        <v>0</v>
      </c>
      <c r="DD13" s="34">
        <v>0</v>
      </c>
      <c r="DE13" s="35">
        <v>12500</v>
      </c>
      <c r="DG13" s="35">
        <v>250000</v>
      </c>
      <c r="DH13" s="65">
        <v>237500</v>
      </c>
      <c r="DI13" s="65">
        <f t="shared" si="0"/>
        <v>12500</v>
      </c>
      <c r="DJ13" s="124">
        <f t="shared" si="1"/>
        <v>0</v>
      </c>
    </row>
    <row r="14" spans="2:114" ht="18.75" customHeight="1" x14ac:dyDescent="0.25">
      <c r="B14" s="13" t="s">
        <v>4</v>
      </c>
      <c r="C14" s="14" t="s">
        <v>4</v>
      </c>
      <c r="D14" s="15" t="s">
        <v>101</v>
      </c>
      <c r="E14" s="15" t="s">
        <v>145</v>
      </c>
      <c r="F14" s="16" t="s">
        <v>146</v>
      </c>
      <c r="G14" s="11" t="s">
        <v>104</v>
      </c>
      <c r="H14" s="17">
        <v>40847</v>
      </c>
      <c r="I14" s="18" t="s">
        <v>419</v>
      </c>
      <c r="J14" s="19">
        <v>3</v>
      </c>
      <c r="K14" s="20">
        <v>10</v>
      </c>
      <c r="L14" s="21">
        <v>7</v>
      </c>
      <c r="M14" s="22">
        <v>235056</v>
      </c>
      <c r="N14" s="23">
        <v>42969.310400000002</v>
      </c>
      <c r="O14" s="24">
        <v>192086.68959999998</v>
      </c>
      <c r="P14" s="24"/>
      <c r="Q14" s="25">
        <v>7</v>
      </c>
      <c r="R14" s="26">
        <v>11752.800000000001</v>
      </c>
      <c r="S14" s="25">
        <v>180333.88959999999</v>
      </c>
      <c r="T14" s="25">
        <v>25761.984228571429</v>
      </c>
      <c r="U14" s="25"/>
      <c r="V14" s="25">
        <v>0</v>
      </c>
      <c r="W14" s="25">
        <v>25761.984228571429</v>
      </c>
      <c r="X14" s="25">
        <v>25761.984228571429</v>
      </c>
      <c r="Y14" s="25">
        <v>0</v>
      </c>
      <c r="Z14" s="24">
        <v>192086.68959999998</v>
      </c>
      <c r="AA14" s="27">
        <v>166324.70537142854</v>
      </c>
      <c r="AB14" s="16"/>
      <c r="AC14" s="27">
        <v>166324.70537142854</v>
      </c>
      <c r="AD14" s="16"/>
      <c r="AE14" s="16"/>
      <c r="AF14" s="28">
        <v>3.4164383561643836</v>
      </c>
      <c r="AG14" s="29">
        <v>6.5835616438356164</v>
      </c>
      <c r="AH14" s="27">
        <v>11752.800000000001</v>
      </c>
      <c r="AI14" s="30">
        <v>180333.88959999999</v>
      </c>
      <c r="AJ14" s="31">
        <v>25761.984228571429</v>
      </c>
      <c r="AK14" s="32">
        <v>140562.7211428571</v>
      </c>
      <c r="AL14" s="16"/>
      <c r="AM14" s="27">
        <v>140562.7211428571</v>
      </c>
      <c r="AN14" s="16"/>
      <c r="AO14" s="16"/>
      <c r="AP14" s="28">
        <v>4.419178082191781</v>
      </c>
      <c r="AQ14" s="29">
        <v>5.580821917808219</v>
      </c>
      <c r="AR14" s="27">
        <v>11752.800000000001</v>
      </c>
      <c r="AS14" s="30">
        <v>154571.90537142855</v>
      </c>
      <c r="AT14" s="31">
        <v>25761.984228571429</v>
      </c>
      <c r="AU14" s="33">
        <v>114800.73691428568</v>
      </c>
      <c r="AV14" s="4"/>
      <c r="AW14" s="27">
        <v>114800.73691428568</v>
      </c>
      <c r="AX14" s="16"/>
      <c r="AY14" s="16"/>
      <c r="AZ14" s="28">
        <v>5.419178082191781</v>
      </c>
      <c r="BA14" s="29">
        <v>4.580821917808219</v>
      </c>
      <c r="BB14" s="27">
        <v>11752.800000000001</v>
      </c>
      <c r="BC14" s="30">
        <v>128809.9211428571</v>
      </c>
      <c r="BD14" s="34">
        <v>25761.984228571429</v>
      </c>
      <c r="BE14" s="33">
        <v>89038.752685714251</v>
      </c>
      <c r="BF14" s="33"/>
      <c r="BG14" s="27">
        <v>89038.752685714251</v>
      </c>
      <c r="BH14" s="16"/>
      <c r="BI14" s="16"/>
      <c r="BJ14" s="28">
        <v>6.419178082191781</v>
      </c>
      <c r="BK14" s="29">
        <v>3.580821917808219</v>
      </c>
      <c r="BL14" s="27">
        <v>11752.800000000001</v>
      </c>
      <c r="BM14" s="30">
        <v>77285.952685714248</v>
      </c>
      <c r="BN14" s="34">
        <v>25761.984228571429</v>
      </c>
      <c r="BO14" s="35">
        <v>63276.768457142825</v>
      </c>
      <c r="BP14" s="36"/>
      <c r="BQ14" s="27">
        <v>63276.768457142825</v>
      </c>
      <c r="BR14" s="16"/>
      <c r="BS14" s="16"/>
      <c r="BT14" s="28">
        <v>7.419178082191781</v>
      </c>
      <c r="BU14" s="29">
        <v>2.580821917808219</v>
      </c>
      <c r="BV14" s="27">
        <v>11752.800000000001</v>
      </c>
      <c r="BW14" s="30">
        <v>51523.968457142822</v>
      </c>
      <c r="BX14" s="34">
        <v>25761.984228571429</v>
      </c>
      <c r="BY14" s="35">
        <v>37514.7842285714</v>
      </c>
      <c r="BZ14" s="4"/>
      <c r="CA14" s="35">
        <v>37514.7842285714</v>
      </c>
      <c r="CB14" s="16"/>
      <c r="CC14" s="16"/>
      <c r="CD14" s="28">
        <v>8.4219178082191775</v>
      </c>
      <c r="CE14" s="29">
        <v>1.5780821917808225</v>
      </c>
      <c r="CF14" s="27">
        <v>11752.800000000001</v>
      </c>
      <c r="CG14" s="30">
        <v>25761.984228571397</v>
      </c>
      <c r="CH14" s="31">
        <v>25761.984228571429</v>
      </c>
      <c r="CI14" s="35">
        <v>11752.79999999997</v>
      </c>
      <c r="CJ14" s="4"/>
      <c r="CK14" s="36">
        <v>-3.092281986027956E-11</v>
      </c>
      <c r="CL14" s="35">
        <v>11752.79999999997</v>
      </c>
      <c r="CM14" s="16"/>
      <c r="CN14" s="16"/>
      <c r="CO14" s="28">
        <v>9.4219178082191775</v>
      </c>
      <c r="CP14" s="29">
        <v>0.57808219178082254</v>
      </c>
      <c r="CQ14" s="27">
        <v>11752.800000000001</v>
      </c>
      <c r="CR14" s="34">
        <v>0</v>
      </c>
      <c r="CS14" s="34">
        <v>0</v>
      </c>
      <c r="CT14" s="35">
        <v>11752.79999999997</v>
      </c>
      <c r="CU14" s="4"/>
      <c r="CV14" s="37">
        <v>-3.092281986027956E-11</v>
      </c>
      <c r="CW14" s="35">
        <v>11752.79999999997</v>
      </c>
      <c r="CX14" s="16"/>
      <c r="CY14" s="16"/>
      <c r="CZ14" s="28">
        <v>11.421917808219177</v>
      </c>
      <c r="DA14" s="29">
        <v>-1.4219178082191775</v>
      </c>
      <c r="DB14" s="27">
        <v>11752.800000000001</v>
      </c>
      <c r="DC14" s="34">
        <v>0</v>
      </c>
      <c r="DD14" s="34">
        <v>0</v>
      </c>
      <c r="DE14" s="35">
        <v>11752.79999999997</v>
      </c>
      <c r="DG14" s="35">
        <v>235056</v>
      </c>
      <c r="DH14" s="65">
        <v>223303.20000000004</v>
      </c>
      <c r="DI14" s="65">
        <f t="shared" si="0"/>
        <v>11752.799999999959</v>
      </c>
      <c r="DJ14" s="124">
        <f t="shared" si="1"/>
        <v>0</v>
      </c>
    </row>
    <row r="15" spans="2:114" ht="18.75" customHeight="1" x14ac:dyDescent="0.25">
      <c r="B15" s="13" t="s">
        <v>4</v>
      </c>
      <c r="C15" s="14" t="s">
        <v>4</v>
      </c>
      <c r="D15" s="15" t="s">
        <v>101</v>
      </c>
      <c r="E15" s="15" t="s">
        <v>176</v>
      </c>
      <c r="F15" s="16" t="s">
        <v>177</v>
      </c>
      <c r="G15" s="11" t="s">
        <v>104</v>
      </c>
      <c r="H15" s="17">
        <v>41090</v>
      </c>
      <c r="I15" s="18" t="s">
        <v>420</v>
      </c>
      <c r="J15" s="19">
        <v>2</v>
      </c>
      <c r="K15" s="20">
        <v>10</v>
      </c>
      <c r="L15" s="21">
        <v>8</v>
      </c>
      <c r="M15" s="22">
        <v>19573</v>
      </c>
      <c r="N15" s="23">
        <v>2544.3166000000001</v>
      </c>
      <c r="O15" s="24">
        <v>17028.683400000002</v>
      </c>
      <c r="P15" s="24"/>
      <c r="Q15" s="25">
        <v>8</v>
      </c>
      <c r="R15" s="26">
        <v>978.65000000000009</v>
      </c>
      <c r="S15" s="25">
        <v>16050.033400000002</v>
      </c>
      <c r="T15" s="25">
        <v>2006.2541750000003</v>
      </c>
      <c r="U15" s="25"/>
      <c r="V15" s="25">
        <v>0</v>
      </c>
      <c r="W15" s="25">
        <v>2006.2541750000003</v>
      </c>
      <c r="X15" s="25">
        <v>2006.2541750000003</v>
      </c>
      <c r="Y15" s="25">
        <v>0</v>
      </c>
      <c r="Z15" s="24">
        <v>17028.683400000002</v>
      </c>
      <c r="AA15" s="27">
        <v>15022.429225000002</v>
      </c>
      <c r="AB15" s="16"/>
      <c r="AC15" s="27">
        <v>15022.429225000002</v>
      </c>
      <c r="AD15" s="16"/>
      <c r="AE15" s="16"/>
      <c r="AF15" s="28">
        <v>2.7506849315068491</v>
      </c>
      <c r="AG15" s="29">
        <v>7.2493150684931509</v>
      </c>
      <c r="AH15" s="27">
        <v>978.65000000000009</v>
      </c>
      <c r="AI15" s="30">
        <v>16050.033400000002</v>
      </c>
      <c r="AJ15" s="31">
        <v>2006.2541750000003</v>
      </c>
      <c r="AK15" s="32">
        <v>13016.175050000002</v>
      </c>
      <c r="AL15" s="16"/>
      <c r="AM15" s="27">
        <v>13016.175050000002</v>
      </c>
      <c r="AN15" s="16"/>
      <c r="AO15" s="16"/>
      <c r="AP15" s="28">
        <v>3.7534246575342465</v>
      </c>
      <c r="AQ15" s="29">
        <v>6.2465753424657535</v>
      </c>
      <c r="AR15" s="27">
        <v>978.65000000000009</v>
      </c>
      <c r="AS15" s="30">
        <v>14043.779225000002</v>
      </c>
      <c r="AT15" s="31">
        <v>2006.2541750000003</v>
      </c>
      <c r="AU15" s="33">
        <v>11009.920875000002</v>
      </c>
      <c r="AV15" s="4"/>
      <c r="AW15" s="27">
        <v>11009.920875000002</v>
      </c>
      <c r="AX15" s="16"/>
      <c r="AY15" s="16"/>
      <c r="AZ15" s="28">
        <v>4.7534246575342465</v>
      </c>
      <c r="BA15" s="29">
        <v>5.2465753424657535</v>
      </c>
      <c r="BB15" s="27">
        <v>978.65000000000009</v>
      </c>
      <c r="BC15" s="30">
        <v>12037.525050000002</v>
      </c>
      <c r="BD15" s="34">
        <v>2006.2541750000003</v>
      </c>
      <c r="BE15" s="33">
        <v>9003.6667000000016</v>
      </c>
      <c r="BF15" s="33"/>
      <c r="BG15" s="27">
        <v>9003.6667000000016</v>
      </c>
      <c r="BH15" s="16"/>
      <c r="BI15" s="16"/>
      <c r="BJ15" s="28">
        <v>5.7534246575342465</v>
      </c>
      <c r="BK15" s="29">
        <v>4.2465753424657535</v>
      </c>
      <c r="BL15" s="27">
        <v>978.65000000000009</v>
      </c>
      <c r="BM15" s="30">
        <v>8025.0167000000019</v>
      </c>
      <c r="BN15" s="34">
        <v>2006.2541750000003</v>
      </c>
      <c r="BO15" s="35">
        <v>6997.4125250000016</v>
      </c>
      <c r="BP15" s="36"/>
      <c r="BQ15" s="27">
        <v>6997.4125250000016</v>
      </c>
      <c r="BR15" s="16"/>
      <c r="BS15" s="16"/>
      <c r="BT15" s="28">
        <v>6.7534246575342465</v>
      </c>
      <c r="BU15" s="29">
        <v>3.2465753424657535</v>
      </c>
      <c r="BV15" s="27">
        <v>978.65000000000009</v>
      </c>
      <c r="BW15" s="30">
        <v>6018.7625250000019</v>
      </c>
      <c r="BX15" s="34">
        <v>2006.2541750000003</v>
      </c>
      <c r="BY15" s="35">
        <v>4991.1583500000015</v>
      </c>
      <c r="BZ15" s="4"/>
      <c r="CA15" s="35">
        <v>4991.1583500000015</v>
      </c>
      <c r="CB15" s="16"/>
      <c r="CC15" s="16"/>
      <c r="CD15" s="28">
        <v>7.7561643835616438</v>
      </c>
      <c r="CE15" s="29">
        <v>2.2438356164383562</v>
      </c>
      <c r="CF15" s="27">
        <v>978.65000000000009</v>
      </c>
      <c r="CG15" s="30">
        <v>4012.5083500000014</v>
      </c>
      <c r="CH15" s="31">
        <v>2006.2541750000003</v>
      </c>
      <c r="CI15" s="35">
        <v>2984.9041750000015</v>
      </c>
      <c r="CJ15" s="4"/>
      <c r="CK15" s="36">
        <v>2006.2541750000014</v>
      </c>
      <c r="CL15" s="35">
        <v>2984.9041750000015</v>
      </c>
      <c r="CM15" s="16"/>
      <c r="CN15" s="16"/>
      <c r="CO15" s="28">
        <v>8.7561643835616429</v>
      </c>
      <c r="CP15" s="29">
        <v>1.2438356164383571</v>
      </c>
      <c r="CQ15" s="27">
        <v>978.65000000000009</v>
      </c>
      <c r="CR15" s="34">
        <v>2006.2541750000014</v>
      </c>
      <c r="CS15" s="34">
        <v>2006.2541750000003</v>
      </c>
      <c r="CT15" s="35">
        <v>978.65000000000123</v>
      </c>
      <c r="CU15" s="4"/>
      <c r="CV15" s="37">
        <v>1.1368683772161603E-12</v>
      </c>
      <c r="CW15" s="35">
        <v>978.65000000000123</v>
      </c>
      <c r="CX15" s="16"/>
      <c r="CY15" s="16"/>
      <c r="CZ15" s="28">
        <v>10.756164383561643</v>
      </c>
      <c r="DA15" s="29">
        <v>-0.75616438356164295</v>
      </c>
      <c r="DB15" s="27">
        <v>978.65000000000009</v>
      </c>
      <c r="DC15" s="34">
        <v>0</v>
      </c>
      <c r="DD15" s="34"/>
      <c r="DE15" s="35">
        <v>978.65000000000123</v>
      </c>
      <c r="DG15" s="35">
        <v>19573</v>
      </c>
      <c r="DH15" s="65">
        <v>18594.350000000002</v>
      </c>
      <c r="DI15" s="65">
        <f t="shared" si="0"/>
        <v>978.64999999999782</v>
      </c>
      <c r="DJ15" s="124">
        <f t="shared" si="1"/>
        <v>3.4106051316484809E-12</v>
      </c>
    </row>
    <row r="16" spans="2:114" ht="18.75" customHeight="1" x14ac:dyDescent="0.25">
      <c r="B16" s="13" t="s">
        <v>4</v>
      </c>
      <c r="C16" s="14" t="s">
        <v>4</v>
      </c>
      <c r="D16" s="15" t="s">
        <v>101</v>
      </c>
      <c r="E16" s="15" t="s">
        <v>212</v>
      </c>
      <c r="F16" s="16" t="s">
        <v>213</v>
      </c>
      <c r="G16" s="11" t="s">
        <v>104</v>
      </c>
      <c r="H16" s="17">
        <v>41410</v>
      </c>
      <c r="I16" s="18" t="s">
        <v>421</v>
      </c>
      <c r="J16" s="19">
        <v>1</v>
      </c>
      <c r="K16" s="20">
        <v>10</v>
      </c>
      <c r="L16" s="21">
        <v>9</v>
      </c>
      <c r="M16" s="22">
        <v>11489</v>
      </c>
      <c r="N16" s="23">
        <v>747.78926450684935</v>
      </c>
      <c r="O16" s="24">
        <v>10741.21073549315</v>
      </c>
      <c r="P16" s="24"/>
      <c r="Q16" s="25">
        <v>9</v>
      </c>
      <c r="R16" s="26">
        <v>574.45000000000005</v>
      </c>
      <c r="S16" s="25">
        <v>10166.76073549315</v>
      </c>
      <c r="T16" s="25">
        <v>1129.640081721461</v>
      </c>
      <c r="U16" s="25"/>
      <c r="V16" s="25">
        <v>0</v>
      </c>
      <c r="W16" s="25">
        <v>1129.640081721461</v>
      </c>
      <c r="X16" s="25">
        <v>1129.640081721461</v>
      </c>
      <c r="Y16" s="25">
        <v>0</v>
      </c>
      <c r="Z16" s="24">
        <v>10741.21073549315</v>
      </c>
      <c r="AA16" s="27">
        <v>9611.5706537716887</v>
      </c>
      <c r="AB16" s="16"/>
      <c r="AC16" s="27">
        <v>9611.5706537716887</v>
      </c>
      <c r="AD16" s="16"/>
      <c r="AE16" s="16"/>
      <c r="AF16" s="28">
        <v>1.8739726027397261</v>
      </c>
      <c r="AG16" s="29">
        <v>8.1260273972602732</v>
      </c>
      <c r="AH16" s="27">
        <v>574.45000000000005</v>
      </c>
      <c r="AI16" s="30">
        <v>10166.76073549315</v>
      </c>
      <c r="AJ16" s="31">
        <v>1129.640081721461</v>
      </c>
      <c r="AK16" s="32">
        <v>8481.9305720502271</v>
      </c>
      <c r="AL16" s="16"/>
      <c r="AM16" s="27">
        <v>8481.9305720502271</v>
      </c>
      <c r="AN16" s="16"/>
      <c r="AO16" s="16"/>
      <c r="AP16" s="28">
        <v>2.8767123287671232</v>
      </c>
      <c r="AQ16" s="29">
        <v>7.1232876712328768</v>
      </c>
      <c r="AR16" s="27">
        <v>574.45000000000005</v>
      </c>
      <c r="AS16" s="30">
        <v>9037.120653771688</v>
      </c>
      <c r="AT16" s="31">
        <v>1129.640081721461</v>
      </c>
      <c r="AU16" s="33">
        <v>7352.2904903287663</v>
      </c>
      <c r="AV16" s="4"/>
      <c r="AW16" s="27">
        <v>7352.2904903287663</v>
      </c>
      <c r="AX16" s="16"/>
      <c r="AY16" s="16"/>
      <c r="AZ16" s="28">
        <v>3.8767123287671232</v>
      </c>
      <c r="BA16" s="29">
        <v>6.1232876712328768</v>
      </c>
      <c r="BB16" s="27">
        <v>574.45000000000005</v>
      </c>
      <c r="BC16" s="30">
        <v>7907.4805720502272</v>
      </c>
      <c r="BD16" s="34">
        <v>1129.640081721461</v>
      </c>
      <c r="BE16" s="33">
        <v>6222.6504086073055</v>
      </c>
      <c r="BF16" s="33"/>
      <c r="BG16" s="27">
        <v>6222.6504086073055</v>
      </c>
      <c r="BH16" s="16"/>
      <c r="BI16" s="16"/>
      <c r="BJ16" s="28">
        <v>4.8767123287671232</v>
      </c>
      <c r="BK16" s="29">
        <v>5.1232876712328768</v>
      </c>
      <c r="BL16" s="27">
        <v>574.45000000000005</v>
      </c>
      <c r="BM16" s="30">
        <v>5648.2004086073057</v>
      </c>
      <c r="BN16" s="34">
        <v>1129.640081721461</v>
      </c>
      <c r="BO16" s="35">
        <v>5093.0103268858447</v>
      </c>
      <c r="BP16" s="36"/>
      <c r="BQ16" s="27">
        <v>5093.0103268858447</v>
      </c>
      <c r="BR16" s="16"/>
      <c r="BS16" s="16"/>
      <c r="BT16" s="28">
        <v>5.8767123287671232</v>
      </c>
      <c r="BU16" s="29">
        <v>4.1232876712328768</v>
      </c>
      <c r="BV16" s="27">
        <v>574.45000000000005</v>
      </c>
      <c r="BW16" s="30">
        <v>4518.5603268858449</v>
      </c>
      <c r="BX16" s="34">
        <v>1129.640081721461</v>
      </c>
      <c r="BY16" s="35">
        <v>3963.370245164384</v>
      </c>
      <c r="BZ16" s="4"/>
      <c r="CA16" s="35">
        <v>3963.370245164384</v>
      </c>
      <c r="CB16" s="16"/>
      <c r="CC16" s="16"/>
      <c r="CD16" s="28">
        <v>6.8794520547945206</v>
      </c>
      <c r="CE16" s="29">
        <v>3.1205479452054794</v>
      </c>
      <c r="CF16" s="27">
        <v>574.45000000000005</v>
      </c>
      <c r="CG16" s="30">
        <v>3388.9202451643841</v>
      </c>
      <c r="CH16" s="31">
        <v>1129.640081721461</v>
      </c>
      <c r="CI16" s="35">
        <v>2833.7301634429232</v>
      </c>
      <c r="CJ16" s="4"/>
      <c r="CK16" s="36">
        <v>2259.2801634429234</v>
      </c>
      <c r="CL16" s="35">
        <v>2833.7301634429232</v>
      </c>
      <c r="CM16" s="16"/>
      <c r="CN16" s="16"/>
      <c r="CO16" s="28">
        <v>7.8794520547945206</v>
      </c>
      <c r="CP16" s="29">
        <v>2.1205479452054794</v>
      </c>
      <c r="CQ16" s="27">
        <v>574.45000000000005</v>
      </c>
      <c r="CR16" s="34">
        <v>2259.2801634429234</v>
      </c>
      <c r="CS16" s="34">
        <v>1129.640081721461</v>
      </c>
      <c r="CT16" s="35">
        <v>1704.0900817214622</v>
      </c>
      <c r="CU16" s="4"/>
      <c r="CV16" s="37">
        <v>1129.6400817214621</v>
      </c>
      <c r="CW16" s="35">
        <v>1704.0900817214622</v>
      </c>
      <c r="CX16" s="16"/>
      <c r="CY16" s="16"/>
      <c r="CZ16" s="28">
        <v>9.8794520547945197</v>
      </c>
      <c r="DA16" s="29">
        <v>0.12054794520548029</v>
      </c>
      <c r="DB16" s="27">
        <v>574.45000000000005</v>
      </c>
      <c r="DC16" s="34">
        <v>1129.6400817214621</v>
      </c>
      <c r="DD16" s="34">
        <v>1129.640081721461</v>
      </c>
      <c r="DE16" s="35">
        <v>574.45000000000118</v>
      </c>
      <c r="DG16" s="35">
        <v>11489</v>
      </c>
      <c r="DH16" s="65">
        <v>10914.55</v>
      </c>
      <c r="DI16" s="65">
        <f t="shared" si="0"/>
        <v>574.45000000000073</v>
      </c>
      <c r="DJ16" s="124">
        <f t="shared" si="1"/>
        <v>0</v>
      </c>
    </row>
    <row r="17" spans="2:114" ht="18.75" customHeight="1" x14ac:dyDescent="0.25">
      <c r="B17" s="13" t="s">
        <v>4</v>
      </c>
      <c r="C17" s="14" t="s">
        <v>4</v>
      </c>
      <c r="D17" s="15" t="s">
        <v>101</v>
      </c>
      <c r="E17" s="15" t="s">
        <v>233</v>
      </c>
      <c r="F17" s="16" t="s">
        <v>234</v>
      </c>
      <c r="G17" s="11" t="s">
        <v>104</v>
      </c>
      <c r="H17" s="17">
        <v>41794</v>
      </c>
      <c r="I17" s="18" t="s">
        <v>422</v>
      </c>
      <c r="J17" s="19">
        <v>0</v>
      </c>
      <c r="K17" s="20">
        <v>10</v>
      </c>
      <c r="L17" s="21">
        <v>10</v>
      </c>
      <c r="M17" s="23">
        <v>41325</v>
      </c>
      <c r="N17" s="38">
        <v>0</v>
      </c>
      <c r="O17" s="24">
        <v>41325</v>
      </c>
      <c r="P17" s="24">
        <v>300</v>
      </c>
      <c r="Q17" s="25">
        <v>10</v>
      </c>
      <c r="R17" s="26">
        <v>2066.25</v>
      </c>
      <c r="S17" s="25">
        <v>39258.75</v>
      </c>
      <c r="T17" s="25">
        <v>3226.7465753424658</v>
      </c>
      <c r="U17" s="25"/>
      <c r="V17" s="25">
        <v>0</v>
      </c>
      <c r="W17" s="25">
        <v>3226.7465753424658</v>
      </c>
      <c r="X17" s="25">
        <v>3226.7465753424658</v>
      </c>
      <c r="Y17" s="25">
        <v>0</v>
      </c>
      <c r="Z17" s="24">
        <v>41325</v>
      </c>
      <c r="AA17" s="27">
        <v>38098.253424657538</v>
      </c>
      <c r="AB17" s="16"/>
      <c r="AC17" s="27">
        <v>38098.253424657538</v>
      </c>
      <c r="AD17" s="16"/>
      <c r="AE17" s="16"/>
      <c r="AF17" s="28">
        <v>0.82191780821917804</v>
      </c>
      <c r="AG17" s="29">
        <v>9.1780821917808222</v>
      </c>
      <c r="AH17" s="27">
        <v>2066.25</v>
      </c>
      <c r="AI17" s="30">
        <v>39258.75</v>
      </c>
      <c r="AJ17" s="31">
        <v>3925.875</v>
      </c>
      <c r="AK17" s="32">
        <v>34172.378424657538</v>
      </c>
      <c r="AL17" s="16"/>
      <c r="AM17" s="27">
        <v>34172.378424657538</v>
      </c>
      <c r="AN17" s="16"/>
      <c r="AO17" s="16"/>
      <c r="AP17" s="28">
        <v>1.8246575342465754</v>
      </c>
      <c r="AQ17" s="29">
        <v>8.1753424657534239</v>
      </c>
      <c r="AR17" s="27">
        <v>2066.25</v>
      </c>
      <c r="AS17" s="30">
        <v>36032.003424657538</v>
      </c>
      <c r="AT17" s="31">
        <v>3925.875</v>
      </c>
      <c r="AU17" s="33">
        <v>30246.503424657538</v>
      </c>
      <c r="AV17" s="4"/>
      <c r="AW17" s="27">
        <v>30246.503424657538</v>
      </c>
      <c r="AX17" s="16"/>
      <c r="AY17" s="16"/>
      <c r="AZ17" s="28">
        <v>2.8246575342465752</v>
      </c>
      <c r="BA17" s="29">
        <v>7.1753424657534248</v>
      </c>
      <c r="BB17" s="27">
        <v>2066.25</v>
      </c>
      <c r="BC17" s="30">
        <v>32106.128424657538</v>
      </c>
      <c r="BD17" s="34">
        <v>3925.875</v>
      </c>
      <c r="BE17" s="33">
        <v>26320.628424657538</v>
      </c>
      <c r="BF17" s="33"/>
      <c r="BG17" s="27">
        <v>26320.628424657538</v>
      </c>
      <c r="BH17" s="16"/>
      <c r="BI17" s="16"/>
      <c r="BJ17" s="28">
        <v>3.8246575342465752</v>
      </c>
      <c r="BK17" s="29">
        <v>6.1753424657534248</v>
      </c>
      <c r="BL17" s="27">
        <v>2066.25</v>
      </c>
      <c r="BM17" s="30">
        <v>24254.378424657538</v>
      </c>
      <c r="BN17" s="34">
        <v>3925.875</v>
      </c>
      <c r="BO17" s="35">
        <v>22394.753424657538</v>
      </c>
      <c r="BP17" s="36"/>
      <c r="BQ17" s="27">
        <v>22394.753424657538</v>
      </c>
      <c r="BR17" s="16"/>
      <c r="BS17" s="16"/>
      <c r="BT17" s="28">
        <v>4.8246575342465752</v>
      </c>
      <c r="BU17" s="29">
        <v>5.1753424657534248</v>
      </c>
      <c r="BV17" s="27">
        <v>2066.25</v>
      </c>
      <c r="BW17" s="30">
        <v>20328.503424657538</v>
      </c>
      <c r="BX17" s="34">
        <v>3925.875</v>
      </c>
      <c r="BY17" s="35">
        <v>18468.878424657538</v>
      </c>
      <c r="BZ17" s="4"/>
      <c r="CA17" s="35">
        <v>18468.878424657538</v>
      </c>
      <c r="CB17" s="16"/>
      <c r="CC17" s="16"/>
      <c r="CD17" s="28">
        <v>5.8273972602739725</v>
      </c>
      <c r="CE17" s="29">
        <v>4.1726027397260275</v>
      </c>
      <c r="CF17" s="27">
        <v>2066.25</v>
      </c>
      <c r="CG17" s="30">
        <v>16402.628424657538</v>
      </c>
      <c r="CH17" s="31">
        <v>3925.875</v>
      </c>
      <c r="CI17" s="35">
        <v>14543.003424657538</v>
      </c>
      <c r="CJ17" s="4"/>
      <c r="CK17" s="36">
        <v>12476.753424657538</v>
      </c>
      <c r="CL17" s="35">
        <v>14543.003424657538</v>
      </c>
      <c r="CM17" s="16"/>
      <c r="CN17" s="16"/>
      <c r="CO17" s="28">
        <v>6.8273972602739725</v>
      </c>
      <c r="CP17" s="29">
        <v>3.1726027397260275</v>
      </c>
      <c r="CQ17" s="27">
        <v>2066.25</v>
      </c>
      <c r="CR17" s="34">
        <v>12476.753424657538</v>
      </c>
      <c r="CS17" s="34">
        <v>3925.875</v>
      </c>
      <c r="CT17" s="35">
        <v>10617.128424657538</v>
      </c>
      <c r="CU17" s="4"/>
      <c r="CV17" s="37">
        <v>8550.8784246575378</v>
      </c>
      <c r="CW17" s="35">
        <v>10617.128424657538</v>
      </c>
      <c r="CX17" s="16"/>
      <c r="CY17" s="16"/>
      <c r="CZ17" s="28">
        <v>8.8273972602739725</v>
      </c>
      <c r="DA17" s="29">
        <v>1.1726027397260275</v>
      </c>
      <c r="DB17" s="27">
        <v>2066.25</v>
      </c>
      <c r="DC17" s="34">
        <v>8550.8784246575378</v>
      </c>
      <c r="DD17" s="34">
        <v>3925.875</v>
      </c>
      <c r="DE17" s="35">
        <v>6691.2534246575378</v>
      </c>
      <c r="DG17" s="35">
        <v>41325</v>
      </c>
      <c r="DH17" s="65">
        <v>34633.746575342462</v>
      </c>
      <c r="DI17" s="65">
        <f t="shared" si="0"/>
        <v>6691.2534246575378</v>
      </c>
      <c r="DJ17" s="124">
        <f t="shared" si="1"/>
        <v>0</v>
      </c>
    </row>
    <row r="18" spans="2:114" ht="18.75" customHeight="1" x14ac:dyDescent="0.25">
      <c r="B18" s="13" t="s">
        <v>4</v>
      </c>
      <c r="C18" s="14" t="s">
        <v>4</v>
      </c>
      <c r="D18" s="15" t="s">
        <v>101</v>
      </c>
      <c r="E18" s="15" t="s">
        <v>235</v>
      </c>
      <c r="F18" s="16" t="s">
        <v>236</v>
      </c>
      <c r="G18" s="11" t="s">
        <v>104</v>
      </c>
      <c r="H18" s="17">
        <v>41824</v>
      </c>
      <c r="I18" s="18" t="s">
        <v>422</v>
      </c>
      <c r="J18" s="19">
        <v>0</v>
      </c>
      <c r="K18" s="20">
        <v>10</v>
      </c>
      <c r="L18" s="21">
        <v>10</v>
      </c>
      <c r="M18" s="23">
        <v>10620</v>
      </c>
      <c r="N18" s="38">
        <v>0</v>
      </c>
      <c r="O18" s="24">
        <v>10620</v>
      </c>
      <c r="P18" s="24">
        <v>270</v>
      </c>
      <c r="Q18" s="25">
        <v>10</v>
      </c>
      <c r="R18" s="26">
        <v>531</v>
      </c>
      <c r="S18" s="25">
        <v>10089</v>
      </c>
      <c r="T18" s="25">
        <v>746.30958904109582</v>
      </c>
      <c r="U18" s="25"/>
      <c r="V18" s="25">
        <v>0</v>
      </c>
      <c r="W18" s="25">
        <v>746.30958904109582</v>
      </c>
      <c r="X18" s="25">
        <v>746.30958904109582</v>
      </c>
      <c r="Y18" s="25">
        <v>0</v>
      </c>
      <c r="Z18" s="24">
        <v>10620</v>
      </c>
      <c r="AA18" s="27">
        <v>9873.690410958905</v>
      </c>
      <c r="AB18" s="16"/>
      <c r="AC18" s="27">
        <v>9873.690410958905</v>
      </c>
      <c r="AD18" s="16"/>
      <c r="AE18" s="16"/>
      <c r="AF18" s="28">
        <v>0.73972602739726023</v>
      </c>
      <c r="AG18" s="29">
        <v>9.2602739726027394</v>
      </c>
      <c r="AH18" s="27">
        <v>531</v>
      </c>
      <c r="AI18" s="30">
        <v>10089</v>
      </c>
      <c r="AJ18" s="31">
        <v>1008.9</v>
      </c>
      <c r="AK18" s="32">
        <v>8864.7904109589053</v>
      </c>
      <c r="AL18" s="16"/>
      <c r="AM18" s="27">
        <v>8864.7904109589053</v>
      </c>
      <c r="AN18" s="16"/>
      <c r="AO18" s="16"/>
      <c r="AP18" s="28">
        <v>1.7424657534246575</v>
      </c>
      <c r="AQ18" s="29">
        <v>8.257534246575343</v>
      </c>
      <c r="AR18" s="27">
        <v>531</v>
      </c>
      <c r="AS18" s="30">
        <v>9342.690410958905</v>
      </c>
      <c r="AT18" s="31">
        <v>1008.9</v>
      </c>
      <c r="AU18" s="33">
        <v>7855.8904109589057</v>
      </c>
      <c r="AV18" s="4"/>
      <c r="AW18" s="27">
        <v>7855.8904109589057</v>
      </c>
      <c r="AX18" s="16"/>
      <c r="AY18" s="16"/>
      <c r="AZ18" s="28">
        <v>2.7424657534246575</v>
      </c>
      <c r="BA18" s="29">
        <v>7.257534246575343</v>
      </c>
      <c r="BB18" s="27">
        <v>531</v>
      </c>
      <c r="BC18" s="30">
        <v>8333.7904109589053</v>
      </c>
      <c r="BD18" s="34">
        <v>1008.9</v>
      </c>
      <c r="BE18" s="33">
        <v>6846.9904109589061</v>
      </c>
      <c r="BF18" s="33"/>
      <c r="BG18" s="27">
        <v>6846.9904109589061</v>
      </c>
      <c r="BH18" s="16"/>
      <c r="BI18" s="16"/>
      <c r="BJ18" s="28">
        <v>3.7424657534246575</v>
      </c>
      <c r="BK18" s="29">
        <v>6.257534246575343</v>
      </c>
      <c r="BL18" s="27">
        <v>531</v>
      </c>
      <c r="BM18" s="30">
        <v>6315.9904109589061</v>
      </c>
      <c r="BN18" s="34">
        <v>1008.9</v>
      </c>
      <c r="BO18" s="35">
        <v>5838.0904109589064</v>
      </c>
      <c r="BP18" s="36"/>
      <c r="BQ18" s="27">
        <v>5838.0904109589064</v>
      </c>
      <c r="BR18" s="16"/>
      <c r="BS18" s="16"/>
      <c r="BT18" s="28">
        <v>4.7424657534246579</v>
      </c>
      <c r="BU18" s="29">
        <v>5.2575342465753421</v>
      </c>
      <c r="BV18" s="27">
        <v>531</v>
      </c>
      <c r="BW18" s="30">
        <v>5307.0904109589064</v>
      </c>
      <c r="BX18" s="34">
        <v>1008.9</v>
      </c>
      <c r="BY18" s="35">
        <v>4829.1904109589068</v>
      </c>
      <c r="BZ18" s="4"/>
      <c r="CA18" s="35">
        <v>4829.1904109589068</v>
      </c>
      <c r="CB18" s="16"/>
      <c r="CC18" s="16"/>
      <c r="CD18" s="28">
        <v>5.7452054794520544</v>
      </c>
      <c r="CE18" s="29">
        <v>4.2547945205479456</v>
      </c>
      <c r="CF18" s="27">
        <v>531</v>
      </c>
      <c r="CG18" s="30">
        <v>4298.1904109589068</v>
      </c>
      <c r="CH18" s="31">
        <v>1008.9</v>
      </c>
      <c r="CI18" s="35">
        <v>3820.2904109589067</v>
      </c>
      <c r="CJ18" s="4"/>
      <c r="CK18" s="36">
        <v>3289.2904109589067</v>
      </c>
      <c r="CL18" s="35">
        <v>3820.2904109589067</v>
      </c>
      <c r="CM18" s="16"/>
      <c r="CN18" s="16"/>
      <c r="CO18" s="28">
        <v>6.7452054794520544</v>
      </c>
      <c r="CP18" s="29">
        <v>3.2547945205479456</v>
      </c>
      <c r="CQ18" s="27">
        <v>531</v>
      </c>
      <c r="CR18" s="34">
        <v>3289.2904109589067</v>
      </c>
      <c r="CS18" s="34">
        <v>1008.9</v>
      </c>
      <c r="CT18" s="35">
        <v>2811.3904109589066</v>
      </c>
      <c r="CU18" s="4"/>
      <c r="CV18" s="37">
        <v>2280.3904109589066</v>
      </c>
      <c r="CW18" s="35">
        <v>2811.3904109589066</v>
      </c>
      <c r="CX18" s="16"/>
      <c r="CY18" s="16"/>
      <c r="CZ18" s="28">
        <v>8.7452054794520553</v>
      </c>
      <c r="DA18" s="29">
        <v>1.2547945205479447</v>
      </c>
      <c r="DB18" s="27">
        <v>531</v>
      </c>
      <c r="DC18" s="34">
        <v>2280.3904109589066</v>
      </c>
      <c r="DD18" s="34">
        <v>1008.9</v>
      </c>
      <c r="DE18" s="35">
        <v>1802.4904109589065</v>
      </c>
      <c r="DG18" s="35">
        <v>10620</v>
      </c>
      <c r="DH18" s="65">
        <v>8817.5095890410939</v>
      </c>
      <c r="DI18" s="65">
        <f t="shared" si="0"/>
        <v>1802.4904109589061</v>
      </c>
      <c r="DJ18" s="124">
        <f t="shared" si="1"/>
        <v>0</v>
      </c>
    </row>
    <row r="19" spans="2:114" ht="18.75" customHeight="1" x14ac:dyDescent="0.25">
      <c r="B19" s="13" t="s">
        <v>4</v>
      </c>
      <c r="C19" s="14" t="s">
        <v>4</v>
      </c>
      <c r="D19" s="15" t="s">
        <v>277</v>
      </c>
      <c r="E19" s="15" t="s">
        <v>278</v>
      </c>
      <c r="F19" s="39" t="s">
        <v>279</v>
      </c>
      <c r="G19" s="40" t="s">
        <v>104</v>
      </c>
      <c r="H19" s="17">
        <v>40025</v>
      </c>
      <c r="I19" s="18" t="s">
        <v>417</v>
      </c>
      <c r="J19" s="19">
        <v>5</v>
      </c>
      <c r="K19" s="41">
        <v>8</v>
      </c>
      <c r="L19" s="21">
        <v>3</v>
      </c>
      <c r="M19" s="22">
        <v>131222</v>
      </c>
      <c r="N19" s="23">
        <v>45455.689599999998</v>
      </c>
      <c r="O19" s="24">
        <v>85766.310400000002</v>
      </c>
      <c r="P19" s="24"/>
      <c r="Q19" s="25">
        <v>3</v>
      </c>
      <c r="R19" s="26">
        <v>6561.1</v>
      </c>
      <c r="S19" s="25">
        <v>79205.210399999996</v>
      </c>
      <c r="T19" s="25">
        <v>26401.736799999999</v>
      </c>
      <c r="U19" s="25"/>
      <c r="V19" s="25">
        <v>0</v>
      </c>
      <c r="W19" s="25">
        <v>26401.736799999999</v>
      </c>
      <c r="X19" s="25">
        <v>26401.736799999999</v>
      </c>
      <c r="Y19" s="25">
        <v>0</v>
      </c>
      <c r="Z19" s="24">
        <v>85766.310400000002</v>
      </c>
      <c r="AA19" s="27">
        <v>59364.573600000003</v>
      </c>
      <c r="AB19" s="16"/>
      <c r="AC19" s="27">
        <v>59364.573600000003</v>
      </c>
      <c r="AD19" s="16"/>
      <c r="AE19" s="16"/>
      <c r="AF19" s="28">
        <v>5.6684931506849319</v>
      </c>
      <c r="AG19" s="29">
        <v>2.3315068493150681</v>
      </c>
      <c r="AH19" s="27">
        <v>6561.1</v>
      </c>
      <c r="AI19" s="30">
        <v>79205.210399999996</v>
      </c>
      <c r="AJ19" s="31">
        <v>26401.736799999999</v>
      </c>
      <c r="AK19" s="32">
        <v>32962.836800000005</v>
      </c>
      <c r="AL19" s="16"/>
      <c r="AM19" s="27">
        <v>32962.836800000005</v>
      </c>
      <c r="AN19" s="16"/>
      <c r="AO19" s="16"/>
      <c r="AP19" s="28">
        <v>6.6712328767123283</v>
      </c>
      <c r="AQ19" s="29">
        <v>1.3287671232876717</v>
      </c>
      <c r="AR19" s="27">
        <v>6561.1</v>
      </c>
      <c r="AS19" s="30">
        <v>52803.473600000005</v>
      </c>
      <c r="AT19" s="31">
        <v>26401.736799999999</v>
      </c>
      <c r="AU19" s="33">
        <v>6561.1000000000058</v>
      </c>
      <c r="AV19" s="4"/>
      <c r="AW19" s="27">
        <v>6561.1000000000058</v>
      </c>
      <c r="AX19" s="16"/>
      <c r="AY19" s="16"/>
      <c r="AZ19" s="28">
        <v>7.6712328767123283</v>
      </c>
      <c r="BA19" s="29">
        <v>0.32876712328767166</v>
      </c>
      <c r="BB19" s="27">
        <v>6561.1</v>
      </c>
      <c r="BC19" s="30">
        <v>26401.736800000006</v>
      </c>
      <c r="BD19" s="34"/>
      <c r="BE19" s="33">
        <v>6561.1000000000058</v>
      </c>
      <c r="BF19" s="33"/>
      <c r="BG19" s="27">
        <v>6561.1000000000058</v>
      </c>
      <c r="BH19" s="16"/>
      <c r="BI19" s="16"/>
      <c r="BJ19" s="28">
        <v>8.6712328767123292</v>
      </c>
      <c r="BK19" s="29">
        <v>-0.67123287671232923</v>
      </c>
      <c r="BL19" s="27">
        <v>6561.1</v>
      </c>
      <c r="BM19" s="30">
        <v>0</v>
      </c>
      <c r="BN19" s="34">
        <v>0</v>
      </c>
      <c r="BO19" s="35">
        <v>6561.1000000000058</v>
      </c>
      <c r="BP19" s="36"/>
      <c r="BQ19" s="27">
        <v>6561.1000000000058</v>
      </c>
      <c r="BR19" s="16"/>
      <c r="BS19" s="16"/>
      <c r="BT19" s="28">
        <v>9.6712328767123292</v>
      </c>
      <c r="BU19" s="29">
        <v>-1.6712328767123292</v>
      </c>
      <c r="BV19" s="27">
        <v>6561.1</v>
      </c>
      <c r="BW19" s="30">
        <v>0</v>
      </c>
      <c r="BX19" s="34">
        <v>0</v>
      </c>
      <c r="BY19" s="35">
        <v>6561.1000000000058</v>
      </c>
      <c r="BZ19" s="4"/>
      <c r="CA19" s="35">
        <v>6561.1000000000058</v>
      </c>
      <c r="CB19" s="16"/>
      <c r="CC19" s="16"/>
      <c r="CD19" s="28">
        <v>10.673972602739726</v>
      </c>
      <c r="CE19" s="29">
        <v>-2.6739726027397257</v>
      </c>
      <c r="CF19" s="27">
        <v>6561.1</v>
      </c>
      <c r="CG19" s="30">
        <v>0</v>
      </c>
      <c r="CH19" s="31">
        <v>0</v>
      </c>
      <c r="CI19" s="35">
        <v>6561.1000000000058</v>
      </c>
      <c r="CJ19" s="4"/>
      <c r="CK19" s="36">
        <v>0</v>
      </c>
      <c r="CL19" s="35">
        <v>6561.1000000000058</v>
      </c>
      <c r="CM19" s="16"/>
      <c r="CN19" s="16"/>
      <c r="CO19" s="28">
        <v>11.673972602739726</v>
      </c>
      <c r="CP19" s="29">
        <v>-3.6739726027397257</v>
      </c>
      <c r="CQ19" s="27">
        <v>6561.1</v>
      </c>
      <c r="CR19" s="34">
        <v>0</v>
      </c>
      <c r="CS19" s="34">
        <v>0</v>
      </c>
      <c r="CT19" s="35">
        <v>6561.1000000000058</v>
      </c>
      <c r="CU19" s="4"/>
      <c r="CV19" s="37">
        <v>0</v>
      </c>
      <c r="CW19" s="35">
        <v>6561.1000000000058</v>
      </c>
      <c r="CX19" s="16"/>
      <c r="CY19" s="16"/>
      <c r="CZ19" s="28">
        <v>13.673972602739726</v>
      </c>
      <c r="DA19" s="29">
        <v>-5.6739726027397257</v>
      </c>
      <c r="DB19" s="27">
        <v>6561.1</v>
      </c>
      <c r="DC19" s="34">
        <v>0</v>
      </c>
      <c r="DD19" s="34">
        <v>0</v>
      </c>
      <c r="DE19" s="35">
        <v>6561.1000000000058</v>
      </c>
      <c r="DG19" s="35">
        <v>131222</v>
      </c>
      <c r="DH19" s="65">
        <v>124660.9</v>
      </c>
      <c r="DI19" s="65">
        <f t="shared" si="0"/>
        <v>6561.1000000000058</v>
      </c>
      <c r="DJ19" s="124">
        <f t="shared" si="1"/>
        <v>0</v>
      </c>
    </row>
    <row r="20" spans="2:114" ht="18.75" customHeight="1" x14ac:dyDescent="0.25">
      <c r="B20" s="13" t="s">
        <v>4</v>
      </c>
      <c r="C20" s="14" t="s">
        <v>4</v>
      </c>
      <c r="D20" s="15" t="s">
        <v>277</v>
      </c>
      <c r="E20" s="15" t="s">
        <v>280</v>
      </c>
      <c r="F20" s="42" t="s">
        <v>279</v>
      </c>
      <c r="G20" s="43" t="s">
        <v>104</v>
      </c>
      <c r="H20" s="17">
        <v>40117</v>
      </c>
      <c r="I20" s="18" t="s">
        <v>417</v>
      </c>
      <c r="J20" s="19">
        <v>5</v>
      </c>
      <c r="K20" s="41">
        <v>8</v>
      </c>
      <c r="L20" s="21">
        <v>3</v>
      </c>
      <c r="M20" s="22">
        <v>131372</v>
      </c>
      <c r="N20" s="23">
        <v>43050.209600000002</v>
      </c>
      <c r="O20" s="24">
        <v>88321.790399999998</v>
      </c>
      <c r="P20" s="24"/>
      <c r="Q20" s="25">
        <v>3</v>
      </c>
      <c r="R20" s="26">
        <v>6568.6</v>
      </c>
      <c r="S20" s="25">
        <v>81753.190399999992</v>
      </c>
      <c r="T20" s="25">
        <v>27251.063466666663</v>
      </c>
      <c r="U20" s="25"/>
      <c r="V20" s="25">
        <v>0</v>
      </c>
      <c r="W20" s="25">
        <v>27251.063466666663</v>
      </c>
      <c r="X20" s="25">
        <v>27251.063466666663</v>
      </c>
      <c r="Y20" s="25">
        <v>0</v>
      </c>
      <c r="Z20" s="24">
        <v>88321.790399999998</v>
      </c>
      <c r="AA20" s="27">
        <v>61070.726933333339</v>
      </c>
      <c r="AB20" s="16"/>
      <c r="AC20" s="27">
        <v>61070.726933333339</v>
      </c>
      <c r="AD20" s="16"/>
      <c r="AE20" s="16"/>
      <c r="AF20" s="28">
        <v>5.4164383561643836</v>
      </c>
      <c r="AG20" s="29">
        <v>2.5835616438356164</v>
      </c>
      <c r="AH20" s="27">
        <v>6568.6</v>
      </c>
      <c r="AI20" s="30">
        <v>81753.190399999992</v>
      </c>
      <c r="AJ20" s="31">
        <v>27251.063466666663</v>
      </c>
      <c r="AK20" s="32">
        <v>33819.66346666668</v>
      </c>
      <c r="AL20" s="16"/>
      <c r="AM20" s="27">
        <v>33819.66346666668</v>
      </c>
      <c r="AN20" s="16"/>
      <c r="AO20" s="16"/>
      <c r="AP20" s="28">
        <v>6.419178082191781</v>
      </c>
      <c r="AQ20" s="29">
        <v>1.580821917808219</v>
      </c>
      <c r="AR20" s="27">
        <v>6568.6</v>
      </c>
      <c r="AS20" s="30">
        <v>54502.12693333334</v>
      </c>
      <c r="AT20" s="31">
        <v>27251.063466666663</v>
      </c>
      <c r="AU20" s="33">
        <v>6568.6000000000167</v>
      </c>
      <c r="AV20" s="4"/>
      <c r="AW20" s="27">
        <v>6568.6000000000167</v>
      </c>
      <c r="AX20" s="16"/>
      <c r="AY20" s="16"/>
      <c r="AZ20" s="28">
        <v>7.419178082191781</v>
      </c>
      <c r="BA20" s="29">
        <v>0.58082191780821901</v>
      </c>
      <c r="BB20" s="27">
        <v>6568.6</v>
      </c>
      <c r="BC20" s="30">
        <v>27251.063466666681</v>
      </c>
      <c r="BD20" s="34"/>
      <c r="BE20" s="33">
        <v>6568.6000000000167</v>
      </c>
      <c r="BF20" s="33"/>
      <c r="BG20" s="27">
        <v>6568.6000000000167</v>
      </c>
      <c r="BH20" s="16"/>
      <c r="BI20" s="16"/>
      <c r="BJ20" s="28">
        <v>8.419178082191781</v>
      </c>
      <c r="BK20" s="29">
        <v>-0.41917808219178099</v>
      </c>
      <c r="BL20" s="27">
        <v>6568.6</v>
      </c>
      <c r="BM20" s="30">
        <v>0</v>
      </c>
      <c r="BN20" s="34">
        <v>0</v>
      </c>
      <c r="BO20" s="35">
        <v>6568.6000000000167</v>
      </c>
      <c r="BP20" s="36"/>
      <c r="BQ20" s="27">
        <v>6568.6000000000167</v>
      </c>
      <c r="BR20" s="16"/>
      <c r="BS20" s="16"/>
      <c r="BT20" s="28">
        <v>9.419178082191781</v>
      </c>
      <c r="BU20" s="29">
        <v>-1.419178082191781</v>
      </c>
      <c r="BV20" s="27">
        <v>6568.6</v>
      </c>
      <c r="BW20" s="30">
        <v>0</v>
      </c>
      <c r="BX20" s="34">
        <v>0</v>
      </c>
      <c r="BY20" s="35">
        <v>6568.6000000000167</v>
      </c>
      <c r="BZ20" s="4"/>
      <c r="CA20" s="35">
        <v>6568.6000000000167</v>
      </c>
      <c r="CB20" s="16"/>
      <c r="CC20" s="16"/>
      <c r="CD20" s="28">
        <v>10.421917808219177</v>
      </c>
      <c r="CE20" s="29">
        <v>-2.4219178082191775</v>
      </c>
      <c r="CF20" s="27">
        <v>6568.6</v>
      </c>
      <c r="CG20" s="30">
        <v>0</v>
      </c>
      <c r="CH20" s="31">
        <v>0</v>
      </c>
      <c r="CI20" s="35">
        <v>6568.6000000000167</v>
      </c>
      <c r="CJ20" s="4"/>
      <c r="CK20" s="36">
        <v>1.6370904631912708E-11</v>
      </c>
      <c r="CL20" s="35">
        <v>6568.6000000000167</v>
      </c>
      <c r="CM20" s="16"/>
      <c r="CN20" s="16"/>
      <c r="CO20" s="28">
        <v>11.421917808219177</v>
      </c>
      <c r="CP20" s="29">
        <v>-3.4219178082191775</v>
      </c>
      <c r="CQ20" s="27">
        <v>6568.6</v>
      </c>
      <c r="CR20" s="34">
        <v>0</v>
      </c>
      <c r="CS20" s="34">
        <v>0</v>
      </c>
      <c r="CT20" s="35">
        <v>6568.6000000000167</v>
      </c>
      <c r="CU20" s="4"/>
      <c r="CV20" s="37">
        <v>1.6370904631912708E-11</v>
      </c>
      <c r="CW20" s="35">
        <v>6568.6000000000167</v>
      </c>
      <c r="CX20" s="16"/>
      <c r="CY20" s="16"/>
      <c r="CZ20" s="28">
        <v>13.421917808219177</v>
      </c>
      <c r="DA20" s="29">
        <v>-5.4219178082191775</v>
      </c>
      <c r="DB20" s="27">
        <v>6568.6</v>
      </c>
      <c r="DC20" s="34">
        <v>0</v>
      </c>
      <c r="DD20" s="34">
        <v>0</v>
      </c>
      <c r="DE20" s="35">
        <v>6568.6000000000167</v>
      </c>
      <c r="DG20" s="35">
        <v>131372</v>
      </c>
      <c r="DH20" s="65">
        <v>124803.39999999998</v>
      </c>
      <c r="DI20" s="65">
        <f t="shared" si="0"/>
        <v>6568.6000000000204</v>
      </c>
      <c r="DJ20" s="124">
        <f t="shared" si="1"/>
        <v>0</v>
      </c>
    </row>
    <row r="21" spans="2:114" ht="18.75" customHeight="1" x14ac:dyDescent="0.25">
      <c r="B21" s="13" t="s">
        <v>4</v>
      </c>
      <c r="C21" s="14" t="s">
        <v>4</v>
      </c>
      <c r="D21" s="15" t="s">
        <v>277</v>
      </c>
      <c r="E21" s="15" t="s">
        <v>281</v>
      </c>
      <c r="F21" s="42" t="s">
        <v>279</v>
      </c>
      <c r="G21" s="43" t="s">
        <v>104</v>
      </c>
      <c r="H21" s="17">
        <v>40147</v>
      </c>
      <c r="I21" s="18" t="s">
        <v>417</v>
      </c>
      <c r="J21" s="19">
        <v>5</v>
      </c>
      <c r="K21" s="41">
        <v>8</v>
      </c>
      <c r="L21" s="21">
        <v>3</v>
      </c>
      <c r="M21" s="22">
        <v>128422</v>
      </c>
      <c r="N21" s="23">
        <v>41300.649600000004</v>
      </c>
      <c r="O21" s="24">
        <v>87121.350399999996</v>
      </c>
      <c r="P21" s="24"/>
      <c r="Q21" s="25">
        <v>3</v>
      </c>
      <c r="R21" s="26">
        <v>6421.1</v>
      </c>
      <c r="S21" s="25">
        <v>80700.25039999999</v>
      </c>
      <c r="T21" s="25">
        <v>26900.083466666663</v>
      </c>
      <c r="U21" s="25"/>
      <c r="V21" s="25">
        <v>0</v>
      </c>
      <c r="W21" s="25">
        <v>26900.083466666663</v>
      </c>
      <c r="X21" s="25">
        <v>26900.083466666663</v>
      </c>
      <c r="Y21" s="25">
        <v>0</v>
      </c>
      <c r="Z21" s="24">
        <v>87121.350399999996</v>
      </c>
      <c r="AA21" s="27">
        <v>60221.266933333332</v>
      </c>
      <c r="AB21" s="16"/>
      <c r="AC21" s="27">
        <v>60221.266933333332</v>
      </c>
      <c r="AD21" s="16"/>
      <c r="AE21" s="16"/>
      <c r="AF21" s="28">
        <v>5.3342465753424655</v>
      </c>
      <c r="AG21" s="29">
        <v>2.6657534246575345</v>
      </c>
      <c r="AH21" s="27">
        <v>6421.1</v>
      </c>
      <c r="AI21" s="30">
        <v>80700.25039999999</v>
      </c>
      <c r="AJ21" s="31">
        <v>26900.083466666663</v>
      </c>
      <c r="AK21" s="32">
        <v>33321.183466666669</v>
      </c>
      <c r="AL21" s="16"/>
      <c r="AM21" s="27">
        <v>33321.183466666669</v>
      </c>
      <c r="AN21" s="16"/>
      <c r="AO21" s="16"/>
      <c r="AP21" s="28">
        <v>6.3369863013698629</v>
      </c>
      <c r="AQ21" s="29">
        <v>1.6630136986301371</v>
      </c>
      <c r="AR21" s="27">
        <v>6421.1</v>
      </c>
      <c r="AS21" s="30">
        <v>53800.166933333334</v>
      </c>
      <c r="AT21" s="31">
        <v>26900.083466666663</v>
      </c>
      <c r="AU21" s="33">
        <v>6421.1000000000058</v>
      </c>
      <c r="AV21" s="4"/>
      <c r="AW21" s="27">
        <v>6421.1000000000058</v>
      </c>
      <c r="AX21" s="16"/>
      <c r="AY21" s="16"/>
      <c r="AZ21" s="28">
        <v>7.3369863013698629</v>
      </c>
      <c r="BA21" s="29">
        <v>0.66301369863013715</v>
      </c>
      <c r="BB21" s="27">
        <v>6421.1</v>
      </c>
      <c r="BC21" s="30">
        <v>26900.083466666671</v>
      </c>
      <c r="BD21" s="34"/>
      <c r="BE21" s="33">
        <v>6421.1000000000058</v>
      </c>
      <c r="BF21" s="33"/>
      <c r="BG21" s="27">
        <v>6421.1000000000058</v>
      </c>
      <c r="BH21" s="16"/>
      <c r="BI21" s="16"/>
      <c r="BJ21" s="28">
        <v>8.3369863013698637</v>
      </c>
      <c r="BK21" s="29">
        <v>-0.33698630136986374</v>
      </c>
      <c r="BL21" s="27">
        <v>6421.1</v>
      </c>
      <c r="BM21" s="30">
        <v>0</v>
      </c>
      <c r="BN21" s="34">
        <v>0</v>
      </c>
      <c r="BO21" s="35">
        <v>6421.1000000000058</v>
      </c>
      <c r="BP21" s="36"/>
      <c r="BQ21" s="27">
        <v>6421.1000000000058</v>
      </c>
      <c r="BR21" s="16"/>
      <c r="BS21" s="16"/>
      <c r="BT21" s="28">
        <v>9.3369863013698637</v>
      </c>
      <c r="BU21" s="29">
        <v>-1.3369863013698637</v>
      </c>
      <c r="BV21" s="27">
        <v>6421.1</v>
      </c>
      <c r="BW21" s="30">
        <v>0</v>
      </c>
      <c r="BX21" s="34">
        <v>0</v>
      </c>
      <c r="BY21" s="35">
        <v>6421.1000000000058</v>
      </c>
      <c r="BZ21" s="4"/>
      <c r="CA21" s="35">
        <v>6421.1000000000058</v>
      </c>
      <c r="CB21" s="16"/>
      <c r="CC21" s="16"/>
      <c r="CD21" s="28">
        <v>10.33972602739726</v>
      </c>
      <c r="CE21" s="29">
        <v>-2.3397260273972602</v>
      </c>
      <c r="CF21" s="27">
        <v>6421.1</v>
      </c>
      <c r="CG21" s="30">
        <v>0</v>
      </c>
      <c r="CH21" s="31">
        <v>0</v>
      </c>
      <c r="CI21" s="35">
        <v>6421.1000000000058</v>
      </c>
      <c r="CJ21" s="4"/>
      <c r="CK21" s="36">
        <v>0</v>
      </c>
      <c r="CL21" s="35">
        <v>6421.1000000000058</v>
      </c>
      <c r="CM21" s="16"/>
      <c r="CN21" s="16"/>
      <c r="CO21" s="28">
        <v>11.33972602739726</v>
      </c>
      <c r="CP21" s="29">
        <v>-3.3397260273972602</v>
      </c>
      <c r="CQ21" s="27">
        <v>6421.1</v>
      </c>
      <c r="CR21" s="34">
        <v>0</v>
      </c>
      <c r="CS21" s="34">
        <v>0</v>
      </c>
      <c r="CT21" s="35">
        <v>6421.1000000000058</v>
      </c>
      <c r="CU21" s="4"/>
      <c r="CV21" s="37">
        <v>0</v>
      </c>
      <c r="CW21" s="35">
        <v>6421.1000000000058</v>
      </c>
      <c r="CX21" s="16"/>
      <c r="CY21" s="16"/>
      <c r="CZ21" s="28">
        <v>13.33972602739726</v>
      </c>
      <c r="DA21" s="29">
        <v>-5.3397260273972602</v>
      </c>
      <c r="DB21" s="27">
        <v>6421.1</v>
      </c>
      <c r="DC21" s="34">
        <v>0</v>
      </c>
      <c r="DD21" s="34">
        <v>0</v>
      </c>
      <c r="DE21" s="35">
        <v>6421.1000000000058</v>
      </c>
      <c r="DG21" s="35">
        <v>128422</v>
      </c>
      <c r="DH21" s="65">
        <v>122000.9</v>
      </c>
      <c r="DI21" s="65">
        <f t="shared" si="0"/>
        <v>6421.1000000000058</v>
      </c>
      <c r="DJ21" s="124">
        <f t="shared" si="1"/>
        <v>0</v>
      </c>
    </row>
    <row r="22" spans="2:114" ht="18.75" customHeight="1" x14ac:dyDescent="0.25">
      <c r="B22" s="13" t="s">
        <v>4</v>
      </c>
      <c r="C22" s="14" t="s">
        <v>4</v>
      </c>
      <c r="D22" s="15" t="s">
        <v>277</v>
      </c>
      <c r="E22" s="15" t="s">
        <v>282</v>
      </c>
      <c r="F22" s="42" t="s">
        <v>283</v>
      </c>
      <c r="G22" s="43" t="s">
        <v>104</v>
      </c>
      <c r="H22" s="17">
        <v>40178</v>
      </c>
      <c r="I22" s="18" t="s">
        <v>417</v>
      </c>
      <c r="J22" s="19">
        <v>5</v>
      </c>
      <c r="K22" s="41">
        <v>8</v>
      </c>
      <c r="L22" s="21">
        <v>3</v>
      </c>
      <c r="M22" s="22">
        <v>94440</v>
      </c>
      <c r="N22" s="23">
        <v>29776.792000000001</v>
      </c>
      <c r="O22" s="24">
        <v>64663.207999999999</v>
      </c>
      <c r="P22" s="24"/>
      <c r="Q22" s="25">
        <v>3</v>
      </c>
      <c r="R22" s="26">
        <v>4722</v>
      </c>
      <c r="S22" s="25">
        <v>59941.207999999999</v>
      </c>
      <c r="T22" s="25">
        <v>19980.402666666665</v>
      </c>
      <c r="U22" s="25"/>
      <c r="V22" s="25">
        <v>0</v>
      </c>
      <c r="W22" s="25">
        <v>19980.402666666665</v>
      </c>
      <c r="X22" s="25">
        <v>19980.402666666665</v>
      </c>
      <c r="Y22" s="25">
        <v>0</v>
      </c>
      <c r="Z22" s="24">
        <v>64663.207999999999</v>
      </c>
      <c r="AA22" s="27">
        <v>44682.805333333337</v>
      </c>
      <c r="AB22" s="16"/>
      <c r="AC22" s="27">
        <v>44682.805333333337</v>
      </c>
      <c r="AD22" s="16"/>
      <c r="AE22" s="16"/>
      <c r="AF22" s="28">
        <v>5.2493150684931509</v>
      </c>
      <c r="AG22" s="29">
        <v>2.7506849315068491</v>
      </c>
      <c r="AH22" s="27">
        <v>4722</v>
      </c>
      <c r="AI22" s="30">
        <v>59941.207999999999</v>
      </c>
      <c r="AJ22" s="31">
        <v>19980.402666666665</v>
      </c>
      <c r="AK22" s="32">
        <v>24702.402666666672</v>
      </c>
      <c r="AL22" s="16"/>
      <c r="AM22" s="27">
        <v>24702.402666666672</v>
      </c>
      <c r="AN22" s="16"/>
      <c r="AO22" s="16"/>
      <c r="AP22" s="28">
        <v>6.2520547945205482</v>
      </c>
      <c r="AQ22" s="29">
        <v>1.7479452054794518</v>
      </c>
      <c r="AR22" s="27">
        <v>4722</v>
      </c>
      <c r="AS22" s="30">
        <v>39960.805333333337</v>
      </c>
      <c r="AT22" s="31">
        <v>19980.402666666665</v>
      </c>
      <c r="AU22" s="33">
        <v>4722.0000000000073</v>
      </c>
      <c r="AV22" s="4"/>
      <c r="AW22" s="27">
        <v>4722.0000000000073</v>
      </c>
      <c r="AX22" s="16"/>
      <c r="AY22" s="16"/>
      <c r="AZ22" s="28">
        <v>7.2520547945205482</v>
      </c>
      <c r="BA22" s="29">
        <v>0.74794520547945176</v>
      </c>
      <c r="BB22" s="27">
        <v>4722</v>
      </c>
      <c r="BC22" s="30">
        <v>19980.402666666672</v>
      </c>
      <c r="BD22" s="34"/>
      <c r="BE22" s="33">
        <v>4722.0000000000073</v>
      </c>
      <c r="BF22" s="33"/>
      <c r="BG22" s="27">
        <v>4722.0000000000073</v>
      </c>
      <c r="BH22" s="16"/>
      <c r="BI22" s="16"/>
      <c r="BJ22" s="28">
        <v>8.2520547945205482</v>
      </c>
      <c r="BK22" s="29">
        <v>-0.25205479452054824</v>
      </c>
      <c r="BL22" s="27">
        <v>4722</v>
      </c>
      <c r="BM22" s="30">
        <v>0</v>
      </c>
      <c r="BN22" s="34">
        <v>0</v>
      </c>
      <c r="BO22" s="35">
        <v>4722.0000000000073</v>
      </c>
      <c r="BP22" s="36"/>
      <c r="BQ22" s="27">
        <v>4722.0000000000073</v>
      </c>
      <c r="BR22" s="16"/>
      <c r="BS22" s="16"/>
      <c r="BT22" s="28">
        <v>9.2520547945205482</v>
      </c>
      <c r="BU22" s="29">
        <v>-1.2520547945205482</v>
      </c>
      <c r="BV22" s="27">
        <v>4722</v>
      </c>
      <c r="BW22" s="30">
        <v>0</v>
      </c>
      <c r="BX22" s="34">
        <v>0</v>
      </c>
      <c r="BY22" s="35">
        <v>4722.0000000000073</v>
      </c>
      <c r="BZ22" s="4"/>
      <c r="CA22" s="35">
        <v>4722.0000000000073</v>
      </c>
      <c r="CB22" s="16"/>
      <c r="CC22" s="16"/>
      <c r="CD22" s="28">
        <v>10.254794520547945</v>
      </c>
      <c r="CE22" s="29">
        <v>-2.2547945205479447</v>
      </c>
      <c r="CF22" s="27">
        <v>4722</v>
      </c>
      <c r="CG22" s="30">
        <v>0</v>
      </c>
      <c r="CH22" s="31">
        <v>0</v>
      </c>
      <c r="CI22" s="35">
        <v>4722.0000000000073</v>
      </c>
      <c r="CJ22" s="4"/>
      <c r="CK22" s="36">
        <v>7.2759576141834259E-12</v>
      </c>
      <c r="CL22" s="35">
        <v>4722.0000000000073</v>
      </c>
      <c r="CM22" s="16"/>
      <c r="CN22" s="16"/>
      <c r="CO22" s="28">
        <v>11.254794520547945</v>
      </c>
      <c r="CP22" s="29">
        <v>-3.2547945205479447</v>
      </c>
      <c r="CQ22" s="27">
        <v>4722</v>
      </c>
      <c r="CR22" s="34">
        <v>0</v>
      </c>
      <c r="CS22" s="34">
        <v>0</v>
      </c>
      <c r="CT22" s="35">
        <v>4722.0000000000073</v>
      </c>
      <c r="CU22" s="4"/>
      <c r="CV22" s="37">
        <v>7.2759576141834259E-12</v>
      </c>
      <c r="CW22" s="35">
        <v>4722.0000000000073</v>
      </c>
      <c r="CX22" s="16"/>
      <c r="CY22" s="16"/>
      <c r="CZ22" s="28">
        <v>13.254794520547945</v>
      </c>
      <c r="DA22" s="29">
        <v>-5.2547945205479447</v>
      </c>
      <c r="DB22" s="27">
        <v>4722</v>
      </c>
      <c r="DC22" s="34">
        <v>0</v>
      </c>
      <c r="DD22" s="34">
        <v>0</v>
      </c>
      <c r="DE22" s="35">
        <v>4722.0000000000073</v>
      </c>
      <c r="DG22" s="35">
        <v>94440</v>
      </c>
      <c r="DH22" s="65">
        <v>89717.999999999985</v>
      </c>
      <c r="DI22" s="65">
        <f t="shared" si="0"/>
        <v>4722.0000000000146</v>
      </c>
      <c r="DJ22" s="124">
        <f t="shared" si="1"/>
        <v>-7.2759576141834259E-12</v>
      </c>
    </row>
    <row r="23" spans="2:114" ht="18.75" customHeight="1" x14ac:dyDescent="0.25">
      <c r="B23" s="13" t="s">
        <v>4</v>
      </c>
      <c r="C23" s="14" t="s">
        <v>4</v>
      </c>
      <c r="D23" s="15" t="s">
        <v>277</v>
      </c>
      <c r="E23" s="15" t="s">
        <v>284</v>
      </c>
      <c r="F23" s="42" t="s">
        <v>283</v>
      </c>
      <c r="G23" s="43" t="s">
        <v>104</v>
      </c>
      <c r="H23" s="17">
        <v>40209</v>
      </c>
      <c r="I23" s="18" t="s">
        <v>417</v>
      </c>
      <c r="J23" s="19">
        <v>4</v>
      </c>
      <c r="K23" s="41">
        <v>8</v>
      </c>
      <c r="L23" s="21">
        <v>4</v>
      </c>
      <c r="M23" s="22">
        <v>140950</v>
      </c>
      <c r="N23" s="23">
        <v>43552.959999999999</v>
      </c>
      <c r="O23" s="24">
        <v>97397.040000000008</v>
      </c>
      <c r="P23" s="24"/>
      <c r="Q23" s="25">
        <v>4</v>
      </c>
      <c r="R23" s="26">
        <v>7047.5</v>
      </c>
      <c r="S23" s="25">
        <v>90349.540000000008</v>
      </c>
      <c r="T23" s="25">
        <v>22587.385000000002</v>
      </c>
      <c r="U23" s="25"/>
      <c r="V23" s="25">
        <v>0</v>
      </c>
      <c r="W23" s="25">
        <v>22587.385000000002</v>
      </c>
      <c r="X23" s="25">
        <v>22587.385000000002</v>
      </c>
      <c r="Y23" s="25">
        <v>0</v>
      </c>
      <c r="Z23" s="24">
        <v>97397.040000000008</v>
      </c>
      <c r="AA23" s="27">
        <v>74809.654999999999</v>
      </c>
      <c r="AB23" s="16"/>
      <c r="AC23" s="27">
        <v>74809.654999999999</v>
      </c>
      <c r="AD23" s="16"/>
      <c r="AE23" s="16"/>
      <c r="AF23" s="28">
        <v>5.1643835616438354</v>
      </c>
      <c r="AG23" s="29">
        <v>2.8356164383561646</v>
      </c>
      <c r="AH23" s="27">
        <v>7047.5</v>
      </c>
      <c r="AI23" s="30">
        <v>90349.540000000008</v>
      </c>
      <c r="AJ23" s="31">
        <v>22587.385000000002</v>
      </c>
      <c r="AK23" s="32">
        <v>52222.27</v>
      </c>
      <c r="AL23" s="16"/>
      <c r="AM23" s="27">
        <v>52222.27</v>
      </c>
      <c r="AN23" s="16"/>
      <c r="AO23" s="16"/>
      <c r="AP23" s="28">
        <v>6.1671232876712327</v>
      </c>
      <c r="AQ23" s="29">
        <v>1.8328767123287673</v>
      </c>
      <c r="AR23" s="27">
        <v>7047.5</v>
      </c>
      <c r="AS23" s="30">
        <v>67762.154999999999</v>
      </c>
      <c r="AT23" s="31">
        <v>22587.385000000002</v>
      </c>
      <c r="AU23" s="33">
        <v>29634.884999999995</v>
      </c>
      <c r="AV23" s="4"/>
      <c r="AW23" s="27">
        <v>29634.884999999995</v>
      </c>
      <c r="AX23" s="16"/>
      <c r="AY23" s="16"/>
      <c r="AZ23" s="28">
        <v>7.1671232876712327</v>
      </c>
      <c r="BA23" s="29">
        <v>0.83287671232876725</v>
      </c>
      <c r="BB23" s="27">
        <v>7047.5</v>
      </c>
      <c r="BC23" s="30">
        <v>45174.77</v>
      </c>
      <c r="BD23" s="34">
        <v>22587.385000000002</v>
      </c>
      <c r="BE23" s="33">
        <v>7047.4999999999927</v>
      </c>
      <c r="BF23" s="33"/>
      <c r="BG23" s="27">
        <v>7047.4999999999927</v>
      </c>
      <c r="BH23" s="16"/>
      <c r="BI23" s="16"/>
      <c r="BJ23" s="28">
        <v>8.1671232876712327</v>
      </c>
      <c r="BK23" s="29">
        <v>-0.16712328767123275</v>
      </c>
      <c r="BL23" s="27">
        <v>7047.5</v>
      </c>
      <c r="BM23" s="30">
        <v>0</v>
      </c>
      <c r="BN23" s="34">
        <v>-7.2759576141834259E-12</v>
      </c>
      <c r="BO23" s="35">
        <v>7047.5</v>
      </c>
      <c r="BP23" s="36"/>
      <c r="BQ23" s="27">
        <v>7047.5</v>
      </c>
      <c r="BR23" s="16"/>
      <c r="BS23" s="16"/>
      <c r="BT23" s="28">
        <v>9.1671232876712327</v>
      </c>
      <c r="BU23" s="29">
        <v>-1.1671232876712327</v>
      </c>
      <c r="BV23" s="27">
        <v>7047.5</v>
      </c>
      <c r="BW23" s="30">
        <v>0</v>
      </c>
      <c r="BX23" s="34">
        <v>-7.2759576141834259E-12</v>
      </c>
      <c r="BY23" s="35">
        <v>7047.5000000000073</v>
      </c>
      <c r="BZ23" s="4"/>
      <c r="CA23" s="35">
        <v>7047.5000000000073</v>
      </c>
      <c r="CB23" s="16"/>
      <c r="CC23" s="16"/>
      <c r="CD23" s="28">
        <v>10.169863013698631</v>
      </c>
      <c r="CE23" s="29">
        <v>-2.169863013698631</v>
      </c>
      <c r="CF23" s="27">
        <v>7047.5</v>
      </c>
      <c r="CG23" s="30">
        <v>0</v>
      </c>
      <c r="CH23" s="31">
        <v>-7.2759576141834259E-12</v>
      </c>
      <c r="CI23" s="35">
        <v>7047.5000000000146</v>
      </c>
      <c r="CJ23" s="4"/>
      <c r="CK23" s="36">
        <v>1.4551915228366852E-11</v>
      </c>
      <c r="CL23" s="35">
        <v>7047.5000000000146</v>
      </c>
      <c r="CM23" s="16"/>
      <c r="CN23" s="16"/>
      <c r="CO23" s="28">
        <v>11.169863013698631</v>
      </c>
      <c r="CP23" s="29">
        <v>-3.169863013698631</v>
      </c>
      <c r="CQ23" s="27">
        <v>7047.5</v>
      </c>
      <c r="CR23" s="34">
        <v>0</v>
      </c>
      <c r="CS23" s="34">
        <v>-7.2759576141834259E-12</v>
      </c>
      <c r="CT23" s="35">
        <v>7047.5000000000218</v>
      </c>
      <c r="CU23" s="4"/>
      <c r="CV23" s="37">
        <v>2.1827872842550278E-11</v>
      </c>
      <c r="CW23" s="35">
        <v>7047.5000000000218</v>
      </c>
      <c r="CX23" s="16"/>
      <c r="CY23" s="16"/>
      <c r="CZ23" s="28">
        <v>13.169863013698631</v>
      </c>
      <c r="DA23" s="29">
        <v>-5.169863013698631</v>
      </c>
      <c r="DB23" s="27">
        <v>7047.5</v>
      </c>
      <c r="DC23" s="34">
        <v>0</v>
      </c>
      <c r="DD23" s="34">
        <v>-7.2759576141834259E-12</v>
      </c>
      <c r="DE23" s="35">
        <v>7047.5000000000291</v>
      </c>
      <c r="DG23" s="35">
        <v>140950</v>
      </c>
      <c r="DH23" s="65">
        <v>133902.50000000003</v>
      </c>
      <c r="DI23" s="65">
        <f t="shared" si="0"/>
        <v>7047.4999999999709</v>
      </c>
      <c r="DJ23" s="124">
        <f t="shared" si="1"/>
        <v>5.8207660913467407E-11</v>
      </c>
    </row>
    <row r="24" spans="2:114" ht="18.75" customHeight="1" x14ac:dyDescent="0.25">
      <c r="B24" s="13" t="s">
        <v>4</v>
      </c>
      <c r="C24" s="14" t="s">
        <v>4</v>
      </c>
      <c r="D24" s="15" t="s">
        <v>277</v>
      </c>
      <c r="E24" s="15" t="s">
        <v>287</v>
      </c>
      <c r="F24" s="42" t="s">
        <v>286</v>
      </c>
      <c r="G24" s="43" t="s">
        <v>104</v>
      </c>
      <c r="H24" s="17">
        <v>40237</v>
      </c>
      <c r="I24" s="18" t="s">
        <v>417</v>
      </c>
      <c r="J24" s="19">
        <v>4</v>
      </c>
      <c r="K24" s="41">
        <v>8</v>
      </c>
      <c r="L24" s="21">
        <v>4</v>
      </c>
      <c r="M24" s="22">
        <v>56537</v>
      </c>
      <c r="N24" s="23">
        <v>17148.1816</v>
      </c>
      <c r="O24" s="24">
        <v>39388.818400000004</v>
      </c>
      <c r="P24" s="24"/>
      <c r="Q24" s="25">
        <v>4</v>
      </c>
      <c r="R24" s="26">
        <v>2826.8500000000004</v>
      </c>
      <c r="S24" s="25">
        <v>36561.968400000005</v>
      </c>
      <c r="T24" s="25">
        <v>9140.4921000000013</v>
      </c>
      <c r="U24" s="25"/>
      <c r="V24" s="25">
        <v>0</v>
      </c>
      <c r="W24" s="25">
        <v>9140.4921000000013</v>
      </c>
      <c r="X24" s="25">
        <v>9140.4921000000013</v>
      </c>
      <c r="Y24" s="25">
        <v>0</v>
      </c>
      <c r="Z24" s="24">
        <v>39388.818400000004</v>
      </c>
      <c r="AA24" s="27">
        <v>30248.326300000001</v>
      </c>
      <c r="AB24" s="16"/>
      <c r="AC24" s="27">
        <v>30248.326300000001</v>
      </c>
      <c r="AD24" s="16"/>
      <c r="AE24" s="16"/>
      <c r="AF24" s="28">
        <v>5.087671232876712</v>
      </c>
      <c r="AG24" s="29">
        <v>2.912328767123288</v>
      </c>
      <c r="AH24" s="27">
        <v>2826.8500000000004</v>
      </c>
      <c r="AI24" s="30">
        <v>36561.968400000005</v>
      </c>
      <c r="AJ24" s="31">
        <v>9140.4921000000013</v>
      </c>
      <c r="AK24" s="32">
        <v>21107.834199999998</v>
      </c>
      <c r="AL24" s="16"/>
      <c r="AM24" s="27">
        <v>21107.834199999998</v>
      </c>
      <c r="AN24" s="16"/>
      <c r="AO24" s="16"/>
      <c r="AP24" s="28">
        <v>6.0904109589041093</v>
      </c>
      <c r="AQ24" s="29">
        <v>1.9095890410958907</v>
      </c>
      <c r="AR24" s="27">
        <v>2826.8500000000004</v>
      </c>
      <c r="AS24" s="30">
        <v>27421.476300000002</v>
      </c>
      <c r="AT24" s="31">
        <v>9140.4921000000013</v>
      </c>
      <c r="AU24" s="33">
        <v>11967.342099999996</v>
      </c>
      <c r="AV24" s="4"/>
      <c r="AW24" s="27">
        <v>11967.342099999996</v>
      </c>
      <c r="AX24" s="16"/>
      <c r="AY24" s="16"/>
      <c r="AZ24" s="28">
        <v>7.0904109589041093</v>
      </c>
      <c r="BA24" s="29">
        <v>0.90958904109589067</v>
      </c>
      <c r="BB24" s="27">
        <v>2826.8500000000004</v>
      </c>
      <c r="BC24" s="30">
        <v>18280.984199999999</v>
      </c>
      <c r="BD24" s="34">
        <v>9140.4921000000013</v>
      </c>
      <c r="BE24" s="33">
        <v>2826.8499999999949</v>
      </c>
      <c r="BF24" s="33"/>
      <c r="BG24" s="27">
        <v>2826.8499999999949</v>
      </c>
      <c r="BH24" s="16"/>
      <c r="BI24" s="16"/>
      <c r="BJ24" s="28">
        <v>8.0904109589041102</v>
      </c>
      <c r="BK24" s="29">
        <v>-9.0410958904110217E-2</v>
      </c>
      <c r="BL24" s="27">
        <v>2826.8500000000004</v>
      </c>
      <c r="BM24" s="30">
        <v>0</v>
      </c>
      <c r="BN24" s="34">
        <v>-5.4569682106375694E-12</v>
      </c>
      <c r="BO24" s="35">
        <v>2826.8500000000004</v>
      </c>
      <c r="BP24" s="36"/>
      <c r="BQ24" s="27">
        <v>2826.8500000000004</v>
      </c>
      <c r="BR24" s="16"/>
      <c r="BS24" s="16"/>
      <c r="BT24" s="28">
        <v>9.0904109589041102</v>
      </c>
      <c r="BU24" s="29">
        <v>-1.0904109589041102</v>
      </c>
      <c r="BV24" s="27">
        <v>2826.8500000000004</v>
      </c>
      <c r="BW24" s="30">
        <v>0</v>
      </c>
      <c r="BX24" s="34">
        <v>-5.4569682106375694E-12</v>
      </c>
      <c r="BY24" s="35">
        <v>2826.8500000000058</v>
      </c>
      <c r="BZ24" s="4"/>
      <c r="CA24" s="35">
        <v>2826.8500000000058</v>
      </c>
      <c r="CB24" s="16"/>
      <c r="CC24" s="16"/>
      <c r="CD24" s="28">
        <v>10.093150684931507</v>
      </c>
      <c r="CE24" s="29">
        <v>-2.0931506849315067</v>
      </c>
      <c r="CF24" s="27">
        <v>2826.8500000000004</v>
      </c>
      <c r="CG24" s="30">
        <v>0</v>
      </c>
      <c r="CH24" s="31">
        <v>-5.4569682106375694E-12</v>
      </c>
      <c r="CI24" s="35">
        <v>2826.8500000000113</v>
      </c>
      <c r="CJ24" s="4"/>
      <c r="CK24" s="36">
        <v>1.0913936421275139E-11</v>
      </c>
      <c r="CL24" s="35">
        <v>2826.8500000000113</v>
      </c>
      <c r="CM24" s="16"/>
      <c r="CN24" s="16"/>
      <c r="CO24" s="28">
        <v>11.093150684931507</v>
      </c>
      <c r="CP24" s="29">
        <v>-3.0931506849315067</v>
      </c>
      <c r="CQ24" s="27">
        <v>2826.8500000000004</v>
      </c>
      <c r="CR24" s="34">
        <v>0</v>
      </c>
      <c r="CS24" s="34">
        <v>-5.4569682106375694E-12</v>
      </c>
      <c r="CT24" s="35">
        <v>2826.8500000000167</v>
      </c>
      <c r="CU24" s="4"/>
      <c r="CV24" s="37">
        <v>1.6370904631912708E-11</v>
      </c>
      <c r="CW24" s="35">
        <v>2826.8500000000167</v>
      </c>
      <c r="CX24" s="16"/>
      <c r="CY24" s="16"/>
      <c r="CZ24" s="28">
        <v>13.093150684931507</v>
      </c>
      <c r="DA24" s="29">
        <v>-5.0931506849315067</v>
      </c>
      <c r="DB24" s="27">
        <v>2826.8500000000004</v>
      </c>
      <c r="DC24" s="34">
        <v>0</v>
      </c>
      <c r="DD24" s="34">
        <v>-5.4569682106375694E-12</v>
      </c>
      <c r="DE24" s="35">
        <v>2826.8500000000222</v>
      </c>
      <c r="DG24" s="35">
        <v>56537</v>
      </c>
      <c r="DH24" s="65">
        <v>53710.149999999972</v>
      </c>
      <c r="DI24" s="65">
        <f t="shared" si="0"/>
        <v>2826.8500000000276</v>
      </c>
      <c r="DJ24" s="124">
        <f t="shared" si="1"/>
        <v>-5.4569682106375694E-12</v>
      </c>
    </row>
    <row r="25" spans="2:114" ht="18.75" customHeight="1" x14ac:dyDescent="0.25">
      <c r="B25" s="13" t="s">
        <v>4</v>
      </c>
      <c r="C25" s="14" t="s">
        <v>4</v>
      </c>
      <c r="D25" s="15" t="s">
        <v>277</v>
      </c>
      <c r="E25" s="15" t="s">
        <v>290</v>
      </c>
      <c r="F25" s="42" t="s">
        <v>289</v>
      </c>
      <c r="G25" s="43" t="s">
        <v>104</v>
      </c>
      <c r="H25" s="17">
        <v>40267</v>
      </c>
      <c r="I25" s="18" t="s">
        <v>417</v>
      </c>
      <c r="J25" s="19">
        <v>4</v>
      </c>
      <c r="K25" s="41">
        <v>8</v>
      </c>
      <c r="L25" s="21">
        <v>4</v>
      </c>
      <c r="M25" s="22">
        <v>83554</v>
      </c>
      <c r="N25" s="23">
        <v>24815.8272</v>
      </c>
      <c r="O25" s="24">
        <v>58738.1728</v>
      </c>
      <c r="P25" s="24"/>
      <c r="Q25" s="25">
        <v>4</v>
      </c>
      <c r="R25" s="26">
        <v>4177.7</v>
      </c>
      <c r="S25" s="25">
        <v>54560.472800000003</v>
      </c>
      <c r="T25" s="25">
        <v>13640.118200000001</v>
      </c>
      <c r="U25" s="25"/>
      <c r="V25" s="25">
        <v>0</v>
      </c>
      <c r="W25" s="25">
        <v>13640.118200000001</v>
      </c>
      <c r="X25" s="25">
        <v>13640.118200000001</v>
      </c>
      <c r="Y25" s="25">
        <v>0</v>
      </c>
      <c r="Z25" s="24">
        <v>58738.1728</v>
      </c>
      <c r="AA25" s="27">
        <v>45098.054600000003</v>
      </c>
      <c r="AB25" s="16"/>
      <c r="AC25" s="27">
        <v>45098.054600000003</v>
      </c>
      <c r="AD25" s="16"/>
      <c r="AE25" s="16"/>
      <c r="AF25" s="28">
        <v>5.0054794520547947</v>
      </c>
      <c r="AG25" s="29">
        <v>2.9945205479452053</v>
      </c>
      <c r="AH25" s="27">
        <v>4177.7</v>
      </c>
      <c r="AI25" s="30">
        <v>54560.472800000003</v>
      </c>
      <c r="AJ25" s="31">
        <v>13640.118200000001</v>
      </c>
      <c r="AK25" s="32">
        <v>31457.936400000002</v>
      </c>
      <c r="AL25" s="16"/>
      <c r="AM25" s="27">
        <v>31457.936400000002</v>
      </c>
      <c r="AN25" s="16"/>
      <c r="AO25" s="16"/>
      <c r="AP25" s="28">
        <v>6.0082191780821921</v>
      </c>
      <c r="AQ25" s="29">
        <v>1.9917808219178079</v>
      </c>
      <c r="AR25" s="27">
        <v>4177.7</v>
      </c>
      <c r="AS25" s="30">
        <v>40920.354600000006</v>
      </c>
      <c r="AT25" s="31">
        <v>13640.118200000001</v>
      </c>
      <c r="AU25" s="33">
        <v>17817.818200000002</v>
      </c>
      <c r="AV25" s="4"/>
      <c r="AW25" s="27">
        <v>17817.818200000002</v>
      </c>
      <c r="AX25" s="16"/>
      <c r="AY25" s="16"/>
      <c r="AZ25" s="28">
        <v>7.0082191780821921</v>
      </c>
      <c r="BA25" s="29">
        <v>0.99178082191780792</v>
      </c>
      <c r="BB25" s="27">
        <v>4177.7</v>
      </c>
      <c r="BC25" s="30">
        <v>27280.236400000002</v>
      </c>
      <c r="BD25" s="34">
        <v>13640.118200000001</v>
      </c>
      <c r="BE25" s="33">
        <v>4177.7000000000007</v>
      </c>
      <c r="BF25" s="33"/>
      <c r="BG25" s="27">
        <v>4177.7000000000007</v>
      </c>
      <c r="BH25" s="16"/>
      <c r="BI25" s="16"/>
      <c r="BJ25" s="28">
        <v>8.0082191780821912</v>
      </c>
      <c r="BK25" s="29">
        <v>-8.2191780821911919E-3</v>
      </c>
      <c r="BL25" s="27">
        <v>4177.7</v>
      </c>
      <c r="BM25" s="30">
        <v>0</v>
      </c>
      <c r="BN25" s="34">
        <v>0</v>
      </c>
      <c r="BO25" s="35">
        <v>4177.7000000000007</v>
      </c>
      <c r="BP25" s="36"/>
      <c r="BQ25" s="27">
        <v>4177.7000000000007</v>
      </c>
      <c r="BR25" s="16"/>
      <c r="BS25" s="16"/>
      <c r="BT25" s="28">
        <v>9.0082191780821912</v>
      </c>
      <c r="BU25" s="29">
        <v>-1.0082191780821912</v>
      </c>
      <c r="BV25" s="27">
        <v>4177.7</v>
      </c>
      <c r="BW25" s="30">
        <v>0</v>
      </c>
      <c r="BX25" s="34">
        <v>0</v>
      </c>
      <c r="BY25" s="35">
        <v>4177.7000000000007</v>
      </c>
      <c r="BZ25" s="4"/>
      <c r="CA25" s="35">
        <v>4177.7000000000007</v>
      </c>
      <c r="CB25" s="16"/>
      <c r="CC25" s="16"/>
      <c r="CD25" s="28">
        <v>10.010958904109589</v>
      </c>
      <c r="CE25" s="29">
        <v>-2.0109589041095894</v>
      </c>
      <c r="CF25" s="27">
        <v>4177.7</v>
      </c>
      <c r="CG25" s="30">
        <v>0</v>
      </c>
      <c r="CH25" s="31">
        <v>0</v>
      </c>
      <c r="CI25" s="35">
        <v>4177.7000000000007</v>
      </c>
      <c r="CJ25" s="4"/>
      <c r="CK25" s="36">
        <v>0</v>
      </c>
      <c r="CL25" s="35">
        <v>4177.7000000000007</v>
      </c>
      <c r="CM25" s="16"/>
      <c r="CN25" s="16"/>
      <c r="CO25" s="28">
        <v>11.010958904109589</v>
      </c>
      <c r="CP25" s="29">
        <v>-3.0109589041095894</v>
      </c>
      <c r="CQ25" s="27">
        <v>4177.7</v>
      </c>
      <c r="CR25" s="34">
        <v>0</v>
      </c>
      <c r="CS25" s="34">
        <v>0</v>
      </c>
      <c r="CT25" s="35">
        <v>4177.7000000000007</v>
      </c>
      <c r="CU25" s="4"/>
      <c r="CV25" s="37">
        <v>0</v>
      </c>
      <c r="CW25" s="35">
        <v>4177.7000000000007</v>
      </c>
      <c r="CX25" s="16"/>
      <c r="CY25" s="16"/>
      <c r="CZ25" s="28">
        <v>13.010958904109589</v>
      </c>
      <c r="DA25" s="29">
        <v>-5.0109589041095894</v>
      </c>
      <c r="DB25" s="27">
        <v>4177.7</v>
      </c>
      <c r="DC25" s="34">
        <v>0</v>
      </c>
      <c r="DD25" s="34">
        <v>0</v>
      </c>
      <c r="DE25" s="35">
        <v>4177.7000000000007</v>
      </c>
      <c r="DG25" s="35">
        <v>83554</v>
      </c>
      <c r="DH25" s="65">
        <v>79376.299999999988</v>
      </c>
      <c r="DI25" s="65">
        <f t="shared" si="0"/>
        <v>4177.7000000000116</v>
      </c>
      <c r="DJ25" s="124">
        <f t="shared" si="1"/>
        <v>-1.0913936421275139E-11</v>
      </c>
    </row>
    <row r="26" spans="2:114" ht="18.75" customHeight="1" x14ac:dyDescent="0.25">
      <c r="B26" s="13" t="s">
        <v>4</v>
      </c>
      <c r="C26" s="14" t="s">
        <v>4</v>
      </c>
      <c r="D26" s="15" t="s">
        <v>277</v>
      </c>
      <c r="E26" s="15" t="s">
        <v>299</v>
      </c>
      <c r="F26" s="44" t="s">
        <v>300</v>
      </c>
      <c r="G26" s="40" t="s">
        <v>104</v>
      </c>
      <c r="H26" s="17">
        <v>40786</v>
      </c>
      <c r="I26" s="18" t="s">
        <v>419</v>
      </c>
      <c r="J26" s="19">
        <v>3</v>
      </c>
      <c r="K26" s="41">
        <v>8</v>
      </c>
      <c r="L26" s="21">
        <v>5</v>
      </c>
      <c r="M26" s="22">
        <v>238574</v>
      </c>
      <c r="N26" s="23">
        <v>53106.572400000005</v>
      </c>
      <c r="O26" s="24">
        <v>185467.4276</v>
      </c>
      <c r="P26" s="24"/>
      <c r="Q26" s="25">
        <v>5</v>
      </c>
      <c r="R26" s="26">
        <v>11928.7</v>
      </c>
      <c r="S26" s="25">
        <v>173538.72759999998</v>
      </c>
      <c r="T26" s="25">
        <v>34707.745519999997</v>
      </c>
      <c r="U26" s="25"/>
      <c r="V26" s="25">
        <v>0</v>
      </c>
      <c r="W26" s="25">
        <v>34707.745519999997</v>
      </c>
      <c r="X26" s="25">
        <v>34707.745519999997</v>
      </c>
      <c r="Y26" s="25">
        <v>0</v>
      </c>
      <c r="Z26" s="24">
        <v>185467.4276</v>
      </c>
      <c r="AA26" s="27">
        <v>150759.68208</v>
      </c>
      <c r="AB26" s="16"/>
      <c r="AC26" s="27">
        <v>150759.68208</v>
      </c>
      <c r="AD26" s="16"/>
      <c r="AE26" s="16"/>
      <c r="AF26" s="28">
        <v>3.5835616438356164</v>
      </c>
      <c r="AG26" s="29">
        <v>4.4164383561643836</v>
      </c>
      <c r="AH26" s="27">
        <v>11928.7</v>
      </c>
      <c r="AI26" s="30">
        <v>173538.72759999998</v>
      </c>
      <c r="AJ26" s="31">
        <v>34707.745519999997</v>
      </c>
      <c r="AK26" s="32">
        <v>116051.93656</v>
      </c>
      <c r="AL26" s="16"/>
      <c r="AM26" s="27">
        <v>116051.93656</v>
      </c>
      <c r="AN26" s="16"/>
      <c r="AO26" s="16"/>
      <c r="AP26" s="28">
        <v>4.5863013698630137</v>
      </c>
      <c r="AQ26" s="29">
        <v>3.4136986301369863</v>
      </c>
      <c r="AR26" s="27">
        <v>11928.7</v>
      </c>
      <c r="AS26" s="30">
        <v>138830.98207999999</v>
      </c>
      <c r="AT26" s="31">
        <v>34707.745519999997</v>
      </c>
      <c r="AU26" s="33">
        <v>81344.191040000005</v>
      </c>
      <c r="AV26" s="4"/>
      <c r="AW26" s="27">
        <v>81344.191040000005</v>
      </c>
      <c r="AX26" s="16"/>
      <c r="AY26" s="16"/>
      <c r="AZ26" s="28">
        <v>5.5863013698630137</v>
      </c>
      <c r="BA26" s="29">
        <v>2.4136986301369863</v>
      </c>
      <c r="BB26" s="27">
        <v>11928.7</v>
      </c>
      <c r="BC26" s="30">
        <v>104123.23656</v>
      </c>
      <c r="BD26" s="34">
        <v>34707.745519999997</v>
      </c>
      <c r="BE26" s="33">
        <v>46636.445520000008</v>
      </c>
      <c r="BF26" s="33"/>
      <c r="BG26" s="27">
        <v>46636.445520000008</v>
      </c>
      <c r="BH26" s="16"/>
      <c r="BI26" s="16"/>
      <c r="BJ26" s="28">
        <v>6.5863013698630137</v>
      </c>
      <c r="BK26" s="29">
        <v>1.4136986301369863</v>
      </c>
      <c r="BL26" s="27">
        <v>11928.7</v>
      </c>
      <c r="BM26" s="30">
        <v>34707.745520000011</v>
      </c>
      <c r="BN26" s="34">
        <v>34707.745519999997</v>
      </c>
      <c r="BO26" s="35">
        <v>11928.700000000012</v>
      </c>
      <c r="BP26" s="36"/>
      <c r="BQ26" s="27">
        <v>11928.700000000012</v>
      </c>
      <c r="BR26" s="16"/>
      <c r="BS26" s="16"/>
      <c r="BT26" s="28">
        <v>7.5863013698630137</v>
      </c>
      <c r="BU26" s="29">
        <v>0.41369863013698627</v>
      </c>
      <c r="BV26" s="27">
        <v>11928.7</v>
      </c>
      <c r="BW26" s="30">
        <v>1.0913936421275139E-11</v>
      </c>
      <c r="BX26" s="34"/>
      <c r="BY26" s="35">
        <v>11928.700000000012</v>
      </c>
      <c r="BZ26" s="4"/>
      <c r="CA26" s="35">
        <v>11928.700000000012</v>
      </c>
      <c r="CB26" s="16"/>
      <c r="CC26" s="16"/>
      <c r="CD26" s="28">
        <v>8.5890410958904102</v>
      </c>
      <c r="CE26" s="29">
        <v>-0.5890410958904102</v>
      </c>
      <c r="CF26" s="27">
        <v>11928.7</v>
      </c>
      <c r="CG26" s="30">
        <v>0</v>
      </c>
      <c r="CH26" s="31">
        <v>0</v>
      </c>
      <c r="CI26" s="35">
        <v>11928.700000000012</v>
      </c>
      <c r="CJ26" s="4"/>
      <c r="CK26" s="36">
        <v>0</v>
      </c>
      <c r="CL26" s="35">
        <v>11928.700000000012</v>
      </c>
      <c r="CM26" s="16"/>
      <c r="CN26" s="16"/>
      <c r="CO26" s="28">
        <v>9.5890410958904102</v>
      </c>
      <c r="CP26" s="29">
        <v>-1.5890410958904102</v>
      </c>
      <c r="CQ26" s="27">
        <v>11928.7</v>
      </c>
      <c r="CR26" s="34">
        <v>0</v>
      </c>
      <c r="CS26" s="34">
        <v>0</v>
      </c>
      <c r="CT26" s="35">
        <v>11928.700000000012</v>
      </c>
      <c r="CU26" s="4"/>
      <c r="CV26" s="37">
        <v>0</v>
      </c>
      <c r="CW26" s="35">
        <v>11928.700000000012</v>
      </c>
      <c r="CX26" s="16"/>
      <c r="CY26" s="16"/>
      <c r="CZ26" s="28">
        <v>11.58904109589041</v>
      </c>
      <c r="DA26" s="29">
        <v>-3.5890410958904102</v>
      </c>
      <c r="DB26" s="27">
        <v>11928.7</v>
      </c>
      <c r="DC26" s="34">
        <v>0</v>
      </c>
      <c r="DD26" s="34">
        <v>0</v>
      </c>
      <c r="DE26" s="35">
        <v>11928.700000000012</v>
      </c>
      <c r="DG26" s="35">
        <v>238574</v>
      </c>
      <c r="DH26" s="65">
        <v>226645.3</v>
      </c>
      <c r="DI26" s="65">
        <f t="shared" si="0"/>
        <v>11928.700000000012</v>
      </c>
      <c r="DJ26" s="124">
        <f t="shared" si="1"/>
        <v>0</v>
      </c>
    </row>
    <row r="27" spans="2:114" ht="18.75" customHeight="1" x14ac:dyDescent="0.25">
      <c r="B27" s="13" t="s">
        <v>4</v>
      </c>
      <c r="C27" s="14" t="s">
        <v>4</v>
      </c>
      <c r="D27" s="15" t="s">
        <v>277</v>
      </c>
      <c r="E27" s="15" t="s">
        <v>303</v>
      </c>
      <c r="F27" s="44" t="s">
        <v>300</v>
      </c>
      <c r="G27" s="40" t="s">
        <v>104</v>
      </c>
      <c r="H27" s="17">
        <v>40786</v>
      </c>
      <c r="I27" s="18" t="s">
        <v>419</v>
      </c>
      <c r="J27" s="19">
        <v>3</v>
      </c>
      <c r="K27" s="41">
        <v>8</v>
      </c>
      <c r="L27" s="21">
        <v>5</v>
      </c>
      <c r="M27" s="22">
        <v>190858</v>
      </c>
      <c r="N27" s="23">
        <v>36626.3272</v>
      </c>
      <c r="O27" s="24">
        <v>154231.6728</v>
      </c>
      <c r="P27" s="24"/>
      <c r="Q27" s="25">
        <v>5</v>
      </c>
      <c r="R27" s="26">
        <v>9542.9</v>
      </c>
      <c r="S27" s="25">
        <v>144688.77280000001</v>
      </c>
      <c r="T27" s="25">
        <v>28937.754560000001</v>
      </c>
      <c r="U27" s="25"/>
      <c r="V27" s="25">
        <v>0</v>
      </c>
      <c r="W27" s="25">
        <v>28937.754560000001</v>
      </c>
      <c r="X27" s="25">
        <v>28937.754560000001</v>
      </c>
      <c r="Y27" s="25">
        <v>0</v>
      </c>
      <c r="Z27" s="24">
        <v>154231.6728</v>
      </c>
      <c r="AA27" s="27">
        <v>125293.91824</v>
      </c>
      <c r="AB27" s="16"/>
      <c r="AC27" s="27">
        <v>125293.91824</v>
      </c>
      <c r="AD27" s="16"/>
      <c r="AE27" s="16"/>
      <c r="AF27" s="28">
        <v>3.5835616438356164</v>
      </c>
      <c r="AG27" s="29">
        <v>4.4164383561643836</v>
      </c>
      <c r="AH27" s="27">
        <v>9542.9</v>
      </c>
      <c r="AI27" s="30">
        <v>144688.77280000001</v>
      </c>
      <c r="AJ27" s="31">
        <v>28937.754560000001</v>
      </c>
      <c r="AK27" s="32">
        <v>96356.163679999998</v>
      </c>
      <c r="AL27" s="16"/>
      <c r="AM27" s="27">
        <v>96356.163679999998</v>
      </c>
      <c r="AN27" s="16"/>
      <c r="AO27" s="16"/>
      <c r="AP27" s="28">
        <v>4.5863013698630137</v>
      </c>
      <c r="AQ27" s="29">
        <v>3.4136986301369863</v>
      </c>
      <c r="AR27" s="27">
        <v>9542.9</v>
      </c>
      <c r="AS27" s="30">
        <v>115751.01824</v>
      </c>
      <c r="AT27" s="31">
        <v>28937.754560000001</v>
      </c>
      <c r="AU27" s="33">
        <v>67418.409119999997</v>
      </c>
      <c r="AV27" s="4"/>
      <c r="AW27" s="27">
        <v>67418.409119999997</v>
      </c>
      <c r="AX27" s="16"/>
      <c r="AY27" s="16"/>
      <c r="AZ27" s="28">
        <v>5.5863013698630137</v>
      </c>
      <c r="BA27" s="29">
        <v>2.4136986301369863</v>
      </c>
      <c r="BB27" s="27">
        <v>9542.9</v>
      </c>
      <c r="BC27" s="30">
        <v>86813.263680000004</v>
      </c>
      <c r="BD27" s="34">
        <v>28937.754560000001</v>
      </c>
      <c r="BE27" s="33">
        <v>38480.654559999995</v>
      </c>
      <c r="BF27" s="33"/>
      <c r="BG27" s="27">
        <v>38480.654559999995</v>
      </c>
      <c r="BH27" s="16"/>
      <c r="BI27" s="16"/>
      <c r="BJ27" s="28">
        <v>6.5863013698630137</v>
      </c>
      <c r="BK27" s="29">
        <v>1.4136986301369863</v>
      </c>
      <c r="BL27" s="27">
        <v>9542.9</v>
      </c>
      <c r="BM27" s="30">
        <v>28937.754559999994</v>
      </c>
      <c r="BN27" s="34">
        <v>28937.754560000001</v>
      </c>
      <c r="BO27" s="35">
        <v>9542.8999999999942</v>
      </c>
      <c r="BP27" s="36"/>
      <c r="BQ27" s="27">
        <v>9542.8999999999942</v>
      </c>
      <c r="BR27" s="16"/>
      <c r="BS27" s="16"/>
      <c r="BT27" s="28">
        <v>7.5863013698630137</v>
      </c>
      <c r="BU27" s="29">
        <v>0.41369863013698627</v>
      </c>
      <c r="BV27" s="27">
        <v>9542.9</v>
      </c>
      <c r="BW27" s="30">
        <v>0</v>
      </c>
      <c r="BX27" s="34"/>
      <c r="BY27" s="35">
        <v>9542.8999999999942</v>
      </c>
      <c r="BZ27" s="4"/>
      <c r="CA27" s="35">
        <v>9542.8999999999942</v>
      </c>
      <c r="CB27" s="16"/>
      <c r="CC27" s="16"/>
      <c r="CD27" s="28">
        <v>8.5890410958904102</v>
      </c>
      <c r="CE27" s="29">
        <v>-0.5890410958904102</v>
      </c>
      <c r="CF27" s="27">
        <v>9542.9</v>
      </c>
      <c r="CG27" s="30">
        <v>0</v>
      </c>
      <c r="CH27" s="31">
        <v>0</v>
      </c>
      <c r="CI27" s="35">
        <v>9542.8999999999942</v>
      </c>
      <c r="CJ27" s="4"/>
      <c r="CK27" s="36">
        <v>0</v>
      </c>
      <c r="CL27" s="35">
        <v>9542.8999999999942</v>
      </c>
      <c r="CM27" s="16"/>
      <c r="CN27" s="16"/>
      <c r="CO27" s="28">
        <v>9.5890410958904102</v>
      </c>
      <c r="CP27" s="29">
        <v>-1.5890410958904102</v>
      </c>
      <c r="CQ27" s="27">
        <v>9542.9</v>
      </c>
      <c r="CR27" s="34">
        <v>0</v>
      </c>
      <c r="CS27" s="34">
        <v>0</v>
      </c>
      <c r="CT27" s="35">
        <v>9542.8999999999942</v>
      </c>
      <c r="CU27" s="4"/>
      <c r="CV27" s="37">
        <v>0</v>
      </c>
      <c r="CW27" s="35">
        <v>9542.8999999999942</v>
      </c>
      <c r="CX27" s="16"/>
      <c r="CY27" s="16"/>
      <c r="CZ27" s="28">
        <v>11.58904109589041</v>
      </c>
      <c r="DA27" s="29">
        <v>-3.5890410958904102</v>
      </c>
      <c r="DB27" s="27">
        <v>9542.9</v>
      </c>
      <c r="DC27" s="34">
        <v>0</v>
      </c>
      <c r="DD27" s="34">
        <v>0</v>
      </c>
      <c r="DE27" s="35">
        <v>9542.8999999999942</v>
      </c>
      <c r="DG27" s="35">
        <v>190858</v>
      </c>
      <c r="DH27" s="65">
        <v>181315.1</v>
      </c>
      <c r="DI27" s="65">
        <f t="shared" si="0"/>
        <v>9542.8999999999942</v>
      </c>
      <c r="DJ27" s="124">
        <f t="shared" si="1"/>
        <v>0</v>
      </c>
    </row>
    <row r="28" spans="2:114" ht="18.75" customHeight="1" x14ac:dyDescent="0.25">
      <c r="B28" s="13" t="s">
        <v>4</v>
      </c>
      <c r="C28" s="14" t="s">
        <v>4</v>
      </c>
      <c r="D28" s="15" t="s">
        <v>277</v>
      </c>
      <c r="E28" s="15" t="s">
        <v>304</v>
      </c>
      <c r="F28" s="44" t="s">
        <v>300</v>
      </c>
      <c r="G28" s="40" t="s">
        <v>104</v>
      </c>
      <c r="H28" s="17">
        <v>40896</v>
      </c>
      <c r="I28" s="18" t="s">
        <v>419</v>
      </c>
      <c r="J28" s="19">
        <v>3</v>
      </c>
      <c r="K28" s="41">
        <v>8</v>
      </c>
      <c r="L28" s="21">
        <v>5</v>
      </c>
      <c r="M28" s="22">
        <v>270089</v>
      </c>
      <c r="N28" s="23">
        <v>45791.207600000002</v>
      </c>
      <c r="O28" s="24">
        <v>224297.79240000001</v>
      </c>
      <c r="P28" s="24"/>
      <c r="Q28" s="25">
        <v>5</v>
      </c>
      <c r="R28" s="26">
        <v>13504.45</v>
      </c>
      <c r="S28" s="25">
        <v>210793.34239999999</v>
      </c>
      <c r="T28" s="25">
        <v>42158.66848</v>
      </c>
      <c r="U28" s="25"/>
      <c r="V28" s="25">
        <v>0</v>
      </c>
      <c r="W28" s="25">
        <v>42158.66848</v>
      </c>
      <c r="X28" s="25">
        <v>42158.66848</v>
      </c>
      <c r="Y28" s="25">
        <v>0</v>
      </c>
      <c r="Z28" s="24">
        <v>224297.79240000001</v>
      </c>
      <c r="AA28" s="27">
        <v>182139.12392000001</v>
      </c>
      <c r="AB28" s="16"/>
      <c r="AC28" s="27">
        <v>182139.12392000001</v>
      </c>
      <c r="AD28" s="16"/>
      <c r="AE28" s="16"/>
      <c r="AF28" s="28">
        <v>3.2821917808219179</v>
      </c>
      <c r="AG28" s="29">
        <v>4.7178082191780817</v>
      </c>
      <c r="AH28" s="27">
        <v>13504.45</v>
      </c>
      <c r="AI28" s="30">
        <v>210793.34239999999</v>
      </c>
      <c r="AJ28" s="31">
        <v>42158.66848</v>
      </c>
      <c r="AK28" s="32">
        <v>139980.45544000002</v>
      </c>
      <c r="AL28" s="16"/>
      <c r="AM28" s="27">
        <v>139980.45544000002</v>
      </c>
      <c r="AN28" s="16"/>
      <c r="AO28" s="16"/>
      <c r="AP28" s="28">
        <v>4.2849315068493148</v>
      </c>
      <c r="AQ28" s="29">
        <v>3.7150684931506852</v>
      </c>
      <c r="AR28" s="27">
        <v>13504.45</v>
      </c>
      <c r="AS28" s="30">
        <v>168634.67392</v>
      </c>
      <c r="AT28" s="31">
        <v>42158.66848</v>
      </c>
      <c r="AU28" s="33">
        <v>97821.786960000027</v>
      </c>
      <c r="AV28" s="4"/>
      <c r="AW28" s="27">
        <v>97821.786960000027</v>
      </c>
      <c r="AX28" s="16"/>
      <c r="AY28" s="16"/>
      <c r="AZ28" s="28">
        <v>5.2849315068493148</v>
      </c>
      <c r="BA28" s="29">
        <v>2.7150684931506852</v>
      </c>
      <c r="BB28" s="27">
        <v>13504.45</v>
      </c>
      <c r="BC28" s="30">
        <v>126476.00544000002</v>
      </c>
      <c r="BD28" s="34">
        <v>42158.66848</v>
      </c>
      <c r="BE28" s="33">
        <v>55663.118480000026</v>
      </c>
      <c r="BF28" s="33"/>
      <c r="BG28" s="27">
        <v>55663.118480000026</v>
      </c>
      <c r="BH28" s="16"/>
      <c r="BI28" s="16"/>
      <c r="BJ28" s="28">
        <v>6.2849315068493148</v>
      </c>
      <c r="BK28" s="29">
        <v>1.7150684931506852</v>
      </c>
      <c r="BL28" s="27">
        <v>13504.45</v>
      </c>
      <c r="BM28" s="30">
        <v>42158.668480000022</v>
      </c>
      <c r="BN28" s="34">
        <v>42158.66848</v>
      </c>
      <c r="BO28" s="35">
        <v>13504.450000000026</v>
      </c>
      <c r="BP28" s="36"/>
      <c r="BQ28" s="27">
        <v>13504.450000000026</v>
      </c>
      <c r="BR28" s="16"/>
      <c r="BS28" s="16"/>
      <c r="BT28" s="28">
        <v>7.2849315068493148</v>
      </c>
      <c r="BU28" s="29">
        <v>0.71506849315068521</v>
      </c>
      <c r="BV28" s="27">
        <v>13504.45</v>
      </c>
      <c r="BW28" s="30">
        <v>2.5465851649641991E-11</v>
      </c>
      <c r="BX28" s="34"/>
      <c r="BY28" s="35">
        <v>13504.450000000026</v>
      </c>
      <c r="BZ28" s="4"/>
      <c r="CA28" s="35">
        <v>13504.450000000026</v>
      </c>
      <c r="CB28" s="16"/>
      <c r="CC28" s="16"/>
      <c r="CD28" s="28">
        <v>8.287671232876713</v>
      </c>
      <c r="CE28" s="29">
        <v>-0.28767123287671303</v>
      </c>
      <c r="CF28" s="27">
        <v>13504.45</v>
      </c>
      <c r="CG28" s="30">
        <v>0</v>
      </c>
      <c r="CH28" s="31">
        <v>0</v>
      </c>
      <c r="CI28" s="35">
        <v>13504.450000000026</v>
      </c>
      <c r="CJ28" s="4"/>
      <c r="CK28" s="36">
        <v>2.5465851649641991E-11</v>
      </c>
      <c r="CL28" s="35">
        <v>13504.450000000026</v>
      </c>
      <c r="CM28" s="16"/>
      <c r="CN28" s="16"/>
      <c r="CO28" s="28">
        <v>9.287671232876713</v>
      </c>
      <c r="CP28" s="29">
        <v>-1.287671232876713</v>
      </c>
      <c r="CQ28" s="27">
        <v>13504.45</v>
      </c>
      <c r="CR28" s="34">
        <v>0</v>
      </c>
      <c r="CS28" s="34">
        <v>0</v>
      </c>
      <c r="CT28" s="35">
        <v>13504.450000000026</v>
      </c>
      <c r="CU28" s="4"/>
      <c r="CV28" s="37">
        <v>2.5465851649641991E-11</v>
      </c>
      <c r="CW28" s="35">
        <v>13504.450000000026</v>
      </c>
      <c r="CX28" s="16"/>
      <c r="CY28" s="16"/>
      <c r="CZ28" s="28">
        <v>11.287671232876713</v>
      </c>
      <c r="DA28" s="29">
        <v>-3.287671232876713</v>
      </c>
      <c r="DB28" s="27">
        <v>13504.45</v>
      </c>
      <c r="DC28" s="34">
        <v>0</v>
      </c>
      <c r="DD28" s="34">
        <v>0</v>
      </c>
      <c r="DE28" s="35">
        <v>13504.450000000026</v>
      </c>
      <c r="DG28" s="35">
        <v>270089</v>
      </c>
      <c r="DH28" s="65">
        <v>256584.55</v>
      </c>
      <c r="DI28" s="65">
        <f t="shared" si="0"/>
        <v>13504.450000000012</v>
      </c>
      <c r="DJ28" s="124">
        <f t="shared" si="1"/>
        <v>1.4551915228366852E-11</v>
      </c>
    </row>
    <row r="29" spans="2:114" ht="18.75" customHeight="1" x14ac:dyDescent="0.25">
      <c r="B29" s="13" t="s">
        <v>4</v>
      </c>
      <c r="C29" s="14" t="s">
        <v>4</v>
      </c>
      <c r="D29" s="15" t="s">
        <v>277</v>
      </c>
      <c r="E29" s="15" t="s">
        <v>322</v>
      </c>
      <c r="F29" s="42" t="s">
        <v>323</v>
      </c>
      <c r="G29" s="43" t="s">
        <v>104</v>
      </c>
      <c r="H29" s="17">
        <v>41820</v>
      </c>
      <c r="I29" s="18" t="s">
        <v>422</v>
      </c>
      <c r="J29" s="19">
        <v>0</v>
      </c>
      <c r="K29" s="41">
        <v>8</v>
      </c>
      <c r="L29" s="21">
        <v>8</v>
      </c>
      <c r="M29" s="23">
        <v>186000</v>
      </c>
      <c r="N29" s="38">
        <v>0</v>
      </c>
      <c r="O29" s="24">
        <v>186000</v>
      </c>
      <c r="P29" s="24">
        <v>274</v>
      </c>
      <c r="Q29" s="25">
        <v>8</v>
      </c>
      <c r="R29" s="26">
        <v>9300</v>
      </c>
      <c r="S29" s="25">
        <v>176700</v>
      </c>
      <c r="T29" s="25">
        <v>16580.753424657534</v>
      </c>
      <c r="U29" s="25"/>
      <c r="V29" s="25">
        <v>0</v>
      </c>
      <c r="W29" s="25">
        <v>16580.753424657534</v>
      </c>
      <c r="X29" s="25">
        <v>16580.753424657534</v>
      </c>
      <c r="Y29" s="25">
        <v>0</v>
      </c>
      <c r="Z29" s="24">
        <v>186000</v>
      </c>
      <c r="AA29" s="27">
        <v>169419.24657534246</v>
      </c>
      <c r="AB29" s="16"/>
      <c r="AC29" s="27">
        <v>169419.24657534246</v>
      </c>
      <c r="AD29" s="16"/>
      <c r="AE29" s="16"/>
      <c r="AF29" s="28">
        <v>0.75068493150684934</v>
      </c>
      <c r="AG29" s="29">
        <v>7.2493150684931509</v>
      </c>
      <c r="AH29" s="27">
        <v>9300</v>
      </c>
      <c r="AI29" s="30">
        <v>176700</v>
      </c>
      <c r="AJ29" s="31">
        <v>22087.5</v>
      </c>
      <c r="AK29" s="32">
        <v>147331.74657534246</v>
      </c>
      <c r="AL29" s="16"/>
      <c r="AM29" s="27">
        <v>147331.74657534246</v>
      </c>
      <c r="AN29" s="16"/>
      <c r="AO29" s="16"/>
      <c r="AP29" s="28">
        <v>1.7534246575342465</v>
      </c>
      <c r="AQ29" s="29">
        <v>6.2465753424657535</v>
      </c>
      <c r="AR29" s="27">
        <v>9300</v>
      </c>
      <c r="AS29" s="30">
        <v>160119.24657534246</v>
      </c>
      <c r="AT29" s="31">
        <v>22087.5</v>
      </c>
      <c r="AU29" s="33">
        <v>125244.24657534246</v>
      </c>
      <c r="AV29" s="4"/>
      <c r="AW29" s="27">
        <v>125244.24657534246</v>
      </c>
      <c r="AX29" s="16"/>
      <c r="AY29" s="16"/>
      <c r="AZ29" s="28">
        <v>2.7534246575342465</v>
      </c>
      <c r="BA29" s="29">
        <v>5.2465753424657535</v>
      </c>
      <c r="BB29" s="27">
        <v>9300</v>
      </c>
      <c r="BC29" s="30">
        <v>138031.74657534246</v>
      </c>
      <c r="BD29" s="34">
        <v>22087.5</v>
      </c>
      <c r="BE29" s="138">
        <v>103156.74657534246</v>
      </c>
      <c r="BF29" s="33"/>
      <c r="BG29" s="27">
        <v>103156.74657534246</v>
      </c>
      <c r="BH29" s="16"/>
      <c r="BI29" s="16"/>
      <c r="BJ29" s="28">
        <v>3.7534246575342465</v>
      </c>
      <c r="BK29" s="29">
        <v>4.2465753424657535</v>
      </c>
      <c r="BL29" s="27">
        <v>9300</v>
      </c>
      <c r="BM29" s="30">
        <v>93856.746575342462</v>
      </c>
      <c r="BN29" s="34">
        <v>22087.5</v>
      </c>
      <c r="BO29" s="35">
        <v>81069.246575342462</v>
      </c>
      <c r="BP29" s="36"/>
      <c r="BQ29" s="27">
        <v>81069.246575342462</v>
      </c>
      <c r="BR29" s="16"/>
      <c r="BS29" s="16"/>
      <c r="BT29" s="28">
        <v>4.7534246575342465</v>
      </c>
      <c r="BU29" s="29">
        <v>3.2465753424657535</v>
      </c>
      <c r="BV29" s="27">
        <v>9300</v>
      </c>
      <c r="BW29" s="30">
        <v>71769.246575342462</v>
      </c>
      <c r="BX29" s="34">
        <v>22087.5</v>
      </c>
      <c r="BY29" s="35">
        <v>58981.746575342462</v>
      </c>
      <c r="BZ29" s="4"/>
      <c r="CA29" s="35">
        <v>58981.746575342462</v>
      </c>
      <c r="CB29" s="16"/>
      <c r="CC29" s="16"/>
      <c r="CD29" s="28">
        <v>5.7561643835616438</v>
      </c>
      <c r="CE29" s="29">
        <v>2.2438356164383562</v>
      </c>
      <c r="CF29" s="27">
        <v>9300</v>
      </c>
      <c r="CG29" s="30">
        <v>49681.746575342462</v>
      </c>
      <c r="CH29" s="31">
        <v>22087.5</v>
      </c>
      <c r="CI29" s="35">
        <v>36894.246575342462</v>
      </c>
      <c r="CJ29" s="4"/>
      <c r="CK29" s="36">
        <v>27594.246575342462</v>
      </c>
      <c r="CL29" s="35">
        <v>36894.246575342462</v>
      </c>
      <c r="CM29" s="16"/>
      <c r="CN29" s="16"/>
      <c r="CO29" s="28">
        <v>6.7561643835616438</v>
      </c>
      <c r="CP29" s="29">
        <v>1.2438356164383562</v>
      </c>
      <c r="CQ29" s="27">
        <v>9300</v>
      </c>
      <c r="CR29" s="34">
        <v>27594.246575342462</v>
      </c>
      <c r="CS29" s="34">
        <v>22087.5</v>
      </c>
      <c r="CT29" s="35">
        <v>14806.746575342462</v>
      </c>
      <c r="CU29" s="4"/>
      <c r="CV29" s="37">
        <v>5506.7465753424622</v>
      </c>
      <c r="CW29" s="35">
        <v>14806.746575342462</v>
      </c>
      <c r="CX29" s="16"/>
      <c r="CY29" s="16"/>
      <c r="CZ29" s="28">
        <v>8.7561643835616429</v>
      </c>
      <c r="DA29" s="29">
        <v>-0.75616438356164295</v>
      </c>
      <c r="DB29" s="27">
        <v>9300</v>
      </c>
      <c r="DC29" s="34">
        <v>0</v>
      </c>
      <c r="DD29" s="34">
        <v>0</v>
      </c>
      <c r="DE29" s="35">
        <v>14806.746575342462</v>
      </c>
      <c r="DG29" s="35">
        <v>186000</v>
      </c>
      <c r="DH29" s="65">
        <v>171193.25342465754</v>
      </c>
      <c r="DI29" s="65">
        <f t="shared" si="0"/>
        <v>14806.746575342462</v>
      </c>
      <c r="DJ29" s="124">
        <f t="shared" si="1"/>
        <v>0</v>
      </c>
    </row>
    <row r="30" spans="2:114" ht="18.75" customHeight="1" x14ac:dyDescent="0.25">
      <c r="B30" s="45" t="s">
        <v>4</v>
      </c>
      <c r="C30" s="14" t="s">
        <v>4</v>
      </c>
      <c r="D30" s="15" t="s">
        <v>277</v>
      </c>
      <c r="E30" s="46" t="s">
        <v>330</v>
      </c>
      <c r="F30" s="47" t="s">
        <v>331</v>
      </c>
      <c r="G30" s="48" t="s">
        <v>104</v>
      </c>
      <c r="H30" s="49">
        <v>41993</v>
      </c>
      <c r="I30" s="50" t="s">
        <v>422</v>
      </c>
      <c r="J30" s="51">
        <v>0</v>
      </c>
      <c r="K30" s="52">
        <v>8</v>
      </c>
      <c r="L30" s="53">
        <v>8</v>
      </c>
      <c r="M30" s="54">
        <v>139234</v>
      </c>
      <c r="N30" s="55">
        <v>0</v>
      </c>
      <c r="O30" s="56">
        <v>139234</v>
      </c>
      <c r="P30" s="56">
        <v>101</v>
      </c>
      <c r="Q30" s="57">
        <v>8</v>
      </c>
      <c r="R30" s="58">
        <v>6961.7000000000007</v>
      </c>
      <c r="S30" s="57">
        <v>132272.29999999999</v>
      </c>
      <c r="T30" s="57">
        <v>4575.1720205479442</v>
      </c>
      <c r="U30" s="57"/>
      <c r="V30" s="57">
        <v>0</v>
      </c>
      <c r="W30" s="57">
        <v>4575.1720205479442</v>
      </c>
      <c r="X30" s="57">
        <v>4575.1720205479442</v>
      </c>
      <c r="Y30" s="57">
        <v>0</v>
      </c>
      <c r="Z30" s="56">
        <v>139234</v>
      </c>
      <c r="AA30" s="59">
        <v>134658.82797945206</v>
      </c>
      <c r="AB30" s="60"/>
      <c r="AC30" s="59">
        <v>134658.82797945206</v>
      </c>
      <c r="AD30" s="60"/>
      <c r="AE30" s="60"/>
      <c r="AF30" s="28">
        <v>0.27671232876712326</v>
      </c>
      <c r="AG30" s="61">
        <v>7.7232876712328764</v>
      </c>
      <c r="AH30" s="59">
        <v>6961.7000000000007</v>
      </c>
      <c r="AI30" s="62">
        <v>132272.29999999999</v>
      </c>
      <c r="AJ30" s="63">
        <v>16534.037499999999</v>
      </c>
      <c r="AK30" s="32">
        <v>118124.79047945206</v>
      </c>
      <c r="AL30" s="16"/>
      <c r="AM30" s="27">
        <v>118124.79047945206</v>
      </c>
      <c r="AN30" s="16"/>
      <c r="AO30" s="16"/>
      <c r="AP30" s="28">
        <v>1.2794520547945205</v>
      </c>
      <c r="AQ30" s="29">
        <v>6.7205479452054799</v>
      </c>
      <c r="AR30" s="27">
        <v>6961.7000000000007</v>
      </c>
      <c r="AS30" s="30">
        <v>127697.12797945207</v>
      </c>
      <c r="AT30" s="31">
        <v>16534.037499999999</v>
      </c>
      <c r="AU30" s="33">
        <v>101590.75297945205</v>
      </c>
      <c r="AV30" s="4"/>
      <c r="AW30" s="27">
        <v>101590.75297945205</v>
      </c>
      <c r="AX30" s="16"/>
      <c r="AY30" s="16"/>
      <c r="AZ30" s="28">
        <v>2.2794520547945205</v>
      </c>
      <c r="BA30" s="29">
        <v>5.7205479452054799</v>
      </c>
      <c r="BB30" s="27">
        <v>6961.7000000000007</v>
      </c>
      <c r="BC30" s="30">
        <v>111163.09047945206</v>
      </c>
      <c r="BD30" s="34">
        <v>16534.037499999999</v>
      </c>
      <c r="BE30" s="33">
        <v>85056.715479452047</v>
      </c>
      <c r="BF30" s="33"/>
      <c r="BG30" s="27">
        <v>85056.715479452047</v>
      </c>
      <c r="BH30" s="16"/>
      <c r="BI30" s="16"/>
      <c r="BJ30" s="28">
        <v>3.2794520547945205</v>
      </c>
      <c r="BK30" s="29">
        <v>4.7205479452054799</v>
      </c>
      <c r="BL30" s="27">
        <v>6961.7000000000007</v>
      </c>
      <c r="BM30" s="30">
        <v>78095.015479452049</v>
      </c>
      <c r="BN30" s="34">
        <v>16534.037499999999</v>
      </c>
      <c r="BO30" s="35">
        <v>68522.677979452041</v>
      </c>
      <c r="BP30" s="36"/>
      <c r="BQ30" s="27">
        <v>68522.677979452041</v>
      </c>
      <c r="BR30" s="16"/>
      <c r="BS30" s="16"/>
      <c r="BT30" s="28">
        <v>4.279452054794521</v>
      </c>
      <c r="BU30" s="29">
        <v>3.720547945205479</v>
      </c>
      <c r="BV30" s="27">
        <v>6961.7000000000007</v>
      </c>
      <c r="BW30" s="30">
        <v>61560.977979452044</v>
      </c>
      <c r="BX30" s="34">
        <v>16534.037499999999</v>
      </c>
      <c r="BY30" s="35">
        <v>51988.640479452042</v>
      </c>
      <c r="BZ30" s="4"/>
      <c r="CA30" s="35">
        <v>51988.640479452042</v>
      </c>
      <c r="CB30" s="16"/>
      <c r="CC30" s="16"/>
      <c r="CD30" s="28">
        <v>5.2821917808219174</v>
      </c>
      <c r="CE30" s="29">
        <v>2.7178082191780826</v>
      </c>
      <c r="CF30" s="27">
        <v>6961.7000000000007</v>
      </c>
      <c r="CG30" s="30">
        <v>45026.940479452038</v>
      </c>
      <c r="CH30" s="31">
        <v>16534.037499999999</v>
      </c>
      <c r="CI30" s="35">
        <v>35454.602979452044</v>
      </c>
      <c r="CJ30" s="4"/>
      <c r="CK30" s="36">
        <v>28492.902979452043</v>
      </c>
      <c r="CL30" s="35">
        <v>35454.602979452044</v>
      </c>
      <c r="CM30" s="16"/>
      <c r="CN30" s="16"/>
      <c r="CO30" s="28">
        <v>6.2821917808219174</v>
      </c>
      <c r="CP30" s="29">
        <v>1.7178082191780826</v>
      </c>
      <c r="CQ30" s="27">
        <v>6961.7000000000007</v>
      </c>
      <c r="CR30" s="34">
        <v>28492.902979452043</v>
      </c>
      <c r="CS30" s="34">
        <v>16534.037499999999</v>
      </c>
      <c r="CT30" s="35">
        <v>18920.565479452045</v>
      </c>
      <c r="CU30" s="4"/>
      <c r="CV30" s="37">
        <v>11958.865479452044</v>
      </c>
      <c r="CW30" s="35">
        <v>18920.565479452045</v>
      </c>
      <c r="CX30" s="16"/>
      <c r="CY30" s="16"/>
      <c r="CZ30" s="28">
        <v>8.2821917808219183</v>
      </c>
      <c r="DA30" s="29">
        <v>-0.28219178082191831</v>
      </c>
      <c r="DB30" s="27">
        <v>6961.7000000000007</v>
      </c>
      <c r="DC30" s="34">
        <v>0</v>
      </c>
      <c r="DD30" s="34">
        <v>0</v>
      </c>
      <c r="DE30" s="35">
        <v>18920.565479452045</v>
      </c>
      <c r="DG30" s="35">
        <v>139234</v>
      </c>
      <c r="DH30" s="65">
        <v>120313.43452054795</v>
      </c>
      <c r="DI30" s="65">
        <f t="shared" si="0"/>
        <v>18920.565479452052</v>
      </c>
      <c r="DJ30" s="124">
        <f t="shared" si="1"/>
        <v>0</v>
      </c>
    </row>
    <row r="31" spans="2:114" s="108" customFormat="1" ht="18.75" customHeight="1" x14ac:dyDescent="0.25">
      <c r="B31" s="97"/>
      <c r="C31" s="98"/>
      <c r="D31" s="98"/>
      <c r="E31" s="98"/>
      <c r="F31" s="99"/>
      <c r="G31" s="99"/>
      <c r="H31" s="100"/>
      <c r="I31" s="101"/>
      <c r="J31" s="101"/>
      <c r="K31" s="101"/>
      <c r="L31" s="102"/>
      <c r="M31" s="104">
        <f t="shared" ref="M31:BX31" si="2">SUM(M7:M30)</f>
        <v>3439650</v>
      </c>
      <c r="N31" s="104">
        <f t="shared" si="2"/>
        <v>812534.24749409582</v>
      </c>
      <c r="O31" s="104">
        <f t="shared" si="2"/>
        <v>2627115.7525059041</v>
      </c>
      <c r="P31" s="104"/>
      <c r="Q31" s="104"/>
      <c r="R31" s="104">
        <f t="shared" si="2"/>
        <v>171982.50000000003</v>
      </c>
      <c r="S31" s="104">
        <f t="shared" si="2"/>
        <v>2455133.2525059036</v>
      </c>
      <c r="T31" s="104">
        <f t="shared" si="2"/>
        <v>452093.94961661712</v>
      </c>
      <c r="U31" s="104">
        <f t="shared" si="2"/>
        <v>0</v>
      </c>
      <c r="V31" s="104">
        <f t="shared" si="2"/>
        <v>0</v>
      </c>
      <c r="W31" s="104">
        <f t="shared" si="2"/>
        <v>452093.94961661712</v>
      </c>
      <c r="X31" s="104">
        <f t="shared" si="2"/>
        <v>452093.94961661712</v>
      </c>
      <c r="Y31" s="104">
        <f t="shared" si="2"/>
        <v>0</v>
      </c>
      <c r="Z31" s="104">
        <f t="shared" si="2"/>
        <v>2627115.7525059041</v>
      </c>
      <c r="AA31" s="104">
        <f t="shared" si="2"/>
        <v>2175021.802889287</v>
      </c>
      <c r="AB31" s="104">
        <f t="shared" si="2"/>
        <v>0</v>
      </c>
      <c r="AC31" s="104">
        <f t="shared" si="2"/>
        <v>2175021.802889287</v>
      </c>
      <c r="AD31" s="104">
        <f t="shared" si="2"/>
        <v>0</v>
      </c>
      <c r="AE31" s="104">
        <f t="shared" si="2"/>
        <v>0</v>
      </c>
      <c r="AF31" s="104"/>
      <c r="AG31" s="104"/>
      <c r="AH31" s="104">
        <f t="shared" si="2"/>
        <v>171982.50000000003</v>
      </c>
      <c r="AI31" s="104">
        <f t="shared" si="2"/>
        <v>2455133.2525059036</v>
      </c>
      <c r="AJ31" s="104">
        <f t="shared" si="2"/>
        <v>470521.2805070281</v>
      </c>
      <c r="AK31" s="104">
        <f t="shared" si="2"/>
        <v>1704500.5223822591</v>
      </c>
      <c r="AL31" s="104">
        <f t="shared" si="2"/>
        <v>0</v>
      </c>
      <c r="AM31" s="104">
        <f t="shared" si="2"/>
        <v>1704500.5223822591</v>
      </c>
      <c r="AN31" s="104">
        <f t="shared" si="2"/>
        <v>0</v>
      </c>
      <c r="AO31" s="104">
        <f t="shared" si="2"/>
        <v>0</v>
      </c>
      <c r="AP31" s="104"/>
      <c r="AQ31" s="104"/>
      <c r="AR31" s="104">
        <f t="shared" si="2"/>
        <v>171982.50000000003</v>
      </c>
      <c r="AS31" s="104">
        <f t="shared" si="2"/>
        <v>2003039.3028892868</v>
      </c>
      <c r="AT31" s="104">
        <f t="shared" si="2"/>
        <v>470521.2805070281</v>
      </c>
      <c r="AU31" s="104">
        <f t="shared" si="2"/>
        <v>1233979.2418752306</v>
      </c>
      <c r="AV31" s="104">
        <f t="shared" si="2"/>
        <v>0</v>
      </c>
      <c r="AW31" s="104">
        <f t="shared" si="2"/>
        <v>1233979.2418752306</v>
      </c>
      <c r="AX31" s="104">
        <f t="shared" si="2"/>
        <v>0</v>
      </c>
      <c r="AY31" s="104">
        <f t="shared" si="2"/>
        <v>0</v>
      </c>
      <c r="AZ31" s="104"/>
      <c r="BA31" s="104"/>
      <c r="BB31" s="104">
        <f t="shared" si="2"/>
        <v>171982.50000000003</v>
      </c>
      <c r="BC31" s="104">
        <f t="shared" si="2"/>
        <v>1532518.0223822591</v>
      </c>
      <c r="BD31" s="104">
        <f t="shared" si="2"/>
        <v>369987.994107028</v>
      </c>
      <c r="BE31" s="104">
        <f t="shared" si="2"/>
        <v>863991.2477682028</v>
      </c>
      <c r="BF31" s="104">
        <f t="shared" si="2"/>
        <v>0</v>
      </c>
      <c r="BG31" s="104">
        <f t="shared" si="2"/>
        <v>863991.2477682028</v>
      </c>
      <c r="BH31" s="104">
        <f t="shared" si="2"/>
        <v>0</v>
      </c>
      <c r="BI31" s="104">
        <f t="shared" si="2"/>
        <v>0</v>
      </c>
      <c r="BJ31" s="104">
        <f t="shared" si="2"/>
        <v>164.44383561643832</v>
      </c>
      <c r="BK31" s="104">
        <f t="shared" si="2"/>
        <v>51.556164383561644</v>
      </c>
      <c r="BL31" s="104">
        <f t="shared" si="2"/>
        <v>171982.50000000003</v>
      </c>
      <c r="BM31" s="104">
        <f t="shared" si="2"/>
        <v>692008.74776820291</v>
      </c>
      <c r="BN31" s="104">
        <f t="shared" si="2"/>
        <v>324619.99880702805</v>
      </c>
      <c r="BO31" s="104">
        <f t="shared" si="2"/>
        <v>539371.24896117498</v>
      </c>
      <c r="BP31" s="104">
        <f t="shared" si="2"/>
        <v>0</v>
      </c>
      <c r="BQ31" s="104">
        <f t="shared" si="2"/>
        <v>539371.24896117498</v>
      </c>
      <c r="BR31" s="104">
        <f t="shared" si="2"/>
        <v>0</v>
      </c>
      <c r="BS31" s="104">
        <f t="shared" si="2"/>
        <v>0</v>
      </c>
      <c r="BT31" s="104"/>
      <c r="BU31" s="104"/>
      <c r="BV31" s="104">
        <f t="shared" si="2"/>
        <v>171982.50000000003</v>
      </c>
      <c r="BW31" s="104">
        <f t="shared" si="2"/>
        <v>367388.74896117492</v>
      </c>
      <c r="BX31" s="104">
        <f t="shared" si="2"/>
        <v>218815.83024702806</v>
      </c>
      <c r="BY31" s="104">
        <f t="shared" ref="BY31:DD31" si="3">SUM(BY7:BY30)</f>
        <v>320555.41871414689</v>
      </c>
      <c r="BZ31" s="104">
        <f t="shared" si="3"/>
        <v>0</v>
      </c>
      <c r="CA31" s="104">
        <f t="shared" si="3"/>
        <v>320555.41871414689</v>
      </c>
      <c r="CB31" s="104">
        <f t="shared" si="3"/>
        <v>0</v>
      </c>
      <c r="CC31" s="104">
        <f t="shared" si="3"/>
        <v>0</v>
      </c>
      <c r="CD31" s="104"/>
      <c r="CE31" s="104"/>
      <c r="CF31" s="104">
        <f t="shared" si="3"/>
        <v>171982.50000000003</v>
      </c>
      <c r="CG31" s="104">
        <f t="shared" si="3"/>
        <v>148572.91871414671</v>
      </c>
      <c r="CH31" s="104">
        <f t="shared" si="3"/>
        <v>72454.19098529288</v>
      </c>
      <c r="CI31" s="104">
        <f t="shared" si="3"/>
        <v>248101.22772885399</v>
      </c>
      <c r="CJ31" s="104">
        <f t="shared" si="3"/>
        <v>0</v>
      </c>
      <c r="CK31" s="104">
        <f t="shared" si="3"/>
        <v>76118.727728853992</v>
      </c>
      <c r="CL31" s="104">
        <f t="shared" si="3"/>
        <v>248101.22772885399</v>
      </c>
      <c r="CM31" s="104">
        <f t="shared" si="3"/>
        <v>0</v>
      </c>
      <c r="CN31" s="104">
        <f t="shared" si="3"/>
        <v>0</v>
      </c>
      <c r="CO31" s="104"/>
      <c r="CP31" s="104"/>
      <c r="CQ31" s="104">
        <f t="shared" si="3"/>
        <v>171982.50000000003</v>
      </c>
      <c r="CR31" s="104">
        <f t="shared" si="3"/>
        <v>76118.727728853875</v>
      </c>
      <c r="CS31" s="104">
        <f t="shared" si="3"/>
        <v>46692.206756721447</v>
      </c>
      <c r="CT31" s="104">
        <f t="shared" si="3"/>
        <v>201409.02097213257</v>
      </c>
      <c r="CU31" s="104">
        <f t="shared" si="3"/>
        <v>0</v>
      </c>
      <c r="CV31" s="104">
        <f t="shared" si="3"/>
        <v>29426.520972132537</v>
      </c>
      <c r="CW31" s="104">
        <f t="shared" si="3"/>
        <v>201409.02097213257</v>
      </c>
      <c r="CX31" s="104">
        <f t="shared" si="3"/>
        <v>0</v>
      </c>
      <c r="CY31" s="104">
        <f t="shared" si="3"/>
        <v>0</v>
      </c>
      <c r="CZ31" s="104"/>
      <c r="DA31" s="104"/>
      <c r="DB31" s="104">
        <f t="shared" si="3"/>
        <v>171982.50000000003</v>
      </c>
      <c r="DC31" s="104">
        <f t="shared" si="3"/>
        <v>11960.908917337907</v>
      </c>
      <c r="DD31" s="104">
        <f t="shared" si="3"/>
        <v>6064.4150817214477</v>
      </c>
      <c r="DE31" s="104">
        <f>SUM(DE7:DE30)</f>
        <v>195344.60589041113</v>
      </c>
      <c r="DG31" s="104">
        <f>M31</f>
        <v>3439650</v>
      </c>
      <c r="DH31" s="103">
        <f>N31+T31+AJ31+AT31+BD31+BN31+BX31+CH31+CS31+DD31</f>
        <v>3244305.3941095886</v>
      </c>
      <c r="DI31" s="103">
        <f>DG31-DH31</f>
        <v>195344.60589041142</v>
      </c>
    </row>
  </sheetData>
  <mergeCells count="4">
    <mergeCell ref="B5:B6"/>
    <mergeCell ref="C5:C6"/>
    <mergeCell ref="D5:D6"/>
    <mergeCell ref="T5:V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J14"/>
  <sheetViews>
    <sheetView workbookViewId="0">
      <pane xSplit="6" ySplit="6" topLeftCell="DA7" activePane="bottomRight" state="frozen"/>
      <selection pane="topRight" activeCell="G1" sqref="G1"/>
      <selection pane="bottomLeft" activeCell="A7" sqref="A7"/>
      <selection pane="bottomRight" activeCell="F9" sqref="F9"/>
    </sheetView>
  </sheetViews>
  <sheetFormatPr defaultRowHeight="15" x14ac:dyDescent="0.25"/>
  <cols>
    <col min="1" max="1" width="5" customWidth="1"/>
    <col min="2" max="3" width="0" hidden="1" customWidth="1"/>
    <col min="4" max="4" width="11.42578125" hidden="1" customWidth="1"/>
    <col min="6" max="6" width="31.42578125" customWidth="1"/>
    <col min="8" max="8" width="11.85546875" bestFit="1" customWidth="1"/>
    <col min="13" max="13" width="8.7109375" bestFit="1" customWidth="1"/>
    <col min="30" max="30" width="10.7109375" customWidth="1"/>
    <col min="34" max="34" width="8.5703125" customWidth="1"/>
    <col min="35" max="35" width="10.42578125" customWidth="1"/>
    <col min="36" max="36" width="8.42578125" customWidth="1"/>
    <col min="37" max="37" width="10.5703125" customWidth="1"/>
    <col min="38" max="38" width="2.28515625" customWidth="1"/>
    <col min="39" max="39" width="10.42578125" customWidth="1"/>
    <col min="40" max="40" width="9.28515625" customWidth="1"/>
    <col min="44" max="44" width="9.7109375" bestFit="1" customWidth="1"/>
    <col min="45" max="45" width="11.140625" bestFit="1" customWidth="1"/>
    <col min="46" max="46" width="9.7109375" bestFit="1" customWidth="1"/>
    <col min="47" max="47" width="11.140625" bestFit="1" customWidth="1"/>
    <col min="48" max="48" width="2.140625" customWidth="1"/>
    <col min="49" max="49" width="11.140625" bestFit="1" customWidth="1"/>
    <col min="50" max="50" width="8.42578125" bestFit="1" customWidth="1"/>
    <col min="51" max="51" width="7.85546875" customWidth="1"/>
    <col min="52" max="52" width="7.42578125" customWidth="1"/>
    <col min="54" max="54" width="9.7109375" bestFit="1" customWidth="1"/>
    <col min="55" max="55" width="10.7109375" bestFit="1" customWidth="1"/>
    <col min="56" max="56" width="9.5703125" bestFit="1" customWidth="1"/>
    <col min="57" max="57" width="11.140625" bestFit="1" customWidth="1"/>
    <col min="58" max="58" width="2.42578125" customWidth="1"/>
    <col min="59" max="59" width="10.7109375" customWidth="1"/>
    <col min="60" max="60" width="7.5703125" customWidth="1"/>
    <col min="64" max="64" width="9.7109375" bestFit="1" customWidth="1"/>
    <col min="65" max="65" width="10.7109375" bestFit="1" customWidth="1"/>
    <col min="66" max="66" width="9.5703125" bestFit="1" customWidth="1"/>
    <col min="67" max="67" width="10.7109375" bestFit="1" customWidth="1"/>
    <col min="69" max="69" width="11.140625" bestFit="1" customWidth="1"/>
    <col min="74" max="74" width="9.7109375" bestFit="1" customWidth="1"/>
    <col min="75" max="75" width="10.7109375" bestFit="1" customWidth="1"/>
    <col min="76" max="76" width="9.5703125" bestFit="1" customWidth="1"/>
    <col min="77" max="77" width="10.7109375" bestFit="1" customWidth="1"/>
    <col min="78" max="78" width="1.5703125" customWidth="1"/>
    <col min="79" max="79" width="10.7109375" bestFit="1" customWidth="1"/>
    <col min="84" max="84" width="9.7109375" bestFit="1" customWidth="1"/>
    <col min="85" max="85" width="10.7109375" bestFit="1" customWidth="1"/>
    <col min="86" max="86" width="9.7109375" bestFit="1" customWidth="1"/>
    <col min="87" max="87" width="10.7109375" bestFit="1" customWidth="1"/>
    <col min="88" max="88" width="0" hidden="1" customWidth="1"/>
    <col min="89" max="89" width="11.140625" bestFit="1" customWidth="1"/>
    <col min="90" max="90" width="10.7109375" bestFit="1" customWidth="1"/>
    <col min="95" max="95" width="10.28515625" customWidth="1"/>
    <col min="96" max="96" width="10.7109375" customWidth="1"/>
    <col min="97" max="97" width="9.5703125" customWidth="1"/>
    <col min="98" max="98" width="10.42578125" customWidth="1"/>
    <col min="99" max="99" width="0" hidden="1" customWidth="1"/>
    <col min="100" max="100" width="9.5703125" customWidth="1"/>
    <col min="101" max="101" width="10.85546875" customWidth="1"/>
    <col min="106" max="106" width="10" customWidth="1"/>
    <col min="107" max="108" width="9.7109375" customWidth="1"/>
    <col min="109" max="109" width="9.5703125" bestFit="1" customWidth="1"/>
    <col min="110" max="110" width="1.7109375" customWidth="1"/>
    <col min="111" max="112" width="10.7109375" bestFit="1" customWidth="1"/>
    <col min="113" max="113" width="9.5703125" bestFit="1" customWidth="1"/>
  </cols>
  <sheetData>
    <row r="1" spans="2:114" hidden="1" x14ac:dyDescent="0.25"/>
    <row r="2" spans="2:114" hidden="1" x14ac:dyDescent="0.25"/>
    <row r="3" spans="2:114" hidden="1" x14ac:dyDescent="0.25"/>
    <row r="4" spans="2:114" hidden="1" x14ac:dyDescent="0.25"/>
    <row r="5" spans="2:114" ht="165.75" x14ac:dyDescent="0.25">
      <c r="B5" s="231" t="s">
        <v>9</v>
      </c>
      <c r="C5" s="231" t="s">
        <v>10</v>
      </c>
      <c r="D5" s="231" t="s">
        <v>11</v>
      </c>
      <c r="E5" s="109"/>
      <c r="F5" s="110" t="s">
        <v>8</v>
      </c>
      <c r="G5" s="110" t="s">
        <v>12</v>
      </c>
      <c r="H5" s="111" t="s">
        <v>13</v>
      </c>
      <c r="I5" s="111" t="s">
        <v>14</v>
      </c>
      <c r="J5" s="112" t="s">
        <v>15</v>
      </c>
      <c r="K5" s="113" t="s">
        <v>16</v>
      </c>
      <c r="L5" s="111" t="s">
        <v>17</v>
      </c>
      <c r="M5" s="109" t="s">
        <v>18</v>
      </c>
      <c r="N5" s="114" t="s">
        <v>19</v>
      </c>
      <c r="O5" s="114" t="s">
        <v>20</v>
      </c>
      <c r="P5" s="114" t="s">
        <v>21</v>
      </c>
      <c r="Q5" s="111" t="s">
        <v>22</v>
      </c>
      <c r="R5" s="114" t="s">
        <v>23</v>
      </c>
      <c r="S5" s="114" t="s">
        <v>24</v>
      </c>
      <c r="T5" s="233" t="s">
        <v>25</v>
      </c>
      <c r="U5" s="234"/>
      <c r="V5" s="234"/>
      <c r="W5" s="115" t="s">
        <v>0</v>
      </c>
      <c r="X5" s="115" t="s">
        <v>25</v>
      </c>
      <c r="Y5" s="115" t="s">
        <v>26</v>
      </c>
      <c r="Z5" s="115" t="s">
        <v>27</v>
      </c>
      <c r="AA5" s="115" t="s">
        <v>28</v>
      </c>
      <c r="AB5" s="116"/>
      <c r="AC5" s="109" t="s">
        <v>29</v>
      </c>
      <c r="AD5" s="109" t="s">
        <v>30</v>
      </c>
      <c r="AE5" s="109" t="s">
        <v>31</v>
      </c>
      <c r="AF5" s="109" t="s">
        <v>32</v>
      </c>
      <c r="AG5" s="111" t="s">
        <v>33</v>
      </c>
      <c r="AH5" s="114" t="s">
        <v>23</v>
      </c>
      <c r="AI5" s="114" t="s">
        <v>34</v>
      </c>
      <c r="AJ5" s="115" t="s">
        <v>35</v>
      </c>
      <c r="AK5" s="117" t="s">
        <v>36</v>
      </c>
      <c r="AL5" s="116"/>
      <c r="AM5" s="109" t="s">
        <v>37</v>
      </c>
      <c r="AN5" s="109" t="s">
        <v>38</v>
      </c>
      <c r="AO5" s="109" t="s">
        <v>39</v>
      </c>
      <c r="AP5" s="109" t="s">
        <v>40</v>
      </c>
      <c r="AQ5" s="111" t="s">
        <v>41</v>
      </c>
      <c r="AR5" s="114" t="s">
        <v>23</v>
      </c>
      <c r="AS5" s="114" t="s">
        <v>42</v>
      </c>
      <c r="AT5" s="115" t="s">
        <v>35</v>
      </c>
      <c r="AU5" s="114" t="s">
        <v>43</v>
      </c>
      <c r="AV5" s="118"/>
      <c r="AW5" s="109" t="s">
        <v>44</v>
      </c>
      <c r="AX5" s="109" t="s">
        <v>45</v>
      </c>
      <c r="AY5" s="109" t="s">
        <v>46</v>
      </c>
      <c r="AZ5" s="109" t="s">
        <v>47</v>
      </c>
      <c r="BA5" s="111" t="s">
        <v>48</v>
      </c>
      <c r="BB5" s="114" t="s">
        <v>23</v>
      </c>
      <c r="BC5" s="114" t="s">
        <v>49</v>
      </c>
      <c r="BD5" s="119" t="s">
        <v>35</v>
      </c>
      <c r="BE5" s="114" t="s">
        <v>50</v>
      </c>
      <c r="BF5" s="114"/>
      <c r="BG5" s="109" t="s">
        <v>51</v>
      </c>
      <c r="BH5" s="109" t="s">
        <v>52</v>
      </c>
      <c r="BI5" s="109" t="s">
        <v>53</v>
      </c>
      <c r="BJ5" s="109" t="s">
        <v>54</v>
      </c>
      <c r="BK5" s="111" t="s">
        <v>55</v>
      </c>
      <c r="BL5" s="114" t="s">
        <v>23</v>
      </c>
      <c r="BM5" s="114" t="s">
        <v>56</v>
      </c>
      <c r="BN5" s="119" t="s">
        <v>35</v>
      </c>
      <c r="BO5" s="120" t="s">
        <v>57</v>
      </c>
      <c r="BP5" s="118"/>
      <c r="BQ5" s="109" t="s">
        <v>58</v>
      </c>
      <c r="BR5" s="109" t="s">
        <v>59</v>
      </c>
      <c r="BS5" s="109" t="s">
        <v>60</v>
      </c>
      <c r="BT5" s="109" t="s">
        <v>61</v>
      </c>
      <c r="BU5" s="111" t="s">
        <v>62</v>
      </c>
      <c r="BV5" s="114" t="s">
        <v>23</v>
      </c>
      <c r="BW5" s="114" t="s">
        <v>63</v>
      </c>
      <c r="BX5" s="119" t="s">
        <v>35</v>
      </c>
      <c r="BY5" s="120" t="s">
        <v>64</v>
      </c>
      <c r="BZ5" s="118"/>
      <c r="CA5" s="119" t="s">
        <v>65</v>
      </c>
      <c r="CB5" s="109" t="s">
        <v>66</v>
      </c>
      <c r="CC5" s="109" t="s">
        <v>67</v>
      </c>
      <c r="CD5" s="109" t="s">
        <v>68</v>
      </c>
      <c r="CE5" s="111" t="s">
        <v>62</v>
      </c>
      <c r="CF5" s="114" t="s">
        <v>23</v>
      </c>
      <c r="CG5" s="114" t="s">
        <v>63</v>
      </c>
      <c r="CH5" s="119" t="s">
        <v>35</v>
      </c>
      <c r="CI5" s="120" t="s">
        <v>69</v>
      </c>
      <c r="CJ5" s="118"/>
      <c r="CK5" s="116"/>
      <c r="CL5" s="109" t="s">
        <v>70</v>
      </c>
      <c r="CM5" s="109" t="s">
        <v>71</v>
      </c>
      <c r="CN5" s="109" t="s">
        <v>72</v>
      </c>
      <c r="CO5" s="109" t="s">
        <v>73</v>
      </c>
      <c r="CP5" s="111" t="s">
        <v>74</v>
      </c>
      <c r="CQ5" s="114" t="s">
        <v>23</v>
      </c>
      <c r="CR5" s="114" t="s">
        <v>75</v>
      </c>
      <c r="CS5" s="119" t="s">
        <v>35</v>
      </c>
      <c r="CT5" s="120" t="s">
        <v>76</v>
      </c>
      <c r="CU5" s="118"/>
      <c r="CV5" s="116"/>
      <c r="CW5" s="109" t="s">
        <v>77</v>
      </c>
      <c r="CX5" s="109" t="s">
        <v>78</v>
      </c>
      <c r="CY5" s="109" t="s">
        <v>79</v>
      </c>
      <c r="CZ5" s="109" t="s">
        <v>80</v>
      </c>
      <c r="DA5" s="111" t="s">
        <v>81</v>
      </c>
      <c r="DB5" s="114" t="s">
        <v>23</v>
      </c>
      <c r="DC5" s="114" t="s">
        <v>82</v>
      </c>
      <c r="DD5" s="119" t="s">
        <v>35</v>
      </c>
      <c r="DE5" s="120" t="s">
        <v>83</v>
      </c>
      <c r="DG5" s="120" t="s">
        <v>1</v>
      </c>
      <c r="DH5" s="120" t="s">
        <v>426</v>
      </c>
      <c r="DI5" s="120" t="s">
        <v>3</v>
      </c>
    </row>
    <row r="6" spans="2:114" ht="20.25" customHeight="1" x14ac:dyDescent="0.25">
      <c r="B6" s="231"/>
      <c r="C6" s="232"/>
      <c r="D6" s="232"/>
      <c r="E6" s="121"/>
      <c r="F6" s="110" t="s">
        <v>84</v>
      </c>
      <c r="G6" s="110"/>
      <c r="H6" s="110" t="s">
        <v>85</v>
      </c>
      <c r="I6" s="110" t="s">
        <v>86</v>
      </c>
      <c r="J6" s="110"/>
      <c r="K6" s="113" t="s">
        <v>87</v>
      </c>
      <c r="L6" s="110" t="s">
        <v>88</v>
      </c>
      <c r="M6" s="110" t="s">
        <v>89</v>
      </c>
      <c r="N6" s="110" t="s">
        <v>90</v>
      </c>
      <c r="O6" s="110" t="s">
        <v>91</v>
      </c>
      <c r="P6" s="110"/>
      <c r="Q6" s="110" t="s">
        <v>92</v>
      </c>
      <c r="R6" s="110" t="s">
        <v>93</v>
      </c>
      <c r="S6" s="110" t="s">
        <v>94</v>
      </c>
      <c r="T6" s="110" t="s">
        <v>95</v>
      </c>
      <c r="U6" s="110" t="s">
        <v>96</v>
      </c>
      <c r="V6" s="110" t="s">
        <v>97</v>
      </c>
      <c r="W6" s="110" t="s">
        <v>98</v>
      </c>
      <c r="X6" s="110"/>
      <c r="Y6" s="110" t="s">
        <v>99</v>
      </c>
      <c r="Z6" s="110" t="s">
        <v>100</v>
      </c>
      <c r="AA6" s="110"/>
      <c r="AB6" s="116"/>
      <c r="AC6" s="116"/>
      <c r="AD6" s="116"/>
      <c r="AE6" s="116"/>
      <c r="AF6" s="116"/>
      <c r="AG6" s="116"/>
      <c r="AH6" s="116"/>
      <c r="AI6" s="116"/>
      <c r="AJ6" s="116"/>
      <c r="AK6" s="122"/>
      <c r="AL6" s="116"/>
      <c r="AM6" s="116"/>
      <c r="AN6" s="116"/>
      <c r="AO6" s="116"/>
      <c r="AP6" s="116"/>
      <c r="AQ6" s="116"/>
      <c r="AR6" s="116"/>
      <c r="AS6" s="116"/>
      <c r="AT6" s="116"/>
      <c r="AU6" s="116"/>
      <c r="AV6" s="118"/>
      <c r="AW6" s="116"/>
      <c r="AX6" s="116"/>
      <c r="AY6" s="116"/>
      <c r="AZ6" s="116"/>
      <c r="BA6" s="116"/>
      <c r="BB6" s="116"/>
      <c r="BC6" s="116"/>
      <c r="BD6" s="123"/>
      <c r="BE6" s="116"/>
      <c r="BF6" s="116"/>
      <c r="BG6" s="116"/>
      <c r="BH6" s="116"/>
      <c r="BI6" s="116"/>
      <c r="BJ6" s="116"/>
      <c r="BK6" s="116"/>
      <c r="BL6" s="116"/>
      <c r="BM6" s="116"/>
      <c r="BN6" s="123"/>
      <c r="BO6" s="123"/>
      <c r="BP6" s="118"/>
      <c r="BQ6" s="116"/>
      <c r="BR6" s="116"/>
      <c r="BS6" s="116"/>
      <c r="BT6" s="116"/>
      <c r="BU6" s="116"/>
      <c r="BV6" s="116"/>
      <c r="BW6" s="116"/>
      <c r="BX6" s="123"/>
      <c r="BY6" s="123"/>
      <c r="BZ6" s="118"/>
      <c r="CA6" s="123"/>
      <c r="CB6" s="116"/>
      <c r="CC6" s="116"/>
      <c r="CD6" s="116"/>
      <c r="CE6" s="116"/>
      <c r="CF6" s="116"/>
      <c r="CG6" s="116"/>
      <c r="CH6" s="123"/>
      <c r="CI6" s="123"/>
      <c r="CJ6" s="118"/>
      <c r="CK6" s="118"/>
      <c r="CL6" s="123"/>
      <c r="CM6" s="116"/>
      <c r="CN6" s="116"/>
      <c r="CO6" s="116"/>
      <c r="CP6" s="116"/>
      <c r="CQ6" s="116"/>
      <c r="CR6" s="116"/>
      <c r="CS6" s="123"/>
      <c r="CT6" s="123"/>
      <c r="CU6" s="118"/>
      <c r="CV6" s="118"/>
      <c r="CW6" s="123"/>
      <c r="CX6" s="116"/>
      <c r="CY6" s="116"/>
      <c r="CZ6" s="116"/>
      <c r="DA6" s="116"/>
      <c r="DB6" s="116"/>
      <c r="DC6" s="116"/>
      <c r="DD6" s="123"/>
      <c r="DE6" s="123"/>
      <c r="DG6" s="123"/>
      <c r="DH6" s="123"/>
      <c r="DI6" s="123"/>
    </row>
    <row r="7" spans="2:114" ht="39" x14ac:dyDescent="0.25">
      <c r="B7" s="45" t="s">
        <v>4</v>
      </c>
      <c r="C7" s="15" t="s">
        <v>332</v>
      </c>
      <c r="D7" s="15" t="s">
        <v>101</v>
      </c>
      <c r="E7" s="15" t="s">
        <v>339</v>
      </c>
      <c r="F7" s="42" t="s">
        <v>340</v>
      </c>
      <c r="G7" s="43" t="s">
        <v>341</v>
      </c>
      <c r="H7" s="17">
        <v>42314</v>
      </c>
      <c r="I7" s="19" t="s">
        <v>423</v>
      </c>
      <c r="J7" s="19">
        <v>0</v>
      </c>
      <c r="K7" s="52">
        <v>10</v>
      </c>
      <c r="L7" s="53">
        <v>10</v>
      </c>
      <c r="M7" s="23">
        <v>0</v>
      </c>
      <c r="N7" s="38"/>
      <c r="O7" s="24"/>
      <c r="P7" s="24"/>
      <c r="Q7" s="25"/>
      <c r="R7" s="26"/>
      <c r="S7" s="25"/>
      <c r="T7" s="25"/>
      <c r="U7" s="25"/>
      <c r="V7" s="25"/>
      <c r="W7" s="25"/>
      <c r="X7" s="25"/>
      <c r="Y7" s="25"/>
      <c r="Z7" s="24"/>
      <c r="AA7" s="27"/>
      <c r="AB7" s="60"/>
      <c r="AC7" s="27"/>
      <c r="AD7" s="65">
        <v>592153</v>
      </c>
      <c r="AE7" s="35">
        <v>147</v>
      </c>
      <c r="AF7" s="28">
        <v>0</v>
      </c>
      <c r="AG7" s="61">
        <v>10</v>
      </c>
      <c r="AH7" s="27">
        <v>29607.65</v>
      </c>
      <c r="AI7" s="30">
        <v>562545.35</v>
      </c>
      <c r="AJ7" s="31">
        <v>22655.936013698629</v>
      </c>
      <c r="AK7" s="32">
        <v>569497.06398630142</v>
      </c>
      <c r="AL7" s="16"/>
      <c r="AM7" s="68">
        <v>569497.06398630142</v>
      </c>
      <c r="AN7" s="16"/>
      <c r="AO7" s="16"/>
      <c r="AP7" s="28">
        <v>0.4</v>
      </c>
      <c r="AQ7" s="29">
        <v>9.6</v>
      </c>
      <c r="AR7" s="27">
        <v>29607.65</v>
      </c>
      <c r="AS7" s="30">
        <v>562545.35</v>
      </c>
      <c r="AT7" s="31">
        <v>56254.534999999996</v>
      </c>
      <c r="AU7" s="31">
        <v>513242.52898630145</v>
      </c>
      <c r="AV7" s="4"/>
      <c r="AW7" s="68">
        <v>513242.52898630145</v>
      </c>
      <c r="AX7" s="16"/>
      <c r="AY7" s="16"/>
      <c r="AZ7" s="28">
        <v>1.4</v>
      </c>
      <c r="BA7" s="29">
        <v>8.6</v>
      </c>
      <c r="BB7" s="27">
        <v>29607.65</v>
      </c>
      <c r="BC7" s="30">
        <v>539889.4139863014</v>
      </c>
      <c r="BD7" s="34">
        <v>56254.534999999996</v>
      </c>
      <c r="BE7" s="31">
        <v>456987.99398630147</v>
      </c>
      <c r="BF7" s="31"/>
      <c r="BG7" s="27">
        <v>456987.99398630147</v>
      </c>
      <c r="BH7" s="16"/>
      <c r="BI7" s="16"/>
      <c r="BJ7" s="28">
        <v>2.4</v>
      </c>
      <c r="BK7" s="29">
        <v>7.6</v>
      </c>
      <c r="BL7" s="27">
        <v>29607.65</v>
      </c>
      <c r="BM7" s="30">
        <v>427380.34398630145</v>
      </c>
      <c r="BN7" s="34">
        <v>56254.534999999996</v>
      </c>
      <c r="BO7" s="35">
        <v>400733.4589863015</v>
      </c>
      <c r="BP7" s="36"/>
      <c r="BQ7" s="27">
        <v>400733.4589863015</v>
      </c>
      <c r="BR7" s="16"/>
      <c r="BS7" s="16"/>
      <c r="BT7" s="28">
        <v>3.4</v>
      </c>
      <c r="BU7" s="29">
        <v>6.6</v>
      </c>
      <c r="BV7" s="27">
        <v>29607.65</v>
      </c>
      <c r="BW7" s="30">
        <v>371125.80898630148</v>
      </c>
      <c r="BX7" s="34">
        <v>56254.534999999996</v>
      </c>
      <c r="BY7" s="35">
        <v>344478.92398630152</v>
      </c>
      <c r="BZ7" s="4"/>
      <c r="CA7" s="35">
        <v>344478.92398630152</v>
      </c>
      <c r="CB7" s="16"/>
      <c r="CC7" s="16"/>
      <c r="CD7" s="28">
        <v>4.4027397260273968</v>
      </c>
      <c r="CE7" s="29">
        <v>5.5972602739726032</v>
      </c>
      <c r="CF7" s="27">
        <v>29607.65</v>
      </c>
      <c r="CG7" s="30">
        <v>314871.2739863015</v>
      </c>
      <c r="CH7" s="31">
        <v>56254.534999999996</v>
      </c>
      <c r="CI7" s="35">
        <v>288224.38898630155</v>
      </c>
      <c r="CJ7" s="4"/>
      <c r="CK7" s="36">
        <v>258616.73898630156</v>
      </c>
      <c r="CL7" s="35">
        <v>288224.38898630155</v>
      </c>
      <c r="CM7" s="16"/>
      <c r="CN7" s="16"/>
      <c r="CO7" s="28">
        <v>5.4027397260273968</v>
      </c>
      <c r="CP7" s="29">
        <v>4.5972602739726032</v>
      </c>
      <c r="CQ7" s="27">
        <v>29607.65</v>
      </c>
      <c r="CR7" s="34">
        <v>258616.73898630156</v>
      </c>
      <c r="CS7" s="34">
        <v>56254.534999999996</v>
      </c>
      <c r="CT7" s="35">
        <v>231969.85398630155</v>
      </c>
      <c r="CU7" s="4"/>
      <c r="CV7" s="37">
        <v>202362.20398630155</v>
      </c>
      <c r="CW7" s="35">
        <v>231969.85398630155</v>
      </c>
      <c r="CX7" s="16"/>
      <c r="CY7" s="16"/>
      <c r="CZ7" s="28">
        <v>7.4027397260273968</v>
      </c>
      <c r="DA7" s="29">
        <v>2.5972602739726032</v>
      </c>
      <c r="DB7" s="27">
        <v>29607.65</v>
      </c>
      <c r="DC7" s="34">
        <v>202362.20398630155</v>
      </c>
      <c r="DD7" s="34">
        <v>56254.534999999996</v>
      </c>
      <c r="DE7" s="35">
        <v>175715.31898630154</v>
      </c>
      <c r="DG7" s="35">
        <v>592153</v>
      </c>
      <c r="DH7" s="65">
        <v>416437.68101369857</v>
      </c>
      <c r="DI7" s="65">
        <f t="shared" ref="DI7:DI13" si="0">DG7-DH7</f>
        <v>175715.31898630143</v>
      </c>
      <c r="DJ7" s="124">
        <f>DE7-DI7</f>
        <v>0</v>
      </c>
    </row>
    <row r="8" spans="2:114" ht="60" x14ac:dyDescent="0.25">
      <c r="B8" s="45" t="s">
        <v>4</v>
      </c>
      <c r="C8" s="15" t="s">
        <v>332</v>
      </c>
      <c r="D8" s="15" t="s">
        <v>101</v>
      </c>
      <c r="E8" s="15" t="s">
        <v>342</v>
      </c>
      <c r="F8" s="42" t="s">
        <v>343</v>
      </c>
      <c r="G8" s="43" t="s">
        <v>341</v>
      </c>
      <c r="H8" s="17">
        <v>42367</v>
      </c>
      <c r="I8" s="19" t="s">
        <v>423</v>
      </c>
      <c r="J8" s="19">
        <v>0</v>
      </c>
      <c r="K8" s="52">
        <v>10</v>
      </c>
      <c r="L8" s="53">
        <v>10</v>
      </c>
      <c r="M8" s="23">
        <v>0</v>
      </c>
      <c r="N8" s="38"/>
      <c r="O8" s="24"/>
      <c r="P8" s="24"/>
      <c r="Q8" s="25"/>
      <c r="R8" s="26"/>
      <c r="S8" s="25"/>
      <c r="T8" s="25"/>
      <c r="U8" s="25"/>
      <c r="V8" s="25"/>
      <c r="W8" s="25"/>
      <c r="X8" s="25"/>
      <c r="Y8" s="25"/>
      <c r="Z8" s="24"/>
      <c r="AA8" s="27"/>
      <c r="AB8" s="60"/>
      <c r="AC8" s="27"/>
      <c r="AD8" s="65">
        <v>845932</v>
      </c>
      <c r="AE8" s="35">
        <v>94</v>
      </c>
      <c r="AF8" s="28">
        <v>0</v>
      </c>
      <c r="AG8" s="61">
        <v>10</v>
      </c>
      <c r="AH8" s="27">
        <v>42296.600000000006</v>
      </c>
      <c r="AI8" s="30">
        <v>803635.4</v>
      </c>
      <c r="AJ8" s="31">
        <v>20696.363726027401</v>
      </c>
      <c r="AK8" s="32">
        <v>825235.63627397257</v>
      </c>
      <c r="AL8" s="16"/>
      <c r="AM8" s="68">
        <v>825235.63627397257</v>
      </c>
      <c r="AN8" s="16"/>
      <c r="AO8" s="16"/>
      <c r="AP8" s="28">
        <v>0.25479452054794521</v>
      </c>
      <c r="AQ8" s="29">
        <v>9.7452054794520553</v>
      </c>
      <c r="AR8" s="27">
        <v>42296.600000000006</v>
      </c>
      <c r="AS8" s="30">
        <v>803635.4</v>
      </c>
      <c r="AT8" s="31">
        <v>80363.540000000008</v>
      </c>
      <c r="AU8" s="31">
        <v>744872.09627397254</v>
      </c>
      <c r="AV8" s="4"/>
      <c r="AW8" s="68">
        <v>744872.09627397254</v>
      </c>
      <c r="AX8" s="16"/>
      <c r="AY8" s="16"/>
      <c r="AZ8" s="28">
        <v>1.2547945205479452</v>
      </c>
      <c r="BA8" s="29">
        <v>8.7452054794520553</v>
      </c>
      <c r="BB8" s="27">
        <v>42296.600000000006</v>
      </c>
      <c r="BC8" s="30">
        <v>782939.0362739726</v>
      </c>
      <c r="BD8" s="34">
        <v>80363.540000000008</v>
      </c>
      <c r="BE8" s="31">
        <v>664508.5562739725</v>
      </c>
      <c r="BF8" s="31"/>
      <c r="BG8" s="27">
        <v>664508.5562739725</v>
      </c>
      <c r="BH8" s="16"/>
      <c r="BI8" s="16"/>
      <c r="BJ8" s="28">
        <v>2.2547945205479452</v>
      </c>
      <c r="BK8" s="29">
        <v>7.7452054794520553</v>
      </c>
      <c r="BL8" s="27">
        <v>42296.600000000006</v>
      </c>
      <c r="BM8" s="30">
        <v>622211.95627397252</v>
      </c>
      <c r="BN8" s="34">
        <v>80363.540000000008</v>
      </c>
      <c r="BO8" s="35">
        <v>584145.01627397246</v>
      </c>
      <c r="BP8" s="36"/>
      <c r="BQ8" s="27">
        <v>584145.01627397246</v>
      </c>
      <c r="BR8" s="16"/>
      <c r="BS8" s="16"/>
      <c r="BT8" s="28">
        <v>3.2547945205479452</v>
      </c>
      <c r="BU8" s="29">
        <v>6.7452054794520553</v>
      </c>
      <c r="BV8" s="27">
        <v>42296.600000000006</v>
      </c>
      <c r="BW8" s="30">
        <v>541848.41627397249</v>
      </c>
      <c r="BX8" s="34">
        <v>80363.540000000008</v>
      </c>
      <c r="BY8" s="35">
        <v>503781.47627397242</v>
      </c>
      <c r="BZ8" s="4"/>
      <c r="CA8" s="35">
        <v>503781.47627397242</v>
      </c>
      <c r="CB8" s="16"/>
      <c r="CC8" s="16"/>
      <c r="CD8" s="28">
        <v>4.2575342465753421</v>
      </c>
      <c r="CE8" s="29">
        <v>5.7424657534246579</v>
      </c>
      <c r="CF8" s="27">
        <v>42296.600000000006</v>
      </c>
      <c r="CG8" s="30">
        <v>461484.87627397245</v>
      </c>
      <c r="CH8" s="31">
        <v>80363.540000000008</v>
      </c>
      <c r="CI8" s="35">
        <v>423417.93627397239</v>
      </c>
      <c r="CJ8" s="4"/>
      <c r="CK8" s="36">
        <v>381121.33627397241</v>
      </c>
      <c r="CL8" s="35">
        <v>423417.93627397239</v>
      </c>
      <c r="CM8" s="16"/>
      <c r="CN8" s="16"/>
      <c r="CO8" s="28">
        <v>5.2575342465753421</v>
      </c>
      <c r="CP8" s="29">
        <v>4.7424657534246579</v>
      </c>
      <c r="CQ8" s="27">
        <v>42296.600000000006</v>
      </c>
      <c r="CR8" s="34">
        <v>381121.33627397241</v>
      </c>
      <c r="CS8" s="34">
        <v>80363.540000000008</v>
      </c>
      <c r="CT8" s="35">
        <v>343054.39627397235</v>
      </c>
      <c r="CU8" s="4"/>
      <c r="CV8" s="37">
        <v>300757.79627397237</v>
      </c>
      <c r="CW8" s="35">
        <v>343054.39627397235</v>
      </c>
      <c r="CX8" s="16"/>
      <c r="CY8" s="16"/>
      <c r="CZ8" s="28">
        <v>7.2575342465753421</v>
      </c>
      <c r="DA8" s="29">
        <v>2.7424657534246579</v>
      </c>
      <c r="DB8" s="27">
        <v>42296.600000000006</v>
      </c>
      <c r="DC8" s="34">
        <v>300757.79627397237</v>
      </c>
      <c r="DD8" s="34">
        <v>80363.540000000008</v>
      </c>
      <c r="DE8" s="35">
        <v>262690.85627397231</v>
      </c>
      <c r="DG8" s="35">
        <v>845932</v>
      </c>
      <c r="DH8" s="65">
        <v>583241.14372602757</v>
      </c>
      <c r="DI8" s="65">
        <f t="shared" si="0"/>
        <v>262690.85627397243</v>
      </c>
      <c r="DJ8" s="124">
        <f t="shared" ref="DJ8:DJ13" si="1">DE8-DI8</f>
        <v>0</v>
      </c>
    </row>
    <row r="9" spans="2:114" ht="39" x14ac:dyDescent="0.25">
      <c r="B9" s="45" t="s">
        <v>4</v>
      </c>
      <c r="C9" s="15" t="s">
        <v>332</v>
      </c>
      <c r="D9" s="15" t="s">
        <v>101</v>
      </c>
      <c r="E9" s="15" t="s">
        <v>344</v>
      </c>
      <c r="F9" s="42" t="s">
        <v>345</v>
      </c>
      <c r="G9" s="43" t="s">
        <v>341</v>
      </c>
      <c r="H9" s="17">
        <v>42380</v>
      </c>
      <c r="I9" s="19" t="s">
        <v>423</v>
      </c>
      <c r="J9" s="19">
        <v>0</v>
      </c>
      <c r="K9" s="52">
        <v>10</v>
      </c>
      <c r="L9" s="53">
        <v>10</v>
      </c>
      <c r="M9" s="23">
        <v>0</v>
      </c>
      <c r="N9" s="38"/>
      <c r="O9" s="24"/>
      <c r="P9" s="24"/>
      <c r="Q9" s="25"/>
      <c r="R9" s="26"/>
      <c r="S9" s="25"/>
      <c r="T9" s="25"/>
      <c r="U9" s="25"/>
      <c r="V9" s="25"/>
      <c r="W9" s="25"/>
      <c r="X9" s="25"/>
      <c r="Y9" s="25"/>
      <c r="Z9" s="24"/>
      <c r="AA9" s="27"/>
      <c r="AB9" s="60"/>
      <c r="AC9" s="27"/>
      <c r="AD9" s="65">
        <v>368970</v>
      </c>
      <c r="AE9" s="35">
        <v>81</v>
      </c>
      <c r="AF9" s="28">
        <v>0</v>
      </c>
      <c r="AG9" s="61">
        <v>10</v>
      </c>
      <c r="AH9" s="27">
        <v>18448.5</v>
      </c>
      <c r="AI9" s="30">
        <v>350521.5</v>
      </c>
      <c r="AJ9" s="31">
        <v>7778.6963013698632</v>
      </c>
      <c r="AK9" s="32">
        <v>361191.30369863013</v>
      </c>
      <c r="AL9" s="16"/>
      <c r="AM9" s="68">
        <v>361191.30369863013</v>
      </c>
      <c r="AN9" s="16"/>
      <c r="AO9" s="16"/>
      <c r="AP9" s="28">
        <v>0.21917808219178081</v>
      </c>
      <c r="AQ9" s="29">
        <v>9.7808219178082183</v>
      </c>
      <c r="AR9" s="27">
        <v>18448.5</v>
      </c>
      <c r="AS9" s="30">
        <v>350521.5</v>
      </c>
      <c r="AT9" s="31">
        <v>35052.15</v>
      </c>
      <c r="AU9" s="31">
        <v>326139.15369863011</v>
      </c>
      <c r="AV9" s="4"/>
      <c r="AW9" s="68">
        <v>326139.15369863011</v>
      </c>
      <c r="AX9" s="16"/>
      <c r="AY9" s="16"/>
      <c r="AZ9" s="28">
        <v>1.2191780821917808</v>
      </c>
      <c r="BA9" s="29">
        <v>8.7808219178082183</v>
      </c>
      <c r="BB9" s="27">
        <v>18448.5</v>
      </c>
      <c r="BC9" s="30">
        <v>342742.80369863013</v>
      </c>
      <c r="BD9" s="34">
        <v>35052.15</v>
      </c>
      <c r="BE9" s="31">
        <v>291087.00369863008</v>
      </c>
      <c r="BF9" s="31"/>
      <c r="BG9" s="27">
        <v>291087.00369863008</v>
      </c>
      <c r="BH9" s="16"/>
      <c r="BI9" s="16"/>
      <c r="BJ9" s="28">
        <v>2.2191780821917808</v>
      </c>
      <c r="BK9" s="29">
        <v>7.7808219178082192</v>
      </c>
      <c r="BL9" s="27">
        <v>18448.5</v>
      </c>
      <c r="BM9" s="30">
        <v>272638.50369863008</v>
      </c>
      <c r="BN9" s="34">
        <v>35052.15</v>
      </c>
      <c r="BO9" s="35">
        <v>256034.85369863009</v>
      </c>
      <c r="BP9" s="36"/>
      <c r="BQ9" s="27">
        <v>256034.85369863009</v>
      </c>
      <c r="BR9" s="16"/>
      <c r="BS9" s="16"/>
      <c r="BT9" s="28">
        <v>3.2191780821917808</v>
      </c>
      <c r="BU9" s="29">
        <v>6.7808219178082192</v>
      </c>
      <c r="BV9" s="27">
        <v>18448.5</v>
      </c>
      <c r="BW9" s="30">
        <v>237586.35369863009</v>
      </c>
      <c r="BX9" s="34">
        <v>35052.15</v>
      </c>
      <c r="BY9" s="35">
        <v>220982.7036986301</v>
      </c>
      <c r="BZ9" s="4"/>
      <c r="CA9" s="35">
        <v>220982.7036986301</v>
      </c>
      <c r="CB9" s="16"/>
      <c r="CC9" s="16"/>
      <c r="CD9" s="28">
        <v>4.2219178082191782</v>
      </c>
      <c r="CE9" s="29">
        <v>5.7780821917808218</v>
      </c>
      <c r="CF9" s="27">
        <v>18448.5</v>
      </c>
      <c r="CG9" s="30">
        <v>202534.2036986301</v>
      </c>
      <c r="CH9" s="31">
        <v>35052.15</v>
      </c>
      <c r="CI9" s="35">
        <v>185930.5536986301</v>
      </c>
      <c r="CJ9" s="4"/>
      <c r="CK9" s="36">
        <v>167482.0536986301</v>
      </c>
      <c r="CL9" s="35">
        <v>185930.5536986301</v>
      </c>
      <c r="CM9" s="16"/>
      <c r="CN9" s="16"/>
      <c r="CO9" s="28">
        <v>5.2219178082191782</v>
      </c>
      <c r="CP9" s="29">
        <v>4.7780821917808218</v>
      </c>
      <c r="CQ9" s="27">
        <v>18448.5</v>
      </c>
      <c r="CR9" s="34">
        <v>167482.0536986301</v>
      </c>
      <c r="CS9" s="34">
        <v>35052.15</v>
      </c>
      <c r="CT9" s="35">
        <v>150878.40369863011</v>
      </c>
      <c r="CU9" s="4"/>
      <c r="CV9" s="37">
        <v>132429.90369863011</v>
      </c>
      <c r="CW9" s="35">
        <v>150878.40369863011</v>
      </c>
      <c r="CX9" s="16"/>
      <c r="CY9" s="16"/>
      <c r="CZ9" s="28">
        <v>7.2219178082191782</v>
      </c>
      <c r="DA9" s="29">
        <v>2.7780821917808218</v>
      </c>
      <c r="DB9" s="27">
        <v>18448.5</v>
      </c>
      <c r="DC9" s="34">
        <v>132429.90369863011</v>
      </c>
      <c r="DD9" s="34">
        <v>35052.15</v>
      </c>
      <c r="DE9" s="35">
        <v>115826.25369863011</v>
      </c>
      <c r="DG9" s="35">
        <v>368970</v>
      </c>
      <c r="DH9" s="65">
        <v>253143.74630136983</v>
      </c>
      <c r="DI9" s="65">
        <f t="shared" si="0"/>
        <v>115826.25369863017</v>
      </c>
      <c r="DJ9" s="124">
        <f t="shared" si="1"/>
        <v>0</v>
      </c>
    </row>
    <row r="10" spans="2:114" ht="39" x14ac:dyDescent="0.25">
      <c r="B10" s="13" t="s">
        <v>4</v>
      </c>
      <c r="C10" s="15" t="s">
        <v>332</v>
      </c>
      <c r="D10" s="15" t="s">
        <v>101</v>
      </c>
      <c r="E10" s="15" t="s">
        <v>351</v>
      </c>
      <c r="F10" s="42" t="s">
        <v>352</v>
      </c>
      <c r="G10" s="43" t="s">
        <v>341</v>
      </c>
      <c r="H10" s="17">
        <v>42494</v>
      </c>
      <c r="I10" s="19" t="s">
        <v>424</v>
      </c>
      <c r="J10" s="19">
        <v>0</v>
      </c>
      <c r="K10" s="41" t="s">
        <v>353</v>
      </c>
      <c r="L10" s="21">
        <v>10</v>
      </c>
      <c r="M10" s="23">
        <v>0</v>
      </c>
      <c r="N10" s="38"/>
      <c r="O10" s="24"/>
      <c r="P10" s="24"/>
      <c r="Q10" s="25"/>
      <c r="R10" s="26"/>
      <c r="S10" s="25"/>
      <c r="T10" s="25"/>
      <c r="U10" s="25"/>
      <c r="V10" s="25"/>
      <c r="W10" s="25"/>
      <c r="X10" s="25"/>
      <c r="Y10" s="25"/>
      <c r="Z10" s="24"/>
      <c r="AA10" s="27"/>
      <c r="AB10" s="16"/>
      <c r="AC10" s="27"/>
      <c r="AD10" s="65"/>
      <c r="AE10" s="35"/>
      <c r="AF10" s="28"/>
      <c r="AG10" s="29"/>
      <c r="AH10" s="27"/>
      <c r="AI10" s="30"/>
      <c r="AJ10" s="31"/>
      <c r="AK10" s="32"/>
      <c r="AL10" s="16"/>
      <c r="AM10" s="68">
        <v>0</v>
      </c>
      <c r="AN10" s="38">
        <v>526458</v>
      </c>
      <c r="AO10" s="84">
        <v>332</v>
      </c>
      <c r="AP10" s="28">
        <v>0</v>
      </c>
      <c r="AQ10" s="29">
        <v>10</v>
      </c>
      <c r="AR10" s="27">
        <v>26322.9</v>
      </c>
      <c r="AS10" s="85">
        <v>500135.1</v>
      </c>
      <c r="AT10" s="27">
        <v>45491.740602739723</v>
      </c>
      <c r="AU10" s="27">
        <v>480966.25939726026</v>
      </c>
      <c r="AV10" s="4"/>
      <c r="AW10" s="68">
        <v>480966.25939726026</v>
      </c>
      <c r="AX10" s="38"/>
      <c r="AY10" s="84"/>
      <c r="AZ10" s="28">
        <v>0.9068493150684932</v>
      </c>
      <c r="BA10" s="29">
        <v>9.0931506849315067</v>
      </c>
      <c r="BB10" s="29">
        <v>26322.9</v>
      </c>
      <c r="BC10" s="29">
        <v>454643.35939726024</v>
      </c>
      <c r="BD10" s="35">
        <v>49998.441150949075</v>
      </c>
      <c r="BE10" s="31">
        <v>430967.81824631116</v>
      </c>
      <c r="BF10" s="31"/>
      <c r="BG10" s="27">
        <v>430967.81824631116</v>
      </c>
      <c r="BH10" s="38"/>
      <c r="BI10" s="84"/>
      <c r="BJ10" s="28">
        <v>1.9068493150684931</v>
      </c>
      <c r="BK10" s="29">
        <v>8.0931506849315067</v>
      </c>
      <c r="BL10" s="27">
        <v>26322.9</v>
      </c>
      <c r="BM10" s="30">
        <v>404644.91824631114</v>
      </c>
      <c r="BN10" s="34">
        <v>49998.441150949075</v>
      </c>
      <c r="BO10" s="35">
        <v>380969.37709536206</v>
      </c>
      <c r="BP10" s="36"/>
      <c r="BQ10" s="27">
        <v>380969.37709536206</v>
      </c>
      <c r="BR10" s="38"/>
      <c r="BS10" s="84"/>
      <c r="BT10" s="28">
        <v>2.9068493150684933</v>
      </c>
      <c r="BU10" s="29">
        <v>7.0931506849315067</v>
      </c>
      <c r="BV10" s="27">
        <v>26322.9</v>
      </c>
      <c r="BW10" s="30">
        <v>354646.47709536203</v>
      </c>
      <c r="BX10" s="34">
        <v>49998.441150949075</v>
      </c>
      <c r="BY10" s="35">
        <v>330970.93594441295</v>
      </c>
      <c r="BZ10" s="4"/>
      <c r="CA10" s="34">
        <v>330970.93594441295</v>
      </c>
      <c r="CB10" s="38"/>
      <c r="CC10" s="84"/>
      <c r="CD10" s="28">
        <v>3.9095890410958902</v>
      </c>
      <c r="CE10" s="29">
        <v>6.0904109589041102</v>
      </c>
      <c r="CF10" s="27">
        <v>26322.9</v>
      </c>
      <c r="CG10" s="30">
        <v>304648.03594441293</v>
      </c>
      <c r="CH10" s="31">
        <v>49998.441150949075</v>
      </c>
      <c r="CI10" s="35">
        <v>280972.49479346385</v>
      </c>
      <c r="CJ10" s="4"/>
      <c r="CK10" s="36">
        <v>254649.59479346385</v>
      </c>
      <c r="CL10" s="35">
        <v>280972.49479346385</v>
      </c>
      <c r="CM10" s="38"/>
      <c r="CN10" s="84"/>
      <c r="CO10" s="28">
        <v>4.9095890410958907</v>
      </c>
      <c r="CP10" s="29">
        <v>5.0904109589041093</v>
      </c>
      <c r="CQ10" s="27">
        <v>26322.9</v>
      </c>
      <c r="CR10" s="34">
        <v>254649.59479346385</v>
      </c>
      <c r="CS10" s="34">
        <v>49998.441150949075</v>
      </c>
      <c r="CT10" s="35">
        <v>230974.05364251477</v>
      </c>
      <c r="CU10" s="4"/>
      <c r="CV10" s="37">
        <v>204651.15364251478</v>
      </c>
      <c r="CW10" s="35">
        <v>230974.05364251477</v>
      </c>
      <c r="CX10" s="38"/>
      <c r="CY10" s="84"/>
      <c r="CZ10" s="28">
        <v>6.9095890410958907</v>
      </c>
      <c r="DA10" s="29">
        <v>3.0904109589041093</v>
      </c>
      <c r="DB10" s="27">
        <v>26322.9</v>
      </c>
      <c r="DC10" s="34">
        <v>204651.15364251478</v>
      </c>
      <c r="DD10" s="34">
        <v>49998.441150949075</v>
      </c>
      <c r="DE10" s="35">
        <v>180975.6124915657</v>
      </c>
      <c r="DG10" s="35">
        <v>526458</v>
      </c>
      <c r="DH10" s="65">
        <v>345482.38750843424</v>
      </c>
      <c r="DI10" s="65">
        <f t="shared" si="0"/>
        <v>180975.61249156576</v>
      </c>
      <c r="DJ10" s="124">
        <f t="shared" si="1"/>
        <v>0</v>
      </c>
    </row>
    <row r="11" spans="2:114" ht="39" x14ac:dyDescent="0.25">
      <c r="B11" s="13" t="s">
        <v>4</v>
      </c>
      <c r="C11" s="15" t="s">
        <v>332</v>
      </c>
      <c r="D11" s="15" t="s">
        <v>101</v>
      </c>
      <c r="E11" s="15" t="s">
        <v>354</v>
      </c>
      <c r="F11" s="42" t="s">
        <v>355</v>
      </c>
      <c r="G11" s="43" t="s">
        <v>341</v>
      </c>
      <c r="H11" s="17">
        <v>42555</v>
      </c>
      <c r="I11" s="19" t="s">
        <v>424</v>
      </c>
      <c r="J11" s="19">
        <v>0</v>
      </c>
      <c r="K11" s="41" t="s">
        <v>353</v>
      </c>
      <c r="L11" s="21">
        <v>10</v>
      </c>
      <c r="M11" s="23">
        <v>0</v>
      </c>
      <c r="N11" s="38"/>
      <c r="O11" s="24"/>
      <c r="P11" s="24"/>
      <c r="Q11" s="25"/>
      <c r="R11" s="26"/>
      <c r="S11" s="25"/>
      <c r="T11" s="25"/>
      <c r="U11" s="25"/>
      <c r="V11" s="25"/>
      <c r="W11" s="25"/>
      <c r="X11" s="25"/>
      <c r="Y11" s="25"/>
      <c r="Z11" s="24"/>
      <c r="AA11" s="27"/>
      <c r="AB11" s="16"/>
      <c r="AC11" s="27"/>
      <c r="AD11" s="65"/>
      <c r="AE11" s="35"/>
      <c r="AF11" s="28"/>
      <c r="AG11" s="29"/>
      <c r="AH11" s="27"/>
      <c r="AI11" s="30"/>
      <c r="AJ11" s="31"/>
      <c r="AK11" s="32"/>
      <c r="AL11" s="16"/>
      <c r="AM11" s="68">
        <v>0</v>
      </c>
      <c r="AN11" s="38">
        <v>166487</v>
      </c>
      <c r="AO11" s="84">
        <v>271</v>
      </c>
      <c r="AP11" s="28">
        <v>0</v>
      </c>
      <c r="AQ11" s="29">
        <v>10</v>
      </c>
      <c r="AR11" s="27">
        <v>8324.35</v>
      </c>
      <c r="AS11" s="85">
        <v>158162.65</v>
      </c>
      <c r="AT11" s="27">
        <v>11743.03510958904</v>
      </c>
      <c r="AU11" s="27">
        <v>154743.96489041095</v>
      </c>
      <c r="AV11" s="4"/>
      <c r="AW11" s="68">
        <v>154743.96489041095</v>
      </c>
      <c r="AX11" s="38"/>
      <c r="AY11" s="84"/>
      <c r="AZ11" s="28">
        <v>0.73972602739726023</v>
      </c>
      <c r="BA11" s="29">
        <v>9.2602739726027394</v>
      </c>
      <c r="BB11" s="29">
        <v>8324.35</v>
      </c>
      <c r="BC11" s="29">
        <v>146419.61489041094</v>
      </c>
      <c r="BD11" s="35">
        <v>15811.585631656804</v>
      </c>
      <c r="BE11" s="31">
        <v>138932.37925875414</v>
      </c>
      <c r="BF11" s="31"/>
      <c r="BG11" s="27">
        <v>138932.37925875414</v>
      </c>
      <c r="BH11" s="38"/>
      <c r="BI11" s="84"/>
      <c r="BJ11" s="28">
        <v>1.7397260273972603</v>
      </c>
      <c r="BK11" s="29">
        <v>8.2602739726027394</v>
      </c>
      <c r="BL11" s="27">
        <v>8324.35</v>
      </c>
      <c r="BM11" s="30">
        <v>130608.02925875413</v>
      </c>
      <c r="BN11" s="34">
        <v>15811.585631656804</v>
      </c>
      <c r="BO11" s="35">
        <v>123120.79362709733</v>
      </c>
      <c r="BP11" s="36"/>
      <c r="BQ11" s="27">
        <v>123120.79362709733</v>
      </c>
      <c r="BR11" s="38"/>
      <c r="BS11" s="84"/>
      <c r="BT11" s="28">
        <v>2.7397260273972601</v>
      </c>
      <c r="BU11" s="29">
        <v>7.2602739726027394</v>
      </c>
      <c r="BV11" s="27">
        <v>8324.35</v>
      </c>
      <c r="BW11" s="30">
        <v>114796.44362709732</v>
      </c>
      <c r="BX11" s="34">
        <v>15811.585631656804</v>
      </c>
      <c r="BY11" s="35">
        <v>107309.20799544052</v>
      </c>
      <c r="BZ11" s="4"/>
      <c r="CA11" s="34">
        <v>107309.20799544052</v>
      </c>
      <c r="CB11" s="38"/>
      <c r="CC11" s="84"/>
      <c r="CD11" s="28">
        <v>3.7424657534246575</v>
      </c>
      <c r="CE11" s="29">
        <v>6.257534246575343</v>
      </c>
      <c r="CF11" s="27">
        <v>8324.35</v>
      </c>
      <c r="CG11" s="30">
        <v>98984.857995440514</v>
      </c>
      <c r="CH11" s="31">
        <v>15811.585631656804</v>
      </c>
      <c r="CI11" s="35">
        <v>91497.62236378371</v>
      </c>
      <c r="CJ11" s="4"/>
      <c r="CK11" s="36">
        <v>83173.272363783704</v>
      </c>
      <c r="CL11" s="35">
        <v>91497.62236378371</v>
      </c>
      <c r="CM11" s="38"/>
      <c r="CN11" s="84"/>
      <c r="CO11" s="28">
        <v>4.7424657534246579</v>
      </c>
      <c r="CP11" s="29">
        <v>5.2575342465753421</v>
      </c>
      <c r="CQ11" s="27">
        <v>8324.35</v>
      </c>
      <c r="CR11" s="34">
        <v>83173.272363783704</v>
      </c>
      <c r="CS11" s="34">
        <v>15811.585631656804</v>
      </c>
      <c r="CT11" s="35">
        <v>75686.0367321269</v>
      </c>
      <c r="CU11" s="4"/>
      <c r="CV11" s="37">
        <v>67361.686732126895</v>
      </c>
      <c r="CW11" s="35">
        <v>75686.0367321269</v>
      </c>
      <c r="CX11" s="38"/>
      <c r="CY11" s="84"/>
      <c r="CZ11" s="28">
        <v>6.7424657534246579</v>
      </c>
      <c r="DA11" s="29">
        <v>3.2575342465753421</v>
      </c>
      <c r="DB11" s="27">
        <v>8324.35</v>
      </c>
      <c r="DC11" s="34">
        <v>67361.686732126895</v>
      </c>
      <c r="DD11" s="34">
        <v>15811.585631656804</v>
      </c>
      <c r="DE11" s="35">
        <v>59874.451100470098</v>
      </c>
      <c r="DG11" s="35">
        <v>166487</v>
      </c>
      <c r="DH11" s="65">
        <v>106612.54889952988</v>
      </c>
      <c r="DI11" s="65">
        <f t="shared" si="0"/>
        <v>59874.45110047012</v>
      </c>
      <c r="DJ11" s="124">
        <f t="shared" si="1"/>
        <v>0</v>
      </c>
    </row>
    <row r="12" spans="2:114" ht="39" x14ac:dyDescent="0.25">
      <c r="B12" s="13" t="s">
        <v>4</v>
      </c>
      <c r="C12" s="15" t="s">
        <v>332</v>
      </c>
      <c r="D12" s="15" t="s">
        <v>101</v>
      </c>
      <c r="E12" s="15" t="s">
        <v>356</v>
      </c>
      <c r="F12" s="42" t="s">
        <v>357</v>
      </c>
      <c r="G12" s="43" t="s">
        <v>341</v>
      </c>
      <c r="H12" s="17">
        <v>42594</v>
      </c>
      <c r="I12" s="19" t="s">
        <v>424</v>
      </c>
      <c r="J12" s="19">
        <v>0</v>
      </c>
      <c r="K12" s="41" t="s">
        <v>353</v>
      </c>
      <c r="L12" s="21">
        <v>10</v>
      </c>
      <c r="M12" s="23">
        <v>0</v>
      </c>
      <c r="N12" s="38"/>
      <c r="O12" s="24"/>
      <c r="P12" s="24"/>
      <c r="Q12" s="25"/>
      <c r="R12" s="26"/>
      <c r="S12" s="25"/>
      <c r="T12" s="25"/>
      <c r="U12" s="25"/>
      <c r="V12" s="25"/>
      <c r="W12" s="25"/>
      <c r="X12" s="25"/>
      <c r="Y12" s="25"/>
      <c r="Z12" s="24"/>
      <c r="AA12" s="27"/>
      <c r="AB12" s="16"/>
      <c r="AC12" s="27"/>
      <c r="AD12" s="65"/>
      <c r="AE12" s="35"/>
      <c r="AF12" s="28"/>
      <c r="AG12" s="29"/>
      <c r="AH12" s="27"/>
      <c r="AI12" s="30"/>
      <c r="AJ12" s="31"/>
      <c r="AK12" s="32"/>
      <c r="AL12" s="16"/>
      <c r="AM12" s="68">
        <v>0</v>
      </c>
      <c r="AN12" s="38">
        <v>45316</v>
      </c>
      <c r="AO12" s="84">
        <v>232</v>
      </c>
      <c r="AP12" s="28">
        <v>0</v>
      </c>
      <c r="AQ12" s="29">
        <v>10</v>
      </c>
      <c r="AR12" s="27">
        <v>2265.8000000000002</v>
      </c>
      <c r="AS12" s="85">
        <v>43050.2</v>
      </c>
      <c r="AT12" s="27">
        <v>2736.3414794520545</v>
      </c>
      <c r="AU12" s="27">
        <v>42579.658520547942</v>
      </c>
      <c r="AV12" s="4"/>
      <c r="AW12" s="68">
        <v>42579.658520547942</v>
      </c>
      <c r="AX12" s="38"/>
      <c r="AY12" s="84"/>
      <c r="AZ12" s="28">
        <v>0.63287671232876708</v>
      </c>
      <c r="BA12" s="29">
        <v>9.3671232876712338</v>
      </c>
      <c r="BB12" s="29">
        <v>2265.8000000000002</v>
      </c>
      <c r="BC12" s="29">
        <v>40313.858520547939</v>
      </c>
      <c r="BD12" s="35">
        <v>4303.7608540508909</v>
      </c>
      <c r="BE12" s="31">
        <v>38275.897666497054</v>
      </c>
      <c r="BF12" s="31"/>
      <c r="BG12" s="27">
        <v>38275.897666497054</v>
      </c>
      <c r="BH12" s="38"/>
      <c r="BI12" s="84"/>
      <c r="BJ12" s="28">
        <v>1.6328767123287671</v>
      </c>
      <c r="BK12" s="29">
        <v>8.3671232876712338</v>
      </c>
      <c r="BL12" s="27">
        <v>2265.8000000000002</v>
      </c>
      <c r="BM12" s="30">
        <v>36010.097666497051</v>
      </c>
      <c r="BN12" s="34">
        <v>4303.7608540508909</v>
      </c>
      <c r="BO12" s="35">
        <v>33972.136812446166</v>
      </c>
      <c r="BP12" s="36"/>
      <c r="BQ12" s="27">
        <v>33972.136812446166</v>
      </c>
      <c r="BR12" s="38"/>
      <c r="BS12" s="84"/>
      <c r="BT12" s="28">
        <v>2.6328767123287671</v>
      </c>
      <c r="BU12" s="29">
        <v>7.3671232876712329</v>
      </c>
      <c r="BV12" s="27">
        <v>2265.8000000000002</v>
      </c>
      <c r="BW12" s="30">
        <v>31706.336812446167</v>
      </c>
      <c r="BX12" s="34">
        <v>4303.7608540508909</v>
      </c>
      <c r="BY12" s="35">
        <v>29668.375958395274</v>
      </c>
      <c r="BZ12" s="4"/>
      <c r="CA12" s="34">
        <v>29668.375958395274</v>
      </c>
      <c r="CB12" s="38"/>
      <c r="CC12" s="84"/>
      <c r="CD12" s="28">
        <v>3.6356164383561644</v>
      </c>
      <c r="CE12" s="29">
        <v>6.3643835616438356</v>
      </c>
      <c r="CF12" s="27">
        <v>2265.8000000000002</v>
      </c>
      <c r="CG12" s="30">
        <v>27402.575958395275</v>
      </c>
      <c r="CH12" s="31">
        <v>4303.7608540508909</v>
      </c>
      <c r="CI12" s="35">
        <v>25364.615104344382</v>
      </c>
      <c r="CJ12" s="4"/>
      <c r="CK12" s="36">
        <v>23098.815104344383</v>
      </c>
      <c r="CL12" s="35">
        <v>25364.615104344382</v>
      </c>
      <c r="CM12" s="38"/>
      <c r="CN12" s="84"/>
      <c r="CO12" s="28">
        <v>4.6356164383561644</v>
      </c>
      <c r="CP12" s="29">
        <v>5.3643835616438356</v>
      </c>
      <c r="CQ12" s="27">
        <v>2265.8000000000002</v>
      </c>
      <c r="CR12" s="34">
        <v>23098.815104344383</v>
      </c>
      <c r="CS12" s="34">
        <v>4303.7608540508909</v>
      </c>
      <c r="CT12" s="35">
        <v>21060.854250293491</v>
      </c>
      <c r="CU12" s="4"/>
      <c r="CV12" s="37">
        <v>18795.054250293491</v>
      </c>
      <c r="CW12" s="35">
        <v>21060.854250293491</v>
      </c>
      <c r="CX12" s="38"/>
      <c r="CY12" s="84"/>
      <c r="CZ12" s="28">
        <v>6.6356164383561644</v>
      </c>
      <c r="DA12" s="29">
        <v>3.3643835616438356</v>
      </c>
      <c r="DB12" s="27">
        <v>2265.8000000000002</v>
      </c>
      <c r="DC12" s="34">
        <v>18795.054250293491</v>
      </c>
      <c r="DD12" s="34">
        <v>4303.7608540508909</v>
      </c>
      <c r="DE12" s="35">
        <v>16757.093396242599</v>
      </c>
      <c r="DG12" s="35">
        <v>45316</v>
      </c>
      <c r="DH12" s="65">
        <v>28558.906603757405</v>
      </c>
      <c r="DI12" s="65">
        <f t="shared" si="0"/>
        <v>16757.093396242595</v>
      </c>
      <c r="DJ12" s="124">
        <f t="shared" si="1"/>
        <v>0</v>
      </c>
    </row>
    <row r="13" spans="2:114" ht="38.25" x14ac:dyDescent="0.25">
      <c r="B13" s="86" t="s">
        <v>4</v>
      </c>
      <c r="C13" s="15" t="s">
        <v>332</v>
      </c>
      <c r="D13" s="15" t="s">
        <v>101</v>
      </c>
      <c r="E13" s="15" t="s">
        <v>362</v>
      </c>
      <c r="F13" s="42" t="s">
        <v>363</v>
      </c>
      <c r="G13" s="43" t="s">
        <v>341</v>
      </c>
      <c r="H13" s="17">
        <v>42717</v>
      </c>
      <c r="I13" s="19" t="s">
        <v>424</v>
      </c>
      <c r="J13" s="19">
        <v>0</v>
      </c>
      <c r="K13" s="41" t="s">
        <v>353</v>
      </c>
      <c r="L13" s="21">
        <v>10</v>
      </c>
      <c r="M13" s="23">
        <v>0</v>
      </c>
      <c r="N13" s="38"/>
      <c r="O13" s="24"/>
      <c r="P13" s="24"/>
      <c r="Q13" s="25"/>
      <c r="R13" s="26"/>
      <c r="S13" s="25"/>
      <c r="T13" s="25"/>
      <c r="U13" s="25"/>
      <c r="V13" s="25"/>
      <c r="W13" s="25"/>
      <c r="X13" s="25"/>
      <c r="Y13" s="25"/>
      <c r="Z13" s="24"/>
      <c r="AA13" s="27"/>
      <c r="AB13" s="16"/>
      <c r="AC13" s="27"/>
      <c r="AD13" s="65"/>
      <c r="AE13" s="35"/>
      <c r="AF13" s="28"/>
      <c r="AG13" s="29"/>
      <c r="AH13" s="27"/>
      <c r="AI13" s="30"/>
      <c r="AJ13" s="31"/>
      <c r="AK13" s="32"/>
      <c r="AL13" s="16"/>
      <c r="AM13" s="68">
        <v>0</v>
      </c>
      <c r="AN13" s="38">
        <v>85301</v>
      </c>
      <c r="AO13" s="84">
        <v>109</v>
      </c>
      <c r="AP13" s="28">
        <v>0</v>
      </c>
      <c r="AQ13" s="29">
        <v>10</v>
      </c>
      <c r="AR13" s="27">
        <v>4265.05</v>
      </c>
      <c r="AS13" s="85">
        <v>81035.95</v>
      </c>
      <c r="AT13" s="27">
        <v>2419.9776849315067</v>
      </c>
      <c r="AU13" s="27">
        <v>82881.022315068491</v>
      </c>
      <c r="AV13" s="4"/>
      <c r="AW13" s="68">
        <v>82881.022315068491</v>
      </c>
      <c r="AX13" s="38"/>
      <c r="AY13" s="84"/>
      <c r="AZ13" s="28">
        <v>0.29589041095890412</v>
      </c>
      <c r="BA13" s="29">
        <v>9.7041095890410958</v>
      </c>
      <c r="BB13" s="29">
        <v>4265.05</v>
      </c>
      <c r="BC13" s="29">
        <v>78615.972315068488</v>
      </c>
      <c r="BD13" s="35">
        <v>8101.3071414455108</v>
      </c>
      <c r="BE13" s="31">
        <v>74779.715173622986</v>
      </c>
      <c r="BF13" s="31"/>
      <c r="BG13" s="27">
        <v>74779.715173622986</v>
      </c>
      <c r="BH13" s="38"/>
      <c r="BI13" s="84"/>
      <c r="BJ13" s="28">
        <v>1.295890410958904</v>
      </c>
      <c r="BK13" s="29">
        <v>8.7041095890410958</v>
      </c>
      <c r="BL13" s="27">
        <v>4265.05</v>
      </c>
      <c r="BM13" s="30">
        <v>70514.665173622983</v>
      </c>
      <c r="BN13" s="34">
        <v>8101.3071414455108</v>
      </c>
      <c r="BO13" s="35">
        <v>66678.408032177482</v>
      </c>
      <c r="BP13" s="36"/>
      <c r="BQ13" s="27">
        <v>66678.408032177482</v>
      </c>
      <c r="BR13" s="38"/>
      <c r="BS13" s="84"/>
      <c r="BT13" s="28">
        <v>2.2958904109589042</v>
      </c>
      <c r="BU13" s="29">
        <v>7.7041095890410958</v>
      </c>
      <c r="BV13" s="27">
        <v>4265.05</v>
      </c>
      <c r="BW13" s="30">
        <v>62413.358032177479</v>
      </c>
      <c r="BX13" s="34">
        <v>8101.3071414455108</v>
      </c>
      <c r="BY13" s="35">
        <v>58577.10089073197</v>
      </c>
      <c r="BZ13" s="4"/>
      <c r="CA13" s="34">
        <v>58577.10089073197</v>
      </c>
      <c r="CB13" s="38"/>
      <c r="CC13" s="84"/>
      <c r="CD13" s="28">
        <v>3.2986301369863016</v>
      </c>
      <c r="CE13" s="29">
        <v>6.7013698630136984</v>
      </c>
      <c r="CF13" s="27">
        <v>4265.05</v>
      </c>
      <c r="CG13" s="30">
        <v>54312.050890731967</v>
      </c>
      <c r="CH13" s="31">
        <v>8101.3071414455108</v>
      </c>
      <c r="CI13" s="35">
        <v>50475.793749286458</v>
      </c>
      <c r="CJ13" s="4"/>
      <c r="CK13" s="36">
        <v>46210.743749286456</v>
      </c>
      <c r="CL13" s="35">
        <v>50475.793749286458</v>
      </c>
      <c r="CM13" s="38"/>
      <c r="CN13" s="84"/>
      <c r="CO13" s="28">
        <v>4.2986301369863016</v>
      </c>
      <c r="CP13" s="29">
        <v>5.7013698630136984</v>
      </c>
      <c r="CQ13" s="27">
        <v>4265.05</v>
      </c>
      <c r="CR13" s="34">
        <v>46210.743749286456</v>
      </c>
      <c r="CS13" s="34">
        <v>8101.3071414455108</v>
      </c>
      <c r="CT13" s="35">
        <v>42374.486607840947</v>
      </c>
      <c r="CU13" s="4"/>
      <c r="CV13" s="37">
        <v>38109.436607840944</v>
      </c>
      <c r="CW13" s="35">
        <v>42374.486607840947</v>
      </c>
      <c r="CX13" s="38"/>
      <c r="CY13" s="84"/>
      <c r="CZ13" s="28">
        <v>6.2986301369863016</v>
      </c>
      <c r="DA13" s="29">
        <v>3.7013698630136984</v>
      </c>
      <c r="DB13" s="27">
        <v>4265.05</v>
      </c>
      <c r="DC13" s="34">
        <v>38109.436607840944</v>
      </c>
      <c r="DD13" s="34">
        <v>8101.3071414455108</v>
      </c>
      <c r="DE13" s="35">
        <v>34273.179466395435</v>
      </c>
      <c r="DG13" s="35">
        <v>85301</v>
      </c>
      <c r="DH13" s="65">
        <v>51027.820533604572</v>
      </c>
      <c r="DI13" s="65">
        <f t="shared" si="0"/>
        <v>34273.179466395428</v>
      </c>
      <c r="DJ13" s="124">
        <f t="shared" si="1"/>
        <v>0</v>
      </c>
    </row>
    <row r="14" spans="2:114" s="108" customFormat="1" x14ac:dyDescent="0.25">
      <c r="B14" s="97"/>
      <c r="C14" s="98"/>
      <c r="D14" s="98"/>
      <c r="E14" s="98"/>
      <c r="F14" s="99"/>
      <c r="G14" s="99"/>
      <c r="H14" s="100"/>
      <c r="I14" s="101"/>
      <c r="J14" s="101"/>
      <c r="K14" s="101"/>
      <c r="L14" s="102"/>
      <c r="M14" s="104">
        <f>SUM(M7:M13)</f>
        <v>0</v>
      </c>
      <c r="N14" s="104">
        <f t="shared" ref="N14:U14" si="2">SUM(N7:N13)</f>
        <v>0</v>
      </c>
      <c r="O14" s="104">
        <f t="shared" si="2"/>
        <v>0</v>
      </c>
      <c r="P14" s="104">
        <f t="shared" si="2"/>
        <v>0</v>
      </c>
      <c r="Q14" s="104">
        <f t="shared" si="2"/>
        <v>0</v>
      </c>
      <c r="R14" s="104">
        <f t="shared" si="2"/>
        <v>0</v>
      </c>
      <c r="S14" s="104">
        <f t="shared" si="2"/>
        <v>0</v>
      </c>
      <c r="T14" s="104">
        <f t="shared" si="2"/>
        <v>0</v>
      </c>
      <c r="U14" s="104">
        <f t="shared" si="2"/>
        <v>0</v>
      </c>
      <c r="V14" s="104">
        <f t="shared" ref="V14" si="3">SUM(V7:V13)</f>
        <v>0</v>
      </c>
      <c r="W14" s="104">
        <f t="shared" ref="W14" si="4">SUM(W7:W13)</f>
        <v>0</v>
      </c>
      <c r="X14" s="104">
        <f t="shared" ref="X14" si="5">SUM(X7:X13)</f>
        <v>0</v>
      </c>
      <c r="Y14" s="104">
        <f t="shared" ref="Y14" si="6">SUM(Y7:Y13)</f>
        <v>0</v>
      </c>
      <c r="Z14" s="104">
        <f t="shared" ref="Z14" si="7">SUM(Z7:Z13)</f>
        <v>0</v>
      </c>
      <c r="AA14" s="104">
        <f t="shared" ref="AA14" si="8">SUM(AA7:AA13)</f>
        <v>0</v>
      </c>
      <c r="AB14" s="104">
        <f t="shared" ref="AB14:AC14" si="9">SUM(AB7:AB13)</f>
        <v>0</v>
      </c>
      <c r="AC14" s="104">
        <f t="shared" si="9"/>
        <v>0</v>
      </c>
      <c r="AD14" s="104">
        <f t="shared" ref="AD14" si="10">SUM(AD7:AD13)</f>
        <v>1807055</v>
      </c>
      <c r="AE14" s="104"/>
      <c r="AF14" s="104"/>
      <c r="AG14" s="104"/>
      <c r="AH14" s="104">
        <f>SUM(AH7:AH13)</f>
        <v>90352.75</v>
      </c>
      <c r="AI14" s="104">
        <f t="shared" ref="AI14" si="11">SUM(AI7:AI13)</f>
        <v>1716702.25</v>
      </c>
      <c r="AJ14" s="104">
        <f t="shared" ref="AJ14:AN14" si="12">SUM(AJ7:AJ13)</f>
        <v>51130.996041095896</v>
      </c>
      <c r="AK14" s="104">
        <f t="shared" si="12"/>
        <v>1755924.0039589042</v>
      </c>
      <c r="AL14" s="104">
        <f t="shared" ref="AL14" si="13">SUM(AL7:AL13)</f>
        <v>0</v>
      </c>
      <c r="AM14" s="104">
        <f t="shared" si="12"/>
        <v>1755924.0039589042</v>
      </c>
      <c r="AN14" s="104">
        <f t="shared" si="12"/>
        <v>823562</v>
      </c>
      <c r="AO14" s="107"/>
      <c r="AP14" s="105"/>
      <c r="AQ14" s="106"/>
      <c r="AR14" s="104">
        <f t="shared" ref="AR14" si="14">SUM(AR7:AR13)</f>
        <v>131530.85</v>
      </c>
      <c r="AS14" s="104">
        <f t="shared" ref="AS14" si="15">SUM(AS7:AS13)</f>
        <v>2499086.1500000004</v>
      </c>
      <c r="AT14" s="104">
        <f t="shared" ref="AT14" si="16">SUM(AT7:AT13)</f>
        <v>234061.31987671234</v>
      </c>
      <c r="AU14" s="104">
        <f t="shared" ref="AU14" si="17">SUM(AU7:AU13)</f>
        <v>2345424.6840821924</v>
      </c>
      <c r="AV14" s="104">
        <f t="shared" ref="AV14" si="18">SUM(AV7:AV13)</f>
        <v>0</v>
      </c>
      <c r="AW14" s="104">
        <f t="shared" ref="AW14" si="19">SUM(AW7:AW13)</f>
        <v>2345424.6840821924</v>
      </c>
      <c r="AX14" s="104">
        <f t="shared" ref="AX14" si="20">SUM(AX7:AX13)</f>
        <v>0</v>
      </c>
      <c r="AY14" s="104">
        <f t="shared" ref="AY14" si="21">SUM(AY7:AY13)</f>
        <v>0</v>
      </c>
      <c r="AZ14" s="104"/>
      <c r="BA14" s="104"/>
      <c r="BB14" s="104">
        <f t="shared" ref="BB14" si="22">SUM(BB7:BB13)</f>
        <v>131530.85</v>
      </c>
      <c r="BC14" s="104">
        <f t="shared" ref="BC14" si="23">SUM(BC7:BC13)</f>
        <v>2385564.0590821919</v>
      </c>
      <c r="BD14" s="104">
        <f t="shared" ref="BD14" si="24">SUM(BD7:BD13)</f>
        <v>249885.3197781023</v>
      </c>
      <c r="BE14" s="104">
        <f t="shared" ref="BE14" si="25">SUM(BE7:BE13)</f>
        <v>2095539.3643040895</v>
      </c>
      <c r="BF14" s="104">
        <f t="shared" ref="BF14" si="26">SUM(BF7:BF13)</f>
        <v>0</v>
      </c>
      <c r="BG14" s="104">
        <f t="shared" ref="BG14" si="27">SUM(BG7:BG13)</f>
        <v>2095539.3643040895</v>
      </c>
      <c r="BH14" s="104">
        <f t="shared" ref="BH14" si="28">SUM(BH7:BH13)</f>
        <v>0</v>
      </c>
      <c r="BI14" s="104"/>
      <c r="BJ14" s="104"/>
      <c r="BK14" s="104"/>
      <c r="BL14" s="104">
        <f t="shared" ref="BL14" si="29">SUM(BL7:BL13)</f>
        <v>131530.85</v>
      </c>
      <c r="BM14" s="104">
        <f t="shared" ref="BM14" si="30">SUM(BM7:BM13)</f>
        <v>1964008.5143040894</v>
      </c>
      <c r="BN14" s="104">
        <f t="shared" ref="BN14" si="31">SUM(BN7:BN13)</f>
        <v>249885.3197781023</v>
      </c>
      <c r="BO14" s="104">
        <f t="shared" ref="BO14" si="32">SUM(BO7:BO13)</f>
        <v>1845654.044525987</v>
      </c>
      <c r="BP14" s="104">
        <f t="shared" ref="BP14" si="33">SUM(BP7:BP13)</f>
        <v>0</v>
      </c>
      <c r="BQ14" s="104">
        <f t="shared" ref="BQ14" si="34">SUM(BQ7:BQ13)</f>
        <v>1845654.044525987</v>
      </c>
      <c r="BR14" s="104">
        <f t="shared" ref="BR14" si="35">SUM(BR7:BR13)</f>
        <v>0</v>
      </c>
      <c r="BS14" s="104">
        <f t="shared" ref="BS14" si="36">SUM(BS7:BS13)</f>
        <v>0</v>
      </c>
      <c r="BT14" s="104"/>
      <c r="BU14" s="104"/>
      <c r="BV14" s="104">
        <f t="shared" ref="BV14" si="37">SUM(BV7:BV13)</f>
        <v>131530.85</v>
      </c>
      <c r="BW14" s="104">
        <f t="shared" ref="BW14" si="38">SUM(BW7:BW13)</f>
        <v>1714123.1945259871</v>
      </c>
      <c r="BX14" s="104">
        <f t="shared" ref="BX14" si="39">SUM(BX7:BX13)</f>
        <v>249885.3197781023</v>
      </c>
      <c r="BY14" s="104">
        <f t="shared" ref="BY14" si="40">SUM(BY7:BY13)</f>
        <v>1595768.7247478848</v>
      </c>
      <c r="BZ14" s="104">
        <f t="shared" ref="BZ14" si="41">SUM(BZ7:BZ13)</f>
        <v>0</v>
      </c>
      <c r="CA14" s="104">
        <f t="shared" ref="CA14" si="42">SUM(CA7:CA13)</f>
        <v>1595768.7247478848</v>
      </c>
      <c r="CB14" s="104">
        <f t="shared" ref="CB14" si="43">SUM(CB7:CB13)</f>
        <v>0</v>
      </c>
      <c r="CC14" s="104">
        <f t="shared" ref="CC14" si="44">SUM(CC7:CC13)</f>
        <v>0</v>
      </c>
      <c r="CD14" s="104"/>
      <c r="CE14" s="104"/>
      <c r="CF14" s="104">
        <f t="shared" ref="CF14" si="45">SUM(CF7:CF13)</f>
        <v>131530.85</v>
      </c>
      <c r="CG14" s="104">
        <f t="shared" ref="CG14" si="46">SUM(CG7:CG13)</f>
        <v>1464237.8747478847</v>
      </c>
      <c r="CH14" s="104">
        <f t="shared" ref="CH14" si="47">SUM(CH7:CH13)</f>
        <v>249885.3197781023</v>
      </c>
      <c r="CI14" s="104">
        <f t="shared" ref="CI14" si="48">SUM(CI7:CI13)</f>
        <v>1345883.4049697823</v>
      </c>
      <c r="CJ14" s="104">
        <f t="shared" ref="CJ14" si="49">SUM(CJ7:CJ13)</f>
        <v>0</v>
      </c>
      <c r="CK14" s="104">
        <f t="shared" ref="CK14" si="50">SUM(CK7:CK13)</f>
        <v>1214352.5549697827</v>
      </c>
      <c r="CL14" s="104">
        <f t="shared" ref="CL14" si="51">SUM(CL7:CL13)</f>
        <v>1345883.4049697823</v>
      </c>
      <c r="CM14" s="104">
        <f t="shared" ref="CM14" si="52">SUM(CM7:CM13)</f>
        <v>0</v>
      </c>
      <c r="CN14" s="104"/>
      <c r="CO14" s="104"/>
      <c r="CP14" s="104"/>
      <c r="CQ14" s="104">
        <f t="shared" ref="CQ14" si="53">SUM(CQ7:CQ13)</f>
        <v>131530.85</v>
      </c>
      <c r="CR14" s="104">
        <f t="shared" ref="CR14" si="54">SUM(CR7:CR13)</f>
        <v>1214352.5549697827</v>
      </c>
      <c r="CS14" s="104">
        <f t="shared" ref="CS14" si="55">SUM(CS7:CS13)</f>
        <v>249885.3197781023</v>
      </c>
      <c r="CT14" s="104">
        <f t="shared" ref="CT14" si="56">SUM(CT7:CT13)</f>
        <v>1095998.0851916801</v>
      </c>
      <c r="CU14" s="104">
        <f t="shared" ref="CU14" si="57">SUM(CU7:CU13)</f>
        <v>0</v>
      </c>
      <c r="CV14" s="104">
        <f t="shared" ref="CV14" si="58">SUM(CV7:CV13)</f>
        <v>964467.23519168014</v>
      </c>
      <c r="CW14" s="104">
        <f t="shared" ref="CW14" si="59">SUM(CW7:CW13)</f>
        <v>1095998.0851916801</v>
      </c>
      <c r="CX14" s="104">
        <f t="shared" ref="CX14" si="60">SUM(CX7:CX13)</f>
        <v>0</v>
      </c>
      <c r="CY14" s="104"/>
      <c r="CZ14" s="104"/>
      <c r="DA14" s="104"/>
      <c r="DB14" s="104">
        <f t="shared" ref="DB14" si="61">SUM(DB7:DB13)</f>
        <v>131530.85</v>
      </c>
      <c r="DC14" s="104">
        <f t="shared" ref="DC14" si="62">SUM(DC7:DC13)</f>
        <v>964467.23519168014</v>
      </c>
      <c r="DD14" s="104">
        <f t="shared" ref="DD14" si="63">SUM(DD7:DD13)</f>
        <v>249885.3197781023</v>
      </c>
      <c r="DE14" s="104">
        <f>SUM(DE7:DE13)</f>
        <v>846112.7654135779</v>
      </c>
      <c r="DG14" s="104">
        <f>AD14+AN14</f>
        <v>2630617</v>
      </c>
      <c r="DH14" s="103">
        <f>AJ14+AT14+BD14+BN14+BX14+CH14+CS14+DD14</f>
        <v>1784504.2345864219</v>
      </c>
      <c r="DI14" s="103">
        <f>DG14-DH14</f>
        <v>846112.76541357813</v>
      </c>
    </row>
  </sheetData>
  <mergeCells count="4">
    <mergeCell ref="B5:B6"/>
    <mergeCell ref="C5:C6"/>
    <mergeCell ref="D5:D6"/>
    <mergeCell ref="T5:V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J22"/>
  <sheetViews>
    <sheetView topLeftCell="A5" workbookViewId="0">
      <pane xSplit="6" ySplit="2" topLeftCell="G13" activePane="bottomRight" state="frozen"/>
      <selection activeCell="A5" sqref="A5"/>
      <selection pane="topRight" activeCell="G5" sqref="G5"/>
      <selection pane="bottomLeft" activeCell="A7" sqref="A7"/>
      <selection pane="bottomRight" activeCell="I22" sqref="I22"/>
    </sheetView>
  </sheetViews>
  <sheetFormatPr defaultRowHeight="15" x14ac:dyDescent="0.25"/>
  <cols>
    <col min="1" max="1" width="2.42578125" customWidth="1"/>
    <col min="2" max="4" width="9.140625" hidden="1" customWidth="1"/>
    <col min="5" max="5" width="10" bestFit="1" customWidth="1"/>
    <col min="6" max="6" width="37.28515625" customWidth="1"/>
    <col min="8" max="8" width="12.140625" bestFit="1" customWidth="1"/>
    <col min="21" max="21" width="6.28515625" customWidth="1"/>
    <col min="22" max="22" width="7" customWidth="1"/>
    <col min="28" max="28" width="0.85546875" customWidth="1"/>
    <col min="38" max="38" width="1" customWidth="1"/>
    <col min="58" max="58" width="1.5703125" customWidth="1"/>
    <col min="64" max="64" width="7.85546875" customWidth="1"/>
    <col min="66" max="66" width="8" customWidth="1"/>
    <col min="68" max="68" width="1.28515625" customWidth="1"/>
    <col min="75" max="75" width="10" bestFit="1" customWidth="1"/>
    <col min="77" max="77" width="10" bestFit="1" customWidth="1"/>
    <col min="78" max="78" width="1.7109375" customWidth="1"/>
    <col min="79" max="79" width="10" bestFit="1" customWidth="1"/>
    <col min="82" max="82" width="8.5703125" customWidth="1"/>
    <col min="85" max="85" width="10" customWidth="1"/>
    <col min="87" max="87" width="10.140625" customWidth="1"/>
    <col min="88" max="88" width="0" hidden="1" customWidth="1"/>
    <col min="89" max="89" width="11.140625" bestFit="1" customWidth="1"/>
    <col min="90" max="90" width="10" bestFit="1" customWidth="1"/>
    <col min="95" max="95" width="9.85546875" customWidth="1"/>
    <col min="96" max="96" width="10.28515625" customWidth="1"/>
    <col min="98" max="98" width="9.85546875" customWidth="1"/>
    <col min="99" max="99" width="0" hidden="1" customWidth="1"/>
    <col min="100" max="102" width="10" bestFit="1" customWidth="1"/>
    <col min="106" max="106" width="11.140625" bestFit="1" customWidth="1"/>
    <col min="107" max="107" width="9.85546875" customWidth="1"/>
    <col min="109" max="109" width="11.5703125" bestFit="1" customWidth="1"/>
    <col min="110" max="110" width="1.42578125" customWidth="1"/>
    <col min="111" max="111" width="10" bestFit="1" customWidth="1"/>
    <col min="113" max="113" width="10" bestFit="1" customWidth="1"/>
  </cols>
  <sheetData>
    <row r="5" spans="2:114" ht="142.5" customHeight="1" x14ac:dyDescent="0.25">
      <c r="B5" s="231" t="s">
        <v>9</v>
      </c>
      <c r="C5" s="231" t="s">
        <v>10</v>
      </c>
      <c r="D5" s="231" t="s">
        <v>11</v>
      </c>
      <c r="E5" s="109"/>
      <c r="F5" s="110" t="s">
        <v>8</v>
      </c>
      <c r="G5" s="110" t="s">
        <v>12</v>
      </c>
      <c r="H5" s="111" t="s">
        <v>13</v>
      </c>
      <c r="I5" s="111" t="s">
        <v>14</v>
      </c>
      <c r="J5" s="112" t="s">
        <v>15</v>
      </c>
      <c r="K5" s="113" t="s">
        <v>16</v>
      </c>
      <c r="L5" s="111" t="s">
        <v>17</v>
      </c>
      <c r="M5" s="109" t="s">
        <v>18</v>
      </c>
      <c r="N5" s="114" t="s">
        <v>19</v>
      </c>
      <c r="O5" s="114" t="s">
        <v>20</v>
      </c>
      <c r="P5" s="114" t="s">
        <v>21</v>
      </c>
      <c r="Q5" s="111" t="s">
        <v>22</v>
      </c>
      <c r="R5" s="114" t="s">
        <v>23</v>
      </c>
      <c r="S5" s="114" t="s">
        <v>24</v>
      </c>
      <c r="T5" s="233" t="s">
        <v>25</v>
      </c>
      <c r="U5" s="234"/>
      <c r="V5" s="234"/>
      <c r="W5" s="115" t="s">
        <v>0</v>
      </c>
      <c r="X5" s="115" t="s">
        <v>25</v>
      </c>
      <c r="Y5" s="115" t="s">
        <v>26</v>
      </c>
      <c r="Z5" s="115" t="s">
        <v>27</v>
      </c>
      <c r="AA5" s="115" t="s">
        <v>28</v>
      </c>
      <c r="AB5" s="116"/>
      <c r="AC5" s="109" t="s">
        <v>29</v>
      </c>
      <c r="AD5" s="109" t="s">
        <v>30</v>
      </c>
      <c r="AE5" s="109" t="s">
        <v>31</v>
      </c>
      <c r="AF5" s="109" t="s">
        <v>32</v>
      </c>
      <c r="AG5" s="111" t="s">
        <v>33</v>
      </c>
      <c r="AH5" s="114" t="s">
        <v>23</v>
      </c>
      <c r="AI5" s="114" t="s">
        <v>34</v>
      </c>
      <c r="AJ5" s="115" t="s">
        <v>35</v>
      </c>
      <c r="AK5" s="117" t="s">
        <v>36</v>
      </c>
      <c r="AL5" s="116"/>
      <c r="AM5" s="109" t="s">
        <v>37</v>
      </c>
      <c r="AN5" s="109" t="s">
        <v>38</v>
      </c>
      <c r="AO5" s="109" t="s">
        <v>39</v>
      </c>
      <c r="AP5" s="109" t="s">
        <v>40</v>
      </c>
      <c r="AQ5" s="111" t="s">
        <v>41</v>
      </c>
      <c r="AR5" s="114" t="s">
        <v>23</v>
      </c>
      <c r="AS5" s="114" t="s">
        <v>42</v>
      </c>
      <c r="AT5" s="115" t="s">
        <v>35</v>
      </c>
      <c r="AU5" s="114" t="s">
        <v>43</v>
      </c>
      <c r="AV5" s="118"/>
      <c r="AW5" s="109" t="s">
        <v>44</v>
      </c>
      <c r="AX5" s="109" t="s">
        <v>45</v>
      </c>
      <c r="AY5" s="109" t="s">
        <v>46</v>
      </c>
      <c r="AZ5" s="109" t="s">
        <v>47</v>
      </c>
      <c r="BA5" s="111" t="s">
        <v>48</v>
      </c>
      <c r="BB5" s="114" t="s">
        <v>23</v>
      </c>
      <c r="BC5" s="114" t="s">
        <v>49</v>
      </c>
      <c r="BD5" s="119" t="s">
        <v>35</v>
      </c>
      <c r="BE5" s="114" t="s">
        <v>50</v>
      </c>
      <c r="BF5" s="114"/>
      <c r="BG5" s="109" t="s">
        <v>51</v>
      </c>
      <c r="BH5" s="109" t="s">
        <v>52</v>
      </c>
      <c r="BI5" s="109" t="s">
        <v>53</v>
      </c>
      <c r="BJ5" s="109" t="s">
        <v>54</v>
      </c>
      <c r="BK5" s="111" t="s">
        <v>55</v>
      </c>
      <c r="BL5" s="114" t="s">
        <v>23</v>
      </c>
      <c r="BM5" s="114" t="s">
        <v>56</v>
      </c>
      <c r="BN5" s="119" t="s">
        <v>35</v>
      </c>
      <c r="BO5" s="120" t="s">
        <v>57</v>
      </c>
      <c r="BP5" s="118"/>
      <c r="BQ5" s="109" t="s">
        <v>58</v>
      </c>
      <c r="BR5" s="109" t="s">
        <v>59</v>
      </c>
      <c r="BS5" s="109" t="s">
        <v>60</v>
      </c>
      <c r="BT5" s="109" t="s">
        <v>61</v>
      </c>
      <c r="BU5" s="111" t="s">
        <v>62</v>
      </c>
      <c r="BV5" s="114" t="s">
        <v>23</v>
      </c>
      <c r="BW5" s="114" t="s">
        <v>63</v>
      </c>
      <c r="BX5" s="119" t="s">
        <v>35</v>
      </c>
      <c r="BY5" s="120" t="s">
        <v>64</v>
      </c>
      <c r="BZ5" s="118"/>
      <c r="CA5" s="119" t="s">
        <v>65</v>
      </c>
      <c r="CB5" s="109" t="s">
        <v>66</v>
      </c>
      <c r="CC5" s="109" t="s">
        <v>67</v>
      </c>
      <c r="CD5" s="109" t="s">
        <v>68</v>
      </c>
      <c r="CE5" s="111" t="s">
        <v>62</v>
      </c>
      <c r="CF5" s="114" t="s">
        <v>23</v>
      </c>
      <c r="CG5" s="114" t="s">
        <v>63</v>
      </c>
      <c r="CH5" s="119" t="s">
        <v>35</v>
      </c>
      <c r="CI5" s="120" t="s">
        <v>69</v>
      </c>
      <c r="CJ5" s="118"/>
      <c r="CK5" s="116"/>
      <c r="CL5" s="109" t="s">
        <v>70</v>
      </c>
      <c r="CM5" s="109" t="s">
        <v>71</v>
      </c>
      <c r="CN5" s="109" t="s">
        <v>72</v>
      </c>
      <c r="CO5" s="109" t="s">
        <v>73</v>
      </c>
      <c r="CP5" s="111" t="s">
        <v>74</v>
      </c>
      <c r="CQ5" s="114" t="s">
        <v>23</v>
      </c>
      <c r="CR5" s="114" t="s">
        <v>75</v>
      </c>
      <c r="CS5" s="119" t="s">
        <v>35</v>
      </c>
      <c r="CT5" s="120" t="s">
        <v>76</v>
      </c>
      <c r="CU5" s="118"/>
      <c r="CV5" s="116"/>
      <c r="CW5" s="109" t="s">
        <v>77</v>
      </c>
      <c r="CX5" s="109" t="s">
        <v>78</v>
      </c>
      <c r="CY5" s="109" t="s">
        <v>79</v>
      </c>
      <c r="CZ5" s="109" t="s">
        <v>80</v>
      </c>
      <c r="DA5" s="111" t="s">
        <v>81</v>
      </c>
      <c r="DB5" s="114" t="s">
        <v>23</v>
      </c>
      <c r="DC5" s="114" t="s">
        <v>82</v>
      </c>
      <c r="DD5" s="119" t="s">
        <v>35</v>
      </c>
      <c r="DE5" s="120" t="s">
        <v>83</v>
      </c>
      <c r="DG5" s="120" t="s">
        <v>1</v>
      </c>
      <c r="DH5" s="120" t="s">
        <v>426</v>
      </c>
      <c r="DI5" s="120" t="s">
        <v>3</v>
      </c>
    </row>
    <row r="6" spans="2:114" ht="20.25" customHeight="1" x14ac:dyDescent="0.25">
      <c r="B6" s="231"/>
      <c r="C6" s="232"/>
      <c r="D6" s="232"/>
      <c r="E6" s="121"/>
      <c r="F6" s="110" t="s">
        <v>84</v>
      </c>
      <c r="G6" s="110"/>
      <c r="H6" s="110" t="s">
        <v>85</v>
      </c>
      <c r="I6" s="110" t="s">
        <v>86</v>
      </c>
      <c r="J6" s="110"/>
      <c r="K6" s="113" t="s">
        <v>87</v>
      </c>
      <c r="L6" s="110" t="s">
        <v>88</v>
      </c>
      <c r="M6" s="110" t="s">
        <v>89</v>
      </c>
      <c r="N6" s="110" t="s">
        <v>90</v>
      </c>
      <c r="O6" s="110" t="s">
        <v>91</v>
      </c>
      <c r="P6" s="110"/>
      <c r="Q6" s="110" t="s">
        <v>92</v>
      </c>
      <c r="R6" s="110" t="s">
        <v>93</v>
      </c>
      <c r="S6" s="110" t="s">
        <v>94</v>
      </c>
      <c r="T6" s="110" t="s">
        <v>95</v>
      </c>
      <c r="U6" s="110" t="s">
        <v>96</v>
      </c>
      <c r="V6" s="110" t="s">
        <v>97</v>
      </c>
      <c r="W6" s="110" t="s">
        <v>98</v>
      </c>
      <c r="X6" s="110"/>
      <c r="Y6" s="110" t="s">
        <v>99</v>
      </c>
      <c r="Z6" s="110" t="s">
        <v>100</v>
      </c>
      <c r="AA6" s="110"/>
      <c r="AB6" s="116"/>
      <c r="AC6" s="116"/>
      <c r="AD6" s="116"/>
      <c r="AE6" s="116"/>
      <c r="AF6" s="116"/>
      <c r="AG6" s="116"/>
      <c r="AH6" s="116"/>
      <c r="AI6" s="116"/>
      <c r="AJ6" s="116"/>
      <c r="AK6" s="122"/>
      <c r="AL6" s="116"/>
      <c r="AM6" s="116"/>
      <c r="AN6" s="116"/>
      <c r="AO6" s="116"/>
      <c r="AP6" s="116"/>
      <c r="AQ6" s="116"/>
      <c r="AR6" s="116"/>
      <c r="AS6" s="116"/>
      <c r="AT6" s="116"/>
      <c r="AU6" s="116"/>
      <c r="AV6" s="118"/>
      <c r="AW6" s="116"/>
      <c r="AX6" s="116"/>
      <c r="AY6" s="116"/>
      <c r="AZ6" s="116"/>
      <c r="BA6" s="116"/>
      <c r="BB6" s="116"/>
      <c r="BC6" s="116"/>
      <c r="BD6" s="123"/>
      <c r="BE6" s="116"/>
      <c r="BF6" s="116"/>
      <c r="BG6" s="116"/>
      <c r="BH6" s="116"/>
      <c r="BI6" s="116"/>
      <c r="BJ6" s="116"/>
      <c r="BK6" s="116"/>
      <c r="BL6" s="116"/>
      <c r="BM6" s="116"/>
      <c r="BN6" s="123"/>
      <c r="BO6" s="123"/>
      <c r="BP6" s="118"/>
      <c r="BQ6" s="116"/>
      <c r="BR6" s="116"/>
      <c r="BS6" s="116"/>
      <c r="BT6" s="116"/>
      <c r="BU6" s="116"/>
      <c r="BV6" s="116"/>
      <c r="BW6" s="116"/>
      <c r="BX6" s="123"/>
      <c r="BY6" s="123"/>
      <c r="BZ6" s="118"/>
      <c r="CA6" s="123"/>
      <c r="CB6" s="116"/>
      <c r="CC6" s="116"/>
      <c r="CD6" s="116"/>
      <c r="CE6" s="116"/>
      <c r="CF6" s="116"/>
      <c r="CG6" s="116"/>
      <c r="CH6" s="123"/>
      <c r="CI6" s="123"/>
      <c r="CJ6" s="118"/>
      <c r="CK6" s="118"/>
      <c r="CL6" s="123"/>
      <c r="CM6" s="116"/>
      <c r="CN6" s="116"/>
      <c r="CO6" s="116"/>
      <c r="CP6" s="116"/>
      <c r="CQ6" s="116"/>
      <c r="CR6" s="116"/>
      <c r="CS6" s="123"/>
      <c r="CT6" s="123"/>
      <c r="CU6" s="118"/>
      <c r="CV6" s="118"/>
      <c r="CW6" s="123"/>
      <c r="CX6" s="116"/>
      <c r="CY6" s="116"/>
      <c r="CZ6" s="116"/>
      <c r="DA6" s="116"/>
      <c r="DB6" s="116"/>
      <c r="DC6" s="116"/>
      <c r="DD6" s="123"/>
      <c r="DE6" s="123"/>
      <c r="DG6" s="123"/>
      <c r="DH6" s="123"/>
      <c r="DI6" s="123"/>
    </row>
    <row r="7" spans="2:114" ht="17.25" customHeight="1" x14ac:dyDescent="0.25">
      <c r="B7" s="86" t="s">
        <v>4</v>
      </c>
      <c r="C7" s="15" t="s">
        <v>332</v>
      </c>
      <c r="D7" s="15" t="s">
        <v>101</v>
      </c>
      <c r="E7" s="15" t="s">
        <v>371</v>
      </c>
      <c r="F7" s="128" t="s">
        <v>372</v>
      </c>
      <c r="G7" s="43"/>
      <c r="H7" s="17">
        <v>43357</v>
      </c>
      <c r="I7" s="19" t="s">
        <v>370</v>
      </c>
      <c r="J7" s="19">
        <v>0</v>
      </c>
      <c r="K7" s="19">
        <v>10</v>
      </c>
      <c r="L7" s="21">
        <v>10</v>
      </c>
      <c r="M7" s="23">
        <v>0</v>
      </c>
      <c r="N7" s="38"/>
      <c r="O7" s="24"/>
      <c r="P7" s="24"/>
      <c r="Q7" s="25"/>
      <c r="R7" s="26"/>
      <c r="S7" s="25"/>
      <c r="T7" s="25"/>
      <c r="U7" s="25"/>
      <c r="V7" s="25"/>
      <c r="W7" s="25"/>
      <c r="X7" s="25"/>
      <c r="Y7" s="25"/>
      <c r="Z7" s="24"/>
      <c r="AA7" s="27"/>
      <c r="AB7" s="16"/>
      <c r="AC7" s="27"/>
      <c r="AD7" s="65"/>
      <c r="AE7" s="35"/>
      <c r="AF7" s="28"/>
      <c r="AG7" s="29"/>
      <c r="AH7" s="27"/>
      <c r="AI7" s="30"/>
      <c r="AJ7" s="31"/>
      <c r="AK7" s="32"/>
      <c r="AL7" s="16"/>
      <c r="AM7" s="68"/>
      <c r="AN7" s="16"/>
      <c r="AO7" s="84"/>
      <c r="AP7" s="28"/>
      <c r="AQ7" s="29"/>
      <c r="AR7" s="27"/>
      <c r="AS7" s="30"/>
      <c r="AT7" s="16"/>
      <c r="AU7" s="16"/>
      <c r="AV7" s="4"/>
      <c r="AW7" s="68"/>
      <c r="AX7" s="16"/>
      <c r="AY7" s="11"/>
      <c r="AZ7" s="28"/>
      <c r="BA7" s="28"/>
      <c r="BB7" s="29"/>
      <c r="BC7" s="85"/>
      <c r="BD7" s="35"/>
      <c r="BE7" s="31"/>
      <c r="BF7" s="31"/>
      <c r="BG7" s="27"/>
      <c r="BH7" s="27">
        <v>156800</v>
      </c>
      <c r="BI7" s="27">
        <v>199</v>
      </c>
      <c r="BJ7" s="28"/>
      <c r="BK7" s="28">
        <v>10</v>
      </c>
      <c r="BL7" s="27">
        <v>7840</v>
      </c>
      <c r="BM7" s="30">
        <v>148960</v>
      </c>
      <c r="BN7" s="30">
        <v>8121.3808219178081</v>
      </c>
      <c r="BO7" s="35">
        <v>148678.61917808218</v>
      </c>
      <c r="BP7" s="36"/>
      <c r="BQ7" s="27">
        <v>148678.61917808218</v>
      </c>
      <c r="BR7" s="27"/>
      <c r="BS7" s="27"/>
      <c r="BT7" s="28">
        <v>0.54246575342465753</v>
      </c>
      <c r="BU7" s="29">
        <v>9.4575342465753423</v>
      </c>
      <c r="BV7" s="27">
        <v>7840</v>
      </c>
      <c r="BW7" s="30">
        <v>140838.61917808218</v>
      </c>
      <c r="BX7" s="34">
        <v>14891.684820393973</v>
      </c>
      <c r="BY7" s="35">
        <v>133786.93435768821</v>
      </c>
      <c r="BZ7" s="4"/>
      <c r="CA7" s="35">
        <v>133786.93435768821</v>
      </c>
      <c r="CB7" s="27"/>
      <c r="CC7" s="27"/>
      <c r="CD7" s="28">
        <v>1.5452054794520549</v>
      </c>
      <c r="CE7" s="29">
        <v>8.4547945205479458</v>
      </c>
      <c r="CF7" s="27">
        <v>7840</v>
      </c>
      <c r="CG7" s="30">
        <v>125946.93435768821</v>
      </c>
      <c r="CH7" s="31">
        <v>14891.684820393973</v>
      </c>
      <c r="CI7" s="35">
        <v>118895.24953729424</v>
      </c>
      <c r="CJ7" s="4"/>
      <c r="CK7" s="36">
        <v>111055.24953729424</v>
      </c>
      <c r="CL7" s="35">
        <v>118895.24953729424</v>
      </c>
      <c r="CM7" s="27"/>
      <c r="CN7" s="27"/>
      <c r="CO7" s="28">
        <v>2.5452054794520547</v>
      </c>
      <c r="CP7" s="29">
        <v>7.4547945205479458</v>
      </c>
      <c r="CQ7" s="27">
        <v>7840</v>
      </c>
      <c r="CR7" s="34">
        <v>111055.24953729424</v>
      </c>
      <c r="CS7" s="34">
        <v>14891.684820393973</v>
      </c>
      <c r="CT7" s="35">
        <v>104003.56471690026</v>
      </c>
      <c r="CU7" s="4"/>
      <c r="CV7" s="37">
        <v>96163.564716900262</v>
      </c>
      <c r="CW7" s="35">
        <v>104003.56471690026</v>
      </c>
      <c r="CX7" s="27"/>
      <c r="CY7" s="27"/>
      <c r="CZ7" s="28">
        <v>4.5452054794520551</v>
      </c>
      <c r="DA7" s="29">
        <v>5.4547945205479449</v>
      </c>
      <c r="DB7" s="27">
        <v>7840</v>
      </c>
      <c r="DC7" s="34">
        <v>96163.564716900262</v>
      </c>
      <c r="DD7" s="34">
        <v>14891.684820393973</v>
      </c>
      <c r="DE7" s="129">
        <v>89111.879896506289</v>
      </c>
      <c r="DG7" s="137">
        <v>156800</v>
      </c>
      <c r="DH7" s="137">
        <v>67688.120103493711</v>
      </c>
      <c r="DI7" s="137">
        <f t="shared" ref="DI7:DI18" si="0">DG7-DH7</f>
        <v>89111.879896506289</v>
      </c>
      <c r="DJ7" s="124">
        <f>DE7-DI7</f>
        <v>0</v>
      </c>
    </row>
    <row r="8" spans="2:114" ht="17.25" customHeight="1" x14ac:dyDescent="0.25">
      <c r="B8" s="86" t="s">
        <v>4</v>
      </c>
      <c r="C8" s="15" t="s">
        <v>332</v>
      </c>
      <c r="D8" s="15" t="s">
        <v>101</v>
      </c>
      <c r="E8" s="46" t="s">
        <v>374</v>
      </c>
      <c r="F8" s="127" t="s">
        <v>375</v>
      </c>
      <c r="G8" s="48"/>
      <c r="H8" s="49">
        <v>43449</v>
      </c>
      <c r="I8" s="19" t="s">
        <v>370</v>
      </c>
      <c r="J8" s="19">
        <v>0</v>
      </c>
      <c r="K8" s="19">
        <v>10</v>
      </c>
      <c r="L8" s="21">
        <v>10</v>
      </c>
      <c r="M8" s="23">
        <v>0</v>
      </c>
      <c r="N8" s="55"/>
      <c r="O8" s="56"/>
      <c r="P8" s="56"/>
      <c r="Q8" s="57"/>
      <c r="R8" s="58"/>
      <c r="S8" s="57"/>
      <c r="T8" s="57"/>
      <c r="U8" s="57"/>
      <c r="V8" s="57"/>
      <c r="W8" s="57"/>
      <c r="X8" s="57"/>
      <c r="Y8" s="57"/>
      <c r="Z8" s="56"/>
      <c r="AA8" s="59"/>
      <c r="AB8" s="60"/>
      <c r="AC8" s="59"/>
      <c r="AD8" s="80"/>
      <c r="AE8" s="81"/>
      <c r="AF8" s="82"/>
      <c r="AG8" s="61"/>
      <c r="AH8" s="59"/>
      <c r="AI8" s="62"/>
      <c r="AJ8" s="63"/>
      <c r="AK8" s="83"/>
      <c r="AL8" s="60"/>
      <c r="AM8" s="90"/>
      <c r="AN8" s="60"/>
      <c r="AO8" s="91"/>
      <c r="AP8" s="82"/>
      <c r="AQ8" s="61"/>
      <c r="AR8" s="59"/>
      <c r="AS8" s="62"/>
      <c r="AT8" s="60"/>
      <c r="AU8" s="60"/>
      <c r="AV8" s="4"/>
      <c r="AW8" s="90"/>
      <c r="AX8" s="60"/>
      <c r="AY8" s="92"/>
      <c r="AZ8" s="82"/>
      <c r="BA8" s="82"/>
      <c r="BB8" s="61"/>
      <c r="BC8" s="93"/>
      <c r="BD8" s="81"/>
      <c r="BE8" s="63"/>
      <c r="BF8" s="63"/>
      <c r="BG8" s="59"/>
      <c r="BH8" s="59">
        <v>22400</v>
      </c>
      <c r="BI8" s="27">
        <v>107</v>
      </c>
      <c r="BJ8" s="82"/>
      <c r="BK8" s="28">
        <v>10</v>
      </c>
      <c r="BL8" s="27">
        <v>1120</v>
      </c>
      <c r="BM8" s="30">
        <v>21280</v>
      </c>
      <c r="BN8" s="30">
        <v>623.82465753424663</v>
      </c>
      <c r="BO8" s="35">
        <v>21776.175342465755</v>
      </c>
      <c r="BP8" s="36"/>
      <c r="BQ8" s="59">
        <v>21776.175342465755</v>
      </c>
      <c r="BR8" s="59"/>
      <c r="BS8" s="27"/>
      <c r="BT8" s="28">
        <v>0.29041095890410956</v>
      </c>
      <c r="BU8" s="29">
        <v>9.7095890410958905</v>
      </c>
      <c r="BV8" s="27">
        <v>1120</v>
      </c>
      <c r="BW8" s="30">
        <v>20656.175342465755</v>
      </c>
      <c r="BX8" s="34">
        <v>2127.3995485327314</v>
      </c>
      <c r="BY8" s="35">
        <v>19648.775793933022</v>
      </c>
      <c r="BZ8" s="4"/>
      <c r="CA8" s="81">
        <v>19648.775793933022</v>
      </c>
      <c r="CB8" s="59"/>
      <c r="CC8" s="27"/>
      <c r="CD8" s="28">
        <v>1.2931506849315069</v>
      </c>
      <c r="CE8" s="29">
        <v>8.7068493150684922</v>
      </c>
      <c r="CF8" s="27">
        <v>1120</v>
      </c>
      <c r="CG8" s="30">
        <v>18528.775793933022</v>
      </c>
      <c r="CH8" s="31">
        <v>2127.3995485327314</v>
      </c>
      <c r="CI8" s="35">
        <v>17521.37624540029</v>
      </c>
      <c r="CJ8" s="4"/>
      <c r="CK8" s="36">
        <v>16401.37624540029</v>
      </c>
      <c r="CL8" s="35">
        <v>17521.37624540029</v>
      </c>
      <c r="CM8" s="59"/>
      <c r="CN8" s="27"/>
      <c r="CO8" s="28">
        <v>2.2931506849315069</v>
      </c>
      <c r="CP8" s="29">
        <v>7.7068493150684931</v>
      </c>
      <c r="CQ8" s="27">
        <v>1120</v>
      </c>
      <c r="CR8" s="34">
        <v>16401.37624540029</v>
      </c>
      <c r="CS8" s="34">
        <v>2127.3995485327314</v>
      </c>
      <c r="CT8" s="35">
        <v>15393.976696867558</v>
      </c>
      <c r="CU8" s="4"/>
      <c r="CV8" s="37">
        <v>14273.976696867558</v>
      </c>
      <c r="CW8" s="35">
        <v>15393.976696867558</v>
      </c>
      <c r="CX8" s="59"/>
      <c r="CY8" s="27"/>
      <c r="CZ8" s="28">
        <v>4.2931506849315069</v>
      </c>
      <c r="DA8" s="29">
        <v>5.7068493150684931</v>
      </c>
      <c r="DB8" s="27">
        <v>1120</v>
      </c>
      <c r="DC8" s="34">
        <v>14273.976696867558</v>
      </c>
      <c r="DD8" s="34">
        <v>2127.3995485327314</v>
      </c>
      <c r="DE8" s="129">
        <v>13266.577148334825</v>
      </c>
      <c r="DG8" s="137">
        <v>22400</v>
      </c>
      <c r="DH8" s="137">
        <v>9133.422851665171</v>
      </c>
      <c r="DI8" s="137">
        <f t="shared" si="0"/>
        <v>13266.577148334829</v>
      </c>
      <c r="DJ8" s="124">
        <f t="shared" ref="DJ8:DJ18" si="1">DE8-DI8</f>
        <v>0</v>
      </c>
    </row>
    <row r="9" spans="2:114" ht="17.25" customHeight="1" x14ac:dyDescent="0.25">
      <c r="B9" s="86" t="s">
        <v>4</v>
      </c>
      <c r="C9" s="15" t="s">
        <v>332</v>
      </c>
      <c r="D9" s="15" t="s">
        <v>101</v>
      </c>
      <c r="E9" s="46" t="s">
        <v>378</v>
      </c>
      <c r="F9" s="127" t="s">
        <v>379</v>
      </c>
      <c r="G9" s="47"/>
      <c r="H9" s="49">
        <v>43564</v>
      </c>
      <c r="I9" s="19" t="s">
        <v>380</v>
      </c>
      <c r="J9" s="19">
        <v>0</v>
      </c>
      <c r="K9" s="19">
        <v>10</v>
      </c>
      <c r="L9" s="21">
        <v>10</v>
      </c>
      <c r="M9" s="54"/>
      <c r="N9" s="55"/>
      <c r="O9" s="56"/>
      <c r="P9" s="56"/>
      <c r="Q9" s="57"/>
      <c r="R9" s="58"/>
      <c r="S9" s="57"/>
      <c r="T9" s="57"/>
      <c r="U9" s="57"/>
      <c r="V9" s="57"/>
      <c r="W9" s="57"/>
      <c r="X9" s="57"/>
      <c r="Y9" s="57"/>
      <c r="Z9" s="56"/>
      <c r="AA9" s="59"/>
      <c r="AB9" s="60"/>
      <c r="AC9" s="59"/>
      <c r="AD9" s="80"/>
      <c r="AE9" s="81"/>
      <c r="AF9" s="82"/>
      <c r="AG9" s="61"/>
      <c r="AH9" s="59"/>
      <c r="AI9" s="62"/>
      <c r="AJ9" s="63"/>
      <c r="AK9" s="83"/>
      <c r="AL9" s="60"/>
      <c r="AM9" s="90"/>
      <c r="AN9" s="60"/>
      <c r="AO9" s="91"/>
      <c r="AP9" s="82"/>
      <c r="AQ9" s="61"/>
      <c r="AR9" s="59"/>
      <c r="AS9" s="62"/>
      <c r="AT9" s="60"/>
      <c r="AU9" s="60"/>
      <c r="AV9" s="4"/>
      <c r="AW9" s="90"/>
      <c r="AX9" s="60"/>
      <c r="AY9" s="91"/>
      <c r="AZ9" s="82"/>
      <c r="BA9" s="61"/>
      <c r="BB9" s="59"/>
      <c r="BC9" s="62"/>
      <c r="BD9" s="81"/>
      <c r="BE9" s="60"/>
      <c r="BF9" s="60"/>
      <c r="BG9" s="90"/>
      <c r="BH9" s="60"/>
      <c r="BI9" s="27"/>
      <c r="BJ9" s="82"/>
      <c r="BK9" s="28"/>
      <c r="BL9" s="27"/>
      <c r="BM9" s="30"/>
      <c r="BN9" s="30"/>
      <c r="BO9" s="35"/>
      <c r="BP9" s="4"/>
      <c r="BQ9" s="90"/>
      <c r="BR9" s="81">
        <v>670000</v>
      </c>
      <c r="BS9" s="27">
        <v>358</v>
      </c>
      <c r="BT9" s="28"/>
      <c r="BU9" s="29">
        <v>10</v>
      </c>
      <c r="BV9" s="35">
        <v>33500</v>
      </c>
      <c r="BW9" s="30">
        <v>636500</v>
      </c>
      <c r="BX9" s="34">
        <v>62429.315068493146</v>
      </c>
      <c r="BY9" s="35">
        <v>607570.68493150687</v>
      </c>
      <c r="BZ9" s="4"/>
      <c r="CA9" s="81">
        <v>607570.68493150687</v>
      </c>
      <c r="CB9" s="81"/>
      <c r="CC9" s="27"/>
      <c r="CD9" s="28">
        <v>0.9780821917808219</v>
      </c>
      <c r="CE9" s="28">
        <v>9.0219178082191789</v>
      </c>
      <c r="CF9" s="27">
        <v>33500</v>
      </c>
      <c r="CG9" s="27">
        <v>574070.68493150687</v>
      </c>
      <c r="CH9" s="34">
        <v>63630.671120558756</v>
      </c>
      <c r="CI9" s="34">
        <v>543940.01381094812</v>
      </c>
      <c r="CJ9" s="4"/>
      <c r="CK9" s="36">
        <v>510440.01381094812</v>
      </c>
      <c r="CL9" s="35">
        <v>543940.01381094812</v>
      </c>
      <c r="CM9" s="81"/>
      <c r="CN9" s="27"/>
      <c r="CO9" s="28">
        <v>1.978082191780822</v>
      </c>
      <c r="CP9" s="29">
        <v>8.0219178082191789</v>
      </c>
      <c r="CQ9" s="27">
        <v>33500</v>
      </c>
      <c r="CR9" s="34">
        <v>510440.01381094812</v>
      </c>
      <c r="CS9" s="34">
        <v>63630.671120558756</v>
      </c>
      <c r="CT9" s="35">
        <v>480309.34269038937</v>
      </c>
      <c r="CU9" s="4"/>
      <c r="CV9" s="37">
        <v>446809.34269038937</v>
      </c>
      <c r="CW9" s="35">
        <v>480309.34269038937</v>
      </c>
      <c r="CX9" s="81"/>
      <c r="CY9" s="27"/>
      <c r="CZ9" s="28">
        <v>3.978082191780822</v>
      </c>
      <c r="DA9" s="29">
        <v>6.021917808219178</v>
      </c>
      <c r="DB9" s="27">
        <v>33500</v>
      </c>
      <c r="DC9" s="34">
        <v>446809.34269038937</v>
      </c>
      <c r="DD9" s="34">
        <v>63630.671120558756</v>
      </c>
      <c r="DE9" s="129">
        <v>416678.67156983062</v>
      </c>
      <c r="DG9" s="137">
        <v>670000</v>
      </c>
      <c r="DH9" s="137">
        <v>253321.32843016941</v>
      </c>
      <c r="DI9" s="137">
        <f t="shared" si="0"/>
        <v>416678.67156983062</v>
      </c>
      <c r="DJ9" s="124">
        <f t="shared" si="1"/>
        <v>0</v>
      </c>
    </row>
    <row r="10" spans="2:114" ht="17.25" customHeight="1" x14ac:dyDescent="0.25">
      <c r="B10" s="94" t="s">
        <v>4</v>
      </c>
      <c r="C10" s="46" t="s">
        <v>332</v>
      </c>
      <c r="D10" s="46" t="s">
        <v>101</v>
      </c>
      <c r="E10" s="46" t="s">
        <v>386</v>
      </c>
      <c r="F10" s="127" t="s">
        <v>387</v>
      </c>
      <c r="G10" s="47"/>
      <c r="H10" s="49">
        <v>44348</v>
      </c>
      <c r="I10" s="51" t="s">
        <v>388</v>
      </c>
      <c r="J10" s="51">
        <v>0</v>
      </c>
      <c r="K10" s="51">
        <v>10</v>
      </c>
      <c r="L10" s="53">
        <v>10</v>
      </c>
      <c r="M10" s="54"/>
      <c r="N10" s="55"/>
      <c r="O10" s="56"/>
      <c r="P10" s="56"/>
      <c r="Q10" s="57"/>
      <c r="R10" s="58"/>
      <c r="S10" s="57"/>
      <c r="T10" s="57"/>
      <c r="U10" s="57"/>
      <c r="V10" s="57"/>
      <c r="W10" s="57"/>
      <c r="X10" s="57"/>
      <c r="Y10" s="57"/>
      <c r="Z10" s="56"/>
      <c r="AA10" s="59"/>
      <c r="AB10" s="60"/>
      <c r="AC10" s="59"/>
      <c r="AD10" s="80"/>
      <c r="AE10" s="81"/>
      <c r="AF10" s="82"/>
      <c r="AG10" s="61"/>
      <c r="AH10" s="59"/>
      <c r="AI10" s="62"/>
      <c r="AJ10" s="63"/>
      <c r="AK10" s="83"/>
      <c r="AL10" s="60"/>
      <c r="AM10" s="90"/>
      <c r="AN10" s="60"/>
      <c r="AO10" s="91"/>
      <c r="AP10" s="82"/>
      <c r="AQ10" s="61"/>
      <c r="AR10" s="59"/>
      <c r="AS10" s="62"/>
      <c r="AT10" s="60"/>
      <c r="AU10" s="60"/>
      <c r="AV10" s="4"/>
      <c r="AW10" s="90"/>
      <c r="AX10" s="60"/>
      <c r="AY10" s="91"/>
      <c r="AZ10" s="82"/>
      <c r="BA10" s="61"/>
      <c r="BB10" s="59"/>
      <c r="BC10" s="62"/>
      <c r="BD10" s="81"/>
      <c r="BE10" s="60"/>
      <c r="BF10" s="60"/>
      <c r="BG10" s="90"/>
      <c r="BH10" s="60"/>
      <c r="BI10" s="59"/>
      <c r="BJ10" s="82"/>
      <c r="BK10" s="82"/>
      <c r="BL10" s="59"/>
      <c r="BM10" s="62"/>
      <c r="BN10" s="62"/>
      <c r="BO10" s="81"/>
      <c r="BP10" s="4"/>
      <c r="BQ10" s="90"/>
      <c r="BR10" s="81"/>
      <c r="BS10" s="59"/>
      <c r="BT10" s="82"/>
      <c r="BU10" s="61"/>
      <c r="BV10" s="81"/>
      <c r="BW10" s="62"/>
      <c r="BX10" s="95"/>
      <c r="BY10" s="81"/>
      <c r="BZ10" s="4"/>
      <c r="CA10" s="81"/>
      <c r="CB10" s="81"/>
      <c r="CC10" s="59"/>
      <c r="CD10" s="28"/>
      <c r="CE10" s="28"/>
      <c r="CF10" s="59"/>
      <c r="CG10" s="59"/>
      <c r="CH10" s="95"/>
      <c r="CI10" s="95"/>
      <c r="CJ10" s="4"/>
      <c r="CK10" s="36"/>
      <c r="CL10" s="35"/>
      <c r="CM10" s="81">
        <v>249698</v>
      </c>
      <c r="CN10" s="59">
        <v>304</v>
      </c>
      <c r="CO10" s="28"/>
      <c r="CP10" s="29">
        <v>10</v>
      </c>
      <c r="CQ10" s="27">
        <v>12484.900000000001</v>
      </c>
      <c r="CR10" s="34">
        <v>237213.1</v>
      </c>
      <c r="CS10" s="34">
        <v>19756.926684931506</v>
      </c>
      <c r="CT10" s="35">
        <v>229941.0733150685</v>
      </c>
      <c r="CU10" s="4"/>
      <c r="CV10" s="37">
        <v>217456.1733150685</v>
      </c>
      <c r="CW10" s="35">
        <f>CT10</f>
        <v>229941.0733150685</v>
      </c>
      <c r="CX10" s="81"/>
      <c r="CY10" s="59"/>
      <c r="CZ10" s="28">
        <v>1.8301369863013699</v>
      </c>
      <c r="DA10" s="29">
        <v>8.169863013698631</v>
      </c>
      <c r="DB10" s="27">
        <v>10872.808665753426</v>
      </c>
      <c r="DC10" s="34">
        <v>206583.36464931507</v>
      </c>
      <c r="DD10" s="34">
        <v>25286.025518779341</v>
      </c>
      <c r="DE10" s="129">
        <f>CW10-DD10</f>
        <v>204655.04779628915</v>
      </c>
      <c r="DG10" s="137">
        <v>249698</v>
      </c>
      <c r="DH10" s="137">
        <v>45042.952203710847</v>
      </c>
      <c r="DI10" s="137">
        <f t="shared" si="0"/>
        <v>204655.04779628915</v>
      </c>
      <c r="DJ10" s="124">
        <f t="shared" si="1"/>
        <v>0</v>
      </c>
    </row>
    <row r="11" spans="2:114" ht="17.25" customHeight="1" x14ac:dyDescent="0.25">
      <c r="B11" s="86" t="s">
        <v>4</v>
      </c>
      <c r="C11" s="15" t="s">
        <v>332</v>
      </c>
      <c r="D11" s="15" t="s">
        <v>101</v>
      </c>
      <c r="E11" s="15" t="s">
        <v>396</v>
      </c>
      <c r="F11" s="128" t="s">
        <v>397</v>
      </c>
      <c r="G11" s="42"/>
      <c r="H11" s="17">
        <v>44697</v>
      </c>
      <c r="I11" s="19" t="s">
        <v>393</v>
      </c>
      <c r="J11" s="19">
        <v>0</v>
      </c>
      <c r="K11" s="19">
        <v>10</v>
      </c>
      <c r="L11" s="21">
        <v>10</v>
      </c>
      <c r="M11" s="23"/>
      <c r="N11" s="38"/>
      <c r="O11" s="24"/>
      <c r="P11" s="24"/>
      <c r="Q11" s="25"/>
      <c r="R11" s="26"/>
      <c r="S11" s="25"/>
      <c r="T11" s="25"/>
      <c r="U11" s="25"/>
      <c r="V11" s="25"/>
      <c r="W11" s="25"/>
      <c r="X11" s="25"/>
      <c r="Y11" s="25"/>
      <c r="Z11" s="24"/>
      <c r="AA11" s="27"/>
      <c r="AB11" s="16"/>
      <c r="AC11" s="27"/>
      <c r="AD11" s="65"/>
      <c r="AE11" s="35"/>
      <c r="AF11" s="28"/>
      <c r="AG11" s="29"/>
      <c r="AH11" s="27"/>
      <c r="AI11" s="30"/>
      <c r="AJ11" s="31"/>
      <c r="AK11" s="96"/>
      <c r="AL11" s="16"/>
      <c r="AM11" s="68"/>
      <c r="AN11" s="16"/>
      <c r="AO11" s="84"/>
      <c r="AP11" s="28"/>
      <c r="AQ11" s="29"/>
      <c r="AR11" s="27"/>
      <c r="AS11" s="30"/>
      <c r="AT11" s="16"/>
      <c r="AU11" s="16"/>
      <c r="AV11" s="16"/>
      <c r="AW11" s="68"/>
      <c r="AX11" s="16"/>
      <c r="AY11" s="84"/>
      <c r="AZ11" s="28"/>
      <c r="BA11" s="29"/>
      <c r="BB11" s="27"/>
      <c r="BC11" s="30"/>
      <c r="BD11" s="35"/>
      <c r="BE11" s="16"/>
      <c r="BF11" s="16"/>
      <c r="BG11" s="68"/>
      <c r="BH11" s="16"/>
      <c r="BI11" s="27"/>
      <c r="BJ11" s="28"/>
      <c r="BK11" s="28"/>
      <c r="BL11" s="27"/>
      <c r="BM11" s="30"/>
      <c r="BN11" s="30"/>
      <c r="BO11" s="35"/>
      <c r="BP11" s="16"/>
      <c r="BQ11" s="68"/>
      <c r="BR11" s="35"/>
      <c r="BS11" s="27"/>
      <c r="BT11" s="28"/>
      <c r="BU11" s="29"/>
      <c r="BV11" s="35"/>
      <c r="BW11" s="30"/>
      <c r="BX11" s="34"/>
      <c r="BY11" s="35"/>
      <c r="BZ11" s="16"/>
      <c r="CA11" s="35"/>
      <c r="CB11" s="35"/>
      <c r="CC11" s="27"/>
      <c r="CD11" s="28"/>
      <c r="CE11" s="28"/>
      <c r="CF11" s="27"/>
      <c r="CG11" s="27"/>
      <c r="CH11" s="34"/>
      <c r="CI11" s="34"/>
      <c r="CJ11" s="16"/>
      <c r="CK11" s="27"/>
      <c r="CL11" s="35"/>
      <c r="CM11" s="35"/>
      <c r="CN11" s="27"/>
      <c r="CO11" s="28"/>
      <c r="CP11" s="29"/>
      <c r="CQ11" s="27"/>
      <c r="CR11" s="34"/>
      <c r="CS11" s="34"/>
      <c r="CT11" s="35"/>
      <c r="CU11" s="16"/>
      <c r="CV11" s="35"/>
      <c r="CW11" s="35"/>
      <c r="CX11" s="35">
        <v>408000</v>
      </c>
      <c r="CY11" s="59">
        <v>320</v>
      </c>
      <c r="CZ11" s="28">
        <v>0.87397260273972599</v>
      </c>
      <c r="DA11" s="29">
        <v>9.1260273972602732</v>
      </c>
      <c r="DB11" s="27">
        <v>20400</v>
      </c>
      <c r="DC11" s="34">
        <v>387600</v>
      </c>
      <c r="DD11" s="34">
        <v>37235.664965475844</v>
      </c>
      <c r="DE11" s="129">
        <v>370764.33503452415</v>
      </c>
      <c r="DG11" s="137">
        <v>408000</v>
      </c>
      <c r="DH11" s="137">
        <v>37235.664965475844</v>
      </c>
      <c r="DI11" s="137">
        <f t="shared" si="0"/>
        <v>370764.33503452415</v>
      </c>
      <c r="DJ11" s="124">
        <f t="shared" si="1"/>
        <v>0</v>
      </c>
    </row>
    <row r="12" spans="2:114" ht="17.25" customHeight="1" x14ac:dyDescent="0.25">
      <c r="B12" s="86" t="s">
        <v>4</v>
      </c>
      <c r="C12" s="15" t="s">
        <v>332</v>
      </c>
      <c r="D12" s="15" t="s">
        <v>101</v>
      </c>
      <c r="E12" s="15" t="s">
        <v>400</v>
      </c>
      <c r="F12" s="128" t="s">
        <v>401</v>
      </c>
      <c r="G12" s="42"/>
      <c r="H12" s="17">
        <v>44980</v>
      </c>
      <c r="I12" s="19" t="s">
        <v>393</v>
      </c>
      <c r="J12" s="19"/>
      <c r="K12" s="19">
        <v>10</v>
      </c>
      <c r="L12" s="21">
        <v>10</v>
      </c>
      <c r="M12" s="23"/>
      <c r="N12" s="38"/>
      <c r="O12" s="24"/>
      <c r="P12" s="24"/>
      <c r="Q12" s="25"/>
      <c r="R12" s="26"/>
      <c r="S12" s="25"/>
      <c r="T12" s="25"/>
      <c r="U12" s="25"/>
      <c r="V12" s="25"/>
      <c r="W12" s="25"/>
      <c r="X12" s="25"/>
      <c r="Y12" s="25"/>
      <c r="Z12" s="24"/>
      <c r="AA12" s="27"/>
      <c r="AB12" s="16"/>
      <c r="AC12" s="27"/>
      <c r="AD12" s="65"/>
      <c r="AE12" s="35"/>
      <c r="AF12" s="28"/>
      <c r="AG12" s="29"/>
      <c r="AH12" s="27"/>
      <c r="AI12" s="30"/>
      <c r="AJ12" s="31"/>
      <c r="AK12" s="96"/>
      <c r="AL12" s="16"/>
      <c r="AM12" s="68"/>
      <c r="AN12" s="16"/>
      <c r="AO12" s="84"/>
      <c r="AP12" s="28"/>
      <c r="AQ12" s="29"/>
      <c r="AR12" s="27"/>
      <c r="AS12" s="30"/>
      <c r="AT12" s="16"/>
      <c r="AU12" s="16"/>
      <c r="AV12" s="16"/>
      <c r="AW12" s="68"/>
      <c r="AX12" s="16"/>
      <c r="AY12" s="84"/>
      <c r="AZ12" s="28"/>
      <c r="BA12" s="29"/>
      <c r="BB12" s="27"/>
      <c r="BC12" s="30"/>
      <c r="BD12" s="35"/>
      <c r="BE12" s="16"/>
      <c r="BF12" s="16"/>
      <c r="BG12" s="68"/>
      <c r="BH12" s="16"/>
      <c r="BI12" s="27"/>
      <c r="BJ12" s="28"/>
      <c r="BK12" s="28"/>
      <c r="BL12" s="27"/>
      <c r="BM12" s="30"/>
      <c r="BN12" s="30"/>
      <c r="BO12" s="35"/>
      <c r="BP12" s="16"/>
      <c r="BQ12" s="68"/>
      <c r="BR12" s="35"/>
      <c r="BS12" s="27"/>
      <c r="BT12" s="28"/>
      <c r="BU12" s="29"/>
      <c r="BV12" s="35"/>
      <c r="BW12" s="30"/>
      <c r="BX12" s="34"/>
      <c r="BY12" s="35"/>
      <c r="BZ12" s="16"/>
      <c r="CA12" s="35"/>
      <c r="CB12" s="35"/>
      <c r="CC12" s="27"/>
      <c r="CD12" s="28"/>
      <c r="CE12" s="28"/>
      <c r="CF12" s="27"/>
      <c r="CG12" s="27"/>
      <c r="CH12" s="34"/>
      <c r="CI12" s="34"/>
      <c r="CJ12" s="16"/>
      <c r="CK12" s="27"/>
      <c r="CL12" s="35"/>
      <c r="CM12" s="35"/>
      <c r="CN12" s="27"/>
      <c r="CO12" s="28"/>
      <c r="CP12" s="29"/>
      <c r="CQ12" s="27"/>
      <c r="CR12" s="34"/>
      <c r="CS12" s="34"/>
      <c r="CT12" s="35"/>
      <c r="CU12" s="16"/>
      <c r="CV12" s="35"/>
      <c r="CW12" s="35"/>
      <c r="CX12" s="35">
        <v>393500</v>
      </c>
      <c r="CY12" s="59">
        <v>37</v>
      </c>
      <c r="CZ12" s="28">
        <v>9.8630136986301367E-2</v>
      </c>
      <c r="DA12" s="29">
        <v>9.9013698630136986</v>
      </c>
      <c r="DB12" s="27">
        <v>19675</v>
      </c>
      <c r="DC12" s="34">
        <v>373825</v>
      </c>
      <c r="DD12" s="34">
        <v>3827.2066961815167</v>
      </c>
      <c r="DE12" s="129">
        <v>389672.7933038185</v>
      </c>
      <c r="DG12" s="137">
        <v>393500</v>
      </c>
      <c r="DH12" s="137">
        <v>3827.2066961815167</v>
      </c>
      <c r="DI12" s="137">
        <f t="shared" si="0"/>
        <v>389672.7933038185</v>
      </c>
      <c r="DJ12" s="124">
        <f t="shared" si="1"/>
        <v>0</v>
      </c>
    </row>
    <row r="13" spans="2:114" ht="17.25" customHeight="1" x14ac:dyDescent="0.25">
      <c r="B13" s="86" t="s">
        <v>4</v>
      </c>
      <c r="C13" s="15" t="s">
        <v>332</v>
      </c>
      <c r="D13" s="15" t="s">
        <v>101</v>
      </c>
      <c r="E13" s="15" t="s">
        <v>402</v>
      </c>
      <c r="F13" s="128" t="s">
        <v>403</v>
      </c>
      <c r="G13" s="42"/>
      <c r="H13" s="17">
        <v>44984</v>
      </c>
      <c r="I13" s="19" t="s">
        <v>393</v>
      </c>
      <c r="J13" s="19"/>
      <c r="K13" s="19">
        <v>10</v>
      </c>
      <c r="L13" s="21">
        <v>10</v>
      </c>
      <c r="M13" s="23"/>
      <c r="N13" s="38"/>
      <c r="O13" s="24"/>
      <c r="P13" s="24"/>
      <c r="Q13" s="25"/>
      <c r="R13" s="26"/>
      <c r="S13" s="25"/>
      <c r="T13" s="25"/>
      <c r="U13" s="25"/>
      <c r="V13" s="25"/>
      <c r="W13" s="25"/>
      <c r="X13" s="25"/>
      <c r="Y13" s="25"/>
      <c r="Z13" s="24"/>
      <c r="AA13" s="27"/>
      <c r="AB13" s="16"/>
      <c r="AC13" s="27"/>
      <c r="AD13" s="65"/>
      <c r="AE13" s="35"/>
      <c r="AF13" s="28"/>
      <c r="AG13" s="29"/>
      <c r="AH13" s="27"/>
      <c r="AI13" s="30"/>
      <c r="AJ13" s="31"/>
      <c r="AK13" s="96"/>
      <c r="AL13" s="16"/>
      <c r="AM13" s="68"/>
      <c r="AN13" s="16"/>
      <c r="AO13" s="84"/>
      <c r="AP13" s="28"/>
      <c r="AQ13" s="29"/>
      <c r="AR13" s="27"/>
      <c r="AS13" s="30"/>
      <c r="AT13" s="16"/>
      <c r="AU13" s="16"/>
      <c r="AV13" s="16"/>
      <c r="AW13" s="68"/>
      <c r="AX13" s="16"/>
      <c r="AY13" s="84"/>
      <c r="AZ13" s="28"/>
      <c r="BA13" s="29"/>
      <c r="BB13" s="27"/>
      <c r="BC13" s="30"/>
      <c r="BD13" s="35"/>
      <c r="BE13" s="16"/>
      <c r="BF13" s="16"/>
      <c r="BG13" s="68"/>
      <c r="BH13" s="16"/>
      <c r="BI13" s="27"/>
      <c r="BJ13" s="28"/>
      <c r="BK13" s="28"/>
      <c r="BL13" s="27"/>
      <c r="BM13" s="30"/>
      <c r="BN13" s="30"/>
      <c r="BO13" s="35"/>
      <c r="BP13" s="16"/>
      <c r="BQ13" s="68"/>
      <c r="BR13" s="35"/>
      <c r="BS13" s="27"/>
      <c r="BT13" s="28"/>
      <c r="BU13" s="29"/>
      <c r="BV13" s="35"/>
      <c r="BW13" s="30"/>
      <c r="BX13" s="34"/>
      <c r="BY13" s="35"/>
      <c r="BZ13" s="16"/>
      <c r="CA13" s="35"/>
      <c r="CB13" s="35"/>
      <c r="CC13" s="27"/>
      <c r="CD13" s="28"/>
      <c r="CE13" s="28"/>
      <c r="CF13" s="27"/>
      <c r="CG13" s="27"/>
      <c r="CH13" s="34"/>
      <c r="CI13" s="34"/>
      <c r="CJ13" s="16"/>
      <c r="CK13" s="27"/>
      <c r="CL13" s="35"/>
      <c r="CM13" s="35"/>
      <c r="CN13" s="27"/>
      <c r="CO13" s="28"/>
      <c r="CP13" s="29"/>
      <c r="CQ13" s="27"/>
      <c r="CR13" s="34"/>
      <c r="CS13" s="34"/>
      <c r="CT13" s="35"/>
      <c r="CU13" s="16"/>
      <c r="CV13" s="35"/>
      <c r="CW13" s="35"/>
      <c r="CX13" s="35">
        <v>66800</v>
      </c>
      <c r="CY13" s="59">
        <v>33</v>
      </c>
      <c r="CZ13" s="28">
        <v>8.7671232876712329E-2</v>
      </c>
      <c r="DA13" s="29">
        <v>9.912328767123288</v>
      </c>
      <c r="DB13" s="27">
        <v>3340</v>
      </c>
      <c r="DC13" s="34">
        <v>63460</v>
      </c>
      <c r="DD13" s="34">
        <v>578.8225538971808</v>
      </c>
      <c r="DE13" s="129">
        <v>66221.177446102825</v>
      </c>
      <c r="DG13" s="137">
        <v>66800</v>
      </c>
      <c r="DH13" s="137">
        <v>578.8225538971808</v>
      </c>
      <c r="DI13" s="137">
        <f t="shared" si="0"/>
        <v>66221.177446102825</v>
      </c>
      <c r="DJ13" s="124">
        <f t="shared" si="1"/>
        <v>0</v>
      </c>
    </row>
    <row r="14" spans="2:114" ht="17.25" customHeight="1" x14ac:dyDescent="0.25">
      <c r="B14" s="86" t="s">
        <v>4</v>
      </c>
      <c r="C14" s="15" t="s">
        <v>332</v>
      </c>
      <c r="D14" s="15" t="s">
        <v>101</v>
      </c>
      <c r="E14" s="15" t="s">
        <v>406</v>
      </c>
      <c r="F14" s="128" t="s">
        <v>150</v>
      </c>
      <c r="G14" s="42"/>
      <c r="H14" s="17">
        <v>44984</v>
      </c>
      <c r="I14" s="19" t="s">
        <v>393</v>
      </c>
      <c r="J14" s="19"/>
      <c r="K14" s="19">
        <v>10</v>
      </c>
      <c r="L14" s="21">
        <v>10</v>
      </c>
      <c r="M14" s="23"/>
      <c r="N14" s="38"/>
      <c r="O14" s="24"/>
      <c r="P14" s="24"/>
      <c r="Q14" s="25"/>
      <c r="R14" s="26"/>
      <c r="S14" s="25"/>
      <c r="T14" s="25"/>
      <c r="U14" s="25"/>
      <c r="V14" s="25"/>
      <c r="W14" s="25"/>
      <c r="X14" s="25"/>
      <c r="Y14" s="25"/>
      <c r="Z14" s="24"/>
      <c r="AA14" s="27"/>
      <c r="AB14" s="16"/>
      <c r="AC14" s="27"/>
      <c r="AD14" s="65"/>
      <c r="AE14" s="35"/>
      <c r="AF14" s="28"/>
      <c r="AG14" s="29"/>
      <c r="AH14" s="27"/>
      <c r="AI14" s="30"/>
      <c r="AJ14" s="31"/>
      <c r="AK14" s="96"/>
      <c r="AL14" s="16"/>
      <c r="AM14" s="68"/>
      <c r="AN14" s="16"/>
      <c r="AO14" s="84"/>
      <c r="AP14" s="28"/>
      <c r="AQ14" s="29"/>
      <c r="AR14" s="27"/>
      <c r="AS14" s="30"/>
      <c r="AT14" s="16"/>
      <c r="AU14" s="16"/>
      <c r="AV14" s="16"/>
      <c r="AW14" s="68"/>
      <c r="AX14" s="16"/>
      <c r="AY14" s="84"/>
      <c r="AZ14" s="28"/>
      <c r="BA14" s="29"/>
      <c r="BB14" s="27"/>
      <c r="BC14" s="30"/>
      <c r="BD14" s="35"/>
      <c r="BE14" s="16"/>
      <c r="BF14" s="16"/>
      <c r="BG14" s="68"/>
      <c r="BH14" s="16"/>
      <c r="BI14" s="27"/>
      <c r="BJ14" s="28"/>
      <c r="BK14" s="28"/>
      <c r="BL14" s="27"/>
      <c r="BM14" s="30"/>
      <c r="BN14" s="30"/>
      <c r="BO14" s="35"/>
      <c r="BP14" s="16"/>
      <c r="BQ14" s="68"/>
      <c r="BR14" s="35"/>
      <c r="BS14" s="27"/>
      <c r="BT14" s="28"/>
      <c r="BU14" s="29"/>
      <c r="BV14" s="35"/>
      <c r="BW14" s="30"/>
      <c r="BX14" s="34"/>
      <c r="BY14" s="35"/>
      <c r="BZ14" s="16"/>
      <c r="CA14" s="35"/>
      <c r="CB14" s="35"/>
      <c r="CC14" s="27"/>
      <c r="CD14" s="28"/>
      <c r="CE14" s="28"/>
      <c r="CF14" s="27"/>
      <c r="CG14" s="27"/>
      <c r="CH14" s="34"/>
      <c r="CI14" s="34"/>
      <c r="CJ14" s="16"/>
      <c r="CK14" s="27"/>
      <c r="CL14" s="35"/>
      <c r="CM14" s="35"/>
      <c r="CN14" s="27"/>
      <c r="CO14" s="28"/>
      <c r="CP14" s="29"/>
      <c r="CQ14" s="27"/>
      <c r="CR14" s="34"/>
      <c r="CS14" s="34"/>
      <c r="CT14" s="35"/>
      <c r="CU14" s="16"/>
      <c r="CV14" s="35"/>
      <c r="CW14" s="35"/>
      <c r="CX14" s="35">
        <v>69600</v>
      </c>
      <c r="CY14" s="59">
        <v>33</v>
      </c>
      <c r="CZ14" s="28">
        <v>8.7671232876712329E-2</v>
      </c>
      <c r="DA14" s="29">
        <v>9.912328767123288</v>
      </c>
      <c r="DB14" s="27">
        <v>3480</v>
      </c>
      <c r="DC14" s="34">
        <v>66120</v>
      </c>
      <c r="DD14" s="34">
        <v>603.08457711442782</v>
      </c>
      <c r="DE14" s="129">
        <v>68996.915422885577</v>
      </c>
      <c r="DG14" s="137">
        <v>69600</v>
      </c>
      <c r="DH14" s="137">
        <v>603.08457711442782</v>
      </c>
      <c r="DI14" s="137">
        <f t="shared" si="0"/>
        <v>68996.915422885577</v>
      </c>
      <c r="DJ14" s="124">
        <f t="shared" si="1"/>
        <v>0</v>
      </c>
    </row>
    <row r="15" spans="2:114" ht="17.25" customHeight="1" x14ac:dyDescent="0.25">
      <c r="B15" s="86" t="s">
        <v>4</v>
      </c>
      <c r="C15" s="15" t="s">
        <v>332</v>
      </c>
      <c r="D15" s="15" t="s">
        <v>101</v>
      </c>
      <c r="E15" s="15" t="s">
        <v>409</v>
      </c>
      <c r="F15" s="128" t="s">
        <v>410</v>
      </c>
      <c r="G15" s="42"/>
      <c r="H15" s="17">
        <v>44987</v>
      </c>
      <c r="I15" s="19" t="s">
        <v>393</v>
      </c>
      <c r="J15" s="19"/>
      <c r="K15" s="19">
        <v>10</v>
      </c>
      <c r="L15" s="21">
        <v>10</v>
      </c>
      <c r="M15" s="23"/>
      <c r="N15" s="38"/>
      <c r="O15" s="24"/>
      <c r="P15" s="24"/>
      <c r="Q15" s="25"/>
      <c r="R15" s="26"/>
      <c r="S15" s="25"/>
      <c r="T15" s="25"/>
      <c r="U15" s="25"/>
      <c r="V15" s="25"/>
      <c r="W15" s="25"/>
      <c r="X15" s="25"/>
      <c r="Y15" s="25"/>
      <c r="Z15" s="24"/>
      <c r="AA15" s="27"/>
      <c r="AB15" s="16"/>
      <c r="AC15" s="27"/>
      <c r="AD15" s="65"/>
      <c r="AE15" s="35"/>
      <c r="AF15" s="28"/>
      <c r="AG15" s="29"/>
      <c r="AH15" s="27"/>
      <c r="AI15" s="30"/>
      <c r="AJ15" s="31"/>
      <c r="AK15" s="96"/>
      <c r="AL15" s="16"/>
      <c r="AM15" s="68"/>
      <c r="AN15" s="16"/>
      <c r="AO15" s="84"/>
      <c r="AP15" s="28"/>
      <c r="AQ15" s="29"/>
      <c r="AR15" s="27"/>
      <c r="AS15" s="30"/>
      <c r="AT15" s="16"/>
      <c r="AU15" s="16"/>
      <c r="AV15" s="16"/>
      <c r="AW15" s="68"/>
      <c r="AX15" s="16"/>
      <c r="AY15" s="84"/>
      <c r="AZ15" s="28"/>
      <c r="BA15" s="29"/>
      <c r="BB15" s="27"/>
      <c r="BC15" s="30"/>
      <c r="BD15" s="35"/>
      <c r="BE15" s="16"/>
      <c r="BF15" s="16"/>
      <c r="BG15" s="68"/>
      <c r="BH15" s="16"/>
      <c r="BI15" s="27"/>
      <c r="BJ15" s="28"/>
      <c r="BK15" s="28"/>
      <c r="BL15" s="27"/>
      <c r="BM15" s="30"/>
      <c r="BN15" s="30"/>
      <c r="BO15" s="35"/>
      <c r="BP15" s="16"/>
      <c r="BQ15" s="68"/>
      <c r="BR15" s="35"/>
      <c r="BS15" s="27"/>
      <c r="BT15" s="28"/>
      <c r="BU15" s="29"/>
      <c r="BV15" s="35"/>
      <c r="BW15" s="30"/>
      <c r="BX15" s="34"/>
      <c r="BY15" s="35"/>
      <c r="BZ15" s="16"/>
      <c r="CA15" s="35"/>
      <c r="CB15" s="35"/>
      <c r="CC15" s="27"/>
      <c r="CD15" s="28"/>
      <c r="CE15" s="28"/>
      <c r="CF15" s="27"/>
      <c r="CG15" s="27"/>
      <c r="CH15" s="34"/>
      <c r="CI15" s="34"/>
      <c r="CJ15" s="16"/>
      <c r="CK15" s="27"/>
      <c r="CL15" s="35"/>
      <c r="CM15" s="35"/>
      <c r="CN15" s="27"/>
      <c r="CO15" s="28"/>
      <c r="CP15" s="29"/>
      <c r="CQ15" s="27"/>
      <c r="CR15" s="34"/>
      <c r="CS15" s="34"/>
      <c r="CT15" s="35"/>
      <c r="CU15" s="16"/>
      <c r="CV15" s="35"/>
      <c r="CW15" s="35"/>
      <c r="CX15" s="35">
        <v>1102000</v>
      </c>
      <c r="CY15" s="59">
        <v>30</v>
      </c>
      <c r="CZ15" s="28">
        <v>7.9452054794520555E-2</v>
      </c>
      <c r="DA15" s="29">
        <v>9.9205479452054792</v>
      </c>
      <c r="DB15" s="27">
        <v>55100</v>
      </c>
      <c r="DC15" s="34">
        <v>1046900</v>
      </c>
      <c r="DD15" s="34">
        <v>8673.5708367854186</v>
      </c>
      <c r="DE15" s="129">
        <v>1093326.4291632145</v>
      </c>
      <c r="DG15" s="137">
        <v>1102000</v>
      </c>
      <c r="DH15" s="137">
        <v>8673.5708367854186</v>
      </c>
      <c r="DI15" s="137">
        <f t="shared" si="0"/>
        <v>1093326.4291632145</v>
      </c>
      <c r="DJ15" s="124">
        <f t="shared" si="1"/>
        <v>0</v>
      </c>
    </row>
    <row r="16" spans="2:114" ht="17.25" customHeight="1" x14ac:dyDescent="0.25">
      <c r="B16" s="86" t="s">
        <v>4</v>
      </c>
      <c r="C16" s="15" t="s">
        <v>332</v>
      </c>
      <c r="D16" s="15" t="s">
        <v>101</v>
      </c>
      <c r="E16" s="15" t="s">
        <v>411</v>
      </c>
      <c r="F16" s="128" t="s">
        <v>412</v>
      </c>
      <c r="G16" s="42"/>
      <c r="H16" s="17">
        <v>44987</v>
      </c>
      <c r="I16" s="19" t="s">
        <v>393</v>
      </c>
      <c r="J16" s="19"/>
      <c r="K16" s="19">
        <v>10</v>
      </c>
      <c r="L16" s="21">
        <v>10</v>
      </c>
      <c r="M16" s="23"/>
      <c r="N16" s="38"/>
      <c r="O16" s="24"/>
      <c r="P16" s="24"/>
      <c r="Q16" s="25"/>
      <c r="R16" s="26"/>
      <c r="S16" s="25"/>
      <c r="T16" s="25"/>
      <c r="U16" s="25"/>
      <c r="V16" s="25"/>
      <c r="W16" s="25"/>
      <c r="X16" s="25"/>
      <c r="Y16" s="25"/>
      <c r="Z16" s="24"/>
      <c r="AA16" s="27"/>
      <c r="AB16" s="16"/>
      <c r="AC16" s="27"/>
      <c r="AD16" s="65"/>
      <c r="AE16" s="35"/>
      <c r="AF16" s="28"/>
      <c r="AG16" s="29"/>
      <c r="AH16" s="27"/>
      <c r="AI16" s="30"/>
      <c r="AJ16" s="31"/>
      <c r="AK16" s="96"/>
      <c r="AL16" s="16"/>
      <c r="AM16" s="68"/>
      <c r="AN16" s="16"/>
      <c r="AO16" s="84"/>
      <c r="AP16" s="28"/>
      <c r="AQ16" s="29"/>
      <c r="AR16" s="27"/>
      <c r="AS16" s="30"/>
      <c r="AT16" s="16"/>
      <c r="AU16" s="16"/>
      <c r="AV16" s="16"/>
      <c r="AW16" s="68"/>
      <c r="AX16" s="16"/>
      <c r="AY16" s="84"/>
      <c r="AZ16" s="28"/>
      <c r="BA16" s="29"/>
      <c r="BB16" s="27"/>
      <c r="BC16" s="30"/>
      <c r="BD16" s="35"/>
      <c r="BE16" s="16"/>
      <c r="BF16" s="16"/>
      <c r="BG16" s="68"/>
      <c r="BH16" s="16"/>
      <c r="BI16" s="27"/>
      <c r="BJ16" s="28"/>
      <c r="BK16" s="28"/>
      <c r="BL16" s="27"/>
      <c r="BM16" s="30"/>
      <c r="BN16" s="30"/>
      <c r="BO16" s="35"/>
      <c r="BP16" s="16"/>
      <c r="BQ16" s="68"/>
      <c r="BR16" s="35"/>
      <c r="BS16" s="27"/>
      <c r="BT16" s="28"/>
      <c r="BU16" s="29"/>
      <c r="BV16" s="35"/>
      <c r="BW16" s="30"/>
      <c r="BX16" s="34"/>
      <c r="BY16" s="35"/>
      <c r="BZ16" s="16"/>
      <c r="CA16" s="35"/>
      <c r="CB16" s="35"/>
      <c r="CC16" s="27"/>
      <c r="CD16" s="28"/>
      <c r="CE16" s="28"/>
      <c r="CF16" s="27"/>
      <c r="CG16" s="27"/>
      <c r="CH16" s="34"/>
      <c r="CI16" s="34"/>
      <c r="CJ16" s="16"/>
      <c r="CK16" s="27"/>
      <c r="CL16" s="35"/>
      <c r="CM16" s="35"/>
      <c r="CN16" s="27"/>
      <c r="CO16" s="28"/>
      <c r="CP16" s="29"/>
      <c r="CQ16" s="27"/>
      <c r="CR16" s="34"/>
      <c r="CS16" s="34"/>
      <c r="CT16" s="35"/>
      <c r="CU16" s="16"/>
      <c r="CV16" s="35"/>
      <c r="CW16" s="35"/>
      <c r="CX16" s="35">
        <v>806000</v>
      </c>
      <c r="CY16" s="59">
        <v>30</v>
      </c>
      <c r="CZ16" s="28">
        <v>7.9452054794520555E-2</v>
      </c>
      <c r="DA16" s="29">
        <v>9.9205479452054792</v>
      </c>
      <c r="DB16" s="27">
        <v>40300</v>
      </c>
      <c r="DC16" s="34">
        <v>765700</v>
      </c>
      <c r="DD16" s="34">
        <v>6343.8276719138357</v>
      </c>
      <c r="DE16" s="129">
        <v>799656.17232808622</v>
      </c>
      <c r="DG16" s="137">
        <v>806000</v>
      </c>
      <c r="DH16" s="137">
        <v>6343.8276719138357</v>
      </c>
      <c r="DI16" s="137">
        <f t="shared" si="0"/>
        <v>799656.17232808622</v>
      </c>
      <c r="DJ16" s="124">
        <f t="shared" si="1"/>
        <v>0</v>
      </c>
    </row>
    <row r="17" spans="2:114" ht="17.25" customHeight="1" x14ac:dyDescent="0.25">
      <c r="B17" s="86" t="s">
        <v>4</v>
      </c>
      <c r="C17" s="15" t="s">
        <v>332</v>
      </c>
      <c r="D17" s="15" t="s">
        <v>101</v>
      </c>
      <c r="E17" s="15" t="s">
        <v>415</v>
      </c>
      <c r="F17" s="128" t="s">
        <v>416</v>
      </c>
      <c r="G17" s="42"/>
      <c r="H17" s="17">
        <v>45005</v>
      </c>
      <c r="I17" s="19" t="s">
        <v>393</v>
      </c>
      <c r="J17" s="19"/>
      <c r="K17" s="19">
        <v>10</v>
      </c>
      <c r="L17" s="21">
        <v>10</v>
      </c>
      <c r="M17" s="23"/>
      <c r="N17" s="38"/>
      <c r="O17" s="24"/>
      <c r="P17" s="24"/>
      <c r="Q17" s="25"/>
      <c r="R17" s="26"/>
      <c r="S17" s="25"/>
      <c r="T17" s="25"/>
      <c r="U17" s="25"/>
      <c r="V17" s="25"/>
      <c r="W17" s="25"/>
      <c r="X17" s="25"/>
      <c r="Y17" s="25"/>
      <c r="Z17" s="24"/>
      <c r="AA17" s="27"/>
      <c r="AB17" s="16"/>
      <c r="AC17" s="27"/>
      <c r="AD17" s="65"/>
      <c r="AE17" s="35"/>
      <c r="AF17" s="28"/>
      <c r="AG17" s="29"/>
      <c r="AH17" s="27"/>
      <c r="AI17" s="30"/>
      <c r="AJ17" s="31"/>
      <c r="AK17" s="96"/>
      <c r="AL17" s="16"/>
      <c r="AM17" s="68"/>
      <c r="AN17" s="16"/>
      <c r="AO17" s="84"/>
      <c r="AP17" s="28"/>
      <c r="AQ17" s="29"/>
      <c r="AR17" s="27"/>
      <c r="AS17" s="30"/>
      <c r="AT17" s="16"/>
      <c r="AU17" s="16"/>
      <c r="AV17" s="16"/>
      <c r="AW17" s="68"/>
      <c r="AX17" s="16"/>
      <c r="AY17" s="84"/>
      <c r="AZ17" s="28"/>
      <c r="BA17" s="29"/>
      <c r="BB17" s="27"/>
      <c r="BC17" s="30"/>
      <c r="BD17" s="35"/>
      <c r="BE17" s="16"/>
      <c r="BF17" s="16"/>
      <c r="BG17" s="68"/>
      <c r="BH17" s="16"/>
      <c r="BI17" s="27"/>
      <c r="BJ17" s="28"/>
      <c r="BK17" s="28"/>
      <c r="BL17" s="27"/>
      <c r="BM17" s="30"/>
      <c r="BN17" s="30"/>
      <c r="BO17" s="35"/>
      <c r="BP17" s="16"/>
      <c r="BQ17" s="68"/>
      <c r="BR17" s="35"/>
      <c r="BS17" s="27"/>
      <c r="BT17" s="28"/>
      <c r="BU17" s="29"/>
      <c r="BV17" s="35"/>
      <c r="BW17" s="30"/>
      <c r="BX17" s="34"/>
      <c r="BY17" s="35"/>
      <c r="BZ17" s="16"/>
      <c r="CA17" s="35"/>
      <c r="CB17" s="35"/>
      <c r="CC17" s="27"/>
      <c r="CD17" s="28"/>
      <c r="CE17" s="28"/>
      <c r="CF17" s="27"/>
      <c r="CG17" s="27"/>
      <c r="CH17" s="34"/>
      <c r="CI17" s="34"/>
      <c r="CJ17" s="16"/>
      <c r="CK17" s="27"/>
      <c r="CL17" s="35"/>
      <c r="CM17" s="35"/>
      <c r="CN17" s="27"/>
      <c r="CO17" s="28"/>
      <c r="CP17" s="29"/>
      <c r="CQ17" s="27"/>
      <c r="CR17" s="34"/>
      <c r="CS17" s="34"/>
      <c r="CT17" s="35"/>
      <c r="CU17" s="16"/>
      <c r="CV17" s="35"/>
      <c r="CW17" s="35"/>
      <c r="CX17" s="35">
        <v>86500</v>
      </c>
      <c r="CY17" s="59">
        <v>12</v>
      </c>
      <c r="CZ17" s="28">
        <v>3.0136986301369864E-2</v>
      </c>
      <c r="DA17" s="29">
        <v>9.9698630136986299</v>
      </c>
      <c r="DB17" s="27">
        <v>4325</v>
      </c>
      <c r="DC17" s="34">
        <v>82175</v>
      </c>
      <c r="DD17" s="34">
        <v>270.9810387469085</v>
      </c>
      <c r="DE17" s="129">
        <v>86229.018961253096</v>
      </c>
      <c r="DG17" s="137">
        <v>86500</v>
      </c>
      <c r="DH17" s="137">
        <v>270.9810387469085</v>
      </c>
      <c r="DI17" s="137">
        <f t="shared" si="0"/>
        <v>86229.018961253096</v>
      </c>
      <c r="DJ17" s="124">
        <f t="shared" si="1"/>
        <v>0</v>
      </c>
    </row>
    <row r="18" spans="2:114" ht="17.25" customHeight="1" x14ac:dyDescent="0.25">
      <c r="B18" s="94" t="s">
        <v>4</v>
      </c>
      <c r="C18" s="46" t="s">
        <v>332</v>
      </c>
      <c r="D18" s="46" t="s">
        <v>101</v>
      </c>
      <c r="E18" s="46" t="s">
        <v>398</v>
      </c>
      <c r="F18" s="127" t="s">
        <v>399</v>
      </c>
      <c r="G18" s="47"/>
      <c r="H18" s="49">
        <v>44928</v>
      </c>
      <c r="I18" s="51" t="s">
        <v>393</v>
      </c>
      <c r="J18" s="51"/>
      <c r="K18" s="51">
        <v>10</v>
      </c>
      <c r="L18" s="53">
        <v>10</v>
      </c>
      <c r="M18" s="54"/>
      <c r="N18" s="55"/>
      <c r="O18" s="56"/>
      <c r="P18" s="56"/>
      <c r="Q18" s="57"/>
      <c r="R18" s="58"/>
      <c r="S18" s="57"/>
      <c r="T18" s="57"/>
      <c r="U18" s="57"/>
      <c r="V18" s="57"/>
      <c r="W18" s="57"/>
      <c r="X18" s="57"/>
      <c r="Y18" s="57"/>
      <c r="Z18" s="56"/>
      <c r="AA18" s="59"/>
      <c r="AB18" s="60"/>
      <c r="AC18" s="59"/>
      <c r="AD18" s="80"/>
      <c r="AE18" s="81"/>
      <c r="AF18" s="82"/>
      <c r="AG18" s="61"/>
      <c r="AH18" s="59"/>
      <c r="AI18" s="62"/>
      <c r="AJ18" s="63"/>
      <c r="AK18" s="125"/>
      <c r="AL18" s="60"/>
      <c r="AM18" s="90"/>
      <c r="AN18" s="60"/>
      <c r="AO18" s="91"/>
      <c r="AP18" s="82"/>
      <c r="AQ18" s="61"/>
      <c r="AR18" s="59"/>
      <c r="AS18" s="62"/>
      <c r="AT18" s="60"/>
      <c r="AU18" s="60"/>
      <c r="AV18" s="60"/>
      <c r="AW18" s="90"/>
      <c r="AX18" s="60"/>
      <c r="AY18" s="91"/>
      <c r="AZ18" s="82"/>
      <c r="BA18" s="61"/>
      <c r="BB18" s="59"/>
      <c r="BC18" s="62"/>
      <c r="BD18" s="81"/>
      <c r="BE18" s="60"/>
      <c r="BF18" s="60"/>
      <c r="BG18" s="90"/>
      <c r="BH18" s="60"/>
      <c r="BI18" s="59"/>
      <c r="BJ18" s="82"/>
      <c r="BK18" s="82"/>
      <c r="BL18" s="59"/>
      <c r="BM18" s="62"/>
      <c r="BN18" s="62"/>
      <c r="BO18" s="81"/>
      <c r="BP18" s="60"/>
      <c r="BQ18" s="90"/>
      <c r="BR18" s="81"/>
      <c r="BS18" s="59"/>
      <c r="BT18" s="82"/>
      <c r="BU18" s="61"/>
      <c r="BV18" s="81"/>
      <c r="BW18" s="62"/>
      <c r="BX18" s="95"/>
      <c r="BY18" s="81"/>
      <c r="BZ18" s="60"/>
      <c r="CA18" s="81"/>
      <c r="CB18" s="81"/>
      <c r="CC18" s="59"/>
      <c r="CD18" s="82"/>
      <c r="CE18" s="82"/>
      <c r="CF18" s="59"/>
      <c r="CG18" s="59"/>
      <c r="CH18" s="95"/>
      <c r="CI18" s="95"/>
      <c r="CJ18" s="60"/>
      <c r="CK18" s="59"/>
      <c r="CL18" s="81"/>
      <c r="CM18" s="81"/>
      <c r="CN18" s="59"/>
      <c r="CO18" s="82"/>
      <c r="CP18" s="61"/>
      <c r="CQ18" s="59"/>
      <c r="CR18" s="95"/>
      <c r="CS18" s="95"/>
      <c r="CT18" s="81"/>
      <c r="CU18" s="60"/>
      <c r="CV18" s="81"/>
      <c r="CW18" s="81"/>
      <c r="CX18" s="81">
        <v>299499.75</v>
      </c>
      <c r="CY18" s="59">
        <v>89</v>
      </c>
      <c r="CZ18" s="82">
        <v>0.24109589041095891</v>
      </c>
      <c r="DA18" s="61">
        <v>9.7589041095890412</v>
      </c>
      <c r="DB18" s="59">
        <v>14974.987500000001</v>
      </c>
      <c r="DC18" s="95">
        <v>284524.76250000001</v>
      </c>
      <c r="DD18" s="95">
        <v>7109.1251719539578</v>
      </c>
      <c r="DE18" s="130">
        <v>292390.62482804607</v>
      </c>
      <c r="DG18" s="137">
        <v>299499.75</v>
      </c>
      <c r="DH18" s="137">
        <v>7109.1251719539578</v>
      </c>
      <c r="DI18" s="137">
        <f t="shared" si="0"/>
        <v>292390.62482804607</v>
      </c>
      <c r="DJ18" s="124">
        <f t="shared" si="1"/>
        <v>0</v>
      </c>
    </row>
    <row r="19" spans="2:114" ht="17.25" customHeight="1" x14ac:dyDescent="0.25">
      <c r="B19" s="1"/>
      <c r="C19" s="1"/>
      <c r="D19" s="1"/>
      <c r="E19" s="1"/>
      <c r="F19" s="1"/>
      <c r="G19" s="1"/>
      <c r="H19" s="1"/>
      <c r="I19" s="1"/>
      <c r="J19" s="1"/>
      <c r="K19" s="1"/>
      <c r="L19" s="1"/>
      <c r="M19" s="126">
        <f t="shared" ref="M19:BH19" si="2">SUM(M7:M18)</f>
        <v>0</v>
      </c>
      <c r="N19" s="126">
        <f t="shared" si="2"/>
        <v>0</v>
      </c>
      <c r="O19" s="126">
        <f t="shared" si="2"/>
        <v>0</v>
      </c>
      <c r="P19" s="126">
        <f t="shared" si="2"/>
        <v>0</v>
      </c>
      <c r="Q19" s="126">
        <f t="shared" si="2"/>
        <v>0</v>
      </c>
      <c r="R19" s="126">
        <f t="shared" si="2"/>
        <v>0</v>
      </c>
      <c r="S19" s="126">
        <f t="shared" si="2"/>
        <v>0</v>
      </c>
      <c r="T19" s="126">
        <f t="shared" si="2"/>
        <v>0</v>
      </c>
      <c r="U19" s="126">
        <f t="shared" si="2"/>
        <v>0</v>
      </c>
      <c r="V19" s="126">
        <f t="shared" si="2"/>
        <v>0</v>
      </c>
      <c r="W19" s="126">
        <f t="shared" si="2"/>
        <v>0</v>
      </c>
      <c r="X19" s="126">
        <f t="shared" si="2"/>
        <v>0</v>
      </c>
      <c r="Y19" s="126">
        <f t="shared" si="2"/>
        <v>0</v>
      </c>
      <c r="Z19" s="126">
        <f t="shared" si="2"/>
        <v>0</v>
      </c>
      <c r="AA19" s="126">
        <f t="shared" si="2"/>
        <v>0</v>
      </c>
      <c r="AB19" s="126">
        <f t="shared" si="2"/>
        <v>0</v>
      </c>
      <c r="AC19" s="126">
        <f t="shared" si="2"/>
        <v>0</v>
      </c>
      <c r="AD19" s="126">
        <f t="shared" si="2"/>
        <v>0</v>
      </c>
      <c r="AE19" s="126">
        <f t="shared" si="2"/>
        <v>0</v>
      </c>
      <c r="AF19" s="126">
        <f t="shared" si="2"/>
        <v>0</v>
      </c>
      <c r="AG19" s="126">
        <f t="shared" si="2"/>
        <v>0</v>
      </c>
      <c r="AH19" s="126">
        <f t="shared" si="2"/>
        <v>0</v>
      </c>
      <c r="AI19" s="126">
        <f t="shared" si="2"/>
        <v>0</v>
      </c>
      <c r="AJ19" s="126">
        <f t="shared" si="2"/>
        <v>0</v>
      </c>
      <c r="AK19" s="126">
        <f t="shared" si="2"/>
        <v>0</v>
      </c>
      <c r="AL19" s="126">
        <f t="shared" si="2"/>
        <v>0</v>
      </c>
      <c r="AM19" s="126">
        <f t="shared" si="2"/>
        <v>0</v>
      </c>
      <c r="AN19" s="126">
        <f t="shared" si="2"/>
        <v>0</v>
      </c>
      <c r="AO19" s="126">
        <f t="shared" si="2"/>
        <v>0</v>
      </c>
      <c r="AP19" s="126">
        <f t="shared" si="2"/>
        <v>0</v>
      </c>
      <c r="AQ19" s="126">
        <f t="shared" si="2"/>
        <v>0</v>
      </c>
      <c r="AR19" s="126">
        <f t="shared" si="2"/>
        <v>0</v>
      </c>
      <c r="AS19" s="126">
        <f t="shared" si="2"/>
        <v>0</v>
      </c>
      <c r="AT19" s="126">
        <f t="shared" si="2"/>
        <v>0</v>
      </c>
      <c r="AU19" s="126">
        <f t="shared" si="2"/>
        <v>0</v>
      </c>
      <c r="AV19" s="126">
        <f t="shared" si="2"/>
        <v>0</v>
      </c>
      <c r="AW19" s="126">
        <f t="shared" si="2"/>
        <v>0</v>
      </c>
      <c r="AX19" s="126">
        <f t="shared" si="2"/>
        <v>0</v>
      </c>
      <c r="AY19" s="126">
        <f t="shared" si="2"/>
        <v>0</v>
      </c>
      <c r="AZ19" s="126">
        <f t="shared" si="2"/>
        <v>0</v>
      </c>
      <c r="BA19" s="126">
        <f t="shared" si="2"/>
        <v>0</v>
      </c>
      <c r="BB19" s="126">
        <f t="shared" si="2"/>
        <v>0</v>
      </c>
      <c r="BC19" s="126">
        <f t="shared" si="2"/>
        <v>0</v>
      </c>
      <c r="BD19" s="126">
        <f t="shared" si="2"/>
        <v>0</v>
      </c>
      <c r="BE19" s="126">
        <f t="shared" si="2"/>
        <v>0</v>
      </c>
      <c r="BF19" s="126">
        <f t="shared" si="2"/>
        <v>0</v>
      </c>
      <c r="BG19" s="126">
        <f t="shared" si="2"/>
        <v>0</v>
      </c>
      <c r="BH19" s="126">
        <f t="shared" si="2"/>
        <v>179200</v>
      </c>
      <c r="BI19" s="126"/>
      <c r="BJ19" s="126"/>
      <c r="BK19" s="126"/>
      <c r="BL19" s="126">
        <f t="shared" ref="BL19:BR19" si="3">SUM(BL7:BL18)</f>
        <v>8960</v>
      </c>
      <c r="BM19" s="126">
        <f t="shared" si="3"/>
        <v>170240</v>
      </c>
      <c r="BN19" s="126">
        <f t="shared" si="3"/>
        <v>8745.2054794520554</v>
      </c>
      <c r="BO19" s="126">
        <f t="shared" si="3"/>
        <v>170454.79452054793</v>
      </c>
      <c r="BP19" s="126">
        <f t="shared" si="3"/>
        <v>0</v>
      </c>
      <c r="BQ19" s="126">
        <f t="shared" si="3"/>
        <v>170454.79452054793</v>
      </c>
      <c r="BR19" s="126">
        <f t="shared" si="3"/>
        <v>670000</v>
      </c>
      <c r="BS19" s="126"/>
      <c r="BT19" s="126"/>
      <c r="BU19" s="126"/>
      <c r="BV19" s="126">
        <f t="shared" ref="BV19:CB19" si="4">SUM(BV7:BV18)</f>
        <v>42460</v>
      </c>
      <c r="BW19" s="126">
        <f t="shared" si="4"/>
        <v>797994.79452054796</v>
      </c>
      <c r="BX19" s="126">
        <f t="shared" si="4"/>
        <v>79448.399437419852</v>
      </c>
      <c r="BY19" s="126">
        <f t="shared" si="4"/>
        <v>761006.39508312813</v>
      </c>
      <c r="BZ19" s="126">
        <f t="shared" si="4"/>
        <v>0</v>
      </c>
      <c r="CA19" s="126">
        <f t="shared" si="4"/>
        <v>761006.39508312813</v>
      </c>
      <c r="CB19" s="126">
        <f t="shared" si="4"/>
        <v>0</v>
      </c>
      <c r="CC19" s="126"/>
      <c r="CD19" s="126"/>
      <c r="CE19" s="126"/>
      <c r="CF19" s="126">
        <f t="shared" ref="CF19:CM19" si="5">SUM(CF7:CF18)</f>
        <v>42460</v>
      </c>
      <c r="CG19" s="126">
        <f t="shared" si="5"/>
        <v>718546.39508312813</v>
      </c>
      <c r="CH19" s="126">
        <f t="shared" si="5"/>
        <v>80649.755489485455</v>
      </c>
      <c r="CI19" s="126">
        <f t="shared" si="5"/>
        <v>680356.63959364267</v>
      </c>
      <c r="CJ19" s="126">
        <f t="shared" si="5"/>
        <v>0</v>
      </c>
      <c r="CK19" s="126">
        <f t="shared" si="5"/>
        <v>637896.63959364267</v>
      </c>
      <c r="CL19" s="126">
        <f t="shared" si="5"/>
        <v>680356.63959364267</v>
      </c>
      <c r="CM19" s="126">
        <f t="shared" si="5"/>
        <v>249698</v>
      </c>
      <c r="CN19" s="126"/>
      <c r="CO19" s="126"/>
      <c r="CP19" s="126"/>
      <c r="CQ19" s="126">
        <f t="shared" ref="CQ19:CX19" si="6">SUM(CQ7:CQ18)</f>
        <v>54944.9</v>
      </c>
      <c r="CR19" s="126">
        <f t="shared" si="6"/>
        <v>875109.73959364265</v>
      </c>
      <c r="CS19" s="126">
        <f t="shared" si="6"/>
        <v>100406.68217441696</v>
      </c>
      <c r="CT19" s="126">
        <f t="shared" si="6"/>
        <v>829647.95741922571</v>
      </c>
      <c r="CU19" s="126">
        <f t="shared" si="6"/>
        <v>0</v>
      </c>
      <c r="CV19" s="126">
        <f t="shared" si="6"/>
        <v>774703.05741922569</v>
      </c>
      <c r="CW19" s="126">
        <f t="shared" si="6"/>
        <v>829647.95741922571</v>
      </c>
      <c r="CX19" s="126">
        <f t="shared" si="6"/>
        <v>3231899.75</v>
      </c>
      <c r="CY19" s="126"/>
      <c r="CZ19" s="126"/>
      <c r="DA19" s="126"/>
      <c r="DB19" s="126">
        <f>SUM(DB7:DB18)</f>
        <v>214927.79616575342</v>
      </c>
      <c r="DC19" s="126">
        <f>SUM(DC7:DC18)</f>
        <v>3834135.0112534724</v>
      </c>
      <c r="DD19" s="126">
        <f>SUM(DD7:DD18)</f>
        <v>170578.06452033392</v>
      </c>
      <c r="DE19" s="126">
        <f>SUM(DE7:DE18)</f>
        <v>3890969.6428988921</v>
      </c>
      <c r="DG19" s="136">
        <f>BH19+BR19+CM19+CX19</f>
        <v>4330797.75</v>
      </c>
      <c r="DH19" s="136">
        <f>BN19+BX19+CH19+CS19+DD19</f>
        <v>439828.10710110818</v>
      </c>
      <c r="DI19" s="136">
        <f>DG19-DH19</f>
        <v>3890969.6428988921</v>
      </c>
    </row>
    <row r="21" spans="2:114" x14ac:dyDescent="0.25">
      <c r="DE21" s="131">
        <f>DE7+DE8+DE9+DE10+DE11+DE12+DE13+DE14+DE15+DE16+DE17+DE18</f>
        <v>3890969.6428988921</v>
      </c>
    </row>
    <row r="22" spans="2:114" x14ac:dyDescent="0.25">
      <c r="DE22" s="124"/>
    </row>
  </sheetData>
  <mergeCells count="4">
    <mergeCell ref="B5:B6"/>
    <mergeCell ref="C5:C6"/>
    <mergeCell ref="D5:D6"/>
    <mergeCell ref="T5:V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O50"/>
  <sheetViews>
    <sheetView topLeftCell="DI37" workbookViewId="0">
      <selection sqref="A1:XFD1048576"/>
    </sheetView>
  </sheetViews>
  <sheetFormatPr defaultRowHeight="15" x14ac:dyDescent="0.25"/>
  <cols>
    <col min="1" max="1" width="15.5703125" customWidth="1"/>
    <col min="2" max="3" width="0" hidden="1" customWidth="1"/>
    <col min="4" max="4" width="10" bestFit="1" customWidth="1"/>
    <col min="5" max="5" width="25" bestFit="1" customWidth="1"/>
    <col min="6" max="6" width="11.85546875" bestFit="1" customWidth="1"/>
    <col min="10" max="10" width="12" bestFit="1" customWidth="1"/>
    <col min="11" max="11" width="8.42578125" bestFit="1" customWidth="1"/>
    <col min="12" max="12" width="11.5703125" bestFit="1" customWidth="1"/>
    <col min="13" max="13" width="10.5703125" bestFit="1" customWidth="1"/>
    <col min="14" max="14" width="12.140625" bestFit="1" customWidth="1"/>
    <col min="15" max="15" width="8.28515625" bestFit="1" customWidth="1"/>
    <col min="16" max="16" width="12.7109375" bestFit="1" customWidth="1"/>
    <col min="17" max="17" width="11.140625" bestFit="1" customWidth="1"/>
    <col min="18" max="18" width="12.7109375" bestFit="1" customWidth="1"/>
    <col min="19" max="19" width="11.140625" bestFit="1" customWidth="1"/>
    <col min="20" max="20" width="10.28515625" bestFit="1" customWidth="1"/>
    <col min="21" max="22" width="12.140625" bestFit="1" customWidth="1"/>
    <col min="23" max="23" width="7.140625" bestFit="1" customWidth="1"/>
    <col min="24" max="25" width="5.28515625" bestFit="1" customWidth="1"/>
    <col min="26" max="26" width="4.5703125" bestFit="1" customWidth="1"/>
    <col min="27" max="27" width="11.5703125" bestFit="1" customWidth="1"/>
    <col min="28" max="28" width="8.5703125" bestFit="1" customWidth="1"/>
    <col min="29" max="29" width="7" bestFit="1" customWidth="1"/>
    <col min="30" max="30" width="8.85546875" bestFit="1" customWidth="1"/>
    <col min="31" max="31" width="8.5703125" bestFit="1" customWidth="1"/>
    <col min="32" max="32" width="8.85546875" bestFit="1" customWidth="1"/>
    <col min="33" max="33" width="9.5703125" bestFit="1" customWidth="1"/>
    <col min="34" max="34" width="11.5703125" bestFit="1" customWidth="1"/>
    <col min="35" max="36" width="10.5703125" bestFit="1" customWidth="1"/>
    <col min="37" max="37" width="4.5703125" bestFit="1" customWidth="1"/>
    <col min="38" max="39" width="10.5703125" bestFit="1" customWidth="1"/>
    <col min="40" max="40" width="7" bestFit="1" customWidth="1"/>
    <col min="41" max="41" width="8.85546875" bestFit="1" customWidth="1"/>
    <col min="42" max="42" width="8.5703125" bestFit="1" customWidth="1"/>
    <col min="43" max="43" width="8.85546875" bestFit="1" customWidth="1"/>
    <col min="44" max="44" width="10.5703125" bestFit="1" customWidth="1"/>
    <col min="45" max="45" width="11.5703125" bestFit="1" customWidth="1"/>
    <col min="46" max="46" width="11.140625" bestFit="1" customWidth="1"/>
    <col min="47" max="47" width="11.5703125" bestFit="1" customWidth="1"/>
    <col min="48" max="48" width="4.5703125" bestFit="1" customWidth="1"/>
    <col min="49" max="49" width="11.5703125" bestFit="1" customWidth="1"/>
    <col min="50" max="50" width="8.42578125" bestFit="1" customWidth="1"/>
    <col min="51" max="51" width="7" bestFit="1" customWidth="1"/>
    <col min="52" max="52" width="8.85546875" bestFit="1" customWidth="1"/>
    <col min="53" max="53" width="8.5703125" bestFit="1" customWidth="1"/>
    <col min="54" max="54" width="8.7109375" bestFit="1" customWidth="1"/>
    <col min="55" max="55" width="10.5703125" bestFit="1" customWidth="1"/>
    <col min="56" max="56" width="11.5703125" bestFit="1" customWidth="1"/>
    <col min="57" max="58" width="10.5703125" bestFit="1" customWidth="1"/>
    <col min="59" max="59" width="4.5703125" bestFit="1" customWidth="1"/>
    <col min="60" max="60" width="10.5703125" bestFit="1" customWidth="1"/>
    <col min="61" max="61" width="8.42578125" bestFit="1" customWidth="1"/>
    <col min="62" max="62" width="7" bestFit="1" customWidth="1"/>
    <col min="63" max="63" width="8.85546875" bestFit="1" customWidth="1"/>
    <col min="64" max="64" width="8.5703125" bestFit="1" customWidth="1"/>
    <col min="65" max="65" width="8.7109375" bestFit="1" customWidth="1"/>
    <col min="66" max="66" width="10.5703125" bestFit="1" customWidth="1"/>
    <col min="67" max="67" width="10.85546875" bestFit="1" customWidth="1"/>
    <col min="68" max="69" width="10.5703125" bestFit="1" customWidth="1"/>
    <col min="70" max="70" width="4.5703125" bestFit="1" customWidth="1"/>
    <col min="71" max="72" width="10.5703125" bestFit="1" customWidth="1"/>
    <col min="73" max="73" width="8.42578125" bestFit="1" customWidth="1"/>
    <col min="74" max="74" width="7" bestFit="1" customWidth="1"/>
    <col min="75" max="75" width="8.85546875" bestFit="1" customWidth="1"/>
    <col min="76" max="76" width="8.5703125" bestFit="1" customWidth="1"/>
    <col min="77" max="77" width="8.7109375" bestFit="1" customWidth="1"/>
    <col min="78" max="78" width="10.5703125" bestFit="1" customWidth="1"/>
    <col min="79" max="79" width="10.85546875" bestFit="1" customWidth="1"/>
    <col min="80" max="81" width="10.5703125" bestFit="1" customWidth="1"/>
    <col min="82" max="82" width="4.5703125" bestFit="1" customWidth="1"/>
    <col min="83" max="83" width="10.5703125" bestFit="1" customWidth="1"/>
    <col min="84" max="84" width="9.5703125" bestFit="1" customWidth="1"/>
    <col min="85" max="85" width="7" bestFit="1" customWidth="1"/>
    <col min="86" max="86" width="8.85546875" bestFit="1" customWidth="1"/>
    <col min="87" max="87" width="8.5703125" bestFit="1" customWidth="1"/>
    <col min="88" max="88" width="8.85546875" bestFit="1" customWidth="1"/>
    <col min="89" max="89" width="10.5703125" bestFit="1" customWidth="1"/>
    <col min="90" max="90" width="10.85546875" bestFit="1" customWidth="1"/>
    <col min="91" max="92" width="10.5703125" bestFit="1" customWidth="1"/>
    <col min="93" max="93" width="4.5703125" bestFit="1" customWidth="1"/>
    <col min="94" max="94" width="10.5703125" bestFit="1" customWidth="1"/>
    <col min="95" max="95" width="8.42578125" bestFit="1" customWidth="1"/>
    <col min="96" max="96" width="7" bestFit="1" customWidth="1"/>
    <col min="97" max="97" width="8.85546875" bestFit="1" customWidth="1"/>
    <col min="98" max="98" width="8.5703125" bestFit="1" customWidth="1"/>
    <col min="99" max="99" width="8.7109375" bestFit="1" customWidth="1"/>
    <col min="100" max="100" width="10.5703125" bestFit="1" customWidth="1"/>
    <col min="101" max="101" width="12.28515625" customWidth="1"/>
    <col min="102" max="103" width="10.5703125" bestFit="1" customWidth="1"/>
    <col min="104" max="104" width="4.5703125" bestFit="1" customWidth="1"/>
    <col min="105" max="106" width="10.5703125" bestFit="1" customWidth="1"/>
    <col min="107" max="107" width="7" bestFit="1" customWidth="1"/>
    <col min="108" max="108" width="8.85546875" bestFit="1" customWidth="1"/>
    <col min="109" max="109" width="8.5703125" bestFit="1" customWidth="1"/>
    <col min="110" max="110" width="8.85546875" bestFit="1" customWidth="1"/>
    <col min="111" max="111" width="10.5703125" bestFit="1" customWidth="1"/>
    <col min="112" max="112" width="12.28515625" customWidth="1"/>
    <col min="113" max="114" width="10.5703125" bestFit="1" customWidth="1"/>
    <col min="116" max="117" width="11.5703125" bestFit="1" customWidth="1"/>
    <col min="118" max="118" width="10.5703125" bestFit="1" customWidth="1"/>
    <col min="119" max="119" width="11.5703125" bestFit="1" customWidth="1"/>
  </cols>
  <sheetData>
    <row r="6" spans="1:119" s="142" customFormat="1" ht="118.5" customHeight="1" x14ac:dyDescent="0.25">
      <c r="A6" s="228" t="s">
        <v>439</v>
      </c>
      <c r="B6" s="228" t="s">
        <v>10</v>
      </c>
      <c r="C6" s="228" t="s">
        <v>11</v>
      </c>
      <c r="D6" s="140" t="s">
        <v>440</v>
      </c>
      <c r="E6" s="8" t="s">
        <v>8</v>
      </c>
      <c r="F6" s="6" t="s">
        <v>441</v>
      </c>
      <c r="G6" s="9" t="s">
        <v>442</v>
      </c>
      <c r="H6" s="9" t="s">
        <v>16</v>
      </c>
      <c r="I6" s="9" t="s">
        <v>17</v>
      </c>
      <c r="J6" s="8" t="s">
        <v>443</v>
      </c>
      <c r="K6" s="8" t="s">
        <v>444</v>
      </c>
      <c r="L6" s="8" t="s">
        <v>445</v>
      </c>
      <c r="M6" s="7" t="s">
        <v>19</v>
      </c>
      <c r="N6" s="7" t="s">
        <v>20</v>
      </c>
      <c r="O6" s="6" t="s">
        <v>446</v>
      </c>
      <c r="P6" s="6" t="s">
        <v>22</v>
      </c>
      <c r="Q6" s="7" t="s">
        <v>23</v>
      </c>
      <c r="R6" s="7" t="s">
        <v>447</v>
      </c>
      <c r="S6" s="10" t="s">
        <v>448</v>
      </c>
      <c r="T6" s="10" t="s">
        <v>26</v>
      </c>
      <c r="U6" s="10" t="s">
        <v>449</v>
      </c>
      <c r="V6" s="141" t="s">
        <v>450</v>
      </c>
      <c r="W6" s="142" t="s">
        <v>451</v>
      </c>
      <c r="X6" s="142" t="s">
        <v>452</v>
      </c>
      <c r="Y6" s="142" t="s">
        <v>453</v>
      </c>
      <c r="AA6" s="143" t="s">
        <v>29</v>
      </c>
      <c r="AB6" s="143" t="s">
        <v>30</v>
      </c>
      <c r="AC6" s="143" t="s">
        <v>454</v>
      </c>
      <c r="AD6" s="143" t="s">
        <v>31</v>
      </c>
      <c r="AE6" s="143" t="s">
        <v>32</v>
      </c>
      <c r="AF6" s="144" t="s">
        <v>33</v>
      </c>
      <c r="AG6" s="145" t="s">
        <v>23</v>
      </c>
      <c r="AH6" s="145" t="s">
        <v>34</v>
      </c>
      <c r="AI6" s="141" t="s">
        <v>35</v>
      </c>
      <c r="AJ6" s="145" t="s">
        <v>36</v>
      </c>
      <c r="AL6" s="143" t="s">
        <v>37</v>
      </c>
      <c r="AM6" s="143" t="s">
        <v>38</v>
      </c>
      <c r="AN6" s="143" t="s">
        <v>454</v>
      </c>
      <c r="AO6" s="143" t="s">
        <v>39</v>
      </c>
      <c r="AP6" s="143" t="s">
        <v>40</v>
      </c>
      <c r="AQ6" s="144" t="s">
        <v>41</v>
      </c>
      <c r="AR6" s="145" t="s">
        <v>23</v>
      </c>
      <c r="AS6" s="145" t="s">
        <v>42</v>
      </c>
      <c r="AT6" s="141" t="s">
        <v>35</v>
      </c>
      <c r="AU6" s="145" t="s">
        <v>43</v>
      </c>
      <c r="AW6" s="134" t="s">
        <v>44</v>
      </c>
      <c r="AX6" s="134" t="s">
        <v>45</v>
      </c>
      <c r="AY6" s="134" t="s">
        <v>454</v>
      </c>
      <c r="AZ6" s="134" t="s">
        <v>46</v>
      </c>
      <c r="BA6" s="134" t="s">
        <v>455</v>
      </c>
      <c r="BB6" s="6" t="s">
        <v>456</v>
      </c>
      <c r="BC6" s="7" t="s">
        <v>23</v>
      </c>
      <c r="BD6" s="7" t="s">
        <v>457</v>
      </c>
      <c r="BE6" s="10" t="s">
        <v>35</v>
      </c>
      <c r="BF6" s="7" t="s">
        <v>50</v>
      </c>
      <c r="BG6" s="7"/>
      <c r="BH6" s="134" t="s">
        <v>51</v>
      </c>
      <c r="BI6" s="134" t="s">
        <v>52</v>
      </c>
      <c r="BJ6" s="134" t="s">
        <v>454</v>
      </c>
      <c r="BK6" s="134" t="s">
        <v>53</v>
      </c>
      <c r="BL6" s="134" t="s">
        <v>458</v>
      </c>
      <c r="BM6" s="6" t="s">
        <v>459</v>
      </c>
      <c r="BN6" s="7" t="s">
        <v>23</v>
      </c>
      <c r="BO6" s="7" t="s">
        <v>56</v>
      </c>
      <c r="BP6" s="10" t="s">
        <v>35</v>
      </c>
      <c r="BQ6" s="7" t="s">
        <v>57</v>
      </c>
      <c r="BT6" s="134" t="s">
        <v>58</v>
      </c>
      <c r="BU6" s="134" t="s">
        <v>59</v>
      </c>
      <c r="BV6" s="134" t="s">
        <v>454</v>
      </c>
      <c r="BW6" s="134" t="s">
        <v>60</v>
      </c>
      <c r="BX6" s="134" t="s">
        <v>460</v>
      </c>
      <c r="BY6" s="6" t="s">
        <v>461</v>
      </c>
      <c r="BZ6" s="7" t="s">
        <v>23</v>
      </c>
      <c r="CA6" s="7" t="s">
        <v>63</v>
      </c>
      <c r="CB6" s="10" t="s">
        <v>35</v>
      </c>
      <c r="CC6" s="7" t="s">
        <v>64</v>
      </c>
      <c r="CE6" s="134" t="s">
        <v>65</v>
      </c>
      <c r="CF6" s="134" t="s">
        <v>66</v>
      </c>
      <c r="CG6" s="134" t="s">
        <v>454</v>
      </c>
      <c r="CH6" s="134" t="s">
        <v>67</v>
      </c>
      <c r="CI6" s="134" t="s">
        <v>462</v>
      </c>
      <c r="CJ6" s="6" t="s">
        <v>463</v>
      </c>
      <c r="CK6" s="7" t="s">
        <v>23</v>
      </c>
      <c r="CL6" s="7" t="s">
        <v>464</v>
      </c>
      <c r="CM6" s="10" t="s">
        <v>35</v>
      </c>
      <c r="CN6" s="7" t="s">
        <v>69</v>
      </c>
      <c r="CP6" s="134" t="s">
        <v>70</v>
      </c>
      <c r="CQ6" s="134" t="s">
        <v>71</v>
      </c>
      <c r="CR6" s="134" t="s">
        <v>454</v>
      </c>
      <c r="CS6" s="134" t="s">
        <v>72</v>
      </c>
      <c r="CT6" s="134" t="s">
        <v>73</v>
      </c>
      <c r="CU6" s="6" t="s">
        <v>74</v>
      </c>
      <c r="CV6" s="7" t="s">
        <v>23</v>
      </c>
      <c r="CW6" s="7" t="s">
        <v>75</v>
      </c>
      <c r="CX6" s="5" t="s">
        <v>35</v>
      </c>
      <c r="CY6" s="7" t="s">
        <v>76</v>
      </c>
      <c r="DA6" s="134" t="s">
        <v>77</v>
      </c>
      <c r="DB6" s="134" t="s">
        <v>78</v>
      </c>
      <c r="DC6" s="134" t="s">
        <v>454</v>
      </c>
      <c r="DD6" s="134" t="s">
        <v>79</v>
      </c>
      <c r="DE6" s="135" t="s">
        <v>80</v>
      </c>
      <c r="DF6" s="6" t="s">
        <v>81</v>
      </c>
      <c r="DG6" s="7" t="s">
        <v>23</v>
      </c>
      <c r="DH6" s="7" t="s">
        <v>82</v>
      </c>
      <c r="DI6" s="5" t="s">
        <v>35</v>
      </c>
      <c r="DJ6" s="7" t="s">
        <v>83</v>
      </c>
      <c r="DL6" s="7" t="s">
        <v>1</v>
      </c>
      <c r="DM6" s="7" t="s">
        <v>465</v>
      </c>
      <c r="DN6" s="7" t="s">
        <v>3</v>
      </c>
    </row>
    <row r="7" spans="1:119" s="142" customFormat="1" ht="23.25" customHeight="1" x14ac:dyDescent="0.25">
      <c r="A7" s="235"/>
      <c r="B7" s="236"/>
      <c r="C7" s="236"/>
      <c r="D7" s="135"/>
      <c r="E7" s="146" t="s">
        <v>84</v>
      </c>
      <c r="F7" s="147" t="s">
        <v>85</v>
      </c>
      <c r="G7" s="148" t="s">
        <v>466</v>
      </c>
      <c r="H7" s="148" t="s">
        <v>87</v>
      </c>
      <c r="I7" s="148" t="s">
        <v>467</v>
      </c>
      <c r="J7" s="147" t="s">
        <v>89</v>
      </c>
      <c r="K7" s="147"/>
      <c r="L7" s="147"/>
      <c r="M7" s="147" t="s">
        <v>90</v>
      </c>
      <c r="N7" s="147" t="s">
        <v>468</v>
      </c>
      <c r="O7" s="147"/>
      <c r="P7" s="147" t="s">
        <v>469</v>
      </c>
      <c r="Q7" s="147" t="s">
        <v>93</v>
      </c>
      <c r="R7" s="147" t="s">
        <v>470</v>
      </c>
      <c r="S7" s="147" t="s">
        <v>471</v>
      </c>
      <c r="T7" s="147" t="s">
        <v>99</v>
      </c>
      <c r="U7" s="147" t="s">
        <v>472</v>
      </c>
      <c r="V7" s="134" t="s">
        <v>473</v>
      </c>
      <c r="W7" s="134"/>
      <c r="X7" s="134"/>
      <c r="Y7" s="134"/>
      <c r="Z7" s="134"/>
      <c r="AA7" s="134"/>
      <c r="AB7" s="134"/>
      <c r="AC7" s="134"/>
      <c r="AD7" s="134"/>
      <c r="AE7" s="134"/>
      <c r="AF7" s="134"/>
      <c r="AG7" s="134"/>
      <c r="AH7" s="134"/>
      <c r="AI7" s="134"/>
      <c r="AJ7" s="134"/>
      <c r="AL7" s="134"/>
      <c r="AM7" s="134"/>
      <c r="AN7" s="134"/>
      <c r="AO7" s="134"/>
      <c r="AP7" s="134"/>
      <c r="AQ7" s="134"/>
      <c r="AR7" s="134"/>
      <c r="AS7" s="134"/>
      <c r="AT7" s="134"/>
      <c r="AU7" s="134"/>
      <c r="CX7" s="149"/>
      <c r="DI7" s="149"/>
    </row>
    <row r="8" spans="1:119" s="156" customFormat="1" ht="24" customHeight="1" x14ac:dyDescent="0.25">
      <c r="A8" s="11" t="s">
        <v>5</v>
      </c>
      <c r="B8" s="86" t="s">
        <v>4</v>
      </c>
      <c r="C8" s="15" t="s">
        <v>474</v>
      </c>
      <c r="D8" s="150" t="s">
        <v>475</v>
      </c>
      <c r="E8" s="44" t="s">
        <v>476</v>
      </c>
      <c r="F8" s="87">
        <v>34425</v>
      </c>
      <c r="G8" s="151">
        <f>([1]Summary!$G$3-F8)/365</f>
        <v>20.010958904109589</v>
      </c>
      <c r="H8" s="151">
        <f>VLOOKUP(C8,[2]Rates!$C$6:$D$136,2,0)</f>
        <v>15</v>
      </c>
      <c r="I8" s="152">
        <f t="shared" ref="I8:I47" si="0">H8-G8</f>
        <v>-5.0109589041095894</v>
      </c>
      <c r="J8" s="88">
        <v>250000</v>
      </c>
      <c r="K8" s="88"/>
      <c r="L8" s="153">
        <f t="shared" ref="L8:L29" si="1">+J8-K8</f>
        <v>250000</v>
      </c>
      <c r="M8" s="88">
        <v>167750</v>
      </c>
      <c r="N8" s="24">
        <f t="shared" ref="N8:N29" si="2">J8-M8</f>
        <v>82250</v>
      </c>
      <c r="O8" s="24"/>
      <c r="P8" s="28">
        <f t="shared" ref="P8:P29" si="3">ROUND(I8,0)</f>
        <v>-5</v>
      </c>
      <c r="Q8" s="26">
        <f t="shared" ref="Q8:Q29" si="4">J8*5%</f>
        <v>12500</v>
      </c>
      <c r="R8" s="24">
        <f t="shared" ref="R8:R29" si="5">IF(N8-Q8&lt;=0,0,IF(P8&lt;=0,0,N8-Q8))</f>
        <v>0</v>
      </c>
      <c r="S8" s="24">
        <f t="shared" ref="S8:S29" si="6">R8/P8</f>
        <v>0</v>
      </c>
      <c r="T8" s="24">
        <f t="shared" ref="T8:T29" si="7">IF(P8&lt;=0,Q8-N8,IF(N8&lt;=Q8,Q8-N8,0))</f>
        <v>-69750</v>
      </c>
      <c r="U8" s="24">
        <f t="shared" ref="U8:U29" si="8">N8+T8</f>
        <v>12500</v>
      </c>
      <c r="V8" s="27">
        <f t="shared" ref="V8:V29" si="9">+U8-S8</f>
        <v>12500</v>
      </c>
      <c r="W8" s="154"/>
      <c r="X8" s="154"/>
      <c r="Y8" s="154"/>
      <c r="Z8" s="154"/>
      <c r="AA8" s="35">
        <f t="shared" ref="AA8:AA29" si="10">V8</f>
        <v>12500</v>
      </c>
      <c r="AB8" s="155"/>
      <c r="AC8" s="155"/>
      <c r="AD8" s="155"/>
      <c r="AE8" s="12">
        <f>([1]Summary!$G$4-F8)/365</f>
        <v>21.010958904109589</v>
      </c>
      <c r="AF8" s="12">
        <f t="shared" ref="AF8:AF29" si="11">H8-AE8</f>
        <v>-6.0109589041095894</v>
      </c>
      <c r="AG8" s="35">
        <f t="shared" ref="AG8:AG29" si="12">Q8</f>
        <v>12500</v>
      </c>
      <c r="AH8" s="34">
        <f t="shared" ref="AH8:AH29" si="13">IF(N8-Q8&lt;=0,0,IF(AF8&lt;=0,0,N8-Q8))</f>
        <v>0</v>
      </c>
      <c r="AI8" s="35">
        <f t="shared" ref="AI8:AI29" si="14">S8</f>
        <v>0</v>
      </c>
      <c r="AJ8" s="35">
        <f t="shared" ref="AJ8:AJ29" si="15">AA8-AI8</f>
        <v>12500</v>
      </c>
      <c r="AL8" s="35">
        <f t="shared" ref="AL8:AL29" si="16">+AJ8</f>
        <v>12500</v>
      </c>
      <c r="AM8" s="155"/>
      <c r="AN8" s="155"/>
      <c r="AO8" s="155"/>
      <c r="AP8" s="12">
        <f>([1]Summary!$AL$4-F8)/365</f>
        <v>22.013698630136986</v>
      </c>
      <c r="AQ8" s="12">
        <f t="shared" ref="AQ8:AQ30" si="17">H8-AP8</f>
        <v>-7.0136986301369859</v>
      </c>
      <c r="AR8" s="35">
        <f t="shared" ref="AR8:AR29" si="18">+AG8</f>
        <v>12500</v>
      </c>
      <c r="AS8" s="34">
        <f t="shared" ref="AS8:AS29" si="19">IF(AA8-AG8&lt;=0,0,IF(AQ8&lt;=0,0,AA8-AG8))</f>
        <v>0</v>
      </c>
      <c r="AT8" s="96">
        <f t="shared" ref="AT8:AT29" si="20">+AI8</f>
        <v>0</v>
      </c>
      <c r="AU8" s="35">
        <f t="shared" ref="AU8:AU30" si="21">+AL8+AM8-AT8</f>
        <v>12500</v>
      </c>
      <c r="AW8" s="155">
        <f t="shared" ref="AW8:AW30" si="22">+AU8</f>
        <v>12500</v>
      </c>
      <c r="AX8" s="155"/>
      <c r="AY8" s="155"/>
      <c r="AZ8" s="155"/>
      <c r="BA8" s="155">
        <f>([1]Summary!$AW$4-F8)/365</f>
        <v>23.013698630136986</v>
      </c>
      <c r="BB8" s="155">
        <f t="shared" ref="BB8:BB30" si="23">H8-BA8</f>
        <v>-8.0136986301369859</v>
      </c>
      <c r="BC8" s="155">
        <f t="shared" ref="BC8:BC30" si="24">+AR8</f>
        <v>12500</v>
      </c>
      <c r="BD8" s="155">
        <f t="shared" ref="BD8:BD29" si="25">IF(AL8-AR8&lt;=0,0,IF(BB8&lt;=0,0,AL8-AR8))</f>
        <v>0</v>
      </c>
      <c r="BE8" s="35">
        <f t="shared" ref="BE8:BE29" si="26">+AT8</f>
        <v>0</v>
      </c>
      <c r="BF8" s="155">
        <f t="shared" ref="BF8:BF30" si="27">+AW8+AX8-BE8</f>
        <v>12500</v>
      </c>
      <c r="BG8" s="155"/>
      <c r="BH8" s="35">
        <f t="shared" ref="BH8:BH30" si="28">+BF8</f>
        <v>12500</v>
      </c>
      <c r="BI8" s="155"/>
      <c r="BJ8" s="155"/>
      <c r="BK8" s="155"/>
      <c r="BL8" s="35">
        <f>([1]Summary!$BH$4-F8)/365</f>
        <v>24.013698630136986</v>
      </c>
      <c r="BM8" s="155">
        <f t="shared" ref="BM8:BM30" si="29">H8-BL8</f>
        <v>-9.0136986301369859</v>
      </c>
      <c r="BN8" s="155">
        <f t="shared" ref="BN8:BN30" si="30">+BC8</f>
        <v>12500</v>
      </c>
      <c r="BO8" s="35">
        <f t="shared" ref="BO8:BO30" si="31">IF(BH8-BN8&lt;=0,0,IF(BM8&lt;=0,0,BH8-BN8))</f>
        <v>0</v>
      </c>
      <c r="BP8" s="35">
        <f t="shared" ref="BP8:BP30" si="32">+BE8</f>
        <v>0</v>
      </c>
      <c r="BQ8" s="35">
        <f t="shared" ref="BQ8:BQ30" si="33">+BH8+BI8-BP8</f>
        <v>12500</v>
      </c>
      <c r="BS8" s="132">
        <f t="shared" ref="BS8:BS30" si="34">+BQ8-BN8</f>
        <v>0</v>
      </c>
      <c r="BT8" s="35">
        <v>12500</v>
      </c>
      <c r="BU8" s="155"/>
      <c r="BV8" s="155"/>
      <c r="BW8" s="155"/>
      <c r="BX8" s="35">
        <f>([1]Summary!$BT$4-F8)/365</f>
        <v>25.013698630136986</v>
      </c>
      <c r="BY8" s="96">
        <f t="shared" ref="BY8:BY30" si="35">H8-BX8</f>
        <v>-10.013698630136986</v>
      </c>
      <c r="BZ8" s="35">
        <f t="shared" ref="BZ8:BZ30" si="36">+BN8</f>
        <v>12500</v>
      </c>
      <c r="CA8" s="35">
        <f t="shared" ref="CA8:CA30" si="37">IF(BT8-BZ8&lt;=0,0,IF(BY8&lt;=0,0,BT8-BZ8))</f>
        <v>0</v>
      </c>
      <c r="CB8" s="35">
        <f t="shared" ref="CB8:CB30" si="38">BP8</f>
        <v>0</v>
      </c>
      <c r="CC8" s="35">
        <f t="shared" ref="CC8:CC30" si="39">+BT8+BU8-CB8</f>
        <v>12500</v>
      </c>
      <c r="CE8" s="35">
        <v>12500</v>
      </c>
      <c r="CF8" s="155"/>
      <c r="CG8" s="155"/>
      <c r="CH8" s="155"/>
      <c r="CI8" s="35">
        <f>([1]Summary!$CE$4-F8)/365</f>
        <v>26.016438356164382</v>
      </c>
      <c r="CJ8" s="96">
        <f t="shared" ref="CJ8:CJ30" si="40">H8-CI8</f>
        <v>-11.016438356164382</v>
      </c>
      <c r="CK8" s="35">
        <f t="shared" ref="CK8:CK30" si="41">+BZ8</f>
        <v>12500</v>
      </c>
      <c r="CL8" s="35">
        <f t="shared" ref="CL8:CL30" si="42">IF(CE8-CK8&lt;=0,0,IF(CJ8&lt;=0,0,CE8-CK8))</f>
        <v>0</v>
      </c>
      <c r="CM8" s="35">
        <f t="shared" ref="CM8:CM30" si="43">CB8</f>
        <v>0</v>
      </c>
      <c r="CN8" s="35">
        <f t="shared" ref="CN8:CN30" si="44">+CE8+CF8-CM8</f>
        <v>12500</v>
      </c>
      <c r="CP8" s="35">
        <f t="shared" ref="CP8:CP30" si="45">CN8</f>
        <v>12500</v>
      </c>
      <c r="CQ8" s="155"/>
      <c r="CR8" s="155"/>
      <c r="CS8" s="155"/>
      <c r="CT8" s="35">
        <f>([1]Summary!$CP$4-F8)/365</f>
        <v>27.016438356164382</v>
      </c>
      <c r="CU8" s="96">
        <f t="shared" ref="CU8:CU30" si="46">H8-CT8</f>
        <v>-12.016438356164382</v>
      </c>
      <c r="CV8" s="35">
        <f t="shared" ref="CV8:CV30" si="47">CK8</f>
        <v>12500</v>
      </c>
      <c r="CW8" s="35">
        <f t="shared" ref="CW8:CW30" si="48">IF(CP8-CV8&lt;=0,0,IF(CU8&lt;=0,0,CP8-CV8))</f>
        <v>0</v>
      </c>
      <c r="CX8" s="35">
        <f t="shared" ref="CX8:CX30" si="49">CM8</f>
        <v>0</v>
      </c>
      <c r="CY8" s="35">
        <f t="shared" ref="CY8:CY30" si="50">+CP8+CQ8-CX8</f>
        <v>12500</v>
      </c>
      <c r="DA8" s="35">
        <f t="shared" ref="DA8:DA30" si="51">CY8</f>
        <v>12500</v>
      </c>
      <c r="DB8" s="155"/>
      <c r="DC8" s="155"/>
      <c r="DD8" s="155"/>
      <c r="DE8" s="35">
        <f>([1]Summary!$DA$4-F8)/365</f>
        <v>28.016438356164382</v>
      </c>
      <c r="DF8" s="96">
        <f t="shared" ref="DF8:DF47" si="52">H8-DE8</f>
        <v>-13.016438356164382</v>
      </c>
      <c r="DG8" s="35">
        <f t="shared" ref="DG8:DG30" si="53">CV8</f>
        <v>12500</v>
      </c>
      <c r="DH8" s="35">
        <f t="shared" ref="DH8:DH30" si="54">IF(DA8-DG8&lt;=0,0,IF(DF8&lt;=0,0,DA8-DG8))</f>
        <v>0</v>
      </c>
      <c r="DI8" s="35">
        <f t="shared" ref="DI8:DI16" si="55">CX8</f>
        <v>0</v>
      </c>
      <c r="DJ8" s="35">
        <f t="shared" ref="DJ8:DJ30" si="56">+DA8+DB8-DI8</f>
        <v>12500</v>
      </c>
      <c r="DL8" s="157">
        <f t="shared" ref="DL8:DL47" si="57">J8+AB8+AM8+AX8+BI8+BU8+CF8+CQ8+DB8</f>
        <v>250000</v>
      </c>
      <c r="DM8" s="157">
        <f t="shared" ref="DM8:DM47" si="58">M8+S8-T8+W8+AI8+AT8+BE8+BP8+CB8+CM8+CX8+DI8</f>
        <v>237500</v>
      </c>
      <c r="DN8" s="157">
        <f t="shared" ref="DN8:DN47" si="59">DL8-DM8</f>
        <v>12500</v>
      </c>
      <c r="DO8" s="158">
        <f>DJ8-DN8</f>
        <v>0</v>
      </c>
    </row>
    <row r="9" spans="1:119" s="156" customFormat="1" ht="24" customHeight="1" x14ac:dyDescent="0.25">
      <c r="A9" s="11" t="s">
        <v>5</v>
      </c>
      <c r="B9" s="86" t="s">
        <v>4</v>
      </c>
      <c r="C9" s="15" t="s">
        <v>474</v>
      </c>
      <c r="D9" s="150" t="s">
        <v>477</v>
      </c>
      <c r="E9" s="44" t="s">
        <v>478</v>
      </c>
      <c r="F9" s="87">
        <v>34425</v>
      </c>
      <c r="G9" s="151">
        <f>([1]Summary!$G$3-F9)/365</f>
        <v>20.010958904109589</v>
      </c>
      <c r="H9" s="151">
        <f>VLOOKUP(C9,[2]Rates!$C$6:$D$136,2,0)</f>
        <v>15</v>
      </c>
      <c r="I9" s="152">
        <f t="shared" si="0"/>
        <v>-5.0109589041095894</v>
      </c>
      <c r="J9" s="88">
        <v>150000</v>
      </c>
      <c r="K9" s="88"/>
      <c r="L9" s="153">
        <f t="shared" si="1"/>
        <v>150000</v>
      </c>
      <c r="M9" s="88">
        <v>115650</v>
      </c>
      <c r="N9" s="24">
        <f t="shared" si="2"/>
        <v>34350</v>
      </c>
      <c r="O9" s="24"/>
      <c r="P9" s="28">
        <f t="shared" si="3"/>
        <v>-5</v>
      </c>
      <c r="Q9" s="26">
        <f t="shared" si="4"/>
        <v>7500</v>
      </c>
      <c r="R9" s="24">
        <f t="shared" si="5"/>
        <v>0</v>
      </c>
      <c r="S9" s="24">
        <f t="shared" si="6"/>
        <v>0</v>
      </c>
      <c r="T9" s="24">
        <f t="shared" si="7"/>
        <v>-26850</v>
      </c>
      <c r="U9" s="24">
        <f t="shared" si="8"/>
        <v>7500</v>
      </c>
      <c r="V9" s="27">
        <f t="shared" si="9"/>
        <v>7500</v>
      </c>
      <c r="W9" s="154"/>
      <c r="X9" s="154"/>
      <c r="Y9" s="154"/>
      <c r="Z9" s="154"/>
      <c r="AA9" s="35">
        <f t="shared" si="10"/>
        <v>7500</v>
      </c>
      <c r="AB9" s="155"/>
      <c r="AC9" s="155"/>
      <c r="AD9" s="155"/>
      <c r="AE9" s="12">
        <f>([1]Summary!$G$4-F9)/365</f>
        <v>21.010958904109589</v>
      </c>
      <c r="AF9" s="12">
        <f t="shared" si="11"/>
        <v>-6.0109589041095894</v>
      </c>
      <c r="AG9" s="35">
        <f t="shared" si="12"/>
        <v>7500</v>
      </c>
      <c r="AH9" s="34">
        <f t="shared" si="13"/>
        <v>0</v>
      </c>
      <c r="AI9" s="35">
        <f t="shared" si="14"/>
        <v>0</v>
      </c>
      <c r="AJ9" s="35">
        <f t="shared" si="15"/>
        <v>7500</v>
      </c>
      <c r="AL9" s="35">
        <f t="shared" si="16"/>
        <v>7500</v>
      </c>
      <c r="AM9" s="155"/>
      <c r="AN9" s="155"/>
      <c r="AO9" s="155"/>
      <c r="AP9" s="12">
        <f>([1]Summary!$AL$4-F9)/365</f>
        <v>22.013698630136986</v>
      </c>
      <c r="AQ9" s="12">
        <f t="shared" si="17"/>
        <v>-7.0136986301369859</v>
      </c>
      <c r="AR9" s="35">
        <f t="shared" si="18"/>
        <v>7500</v>
      </c>
      <c r="AS9" s="34">
        <f t="shared" si="19"/>
        <v>0</v>
      </c>
      <c r="AT9" s="96">
        <f t="shared" si="20"/>
        <v>0</v>
      </c>
      <c r="AU9" s="35">
        <f t="shared" si="21"/>
        <v>7500</v>
      </c>
      <c r="AW9" s="155">
        <f t="shared" si="22"/>
        <v>7500</v>
      </c>
      <c r="AX9" s="155"/>
      <c r="AY9" s="155"/>
      <c r="AZ9" s="155"/>
      <c r="BA9" s="155">
        <f>([1]Summary!$AW$4-F9)/365</f>
        <v>23.013698630136986</v>
      </c>
      <c r="BB9" s="155">
        <f t="shared" si="23"/>
        <v>-8.0136986301369859</v>
      </c>
      <c r="BC9" s="155">
        <f t="shared" si="24"/>
        <v>7500</v>
      </c>
      <c r="BD9" s="155">
        <f t="shared" si="25"/>
        <v>0</v>
      </c>
      <c r="BE9" s="35">
        <f t="shared" si="26"/>
        <v>0</v>
      </c>
      <c r="BF9" s="155">
        <f t="shared" si="27"/>
        <v>7500</v>
      </c>
      <c r="BG9" s="155"/>
      <c r="BH9" s="35">
        <f t="shared" si="28"/>
        <v>7500</v>
      </c>
      <c r="BI9" s="155"/>
      <c r="BJ9" s="155"/>
      <c r="BK9" s="155"/>
      <c r="BL9" s="35">
        <f>([1]Summary!$BH$4-F9)/365</f>
        <v>24.013698630136986</v>
      </c>
      <c r="BM9" s="155">
        <f t="shared" si="29"/>
        <v>-9.0136986301369859</v>
      </c>
      <c r="BN9" s="155">
        <f t="shared" si="30"/>
        <v>7500</v>
      </c>
      <c r="BO9" s="35">
        <f t="shared" si="31"/>
        <v>0</v>
      </c>
      <c r="BP9" s="35">
        <f t="shared" si="32"/>
        <v>0</v>
      </c>
      <c r="BQ9" s="35">
        <f t="shared" si="33"/>
        <v>7500</v>
      </c>
      <c r="BS9" s="132">
        <f t="shared" si="34"/>
        <v>0</v>
      </c>
      <c r="BT9" s="35">
        <v>7500</v>
      </c>
      <c r="BU9" s="155"/>
      <c r="BV9" s="155"/>
      <c r="BW9" s="155"/>
      <c r="BX9" s="35">
        <f>([1]Summary!$BT$4-F9)/365</f>
        <v>25.013698630136986</v>
      </c>
      <c r="BY9" s="96">
        <f t="shared" si="35"/>
        <v>-10.013698630136986</v>
      </c>
      <c r="BZ9" s="35">
        <f t="shared" si="36"/>
        <v>7500</v>
      </c>
      <c r="CA9" s="35">
        <f t="shared" si="37"/>
        <v>0</v>
      </c>
      <c r="CB9" s="35">
        <f t="shared" si="38"/>
        <v>0</v>
      </c>
      <c r="CC9" s="35">
        <f t="shared" si="39"/>
        <v>7500</v>
      </c>
      <c r="CE9" s="35">
        <v>7500</v>
      </c>
      <c r="CF9" s="155"/>
      <c r="CG9" s="155"/>
      <c r="CH9" s="155"/>
      <c r="CI9" s="35">
        <f>([1]Summary!$CE$4-F9)/365</f>
        <v>26.016438356164382</v>
      </c>
      <c r="CJ9" s="96">
        <f t="shared" si="40"/>
        <v>-11.016438356164382</v>
      </c>
      <c r="CK9" s="35">
        <f t="shared" si="41"/>
        <v>7500</v>
      </c>
      <c r="CL9" s="35">
        <f t="shared" si="42"/>
        <v>0</v>
      </c>
      <c r="CM9" s="35">
        <f t="shared" si="43"/>
        <v>0</v>
      </c>
      <c r="CN9" s="35">
        <f t="shared" si="44"/>
        <v>7500</v>
      </c>
      <c r="CP9" s="35">
        <f t="shared" si="45"/>
        <v>7500</v>
      </c>
      <c r="CQ9" s="155"/>
      <c r="CR9" s="155"/>
      <c r="CS9" s="155"/>
      <c r="CT9" s="35">
        <f>([1]Summary!$CP$4-F9)/365</f>
        <v>27.016438356164382</v>
      </c>
      <c r="CU9" s="96">
        <f t="shared" si="46"/>
        <v>-12.016438356164382</v>
      </c>
      <c r="CV9" s="35">
        <f t="shared" si="47"/>
        <v>7500</v>
      </c>
      <c r="CW9" s="35">
        <f t="shared" si="48"/>
        <v>0</v>
      </c>
      <c r="CX9" s="35">
        <f t="shared" si="49"/>
        <v>0</v>
      </c>
      <c r="CY9" s="35">
        <f t="shared" si="50"/>
        <v>7500</v>
      </c>
      <c r="DA9" s="35">
        <f t="shared" si="51"/>
        <v>7500</v>
      </c>
      <c r="DB9" s="155"/>
      <c r="DC9" s="155"/>
      <c r="DD9" s="155"/>
      <c r="DE9" s="35">
        <f>([1]Summary!$DA$4-F9)/365</f>
        <v>28.016438356164382</v>
      </c>
      <c r="DF9" s="96">
        <f t="shared" si="52"/>
        <v>-13.016438356164382</v>
      </c>
      <c r="DG9" s="35">
        <f t="shared" si="53"/>
        <v>7500</v>
      </c>
      <c r="DH9" s="35">
        <f t="shared" si="54"/>
        <v>0</v>
      </c>
      <c r="DI9" s="35">
        <f t="shared" si="55"/>
        <v>0</v>
      </c>
      <c r="DJ9" s="35">
        <f t="shared" si="56"/>
        <v>7500</v>
      </c>
      <c r="DL9" s="157">
        <f t="shared" si="57"/>
        <v>150000</v>
      </c>
      <c r="DM9" s="157">
        <f t="shared" si="58"/>
        <v>142500</v>
      </c>
      <c r="DN9" s="157">
        <f t="shared" si="59"/>
        <v>7500</v>
      </c>
      <c r="DO9" s="158">
        <f t="shared" ref="DO9:DO47" si="60">DJ9-DN9</f>
        <v>0</v>
      </c>
    </row>
    <row r="10" spans="1:119" s="156" customFormat="1" ht="24" customHeight="1" x14ac:dyDescent="0.25">
      <c r="A10" s="11" t="s">
        <v>5</v>
      </c>
      <c r="B10" s="86" t="s">
        <v>4</v>
      </c>
      <c r="C10" s="15" t="s">
        <v>474</v>
      </c>
      <c r="D10" s="150" t="s">
        <v>479</v>
      </c>
      <c r="E10" s="44" t="s">
        <v>476</v>
      </c>
      <c r="F10" s="87">
        <v>34425</v>
      </c>
      <c r="G10" s="151">
        <f>([1]Summary!$G$3-F10)/365</f>
        <v>20.010958904109589</v>
      </c>
      <c r="H10" s="151">
        <f>VLOOKUP(C10,[2]Rates!$C$6:$D$136,2,0)</f>
        <v>15</v>
      </c>
      <c r="I10" s="152">
        <f t="shared" si="0"/>
        <v>-5.0109589041095894</v>
      </c>
      <c r="J10" s="88">
        <v>125000</v>
      </c>
      <c r="K10" s="88"/>
      <c r="L10" s="153">
        <f t="shared" si="1"/>
        <v>125000</v>
      </c>
      <c r="M10" s="88">
        <v>108601</v>
      </c>
      <c r="N10" s="24">
        <f t="shared" si="2"/>
        <v>16399</v>
      </c>
      <c r="O10" s="24"/>
      <c r="P10" s="28">
        <f t="shared" si="3"/>
        <v>-5</v>
      </c>
      <c r="Q10" s="26">
        <f t="shared" si="4"/>
        <v>6250</v>
      </c>
      <c r="R10" s="24">
        <f t="shared" si="5"/>
        <v>0</v>
      </c>
      <c r="S10" s="24">
        <f t="shared" si="6"/>
        <v>0</v>
      </c>
      <c r="T10" s="24">
        <f t="shared" si="7"/>
        <v>-10149</v>
      </c>
      <c r="U10" s="24">
        <f t="shared" si="8"/>
        <v>6250</v>
      </c>
      <c r="V10" s="27">
        <f t="shared" si="9"/>
        <v>6250</v>
      </c>
      <c r="W10" s="154"/>
      <c r="X10" s="154"/>
      <c r="Y10" s="154"/>
      <c r="Z10" s="154"/>
      <c r="AA10" s="35">
        <f t="shared" si="10"/>
        <v>6250</v>
      </c>
      <c r="AB10" s="155"/>
      <c r="AC10" s="155"/>
      <c r="AD10" s="155"/>
      <c r="AE10" s="12">
        <f>([1]Summary!$G$4-F10)/365</f>
        <v>21.010958904109589</v>
      </c>
      <c r="AF10" s="12">
        <f t="shared" si="11"/>
        <v>-6.0109589041095894</v>
      </c>
      <c r="AG10" s="35">
        <f t="shared" si="12"/>
        <v>6250</v>
      </c>
      <c r="AH10" s="34">
        <f t="shared" si="13"/>
        <v>0</v>
      </c>
      <c r="AI10" s="35">
        <f t="shared" si="14"/>
        <v>0</v>
      </c>
      <c r="AJ10" s="35">
        <f t="shared" si="15"/>
        <v>6250</v>
      </c>
      <c r="AL10" s="35">
        <f t="shared" si="16"/>
        <v>6250</v>
      </c>
      <c r="AM10" s="155"/>
      <c r="AN10" s="155"/>
      <c r="AO10" s="155"/>
      <c r="AP10" s="12">
        <f>([1]Summary!$AL$4-F10)/365</f>
        <v>22.013698630136986</v>
      </c>
      <c r="AQ10" s="12">
        <f t="shared" si="17"/>
        <v>-7.0136986301369859</v>
      </c>
      <c r="AR10" s="35">
        <f t="shared" si="18"/>
        <v>6250</v>
      </c>
      <c r="AS10" s="34">
        <f t="shared" si="19"/>
        <v>0</v>
      </c>
      <c r="AT10" s="96">
        <f t="shared" si="20"/>
        <v>0</v>
      </c>
      <c r="AU10" s="35">
        <f t="shared" si="21"/>
        <v>6250</v>
      </c>
      <c r="AW10" s="155">
        <f t="shared" si="22"/>
        <v>6250</v>
      </c>
      <c r="AX10" s="155"/>
      <c r="AY10" s="155"/>
      <c r="AZ10" s="155"/>
      <c r="BA10" s="155">
        <f>([1]Summary!$AW$4-F10)/365</f>
        <v>23.013698630136986</v>
      </c>
      <c r="BB10" s="155">
        <f t="shared" si="23"/>
        <v>-8.0136986301369859</v>
      </c>
      <c r="BC10" s="155">
        <f t="shared" si="24"/>
        <v>6250</v>
      </c>
      <c r="BD10" s="155">
        <f t="shared" si="25"/>
        <v>0</v>
      </c>
      <c r="BE10" s="35">
        <f t="shared" si="26"/>
        <v>0</v>
      </c>
      <c r="BF10" s="155">
        <f t="shared" si="27"/>
        <v>6250</v>
      </c>
      <c r="BG10" s="155"/>
      <c r="BH10" s="35">
        <f t="shared" si="28"/>
        <v>6250</v>
      </c>
      <c r="BI10" s="155"/>
      <c r="BJ10" s="155"/>
      <c r="BK10" s="155"/>
      <c r="BL10" s="35">
        <f>([1]Summary!$BH$4-F10)/365</f>
        <v>24.013698630136986</v>
      </c>
      <c r="BM10" s="155">
        <f t="shared" si="29"/>
        <v>-9.0136986301369859</v>
      </c>
      <c r="BN10" s="155">
        <f t="shared" si="30"/>
        <v>6250</v>
      </c>
      <c r="BO10" s="35">
        <f t="shared" si="31"/>
        <v>0</v>
      </c>
      <c r="BP10" s="35">
        <f t="shared" si="32"/>
        <v>0</v>
      </c>
      <c r="BQ10" s="35">
        <f t="shared" si="33"/>
        <v>6250</v>
      </c>
      <c r="BS10" s="132">
        <f t="shared" si="34"/>
        <v>0</v>
      </c>
      <c r="BT10" s="35">
        <v>6250</v>
      </c>
      <c r="BU10" s="155"/>
      <c r="BV10" s="155"/>
      <c r="BW10" s="155"/>
      <c r="BX10" s="35">
        <f>([1]Summary!$BT$4-F10)/365</f>
        <v>25.013698630136986</v>
      </c>
      <c r="BY10" s="96">
        <f t="shared" si="35"/>
        <v>-10.013698630136986</v>
      </c>
      <c r="BZ10" s="35">
        <f t="shared" si="36"/>
        <v>6250</v>
      </c>
      <c r="CA10" s="35">
        <f t="shared" si="37"/>
        <v>0</v>
      </c>
      <c r="CB10" s="35">
        <f t="shared" si="38"/>
        <v>0</v>
      </c>
      <c r="CC10" s="35">
        <f t="shared" si="39"/>
        <v>6250</v>
      </c>
      <c r="CE10" s="35">
        <v>6250</v>
      </c>
      <c r="CF10" s="155"/>
      <c r="CG10" s="155"/>
      <c r="CH10" s="155"/>
      <c r="CI10" s="35">
        <f>([1]Summary!$CE$4-F10)/365</f>
        <v>26.016438356164382</v>
      </c>
      <c r="CJ10" s="96">
        <f t="shared" si="40"/>
        <v>-11.016438356164382</v>
      </c>
      <c r="CK10" s="35">
        <f t="shared" si="41"/>
        <v>6250</v>
      </c>
      <c r="CL10" s="35">
        <f t="shared" si="42"/>
        <v>0</v>
      </c>
      <c r="CM10" s="35">
        <f t="shared" si="43"/>
        <v>0</v>
      </c>
      <c r="CN10" s="35">
        <f t="shared" si="44"/>
        <v>6250</v>
      </c>
      <c r="CP10" s="35">
        <f t="shared" si="45"/>
        <v>6250</v>
      </c>
      <c r="CQ10" s="155"/>
      <c r="CR10" s="155"/>
      <c r="CS10" s="155"/>
      <c r="CT10" s="35">
        <f>([1]Summary!$CP$4-F10)/365</f>
        <v>27.016438356164382</v>
      </c>
      <c r="CU10" s="96">
        <f t="shared" si="46"/>
        <v>-12.016438356164382</v>
      </c>
      <c r="CV10" s="35">
        <f t="shared" si="47"/>
        <v>6250</v>
      </c>
      <c r="CW10" s="35">
        <f t="shared" si="48"/>
        <v>0</v>
      </c>
      <c r="CX10" s="35">
        <f t="shared" si="49"/>
        <v>0</v>
      </c>
      <c r="CY10" s="35">
        <f t="shared" si="50"/>
        <v>6250</v>
      </c>
      <c r="DA10" s="35">
        <f t="shared" si="51"/>
        <v>6250</v>
      </c>
      <c r="DB10" s="155"/>
      <c r="DC10" s="155"/>
      <c r="DD10" s="155"/>
      <c r="DE10" s="35">
        <f>([1]Summary!$DA$4-F10)/365</f>
        <v>28.016438356164382</v>
      </c>
      <c r="DF10" s="96">
        <f t="shared" si="52"/>
        <v>-13.016438356164382</v>
      </c>
      <c r="DG10" s="35">
        <f t="shared" si="53"/>
        <v>6250</v>
      </c>
      <c r="DH10" s="35">
        <f t="shared" si="54"/>
        <v>0</v>
      </c>
      <c r="DI10" s="35">
        <f t="shared" si="55"/>
        <v>0</v>
      </c>
      <c r="DJ10" s="35">
        <f t="shared" si="56"/>
        <v>6250</v>
      </c>
      <c r="DL10" s="157">
        <f t="shared" si="57"/>
        <v>125000</v>
      </c>
      <c r="DM10" s="157">
        <f t="shared" si="58"/>
        <v>118750</v>
      </c>
      <c r="DN10" s="157">
        <f t="shared" si="59"/>
        <v>6250</v>
      </c>
      <c r="DO10" s="158">
        <f t="shared" si="60"/>
        <v>0</v>
      </c>
    </row>
    <row r="11" spans="1:119" s="156" customFormat="1" ht="24" customHeight="1" x14ac:dyDescent="0.25">
      <c r="A11" s="11" t="s">
        <v>5</v>
      </c>
      <c r="B11" s="86" t="s">
        <v>4</v>
      </c>
      <c r="C11" s="15" t="s">
        <v>474</v>
      </c>
      <c r="D11" s="150" t="s">
        <v>480</v>
      </c>
      <c r="E11" s="44" t="s">
        <v>481</v>
      </c>
      <c r="F11" s="87">
        <v>34425</v>
      </c>
      <c r="G11" s="151">
        <f>([1]Summary!$G$3-F11)/365</f>
        <v>20.010958904109589</v>
      </c>
      <c r="H11" s="151">
        <f>VLOOKUP(C11,[2]Rates!$C$6:$D$136,2,0)</f>
        <v>15</v>
      </c>
      <c r="I11" s="152">
        <f t="shared" si="0"/>
        <v>-5.0109589041095894</v>
      </c>
      <c r="J11" s="88">
        <v>20000</v>
      </c>
      <c r="K11" s="88"/>
      <c r="L11" s="153">
        <f t="shared" si="1"/>
        <v>20000</v>
      </c>
      <c r="M11" s="88">
        <v>15420</v>
      </c>
      <c r="N11" s="24">
        <f t="shared" si="2"/>
        <v>4580</v>
      </c>
      <c r="O11" s="24"/>
      <c r="P11" s="28">
        <f t="shared" si="3"/>
        <v>-5</v>
      </c>
      <c r="Q11" s="26">
        <f t="shared" si="4"/>
        <v>1000</v>
      </c>
      <c r="R11" s="24">
        <f t="shared" si="5"/>
        <v>0</v>
      </c>
      <c r="S11" s="24">
        <f t="shared" si="6"/>
        <v>0</v>
      </c>
      <c r="T11" s="24">
        <f t="shared" si="7"/>
        <v>-3580</v>
      </c>
      <c r="U11" s="24">
        <f t="shared" si="8"/>
        <v>1000</v>
      </c>
      <c r="V11" s="27">
        <f t="shared" si="9"/>
        <v>1000</v>
      </c>
      <c r="W11" s="154"/>
      <c r="X11" s="154"/>
      <c r="Y11" s="154"/>
      <c r="Z11" s="154"/>
      <c r="AA11" s="35">
        <f t="shared" si="10"/>
        <v>1000</v>
      </c>
      <c r="AB11" s="155"/>
      <c r="AC11" s="155"/>
      <c r="AD11" s="155"/>
      <c r="AE11" s="12">
        <f>([1]Summary!$G$4-F11)/365</f>
        <v>21.010958904109589</v>
      </c>
      <c r="AF11" s="12">
        <f t="shared" si="11"/>
        <v>-6.0109589041095894</v>
      </c>
      <c r="AG11" s="35">
        <f t="shared" si="12"/>
        <v>1000</v>
      </c>
      <c r="AH11" s="34">
        <f t="shared" si="13"/>
        <v>0</v>
      </c>
      <c r="AI11" s="35">
        <f t="shared" si="14"/>
        <v>0</v>
      </c>
      <c r="AJ11" s="35">
        <f t="shared" si="15"/>
        <v>1000</v>
      </c>
      <c r="AL11" s="35">
        <f t="shared" si="16"/>
        <v>1000</v>
      </c>
      <c r="AM11" s="155"/>
      <c r="AN11" s="155"/>
      <c r="AO11" s="155"/>
      <c r="AP11" s="12">
        <f>([1]Summary!$AL$4-F11)/365</f>
        <v>22.013698630136986</v>
      </c>
      <c r="AQ11" s="12">
        <f t="shared" si="17"/>
        <v>-7.0136986301369859</v>
      </c>
      <c r="AR11" s="35">
        <f t="shared" si="18"/>
        <v>1000</v>
      </c>
      <c r="AS11" s="34">
        <f t="shared" si="19"/>
        <v>0</v>
      </c>
      <c r="AT11" s="96">
        <f t="shared" si="20"/>
        <v>0</v>
      </c>
      <c r="AU11" s="35">
        <f t="shared" si="21"/>
        <v>1000</v>
      </c>
      <c r="AW11" s="155">
        <f t="shared" si="22"/>
        <v>1000</v>
      </c>
      <c r="AX11" s="155"/>
      <c r="AY11" s="155"/>
      <c r="AZ11" s="155"/>
      <c r="BA11" s="155">
        <f>([1]Summary!$AW$4-F11)/365</f>
        <v>23.013698630136986</v>
      </c>
      <c r="BB11" s="155">
        <f t="shared" si="23"/>
        <v>-8.0136986301369859</v>
      </c>
      <c r="BC11" s="155">
        <f t="shared" si="24"/>
        <v>1000</v>
      </c>
      <c r="BD11" s="155">
        <f t="shared" si="25"/>
        <v>0</v>
      </c>
      <c r="BE11" s="35">
        <f t="shared" si="26"/>
        <v>0</v>
      </c>
      <c r="BF11" s="155">
        <f t="shared" si="27"/>
        <v>1000</v>
      </c>
      <c r="BG11" s="155"/>
      <c r="BH11" s="35">
        <f t="shared" si="28"/>
        <v>1000</v>
      </c>
      <c r="BI11" s="155"/>
      <c r="BJ11" s="155"/>
      <c r="BK11" s="155"/>
      <c r="BL11" s="35">
        <f>([1]Summary!$BH$4-F11)/365</f>
        <v>24.013698630136986</v>
      </c>
      <c r="BM11" s="155">
        <f t="shared" si="29"/>
        <v>-9.0136986301369859</v>
      </c>
      <c r="BN11" s="155">
        <f t="shared" si="30"/>
        <v>1000</v>
      </c>
      <c r="BO11" s="35">
        <f t="shared" si="31"/>
        <v>0</v>
      </c>
      <c r="BP11" s="35">
        <f t="shared" si="32"/>
        <v>0</v>
      </c>
      <c r="BQ11" s="35">
        <f t="shared" si="33"/>
        <v>1000</v>
      </c>
      <c r="BS11" s="132">
        <f t="shared" si="34"/>
        <v>0</v>
      </c>
      <c r="BT11" s="35">
        <v>1000</v>
      </c>
      <c r="BU11" s="155"/>
      <c r="BV11" s="155"/>
      <c r="BW11" s="155"/>
      <c r="BX11" s="35">
        <f>([1]Summary!$BT$4-F11)/365</f>
        <v>25.013698630136986</v>
      </c>
      <c r="BY11" s="96">
        <f t="shared" si="35"/>
        <v>-10.013698630136986</v>
      </c>
      <c r="BZ11" s="35">
        <f t="shared" si="36"/>
        <v>1000</v>
      </c>
      <c r="CA11" s="35">
        <f t="shared" si="37"/>
        <v>0</v>
      </c>
      <c r="CB11" s="35">
        <f t="shared" si="38"/>
        <v>0</v>
      </c>
      <c r="CC11" s="35">
        <f t="shared" si="39"/>
        <v>1000</v>
      </c>
      <c r="CE11" s="35">
        <v>1000</v>
      </c>
      <c r="CF11" s="155"/>
      <c r="CG11" s="155"/>
      <c r="CH11" s="155"/>
      <c r="CI11" s="35">
        <f>([1]Summary!$CE$4-F11)/365</f>
        <v>26.016438356164382</v>
      </c>
      <c r="CJ11" s="96">
        <f t="shared" si="40"/>
        <v>-11.016438356164382</v>
      </c>
      <c r="CK11" s="35">
        <f t="shared" si="41"/>
        <v>1000</v>
      </c>
      <c r="CL11" s="35">
        <f t="shared" si="42"/>
        <v>0</v>
      </c>
      <c r="CM11" s="35">
        <f t="shared" si="43"/>
        <v>0</v>
      </c>
      <c r="CN11" s="35">
        <f t="shared" si="44"/>
        <v>1000</v>
      </c>
      <c r="CP11" s="35">
        <f t="shared" si="45"/>
        <v>1000</v>
      </c>
      <c r="CQ11" s="155"/>
      <c r="CR11" s="155"/>
      <c r="CS11" s="155"/>
      <c r="CT11" s="35">
        <f>([1]Summary!$CP$4-F11)/365</f>
        <v>27.016438356164382</v>
      </c>
      <c r="CU11" s="96">
        <f t="shared" si="46"/>
        <v>-12.016438356164382</v>
      </c>
      <c r="CV11" s="35">
        <f t="shared" si="47"/>
        <v>1000</v>
      </c>
      <c r="CW11" s="35">
        <f t="shared" si="48"/>
        <v>0</v>
      </c>
      <c r="CX11" s="35">
        <f t="shared" si="49"/>
        <v>0</v>
      </c>
      <c r="CY11" s="35">
        <f t="shared" si="50"/>
        <v>1000</v>
      </c>
      <c r="DA11" s="35">
        <f t="shared" si="51"/>
        <v>1000</v>
      </c>
      <c r="DB11" s="155"/>
      <c r="DC11" s="155"/>
      <c r="DD11" s="155"/>
      <c r="DE11" s="35">
        <f>([1]Summary!$DA$4-F11)/365</f>
        <v>28.016438356164382</v>
      </c>
      <c r="DF11" s="96">
        <f t="shared" si="52"/>
        <v>-13.016438356164382</v>
      </c>
      <c r="DG11" s="35">
        <f t="shared" si="53"/>
        <v>1000</v>
      </c>
      <c r="DH11" s="35">
        <f t="shared" si="54"/>
        <v>0</v>
      </c>
      <c r="DI11" s="35">
        <f t="shared" si="55"/>
        <v>0</v>
      </c>
      <c r="DJ11" s="35">
        <f t="shared" si="56"/>
        <v>1000</v>
      </c>
      <c r="DL11" s="157">
        <f t="shared" si="57"/>
        <v>20000</v>
      </c>
      <c r="DM11" s="157">
        <f t="shared" si="58"/>
        <v>19000</v>
      </c>
      <c r="DN11" s="157">
        <f t="shared" si="59"/>
        <v>1000</v>
      </c>
      <c r="DO11" s="158">
        <f t="shared" si="60"/>
        <v>0</v>
      </c>
    </row>
    <row r="12" spans="1:119" s="156" customFormat="1" ht="24" customHeight="1" x14ac:dyDescent="0.25">
      <c r="A12" s="11" t="s">
        <v>5</v>
      </c>
      <c r="B12" s="86" t="s">
        <v>4</v>
      </c>
      <c r="C12" s="15" t="s">
        <v>474</v>
      </c>
      <c r="D12" s="150" t="s">
        <v>482</v>
      </c>
      <c r="E12" s="44" t="s">
        <v>483</v>
      </c>
      <c r="F12" s="87">
        <v>34425</v>
      </c>
      <c r="G12" s="151">
        <f>([1]Summary!$G$3-F12)/365</f>
        <v>20.010958904109589</v>
      </c>
      <c r="H12" s="151">
        <f>VLOOKUP(C12,[2]Rates!$C$6:$D$136,2,0)</f>
        <v>15</v>
      </c>
      <c r="I12" s="152">
        <f t="shared" si="0"/>
        <v>-5.0109589041095894</v>
      </c>
      <c r="J12" s="88">
        <v>8000</v>
      </c>
      <c r="K12" s="88"/>
      <c r="L12" s="153">
        <f t="shared" si="1"/>
        <v>8000</v>
      </c>
      <c r="M12" s="88">
        <v>5367.4000000000005</v>
      </c>
      <c r="N12" s="24">
        <f t="shared" si="2"/>
        <v>2632.5999999999995</v>
      </c>
      <c r="O12" s="24"/>
      <c r="P12" s="28">
        <f t="shared" si="3"/>
        <v>-5</v>
      </c>
      <c r="Q12" s="26">
        <f t="shared" si="4"/>
        <v>400</v>
      </c>
      <c r="R12" s="24">
        <f t="shared" si="5"/>
        <v>0</v>
      </c>
      <c r="S12" s="24">
        <f t="shared" si="6"/>
        <v>0</v>
      </c>
      <c r="T12" s="24">
        <f t="shared" si="7"/>
        <v>-2232.5999999999995</v>
      </c>
      <c r="U12" s="24">
        <f t="shared" si="8"/>
        <v>400</v>
      </c>
      <c r="V12" s="27">
        <f t="shared" si="9"/>
        <v>400</v>
      </c>
      <c r="W12" s="154"/>
      <c r="X12" s="154"/>
      <c r="Y12" s="154"/>
      <c r="Z12" s="154"/>
      <c r="AA12" s="35">
        <f t="shared" si="10"/>
        <v>400</v>
      </c>
      <c r="AB12" s="155"/>
      <c r="AC12" s="155"/>
      <c r="AD12" s="155"/>
      <c r="AE12" s="12">
        <f>([1]Summary!$G$4-F12)/365</f>
        <v>21.010958904109589</v>
      </c>
      <c r="AF12" s="12">
        <f t="shared" si="11"/>
        <v>-6.0109589041095894</v>
      </c>
      <c r="AG12" s="35">
        <f t="shared" si="12"/>
        <v>400</v>
      </c>
      <c r="AH12" s="34">
        <f t="shared" si="13"/>
        <v>0</v>
      </c>
      <c r="AI12" s="35">
        <f t="shared" si="14"/>
        <v>0</v>
      </c>
      <c r="AJ12" s="35">
        <f t="shared" si="15"/>
        <v>400</v>
      </c>
      <c r="AL12" s="35">
        <f t="shared" si="16"/>
        <v>400</v>
      </c>
      <c r="AM12" s="155"/>
      <c r="AN12" s="155"/>
      <c r="AO12" s="155"/>
      <c r="AP12" s="12">
        <f>([1]Summary!$AL$4-F12)/365</f>
        <v>22.013698630136986</v>
      </c>
      <c r="AQ12" s="12">
        <f t="shared" si="17"/>
        <v>-7.0136986301369859</v>
      </c>
      <c r="AR12" s="35">
        <f t="shared" si="18"/>
        <v>400</v>
      </c>
      <c r="AS12" s="34">
        <f t="shared" si="19"/>
        <v>0</v>
      </c>
      <c r="AT12" s="96">
        <f t="shared" si="20"/>
        <v>0</v>
      </c>
      <c r="AU12" s="35">
        <f t="shared" si="21"/>
        <v>400</v>
      </c>
      <c r="AW12" s="155">
        <f t="shared" si="22"/>
        <v>400</v>
      </c>
      <c r="AX12" s="155"/>
      <c r="AY12" s="155"/>
      <c r="AZ12" s="155"/>
      <c r="BA12" s="155">
        <f>([1]Summary!$AW$4-F12)/365</f>
        <v>23.013698630136986</v>
      </c>
      <c r="BB12" s="155">
        <f t="shared" si="23"/>
        <v>-8.0136986301369859</v>
      </c>
      <c r="BC12" s="155">
        <f t="shared" si="24"/>
        <v>400</v>
      </c>
      <c r="BD12" s="155">
        <f t="shared" si="25"/>
        <v>0</v>
      </c>
      <c r="BE12" s="35">
        <f t="shared" si="26"/>
        <v>0</v>
      </c>
      <c r="BF12" s="155">
        <f t="shared" si="27"/>
        <v>400</v>
      </c>
      <c r="BG12" s="155"/>
      <c r="BH12" s="35">
        <f t="shared" si="28"/>
        <v>400</v>
      </c>
      <c r="BI12" s="155"/>
      <c r="BJ12" s="155"/>
      <c r="BK12" s="155"/>
      <c r="BL12" s="35">
        <f>([1]Summary!$BH$4-F12)/365</f>
        <v>24.013698630136986</v>
      </c>
      <c r="BM12" s="155">
        <f t="shared" si="29"/>
        <v>-9.0136986301369859</v>
      </c>
      <c r="BN12" s="155">
        <f t="shared" si="30"/>
        <v>400</v>
      </c>
      <c r="BO12" s="35">
        <f t="shared" si="31"/>
        <v>0</v>
      </c>
      <c r="BP12" s="35">
        <f t="shared" si="32"/>
        <v>0</v>
      </c>
      <c r="BQ12" s="35">
        <f t="shared" si="33"/>
        <v>400</v>
      </c>
      <c r="BS12" s="132">
        <f t="shared" si="34"/>
        <v>0</v>
      </c>
      <c r="BT12" s="35">
        <v>400</v>
      </c>
      <c r="BU12" s="155"/>
      <c r="BV12" s="155"/>
      <c r="BW12" s="155"/>
      <c r="BX12" s="35">
        <f>([1]Summary!$BT$4-F12)/365</f>
        <v>25.013698630136986</v>
      </c>
      <c r="BY12" s="96">
        <f t="shared" si="35"/>
        <v>-10.013698630136986</v>
      </c>
      <c r="BZ12" s="35">
        <f t="shared" si="36"/>
        <v>400</v>
      </c>
      <c r="CA12" s="35">
        <f t="shared" si="37"/>
        <v>0</v>
      </c>
      <c r="CB12" s="35">
        <f t="shared" si="38"/>
        <v>0</v>
      </c>
      <c r="CC12" s="35">
        <f t="shared" si="39"/>
        <v>400</v>
      </c>
      <c r="CE12" s="35">
        <v>400</v>
      </c>
      <c r="CF12" s="155"/>
      <c r="CG12" s="155"/>
      <c r="CH12" s="155"/>
      <c r="CI12" s="35">
        <f>([1]Summary!$CE$4-F12)/365</f>
        <v>26.016438356164382</v>
      </c>
      <c r="CJ12" s="96">
        <f t="shared" si="40"/>
        <v>-11.016438356164382</v>
      </c>
      <c r="CK12" s="35">
        <f t="shared" si="41"/>
        <v>400</v>
      </c>
      <c r="CL12" s="35">
        <f t="shared" si="42"/>
        <v>0</v>
      </c>
      <c r="CM12" s="35">
        <f t="shared" si="43"/>
        <v>0</v>
      </c>
      <c r="CN12" s="35">
        <f t="shared" si="44"/>
        <v>400</v>
      </c>
      <c r="CP12" s="35">
        <f t="shared" si="45"/>
        <v>400</v>
      </c>
      <c r="CQ12" s="155"/>
      <c r="CR12" s="155"/>
      <c r="CS12" s="155"/>
      <c r="CT12" s="35">
        <f>([1]Summary!$CP$4-F12)/365</f>
        <v>27.016438356164382</v>
      </c>
      <c r="CU12" s="96">
        <f t="shared" si="46"/>
        <v>-12.016438356164382</v>
      </c>
      <c r="CV12" s="35">
        <f t="shared" si="47"/>
        <v>400</v>
      </c>
      <c r="CW12" s="35">
        <f t="shared" si="48"/>
        <v>0</v>
      </c>
      <c r="CX12" s="35">
        <f t="shared" si="49"/>
        <v>0</v>
      </c>
      <c r="CY12" s="35">
        <f t="shared" si="50"/>
        <v>400</v>
      </c>
      <c r="DA12" s="35">
        <f t="shared" si="51"/>
        <v>400</v>
      </c>
      <c r="DB12" s="155"/>
      <c r="DC12" s="155"/>
      <c r="DD12" s="155"/>
      <c r="DE12" s="35">
        <f>([1]Summary!$DA$4-F12)/365</f>
        <v>28.016438356164382</v>
      </c>
      <c r="DF12" s="96">
        <f t="shared" si="52"/>
        <v>-13.016438356164382</v>
      </c>
      <c r="DG12" s="35">
        <f t="shared" si="53"/>
        <v>400</v>
      </c>
      <c r="DH12" s="35">
        <f t="shared" si="54"/>
        <v>0</v>
      </c>
      <c r="DI12" s="35">
        <f t="shared" si="55"/>
        <v>0</v>
      </c>
      <c r="DJ12" s="35">
        <f t="shared" si="56"/>
        <v>400</v>
      </c>
      <c r="DL12" s="157">
        <f t="shared" si="57"/>
        <v>8000</v>
      </c>
      <c r="DM12" s="157">
        <f t="shared" si="58"/>
        <v>7600</v>
      </c>
      <c r="DN12" s="157">
        <f t="shared" si="59"/>
        <v>400</v>
      </c>
      <c r="DO12" s="158">
        <f t="shared" si="60"/>
        <v>0</v>
      </c>
    </row>
    <row r="13" spans="1:119" s="156" customFormat="1" ht="24" customHeight="1" x14ac:dyDescent="0.25">
      <c r="A13" s="11" t="s">
        <v>5</v>
      </c>
      <c r="B13" s="86" t="s">
        <v>4</v>
      </c>
      <c r="C13" s="15" t="s">
        <v>474</v>
      </c>
      <c r="D13" s="150" t="s">
        <v>484</v>
      </c>
      <c r="E13" s="44" t="s">
        <v>485</v>
      </c>
      <c r="F13" s="87">
        <v>34909</v>
      </c>
      <c r="G13" s="151">
        <f>([1]Summary!$G$3-F13)/365</f>
        <v>18.684931506849313</v>
      </c>
      <c r="H13" s="151">
        <f>VLOOKUP(C13,[2]Rates!$C$6:$D$136,2,0)</f>
        <v>15</v>
      </c>
      <c r="I13" s="152">
        <f t="shared" si="0"/>
        <v>-3.6849315068493134</v>
      </c>
      <c r="J13" s="88">
        <v>50000</v>
      </c>
      <c r="K13" s="88"/>
      <c r="L13" s="153">
        <f t="shared" si="1"/>
        <v>50000</v>
      </c>
      <c r="M13" s="88">
        <v>38550</v>
      </c>
      <c r="N13" s="24">
        <f t="shared" si="2"/>
        <v>11450</v>
      </c>
      <c r="O13" s="24"/>
      <c r="P13" s="28">
        <f t="shared" si="3"/>
        <v>-4</v>
      </c>
      <c r="Q13" s="26">
        <f t="shared" si="4"/>
        <v>2500</v>
      </c>
      <c r="R13" s="24">
        <f t="shared" si="5"/>
        <v>0</v>
      </c>
      <c r="S13" s="24">
        <f t="shared" si="6"/>
        <v>0</v>
      </c>
      <c r="T13" s="24">
        <f t="shared" si="7"/>
        <v>-8950</v>
      </c>
      <c r="U13" s="24">
        <f t="shared" si="8"/>
        <v>2500</v>
      </c>
      <c r="V13" s="27">
        <f t="shared" si="9"/>
        <v>2500</v>
      </c>
      <c r="W13" s="154"/>
      <c r="X13" s="154"/>
      <c r="Y13" s="154"/>
      <c r="Z13" s="154"/>
      <c r="AA13" s="35">
        <f t="shared" si="10"/>
        <v>2500</v>
      </c>
      <c r="AB13" s="155"/>
      <c r="AC13" s="155"/>
      <c r="AD13" s="155"/>
      <c r="AE13" s="12">
        <f>([1]Summary!$G$4-F13)/365</f>
        <v>19.684931506849313</v>
      </c>
      <c r="AF13" s="12">
        <f t="shared" si="11"/>
        <v>-4.6849315068493134</v>
      </c>
      <c r="AG13" s="35">
        <f t="shared" si="12"/>
        <v>2500</v>
      </c>
      <c r="AH13" s="34">
        <f t="shared" si="13"/>
        <v>0</v>
      </c>
      <c r="AI13" s="35">
        <f t="shared" si="14"/>
        <v>0</v>
      </c>
      <c r="AJ13" s="35">
        <f t="shared" si="15"/>
        <v>2500</v>
      </c>
      <c r="AL13" s="35">
        <f t="shared" si="16"/>
        <v>2500</v>
      </c>
      <c r="AM13" s="155"/>
      <c r="AN13" s="155"/>
      <c r="AO13" s="155"/>
      <c r="AP13" s="12">
        <f>([1]Summary!$AL$4-F13)/365</f>
        <v>20.687671232876713</v>
      </c>
      <c r="AQ13" s="12">
        <f t="shared" si="17"/>
        <v>-5.6876712328767134</v>
      </c>
      <c r="AR13" s="35">
        <f t="shared" si="18"/>
        <v>2500</v>
      </c>
      <c r="AS13" s="34">
        <f t="shared" si="19"/>
        <v>0</v>
      </c>
      <c r="AT13" s="96">
        <f t="shared" si="20"/>
        <v>0</v>
      </c>
      <c r="AU13" s="35">
        <f t="shared" si="21"/>
        <v>2500</v>
      </c>
      <c r="AW13" s="155">
        <f t="shared" si="22"/>
        <v>2500</v>
      </c>
      <c r="AX13" s="155"/>
      <c r="AY13" s="155"/>
      <c r="AZ13" s="155"/>
      <c r="BA13" s="155">
        <f>([1]Summary!$AW$4-F13)/365</f>
        <v>21.687671232876713</v>
      </c>
      <c r="BB13" s="155">
        <f t="shared" si="23"/>
        <v>-6.6876712328767134</v>
      </c>
      <c r="BC13" s="155">
        <f t="shared" si="24"/>
        <v>2500</v>
      </c>
      <c r="BD13" s="155">
        <f t="shared" si="25"/>
        <v>0</v>
      </c>
      <c r="BE13" s="35">
        <f t="shared" si="26"/>
        <v>0</v>
      </c>
      <c r="BF13" s="155">
        <f t="shared" si="27"/>
        <v>2500</v>
      </c>
      <c r="BG13" s="155"/>
      <c r="BH13" s="35">
        <f t="shared" si="28"/>
        <v>2500</v>
      </c>
      <c r="BI13" s="155"/>
      <c r="BJ13" s="155"/>
      <c r="BK13" s="155"/>
      <c r="BL13" s="35">
        <f>([1]Summary!$BH$4-F13)/365</f>
        <v>22.687671232876713</v>
      </c>
      <c r="BM13" s="155">
        <f t="shared" si="29"/>
        <v>-7.6876712328767134</v>
      </c>
      <c r="BN13" s="155">
        <f t="shared" si="30"/>
        <v>2500</v>
      </c>
      <c r="BO13" s="35">
        <f t="shared" si="31"/>
        <v>0</v>
      </c>
      <c r="BP13" s="35">
        <f t="shared" si="32"/>
        <v>0</v>
      </c>
      <c r="BQ13" s="35">
        <f t="shared" si="33"/>
        <v>2500</v>
      </c>
      <c r="BS13" s="132">
        <f t="shared" si="34"/>
        <v>0</v>
      </c>
      <c r="BT13" s="35">
        <v>2500</v>
      </c>
      <c r="BU13" s="155"/>
      <c r="BV13" s="155"/>
      <c r="BW13" s="155"/>
      <c r="BX13" s="35">
        <f>([1]Summary!$BT$4-F13)/365</f>
        <v>23.687671232876713</v>
      </c>
      <c r="BY13" s="96">
        <f t="shared" si="35"/>
        <v>-8.6876712328767134</v>
      </c>
      <c r="BZ13" s="35">
        <f t="shared" si="36"/>
        <v>2500</v>
      </c>
      <c r="CA13" s="35">
        <f t="shared" si="37"/>
        <v>0</v>
      </c>
      <c r="CB13" s="35">
        <f t="shared" si="38"/>
        <v>0</v>
      </c>
      <c r="CC13" s="35">
        <f t="shared" si="39"/>
        <v>2500</v>
      </c>
      <c r="CE13" s="35">
        <v>2500</v>
      </c>
      <c r="CF13" s="155"/>
      <c r="CG13" s="155"/>
      <c r="CH13" s="155"/>
      <c r="CI13" s="35">
        <f>([1]Summary!$CE$4-F13)/365</f>
        <v>24.69041095890411</v>
      </c>
      <c r="CJ13" s="96">
        <f t="shared" si="40"/>
        <v>-9.6904109589041099</v>
      </c>
      <c r="CK13" s="35">
        <f t="shared" si="41"/>
        <v>2500</v>
      </c>
      <c r="CL13" s="35">
        <f t="shared" si="42"/>
        <v>0</v>
      </c>
      <c r="CM13" s="35">
        <f t="shared" si="43"/>
        <v>0</v>
      </c>
      <c r="CN13" s="35">
        <f t="shared" si="44"/>
        <v>2500</v>
      </c>
      <c r="CP13" s="35">
        <f t="shared" si="45"/>
        <v>2500</v>
      </c>
      <c r="CQ13" s="155"/>
      <c r="CR13" s="155"/>
      <c r="CS13" s="155"/>
      <c r="CT13" s="35">
        <f>([1]Summary!$CP$4-F13)/365</f>
        <v>25.69041095890411</v>
      </c>
      <c r="CU13" s="96">
        <f t="shared" si="46"/>
        <v>-10.69041095890411</v>
      </c>
      <c r="CV13" s="35">
        <f t="shared" si="47"/>
        <v>2500</v>
      </c>
      <c r="CW13" s="35">
        <f t="shared" si="48"/>
        <v>0</v>
      </c>
      <c r="CX13" s="35">
        <f t="shared" si="49"/>
        <v>0</v>
      </c>
      <c r="CY13" s="35">
        <f t="shared" si="50"/>
        <v>2500</v>
      </c>
      <c r="DA13" s="35">
        <f t="shared" si="51"/>
        <v>2500</v>
      </c>
      <c r="DB13" s="155"/>
      <c r="DC13" s="155"/>
      <c r="DD13" s="155"/>
      <c r="DE13" s="35">
        <f>([1]Summary!$DA$4-F13)/365</f>
        <v>26.69041095890411</v>
      </c>
      <c r="DF13" s="96">
        <f t="shared" si="52"/>
        <v>-11.69041095890411</v>
      </c>
      <c r="DG13" s="35">
        <f t="shared" si="53"/>
        <v>2500</v>
      </c>
      <c r="DH13" s="35">
        <f t="shared" si="54"/>
        <v>0</v>
      </c>
      <c r="DI13" s="35">
        <f t="shared" si="55"/>
        <v>0</v>
      </c>
      <c r="DJ13" s="35">
        <f t="shared" si="56"/>
        <v>2500</v>
      </c>
      <c r="DL13" s="157">
        <f t="shared" si="57"/>
        <v>50000</v>
      </c>
      <c r="DM13" s="157">
        <f t="shared" si="58"/>
        <v>47500</v>
      </c>
      <c r="DN13" s="157">
        <f t="shared" si="59"/>
        <v>2500</v>
      </c>
      <c r="DO13" s="158">
        <f t="shared" si="60"/>
        <v>0</v>
      </c>
    </row>
    <row r="14" spans="1:119" s="156" customFormat="1" ht="24" customHeight="1" x14ac:dyDescent="0.25">
      <c r="A14" s="11" t="s">
        <v>5</v>
      </c>
      <c r="B14" s="86" t="s">
        <v>4</v>
      </c>
      <c r="C14" s="15" t="s">
        <v>474</v>
      </c>
      <c r="D14" s="150" t="s">
        <v>486</v>
      </c>
      <c r="E14" s="44" t="s">
        <v>487</v>
      </c>
      <c r="F14" s="87">
        <v>34909</v>
      </c>
      <c r="G14" s="151">
        <f>([1]Summary!$G$3-F14)/365</f>
        <v>18.684931506849313</v>
      </c>
      <c r="H14" s="151">
        <f>VLOOKUP(C14,[2]Rates!$C$6:$D$136,2,0)</f>
        <v>15</v>
      </c>
      <c r="I14" s="152">
        <f t="shared" si="0"/>
        <v>-3.6849315068493134</v>
      </c>
      <c r="J14" s="88">
        <v>30000</v>
      </c>
      <c r="K14" s="88"/>
      <c r="L14" s="153">
        <f t="shared" si="1"/>
        <v>30000</v>
      </c>
      <c r="M14" s="88">
        <v>23130</v>
      </c>
      <c r="N14" s="24">
        <f t="shared" si="2"/>
        <v>6870</v>
      </c>
      <c r="O14" s="24"/>
      <c r="P14" s="28">
        <f t="shared" si="3"/>
        <v>-4</v>
      </c>
      <c r="Q14" s="26">
        <f t="shared" si="4"/>
        <v>1500</v>
      </c>
      <c r="R14" s="24">
        <f t="shared" si="5"/>
        <v>0</v>
      </c>
      <c r="S14" s="24">
        <f t="shared" si="6"/>
        <v>0</v>
      </c>
      <c r="T14" s="24">
        <f t="shared" si="7"/>
        <v>-5370</v>
      </c>
      <c r="U14" s="24">
        <f t="shared" si="8"/>
        <v>1500</v>
      </c>
      <c r="V14" s="27">
        <f t="shared" si="9"/>
        <v>1500</v>
      </c>
      <c r="W14" s="154"/>
      <c r="X14" s="154"/>
      <c r="Y14" s="154"/>
      <c r="Z14" s="154"/>
      <c r="AA14" s="35">
        <f t="shared" si="10"/>
        <v>1500</v>
      </c>
      <c r="AB14" s="155"/>
      <c r="AC14" s="155"/>
      <c r="AD14" s="155"/>
      <c r="AE14" s="12">
        <f>([1]Summary!$G$4-F14)/365</f>
        <v>19.684931506849313</v>
      </c>
      <c r="AF14" s="12">
        <f t="shared" si="11"/>
        <v>-4.6849315068493134</v>
      </c>
      <c r="AG14" s="35">
        <f t="shared" si="12"/>
        <v>1500</v>
      </c>
      <c r="AH14" s="34">
        <f t="shared" si="13"/>
        <v>0</v>
      </c>
      <c r="AI14" s="35">
        <f t="shared" si="14"/>
        <v>0</v>
      </c>
      <c r="AJ14" s="35">
        <f t="shared" si="15"/>
        <v>1500</v>
      </c>
      <c r="AL14" s="35">
        <f t="shared" si="16"/>
        <v>1500</v>
      </c>
      <c r="AM14" s="155"/>
      <c r="AN14" s="155"/>
      <c r="AO14" s="155"/>
      <c r="AP14" s="12">
        <f>([1]Summary!$AL$4-F14)/365</f>
        <v>20.687671232876713</v>
      </c>
      <c r="AQ14" s="12">
        <f t="shared" si="17"/>
        <v>-5.6876712328767134</v>
      </c>
      <c r="AR14" s="35">
        <f t="shared" si="18"/>
        <v>1500</v>
      </c>
      <c r="AS14" s="34">
        <f t="shared" si="19"/>
        <v>0</v>
      </c>
      <c r="AT14" s="96">
        <f t="shared" si="20"/>
        <v>0</v>
      </c>
      <c r="AU14" s="35">
        <f t="shared" si="21"/>
        <v>1500</v>
      </c>
      <c r="AW14" s="155">
        <f t="shared" si="22"/>
        <v>1500</v>
      </c>
      <c r="AX14" s="155"/>
      <c r="AY14" s="155"/>
      <c r="AZ14" s="155"/>
      <c r="BA14" s="155">
        <f>([1]Summary!$AW$4-F14)/365</f>
        <v>21.687671232876713</v>
      </c>
      <c r="BB14" s="155">
        <f t="shared" si="23"/>
        <v>-6.6876712328767134</v>
      </c>
      <c r="BC14" s="155">
        <f t="shared" si="24"/>
        <v>1500</v>
      </c>
      <c r="BD14" s="155">
        <f t="shared" si="25"/>
        <v>0</v>
      </c>
      <c r="BE14" s="35">
        <f t="shared" si="26"/>
        <v>0</v>
      </c>
      <c r="BF14" s="155">
        <f t="shared" si="27"/>
        <v>1500</v>
      </c>
      <c r="BG14" s="155"/>
      <c r="BH14" s="35">
        <f t="shared" si="28"/>
        <v>1500</v>
      </c>
      <c r="BI14" s="155"/>
      <c r="BJ14" s="155"/>
      <c r="BK14" s="155"/>
      <c r="BL14" s="35">
        <f>([1]Summary!$BH$4-F14)/365</f>
        <v>22.687671232876713</v>
      </c>
      <c r="BM14" s="155">
        <f t="shared" si="29"/>
        <v>-7.6876712328767134</v>
      </c>
      <c r="BN14" s="155">
        <f t="shared" si="30"/>
        <v>1500</v>
      </c>
      <c r="BO14" s="35">
        <f t="shared" si="31"/>
        <v>0</v>
      </c>
      <c r="BP14" s="35">
        <f t="shared" si="32"/>
        <v>0</v>
      </c>
      <c r="BQ14" s="35">
        <f t="shared" si="33"/>
        <v>1500</v>
      </c>
      <c r="BS14" s="132">
        <f t="shared" si="34"/>
        <v>0</v>
      </c>
      <c r="BT14" s="35">
        <v>1500</v>
      </c>
      <c r="BU14" s="155"/>
      <c r="BV14" s="155"/>
      <c r="BW14" s="155"/>
      <c r="BX14" s="35">
        <f>([1]Summary!$BT$4-F14)/365</f>
        <v>23.687671232876713</v>
      </c>
      <c r="BY14" s="96">
        <f t="shared" si="35"/>
        <v>-8.6876712328767134</v>
      </c>
      <c r="BZ14" s="35">
        <f t="shared" si="36"/>
        <v>1500</v>
      </c>
      <c r="CA14" s="35">
        <f t="shared" si="37"/>
        <v>0</v>
      </c>
      <c r="CB14" s="35">
        <f t="shared" si="38"/>
        <v>0</v>
      </c>
      <c r="CC14" s="35">
        <f t="shared" si="39"/>
        <v>1500</v>
      </c>
      <c r="CE14" s="35">
        <v>1500</v>
      </c>
      <c r="CF14" s="155"/>
      <c r="CG14" s="155"/>
      <c r="CH14" s="155"/>
      <c r="CI14" s="35">
        <f>([1]Summary!$CE$4-F14)/365</f>
        <v>24.69041095890411</v>
      </c>
      <c r="CJ14" s="96">
        <f t="shared" si="40"/>
        <v>-9.6904109589041099</v>
      </c>
      <c r="CK14" s="35">
        <f t="shared" si="41"/>
        <v>1500</v>
      </c>
      <c r="CL14" s="35">
        <f t="shared" si="42"/>
        <v>0</v>
      </c>
      <c r="CM14" s="35">
        <f t="shared" si="43"/>
        <v>0</v>
      </c>
      <c r="CN14" s="35">
        <f t="shared" si="44"/>
        <v>1500</v>
      </c>
      <c r="CP14" s="35">
        <f t="shared" si="45"/>
        <v>1500</v>
      </c>
      <c r="CQ14" s="155"/>
      <c r="CR14" s="155"/>
      <c r="CS14" s="155"/>
      <c r="CT14" s="35">
        <f>([1]Summary!$CP$4-F14)/365</f>
        <v>25.69041095890411</v>
      </c>
      <c r="CU14" s="96">
        <f t="shared" si="46"/>
        <v>-10.69041095890411</v>
      </c>
      <c r="CV14" s="35">
        <f t="shared" si="47"/>
        <v>1500</v>
      </c>
      <c r="CW14" s="35">
        <f t="shared" si="48"/>
        <v>0</v>
      </c>
      <c r="CX14" s="35">
        <f t="shared" si="49"/>
        <v>0</v>
      </c>
      <c r="CY14" s="35">
        <f t="shared" si="50"/>
        <v>1500</v>
      </c>
      <c r="DA14" s="35">
        <f t="shared" si="51"/>
        <v>1500</v>
      </c>
      <c r="DB14" s="155"/>
      <c r="DC14" s="155"/>
      <c r="DD14" s="155"/>
      <c r="DE14" s="35">
        <f>([1]Summary!$DA$4-F14)/365</f>
        <v>26.69041095890411</v>
      </c>
      <c r="DF14" s="96">
        <f t="shared" si="52"/>
        <v>-11.69041095890411</v>
      </c>
      <c r="DG14" s="35">
        <f t="shared" si="53"/>
        <v>1500</v>
      </c>
      <c r="DH14" s="35">
        <f t="shared" si="54"/>
        <v>0</v>
      </c>
      <c r="DI14" s="35">
        <f t="shared" si="55"/>
        <v>0</v>
      </c>
      <c r="DJ14" s="35">
        <f t="shared" si="56"/>
        <v>1500</v>
      </c>
      <c r="DL14" s="157">
        <f t="shared" si="57"/>
        <v>30000</v>
      </c>
      <c r="DM14" s="157">
        <f t="shared" si="58"/>
        <v>28500</v>
      </c>
      <c r="DN14" s="157">
        <f t="shared" si="59"/>
        <v>1500</v>
      </c>
      <c r="DO14" s="158">
        <f t="shared" si="60"/>
        <v>0</v>
      </c>
    </row>
    <row r="15" spans="1:119" s="156" customFormat="1" ht="24" customHeight="1" x14ac:dyDescent="0.25">
      <c r="A15" s="11" t="s">
        <v>5</v>
      </c>
      <c r="B15" s="86" t="s">
        <v>4</v>
      </c>
      <c r="C15" s="15" t="s">
        <v>474</v>
      </c>
      <c r="D15" s="150" t="s">
        <v>488</v>
      </c>
      <c r="E15" s="44" t="s">
        <v>489</v>
      </c>
      <c r="F15" s="87">
        <v>34909</v>
      </c>
      <c r="G15" s="151">
        <f>([1]Summary!$G$3-F15)/365</f>
        <v>18.684931506849313</v>
      </c>
      <c r="H15" s="151">
        <f>VLOOKUP(C15,[2]Rates!$C$6:$D$136,2,0)</f>
        <v>15</v>
      </c>
      <c r="I15" s="152">
        <f t="shared" si="0"/>
        <v>-3.6849315068493134</v>
      </c>
      <c r="J15" s="88">
        <v>25000</v>
      </c>
      <c r="K15" s="88"/>
      <c r="L15" s="153">
        <f t="shared" si="1"/>
        <v>25000</v>
      </c>
      <c r="M15" s="88">
        <v>16775</v>
      </c>
      <c r="N15" s="24">
        <f t="shared" si="2"/>
        <v>8225</v>
      </c>
      <c r="O15" s="24"/>
      <c r="P15" s="28">
        <f t="shared" si="3"/>
        <v>-4</v>
      </c>
      <c r="Q15" s="26">
        <f t="shared" si="4"/>
        <v>1250</v>
      </c>
      <c r="R15" s="24">
        <f t="shared" si="5"/>
        <v>0</v>
      </c>
      <c r="S15" s="24">
        <f t="shared" si="6"/>
        <v>0</v>
      </c>
      <c r="T15" s="24">
        <f t="shared" si="7"/>
        <v>-6975</v>
      </c>
      <c r="U15" s="24">
        <f t="shared" si="8"/>
        <v>1250</v>
      </c>
      <c r="V15" s="27">
        <f t="shared" si="9"/>
        <v>1250</v>
      </c>
      <c r="W15" s="154"/>
      <c r="X15" s="154"/>
      <c r="Y15" s="154"/>
      <c r="Z15" s="154"/>
      <c r="AA15" s="35">
        <f t="shared" si="10"/>
        <v>1250</v>
      </c>
      <c r="AB15" s="155"/>
      <c r="AC15" s="155"/>
      <c r="AD15" s="155"/>
      <c r="AE15" s="12">
        <f>([1]Summary!$G$4-F15)/365</f>
        <v>19.684931506849313</v>
      </c>
      <c r="AF15" s="12">
        <f t="shared" si="11"/>
        <v>-4.6849315068493134</v>
      </c>
      <c r="AG15" s="35">
        <f t="shared" si="12"/>
        <v>1250</v>
      </c>
      <c r="AH15" s="34">
        <f t="shared" si="13"/>
        <v>0</v>
      </c>
      <c r="AI15" s="35">
        <f t="shared" si="14"/>
        <v>0</v>
      </c>
      <c r="AJ15" s="35">
        <f t="shared" si="15"/>
        <v>1250</v>
      </c>
      <c r="AL15" s="35">
        <f t="shared" si="16"/>
        <v>1250</v>
      </c>
      <c r="AM15" s="155"/>
      <c r="AN15" s="155"/>
      <c r="AO15" s="155"/>
      <c r="AP15" s="12">
        <f>([1]Summary!$AL$4-F15)/365</f>
        <v>20.687671232876713</v>
      </c>
      <c r="AQ15" s="12">
        <f t="shared" si="17"/>
        <v>-5.6876712328767134</v>
      </c>
      <c r="AR15" s="35">
        <f t="shared" si="18"/>
        <v>1250</v>
      </c>
      <c r="AS15" s="34">
        <f t="shared" si="19"/>
        <v>0</v>
      </c>
      <c r="AT15" s="96">
        <f t="shared" si="20"/>
        <v>0</v>
      </c>
      <c r="AU15" s="35">
        <f t="shared" si="21"/>
        <v>1250</v>
      </c>
      <c r="AW15" s="155">
        <f t="shared" si="22"/>
        <v>1250</v>
      </c>
      <c r="AX15" s="155"/>
      <c r="AY15" s="155"/>
      <c r="AZ15" s="155"/>
      <c r="BA15" s="155">
        <f>([1]Summary!$AW$4-F15)/365</f>
        <v>21.687671232876713</v>
      </c>
      <c r="BB15" s="155">
        <f t="shared" si="23"/>
        <v>-6.6876712328767134</v>
      </c>
      <c r="BC15" s="155">
        <f t="shared" si="24"/>
        <v>1250</v>
      </c>
      <c r="BD15" s="155">
        <f t="shared" si="25"/>
        <v>0</v>
      </c>
      <c r="BE15" s="35">
        <f t="shared" si="26"/>
        <v>0</v>
      </c>
      <c r="BF15" s="155">
        <f t="shared" si="27"/>
        <v>1250</v>
      </c>
      <c r="BG15" s="155"/>
      <c r="BH15" s="35">
        <f t="shared" si="28"/>
        <v>1250</v>
      </c>
      <c r="BI15" s="155"/>
      <c r="BJ15" s="155"/>
      <c r="BK15" s="155"/>
      <c r="BL15" s="35">
        <f>([1]Summary!$BH$4-F15)/365</f>
        <v>22.687671232876713</v>
      </c>
      <c r="BM15" s="155">
        <f t="shared" si="29"/>
        <v>-7.6876712328767134</v>
      </c>
      <c r="BN15" s="155">
        <f t="shared" si="30"/>
        <v>1250</v>
      </c>
      <c r="BO15" s="35">
        <f t="shared" si="31"/>
        <v>0</v>
      </c>
      <c r="BP15" s="35">
        <f t="shared" si="32"/>
        <v>0</v>
      </c>
      <c r="BQ15" s="35">
        <f t="shared" si="33"/>
        <v>1250</v>
      </c>
      <c r="BS15" s="132">
        <f t="shared" si="34"/>
        <v>0</v>
      </c>
      <c r="BT15" s="35">
        <v>1250</v>
      </c>
      <c r="BU15" s="155"/>
      <c r="BV15" s="155"/>
      <c r="BW15" s="155"/>
      <c r="BX15" s="35">
        <f>([1]Summary!$BT$4-F15)/365</f>
        <v>23.687671232876713</v>
      </c>
      <c r="BY15" s="96">
        <f t="shared" si="35"/>
        <v>-8.6876712328767134</v>
      </c>
      <c r="BZ15" s="35">
        <f t="shared" si="36"/>
        <v>1250</v>
      </c>
      <c r="CA15" s="35">
        <f t="shared" si="37"/>
        <v>0</v>
      </c>
      <c r="CB15" s="35">
        <f t="shared" si="38"/>
        <v>0</v>
      </c>
      <c r="CC15" s="35">
        <f t="shared" si="39"/>
        <v>1250</v>
      </c>
      <c r="CE15" s="35">
        <v>1250</v>
      </c>
      <c r="CF15" s="155"/>
      <c r="CG15" s="155"/>
      <c r="CH15" s="155"/>
      <c r="CI15" s="35">
        <f>([1]Summary!$CE$4-F15)/365</f>
        <v>24.69041095890411</v>
      </c>
      <c r="CJ15" s="96">
        <f t="shared" si="40"/>
        <v>-9.6904109589041099</v>
      </c>
      <c r="CK15" s="35">
        <f t="shared" si="41"/>
        <v>1250</v>
      </c>
      <c r="CL15" s="35">
        <f t="shared" si="42"/>
        <v>0</v>
      </c>
      <c r="CM15" s="35">
        <f t="shared" si="43"/>
        <v>0</v>
      </c>
      <c r="CN15" s="35">
        <f t="shared" si="44"/>
        <v>1250</v>
      </c>
      <c r="CP15" s="35">
        <f t="shared" si="45"/>
        <v>1250</v>
      </c>
      <c r="CQ15" s="155"/>
      <c r="CR15" s="155"/>
      <c r="CS15" s="155"/>
      <c r="CT15" s="35">
        <f>([1]Summary!$CP$4-F15)/365</f>
        <v>25.69041095890411</v>
      </c>
      <c r="CU15" s="96">
        <f t="shared" si="46"/>
        <v>-10.69041095890411</v>
      </c>
      <c r="CV15" s="35">
        <f t="shared" si="47"/>
        <v>1250</v>
      </c>
      <c r="CW15" s="35">
        <f t="shared" si="48"/>
        <v>0</v>
      </c>
      <c r="CX15" s="35">
        <f t="shared" si="49"/>
        <v>0</v>
      </c>
      <c r="CY15" s="35">
        <f t="shared" si="50"/>
        <v>1250</v>
      </c>
      <c r="DA15" s="35">
        <f t="shared" si="51"/>
        <v>1250</v>
      </c>
      <c r="DB15" s="155"/>
      <c r="DC15" s="155"/>
      <c r="DD15" s="155"/>
      <c r="DE15" s="35">
        <f>([1]Summary!$DA$4-F15)/365</f>
        <v>26.69041095890411</v>
      </c>
      <c r="DF15" s="96">
        <f t="shared" si="52"/>
        <v>-11.69041095890411</v>
      </c>
      <c r="DG15" s="35">
        <f t="shared" si="53"/>
        <v>1250</v>
      </c>
      <c r="DH15" s="35">
        <f t="shared" si="54"/>
        <v>0</v>
      </c>
      <c r="DI15" s="35">
        <f t="shared" si="55"/>
        <v>0</v>
      </c>
      <c r="DJ15" s="35">
        <f t="shared" si="56"/>
        <v>1250</v>
      </c>
      <c r="DL15" s="157">
        <f t="shared" si="57"/>
        <v>25000</v>
      </c>
      <c r="DM15" s="157">
        <f t="shared" si="58"/>
        <v>23750</v>
      </c>
      <c r="DN15" s="157">
        <f t="shared" si="59"/>
        <v>1250</v>
      </c>
      <c r="DO15" s="158">
        <f t="shared" si="60"/>
        <v>0</v>
      </c>
    </row>
    <row r="16" spans="1:119" s="156" customFormat="1" ht="24" customHeight="1" x14ac:dyDescent="0.25">
      <c r="A16" s="11" t="s">
        <v>5</v>
      </c>
      <c r="B16" s="86" t="s">
        <v>4</v>
      </c>
      <c r="C16" s="15" t="s">
        <v>474</v>
      </c>
      <c r="D16" s="150" t="s">
        <v>490</v>
      </c>
      <c r="E16" s="44" t="s">
        <v>491</v>
      </c>
      <c r="F16" s="87">
        <v>34909</v>
      </c>
      <c r="G16" s="151">
        <f>([1]Summary!$G$3-F16)/365</f>
        <v>18.684931506849313</v>
      </c>
      <c r="H16" s="151">
        <f>VLOOKUP(C16,[2]Rates!$C$6:$D$136,2,0)</f>
        <v>15</v>
      </c>
      <c r="I16" s="152">
        <f t="shared" si="0"/>
        <v>-3.6849315068493134</v>
      </c>
      <c r="J16" s="88">
        <v>25000</v>
      </c>
      <c r="K16" s="88"/>
      <c r="L16" s="153">
        <f t="shared" si="1"/>
        <v>25000</v>
      </c>
      <c r="M16" s="88">
        <v>16775</v>
      </c>
      <c r="N16" s="24">
        <f t="shared" si="2"/>
        <v>8225</v>
      </c>
      <c r="O16" s="24"/>
      <c r="P16" s="28">
        <f t="shared" si="3"/>
        <v>-4</v>
      </c>
      <c r="Q16" s="26">
        <f t="shared" si="4"/>
        <v>1250</v>
      </c>
      <c r="R16" s="24">
        <f t="shared" si="5"/>
        <v>0</v>
      </c>
      <c r="S16" s="24">
        <f t="shared" si="6"/>
        <v>0</v>
      </c>
      <c r="T16" s="24">
        <f t="shared" si="7"/>
        <v>-6975</v>
      </c>
      <c r="U16" s="24">
        <f t="shared" si="8"/>
        <v>1250</v>
      </c>
      <c r="V16" s="27">
        <f t="shared" si="9"/>
        <v>1250</v>
      </c>
      <c r="W16" s="154"/>
      <c r="X16" s="154"/>
      <c r="Y16" s="154"/>
      <c r="Z16" s="154"/>
      <c r="AA16" s="35">
        <f t="shared" si="10"/>
        <v>1250</v>
      </c>
      <c r="AB16" s="155"/>
      <c r="AC16" s="155"/>
      <c r="AD16" s="155"/>
      <c r="AE16" s="12">
        <f>([1]Summary!$G$4-F16)/365</f>
        <v>19.684931506849313</v>
      </c>
      <c r="AF16" s="12">
        <f t="shared" si="11"/>
        <v>-4.6849315068493134</v>
      </c>
      <c r="AG16" s="35">
        <f t="shared" si="12"/>
        <v>1250</v>
      </c>
      <c r="AH16" s="34">
        <f t="shared" si="13"/>
        <v>0</v>
      </c>
      <c r="AI16" s="35">
        <f t="shared" si="14"/>
        <v>0</v>
      </c>
      <c r="AJ16" s="35">
        <f t="shared" si="15"/>
        <v>1250</v>
      </c>
      <c r="AL16" s="35">
        <f t="shared" si="16"/>
        <v>1250</v>
      </c>
      <c r="AM16" s="155"/>
      <c r="AN16" s="155"/>
      <c r="AO16" s="155"/>
      <c r="AP16" s="12">
        <f>([1]Summary!$AL$4-F16)/365</f>
        <v>20.687671232876713</v>
      </c>
      <c r="AQ16" s="12">
        <f t="shared" si="17"/>
        <v>-5.6876712328767134</v>
      </c>
      <c r="AR16" s="35">
        <f t="shared" si="18"/>
        <v>1250</v>
      </c>
      <c r="AS16" s="34">
        <f t="shared" si="19"/>
        <v>0</v>
      </c>
      <c r="AT16" s="96">
        <f t="shared" si="20"/>
        <v>0</v>
      </c>
      <c r="AU16" s="35">
        <f t="shared" si="21"/>
        <v>1250</v>
      </c>
      <c r="AW16" s="155">
        <f t="shared" si="22"/>
        <v>1250</v>
      </c>
      <c r="AX16" s="155"/>
      <c r="AY16" s="155"/>
      <c r="AZ16" s="155"/>
      <c r="BA16" s="155">
        <f>([1]Summary!$AW$4-F16)/365</f>
        <v>21.687671232876713</v>
      </c>
      <c r="BB16" s="155">
        <f t="shared" si="23"/>
        <v>-6.6876712328767134</v>
      </c>
      <c r="BC16" s="155">
        <f t="shared" si="24"/>
        <v>1250</v>
      </c>
      <c r="BD16" s="155">
        <f t="shared" si="25"/>
        <v>0</v>
      </c>
      <c r="BE16" s="35">
        <f t="shared" si="26"/>
        <v>0</v>
      </c>
      <c r="BF16" s="155">
        <f t="shared" si="27"/>
        <v>1250</v>
      </c>
      <c r="BG16" s="155"/>
      <c r="BH16" s="35">
        <f t="shared" si="28"/>
        <v>1250</v>
      </c>
      <c r="BI16" s="155"/>
      <c r="BJ16" s="155"/>
      <c r="BK16" s="155"/>
      <c r="BL16" s="35">
        <f>([1]Summary!$BH$4-F16)/365</f>
        <v>22.687671232876713</v>
      </c>
      <c r="BM16" s="155">
        <f t="shared" si="29"/>
        <v>-7.6876712328767134</v>
      </c>
      <c r="BN16" s="155">
        <f t="shared" si="30"/>
        <v>1250</v>
      </c>
      <c r="BO16" s="35">
        <f t="shared" si="31"/>
        <v>0</v>
      </c>
      <c r="BP16" s="35">
        <f t="shared" si="32"/>
        <v>0</v>
      </c>
      <c r="BQ16" s="35">
        <f t="shared" si="33"/>
        <v>1250</v>
      </c>
      <c r="BS16" s="132">
        <f t="shared" si="34"/>
        <v>0</v>
      </c>
      <c r="BT16" s="35">
        <v>1250</v>
      </c>
      <c r="BU16" s="155"/>
      <c r="BV16" s="155"/>
      <c r="BW16" s="155"/>
      <c r="BX16" s="35">
        <f>([1]Summary!$BT$4-F16)/365</f>
        <v>23.687671232876713</v>
      </c>
      <c r="BY16" s="96">
        <f t="shared" si="35"/>
        <v>-8.6876712328767134</v>
      </c>
      <c r="BZ16" s="35">
        <f t="shared" si="36"/>
        <v>1250</v>
      </c>
      <c r="CA16" s="35">
        <f t="shared" si="37"/>
        <v>0</v>
      </c>
      <c r="CB16" s="35">
        <f t="shared" si="38"/>
        <v>0</v>
      </c>
      <c r="CC16" s="35">
        <f t="shared" si="39"/>
        <v>1250</v>
      </c>
      <c r="CE16" s="35">
        <v>1250</v>
      </c>
      <c r="CF16" s="155"/>
      <c r="CG16" s="155"/>
      <c r="CH16" s="155"/>
      <c r="CI16" s="35">
        <f>([1]Summary!$CE$4-F16)/365</f>
        <v>24.69041095890411</v>
      </c>
      <c r="CJ16" s="96">
        <f t="shared" si="40"/>
        <v>-9.6904109589041099</v>
      </c>
      <c r="CK16" s="35">
        <f t="shared" si="41"/>
        <v>1250</v>
      </c>
      <c r="CL16" s="35">
        <f t="shared" si="42"/>
        <v>0</v>
      </c>
      <c r="CM16" s="35">
        <f t="shared" si="43"/>
        <v>0</v>
      </c>
      <c r="CN16" s="35">
        <f t="shared" si="44"/>
        <v>1250</v>
      </c>
      <c r="CP16" s="35">
        <f t="shared" si="45"/>
        <v>1250</v>
      </c>
      <c r="CQ16" s="155"/>
      <c r="CR16" s="155"/>
      <c r="CS16" s="155"/>
      <c r="CT16" s="35">
        <f>([1]Summary!$CP$4-F16)/365</f>
        <v>25.69041095890411</v>
      </c>
      <c r="CU16" s="96">
        <f t="shared" si="46"/>
        <v>-10.69041095890411</v>
      </c>
      <c r="CV16" s="35">
        <f t="shared" si="47"/>
        <v>1250</v>
      </c>
      <c r="CW16" s="35">
        <f t="shared" si="48"/>
        <v>0</v>
      </c>
      <c r="CX16" s="35">
        <f t="shared" si="49"/>
        <v>0</v>
      </c>
      <c r="CY16" s="35">
        <f t="shared" si="50"/>
        <v>1250</v>
      </c>
      <c r="DA16" s="35">
        <f t="shared" si="51"/>
        <v>1250</v>
      </c>
      <c r="DB16" s="155"/>
      <c r="DC16" s="155"/>
      <c r="DD16" s="155"/>
      <c r="DE16" s="35">
        <f>([1]Summary!$DA$4-F16)/365</f>
        <v>26.69041095890411</v>
      </c>
      <c r="DF16" s="96">
        <f t="shared" si="52"/>
        <v>-11.69041095890411</v>
      </c>
      <c r="DG16" s="35">
        <f t="shared" si="53"/>
        <v>1250</v>
      </c>
      <c r="DH16" s="35">
        <f t="shared" si="54"/>
        <v>0</v>
      </c>
      <c r="DI16" s="35">
        <f t="shared" si="55"/>
        <v>0</v>
      </c>
      <c r="DJ16" s="35">
        <f t="shared" si="56"/>
        <v>1250</v>
      </c>
      <c r="DL16" s="157">
        <f t="shared" si="57"/>
        <v>25000</v>
      </c>
      <c r="DM16" s="157">
        <f t="shared" si="58"/>
        <v>23750</v>
      </c>
      <c r="DN16" s="157">
        <f t="shared" si="59"/>
        <v>1250</v>
      </c>
      <c r="DO16" s="158">
        <f t="shared" si="60"/>
        <v>0</v>
      </c>
    </row>
    <row r="17" spans="1:119" s="156" customFormat="1" ht="24" customHeight="1" x14ac:dyDescent="0.25">
      <c r="A17" s="11" t="s">
        <v>5</v>
      </c>
      <c r="B17" s="86" t="s">
        <v>4</v>
      </c>
      <c r="C17" s="15" t="s">
        <v>474</v>
      </c>
      <c r="D17" s="150" t="s">
        <v>492</v>
      </c>
      <c r="E17" s="44" t="s">
        <v>491</v>
      </c>
      <c r="F17" s="87">
        <v>39339</v>
      </c>
      <c r="G17" s="151">
        <f>([1]Summary!$G$3-F17)/365</f>
        <v>6.5479452054794525</v>
      </c>
      <c r="H17" s="151">
        <f>VLOOKUP(C17,[2]Rates!$C$6:$D$136,2,0)</f>
        <v>15</v>
      </c>
      <c r="I17" s="152">
        <f t="shared" si="0"/>
        <v>8.4520547945205475</v>
      </c>
      <c r="J17" s="88">
        <v>856000</v>
      </c>
      <c r="K17" s="88"/>
      <c r="L17" s="153">
        <f t="shared" si="1"/>
        <v>856000</v>
      </c>
      <c r="M17" s="88">
        <v>412848.80000000005</v>
      </c>
      <c r="N17" s="24">
        <f t="shared" si="2"/>
        <v>443151.19999999995</v>
      </c>
      <c r="O17" s="24"/>
      <c r="P17" s="28">
        <f t="shared" si="3"/>
        <v>8</v>
      </c>
      <c r="Q17" s="26">
        <f t="shared" si="4"/>
        <v>42800</v>
      </c>
      <c r="R17" s="24">
        <f t="shared" si="5"/>
        <v>400351.19999999995</v>
      </c>
      <c r="S17" s="24">
        <f t="shared" si="6"/>
        <v>50043.899999999994</v>
      </c>
      <c r="T17" s="24">
        <f t="shared" si="7"/>
        <v>0</v>
      </c>
      <c r="U17" s="24">
        <f t="shared" si="8"/>
        <v>443151.19999999995</v>
      </c>
      <c r="V17" s="27">
        <f t="shared" si="9"/>
        <v>393107.29999999993</v>
      </c>
      <c r="W17" s="154"/>
      <c r="X17" s="154"/>
      <c r="Y17" s="154"/>
      <c r="Z17" s="154"/>
      <c r="AA17" s="35">
        <f t="shared" si="10"/>
        <v>393107.29999999993</v>
      </c>
      <c r="AB17" s="155"/>
      <c r="AC17" s="155"/>
      <c r="AD17" s="155"/>
      <c r="AE17" s="12">
        <f>([1]Summary!$G$4-F17)/365</f>
        <v>7.5479452054794525</v>
      </c>
      <c r="AF17" s="12">
        <f t="shared" si="11"/>
        <v>7.4520547945205475</v>
      </c>
      <c r="AG17" s="35">
        <f t="shared" si="12"/>
        <v>42800</v>
      </c>
      <c r="AH17" s="34">
        <f t="shared" si="13"/>
        <v>400351.19999999995</v>
      </c>
      <c r="AI17" s="35">
        <f t="shared" si="14"/>
        <v>50043.899999999994</v>
      </c>
      <c r="AJ17" s="35">
        <f t="shared" si="15"/>
        <v>343063.39999999991</v>
      </c>
      <c r="AL17" s="35">
        <f t="shared" si="16"/>
        <v>343063.39999999991</v>
      </c>
      <c r="AM17" s="155"/>
      <c r="AN17" s="155"/>
      <c r="AO17" s="155"/>
      <c r="AP17" s="12">
        <f>([1]Summary!$AL$4-F17)/365</f>
        <v>8.5506849315068489</v>
      </c>
      <c r="AQ17" s="12">
        <f t="shared" si="17"/>
        <v>6.4493150684931511</v>
      </c>
      <c r="AR17" s="35">
        <f t="shared" si="18"/>
        <v>42800</v>
      </c>
      <c r="AS17" s="34">
        <f t="shared" si="19"/>
        <v>350307.29999999993</v>
      </c>
      <c r="AT17" s="96">
        <f t="shared" si="20"/>
        <v>50043.899999999994</v>
      </c>
      <c r="AU17" s="35">
        <f t="shared" si="21"/>
        <v>293019.49999999988</v>
      </c>
      <c r="AW17" s="155">
        <f t="shared" si="22"/>
        <v>293019.49999999988</v>
      </c>
      <c r="AX17" s="155"/>
      <c r="AY17" s="155"/>
      <c r="AZ17" s="155"/>
      <c r="BA17" s="155">
        <f>([1]Summary!$AW$4-F17)/365</f>
        <v>9.5506849315068489</v>
      </c>
      <c r="BB17" s="155">
        <f t="shared" si="23"/>
        <v>5.4493150684931511</v>
      </c>
      <c r="BC17" s="155">
        <f t="shared" si="24"/>
        <v>42800</v>
      </c>
      <c r="BD17" s="155">
        <f t="shared" si="25"/>
        <v>300263.39999999991</v>
      </c>
      <c r="BE17" s="35">
        <f t="shared" si="26"/>
        <v>50043.899999999994</v>
      </c>
      <c r="BF17" s="155">
        <f t="shared" si="27"/>
        <v>242975.59999999989</v>
      </c>
      <c r="BG17" s="155"/>
      <c r="BH17" s="35">
        <f t="shared" si="28"/>
        <v>242975.59999999989</v>
      </c>
      <c r="BI17" s="155"/>
      <c r="BJ17" s="155"/>
      <c r="BK17" s="155"/>
      <c r="BL17" s="35">
        <f>([1]Summary!$BH$4-F17)/365</f>
        <v>10.550684931506849</v>
      </c>
      <c r="BM17" s="155">
        <f t="shared" si="29"/>
        <v>4.4493150684931511</v>
      </c>
      <c r="BN17" s="155">
        <f t="shared" si="30"/>
        <v>42800</v>
      </c>
      <c r="BO17" s="35">
        <f t="shared" si="31"/>
        <v>200175.59999999989</v>
      </c>
      <c r="BP17" s="35">
        <f t="shared" si="32"/>
        <v>50043.899999999994</v>
      </c>
      <c r="BQ17" s="35">
        <f t="shared" si="33"/>
        <v>192931.6999999999</v>
      </c>
      <c r="BS17" s="132">
        <f t="shared" si="34"/>
        <v>150131.6999999999</v>
      </c>
      <c r="BT17" s="35">
        <v>192931.6999999999</v>
      </c>
      <c r="BU17" s="155"/>
      <c r="BV17" s="155"/>
      <c r="BW17" s="155"/>
      <c r="BX17" s="35">
        <f>([1]Summary!$BT$4-F17)/365</f>
        <v>11.550684931506849</v>
      </c>
      <c r="BY17" s="96">
        <f t="shared" si="35"/>
        <v>3.4493150684931511</v>
      </c>
      <c r="BZ17" s="35">
        <f t="shared" si="36"/>
        <v>42800</v>
      </c>
      <c r="CA17" s="35">
        <f t="shared" si="37"/>
        <v>150131.6999999999</v>
      </c>
      <c r="CB17" s="35">
        <f t="shared" si="38"/>
        <v>50043.899999999994</v>
      </c>
      <c r="CC17" s="35">
        <f t="shared" si="39"/>
        <v>142887.7999999999</v>
      </c>
      <c r="CE17" s="35">
        <v>142887.7999999999</v>
      </c>
      <c r="CF17" s="155"/>
      <c r="CG17" s="155"/>
      <c r="CH17" s="155"/>
      <c r="CI17" s="35">
        <f>([1]Summary!$CE$4-F17)/365</f>
        <v>12.553424657534247</v>
      </c>
      <c r="CJ17" s="96">
        <f t="shared" si="40"/>
        <v>2.4465753424657528</v>
      </c>
      <c r="CK17" s="35">
        <f t="shared" si="41"/>
        <v>42800</v>
      </c>
      <c r="CL17" s="35">
        <f t="shared" si="42"/>
        <v>100087.7999999999</v>
      </c>
      <c r="CM17" s="35">
        <f t="shared" si="43"/>
        <v>50043.899999999994</v>
      </c>
      <c r="CN17" s="35">
        <f t="shared" si="44"/>
        <v>92843.899999999907</v>
      </c>
      <c r="CP17" s="35">
        <f t="shared" si="45"/>
        <v>92843.899999999907</v>
      </c>
      <c r="CQ17" s="155"/>
      <c r="CR17" s="155"/>
      <c r="CS17" s="155"/>
      <c r="CT17" s="35">
        <f>([1]Summary!$CP$4-F17)/365</f>
        <v>13.553424657534247</v>
      </c>
      <c r="CU17" s="96">
        <f t="shared" si="46"/>
        <v>1.4465753424657528</v>
      </c>
      <c r="CV17" s="35">
        <f t="shared" si="47"/>
        <v>42800</v>
      </c>
      <c r="CW17" s="35">
        <f t="shared" si="48"/>
        <v>50043.899999999907</v>
      </c>
      <c r="CX17" s="35">
        <f t="shared" si="49"/>
        <v>50043.899999999994</v>
      </c>
      <c r="CY17" s="35">
        <f t="shared" si="50"/>
        <v>42799.999999999913</v>
      </c>
      <c r="DA17" s="35">
        <f t="shared" si="51"/>
        <v>42799.999999999913</v>
      </c>
      <c r="DB17" s="155"/>
      <c r="DC17" s="155"/>
      <c r="DD17" s="155"/>
      <c r="DE17" s="35">
        <f>([1]Summary!$DA$4-F17)/365</f>
        <v>14.553424657534247</v>
      </c>
      <c r="DF17" s="96">
        <f t="shared" si="52"/>
        <v>0.44657534246575281</v>
      </c>
      <c r="DG17" s="35">
        <f t="shared" si="53"/>
        <v>42800</v>
      </c>
      <c r="DH17" s="35">
        <f t="shared" si="54"/>
        <v>0</v>
      </c>
      <c r="DI17" s="35"/>
      <c r="DJ17" s="35">
        <f t="shared" si="56"/>
        <v>42799.999999999913</v>
      </c>
      <c r="DL17" s="157">
        <f t="shared" si="57"/>
        <v>856000</v>
      </c>
      <c r="DM17" s="157">
        <f t="shared" si="58"/>
        <v>813200.00000000023</v>
      </c>
      <c r="DN17" s="157">
        <f t="shared" si="59"/>
        <v>42799.999999999767</v>
      </c>
      <c r="DO17" s="158">
        <f t="shared" si="60"/>
        <v>1.4551915228366852E-10</v>
      </c>
    </row>
    <row r="18" spans="1:119" s="156" customFormat="1" ht="24" customHeight="1" x14ac:dyDescent="0.25">
      <c r="A18" s="11" t="s">
        <v>5</v>
      </c>
      <c r="B18" s="86" t="s">
        <v>4</v>
      </c>
      <c r="C18" s="15" t="s">
        <v>474</v>
      </c>
      <c r="D18" s="150" t="s">
        <v>493</v>
      </c>
      <c r="E18" s="44" t="s">
        <v>494</v>
      </c>
      <c r="F18" s="87">
        <v>39355</v>
      </c>
      <c r="G18" s="151">
        <f>([1]Summary!$G$3-F18)/365</f>
        <v>6.5041095890410956</v>
      </c>
      <c r="H18" s="151">
        <f>VLOOKUP(C18,[2]Rates!$C$6:$D$136,2,0)</f>
        <v>15</v>
      </c>
      <c r="I18" s="152">
        <f t="shared" si="0"/>
        <v>8.4958904109589035</v>
      </c>
      <c r="J18" s="88">
        <v>600000</v>
      </c>
      <c r="K18" s="88"/>
      <c r="L18" s="153">
        <f t="shared" si="1"/>
        <v>600000</v>
      </c>
      <c r="M18" s="88">
        <v>289380</v>
      </c>
      <c r="N18" s="24">
        <f t="shared" si="2"/>
        <v>310620</v>
      </c>
      <c r="O18" s="24"/>
      <c r="P18" s="28">
        <f t="shared" si="3"/>
        <v>8</v>
      </c>
      <c r="Q18" s="26">
        <f t="shared" si="4"/>
        <v>30000</v>
      </c>
      <c r="R18" s="24">
        <f t="shared" si="5"/>
        <v>280620</v>
      </c>
      <c r="S18" s="24">
        <f t="shared" si="6"/>
        <v>35077.5</v>
      </c>
      <c r="T18" s="24">
        <f t="shared" si="7"/>
        <v>0</v>
      </c>
      <c r="U18" s="24">
        <f t="shared" si="8"/>
        <v>310620</v>
      </c>
      <c r="V18" s="27">
        <f t="shared" si="9"/>
        <v>275542.5</v>
      </c>
      <c r="W18" s="154"/>
      <c r="X18" s="154"/>
      <c r="Y18" s="154"/>
      <c r="Z18" s="154"/>
      <c r="AA18" s="35">
        <f t="shared" si="10"/>
        <v>275542.5</v>
      </c>
      <c r="AB18" s="155"/>
      <c r="AC18" s="155"/>
      <c r="AD18" s="155"/>
      <c r="AE18" s="12">
        <f>([1]Summary!$G$4-F18)/365</f>
        <v>7.5041095890410956</v>
      </c>
      <c r="AF18" s="12">
        <f t="shared" si="11"/>
        <v>7.4958904109589044</v>
      </c>
      <c r="AG18" s="35">
        <f t="shared" si="12"/>
        <v>30000</v>
      </c>
      <c r="AH18" s="34">
        <f t="shared" si="13"/>
        <v>280620</v>
      </c>
      <c r="AI18" s="35">
        <f t="shared" si="14"/>
        <v>35077.5</v>
      </c>
      <c r="AJ18" s="35">
        <f t="shared" si="15"/>
        <v>240465</v>
      </c>
      <c r="AL18" s="35">
        <f t="shared" si="16"/>
        <v>240465</v>
      </c>
      <c r="AM18" s="155"/>
      <c r="AN18" s="155"/>
      <c r="AO18" s="155"/>
      <c r="AP18" s="12">
        <f>([1]Summary!$AL$4-F18)/365</f>
        <v>8.506849315068493</v>
      </c>
      <c r="AQ18" s="12">
        <f t="shared" si="17"/>
        <v>6.493150684931507</v>
      </c>
      <c r="AR18" s="35">
        <f t="shared" si="18"/>
        <v>30000</v>
      </c>
      <c r="AS18" s="34">
        <f t="shared" si="19"/>
        <v>245542.5</v>
      </c>
      <c r="AT18" s="96">
        <f t="shared" si="20"/>
        <v>35077.5</v>
      </c>
      <c r="AU18" s="35">
        <f t="shared" si="21"/>
        <v>205387.5</v>
      </c>
      <c r="AW18" s="155">
        <f t="shared" si="22"/>
        <v>205387.5</v>
      </c>
      <c r="AX18" s="155"/>
      <c r="AY18" s="155"/>
      <c r="AZ18" s="155"/>
      <c r="BA18" s="155">
        <f>([1]Summary!$AW$4-F18)/365</f>
        <v>9.506849315068493</v>
      </c>
      <c r="BB18" s="155">
        <f t="shared" si="23"/>
        <v>5.493150684931507</v>
      </c>
      <c r="BC18" s="155">
        <f t="shared" si="24"/>
        <v>30000</v>
      </c>
      <c r="BD18" s="155">
        <f t="shared" si="25"/>
        <v>210465</v>
      </c>
      <c r="BE18" s="35">
        <f t="shared" si="26"/>
        <v>35077.5</v>
      </c>
      <c r="BF18" s="155">
        <f t="shared" si="27"/>
        <v>170310</v>
      </c>
      <c r="BG18" s="155"/>
      <c r="BH18" s="35">
        <f t="shared" si="28"/>
        <v>170310</v>
      </c>
      <c r="BI18" s="155"/>
      <c r="BJ18" s="155"/>
      <c r="BK18" s="155"/>
      <c r="BL18" s="35">
        <f>([1]Summary!$BH$4-F18)/365</f>
        <v>10.506849315068493</v>
      </c>
      <c r="BM18" s="155">
        <f t="shared" si="29"/>
        <v>4.493150684931507</v>
      </c>
      <c r="BN18" s="155">
        <f t="shared" si="30"/>
        <v>30000</v>
      </c>
      <c r="BO18" s="35">
        <f t="shared" si="31"/>
        <v>140310</v>
      </c>
      <c r="BP18" s="35">
        <f t="shared" si="32"/>
        <v>35077.5</v>
      </c>
      <c r="BQ18" s="35">
        <f t="shared" si="33"/>
        <v>135232.5</v>
      </c>
      <c r="BS18" s="132">
        <f t="shared" si="34"/>
        <v>105232.5</v>
      </c>
      <c r="BT18" s="35">
        <v>135232.5</v>
      </c>
      <c r="BU18" s="155"/>
      <c r="BV18" s="155"/>
      <c r="BW18" s="155"/>
      <c r="BX18" s="35">
        <f>([1]Summary!$BT$4-F18)/365</f>
        <v>11.506849315068493</v>
      </c>
      <c r="BY18" s="96">
        <f t="shared" si="35"/>
        <v>3.493150684931507</v>
      </c>
      <c r="BZ18" s="35">
        <f t="shared" si="36"/>
        <v>30000</v>
      </c>
      <c r="CA18" s="35">
        <f t="shared" si="37"/>
        <v>105232.5</v>
      </c>
      <c r="CB18" s="35">
        <f t="shared" si="38"/>
        <v>35077.5</v>
      </c>
      <c r="CC18" s="35">
        <f t="shared" si="39"/>
        <v>100155</v>
      </c>
      <c r="CE18" s="35">
        <v>100155</v>
      </c>
      <c r="CF18" s="155"/>
      <c r="CG18" s="155"/>
      <c r="CH18" s="155"/>
      <c r="CI18" s="35">
        <f>([1]Summary!$CE$4-F18)/365</f>
        <v>12.509589041095891</v>
      </c>
      <c r="CJ18" s="96">
        <f t="shared" si="40"/>
        <v>2.4904109589041088</v>
      </c>
      <c r="CK18" s="35">
        <f t="shared" si="41"/>
        <v>30000</v>
      </c>
      <c r="CL18" s="35">
        <f t="shared" si="42"/>
        <v>70155</v>
      </c>
      <c r="CM18" s="35">
        <f t="shared" si="43"/>
        <v>35077.5</v>
      </c>
      <c r="CN18" s="35">
        <f t="shared" si="44"/>
        <v>65077.5</v>
      </c>
      <c r="CP18" s="35">
        <f t="shared" si="45"/>
        <v>65077.5</v>
      </c>
      <c r="CQ18" s="155"/>
      <c r="CR18" s="155"/>
      <c r="CS18" s="155"/>
      <c r="CT18" s="35">
        <f>([1]Summary!$CP$4-F18)/365</f>
        <v>13.509589041095891</v>
      </c>
      <c r="CU18" s="96">
        <f t="shared" si="46"/>
        <v>1.4904109589041088</v>
      </c>
      <c r="CV18" s="35">
        <f t="shared" si="47"/>
        <v>30000</v>
      </c>
      <c r="CW18" s="35">
        <f t="shared" si="48"/>
        <v>35077.5</v>
      </c>
      <c r="CX18" s="35">
        <f t="shared" si="49"/>
        <v>35077.5</v>
      </c>
      <c r="CY18" s="35">
        <f t="shared" si="50"/>
        <v>30000</v>
      </c>
      <c r="DA18" s="35">
        <f t="shared" si="51"/>
        <v>30000</v>
      </c>
      <c r="DB18" s="155"/>
      <c r="DC18" s="155"/>
      <c r="DD18" s="155"/>
      <c r="DE18" s="35">
        <f>([1]Summary!$DA$4-F18)/365</f>
        <v>14.509589041095891</v>
      </c>
      <c r="DF18" s="96">
        <f t="shared" si="52"/>
        <v>0.4904109589041088</v>
      </c>
      <c r="DG18" s="35">
        <f t="shared" si="53"/>
        <v>30000</v>
      </c>
      <c r="DH18" s="35">
        <f t="shared" si="54"/>
        <v>0</v>
      </c>
      <c r="DI18" s="35"/>
      <c r="DJ18" s="35">
        <f t="shared" si="56"/>
        <v>30000</v>
      </c>
      <c r="DL18" s="157">
        <f t="shared" si="57"/>
        <v>600000</v>
      </c>
      <c r="DM18" s="157">
        <f t="shared" si="58"/>
        <v>570000</v>
      </c>
      <c r="DN18" s="157">
        <f t="shared" si="59"/>
        <v>30000</v>
      </c>
      <c r="DO18" s="158">
        <f t="shared" si="60"/>
        <v>0</v>
      </c>
    </row>
    <row r="19" spans="1:119" s="156" customFormat="1" ht="24" customHeight="1" x14ac:dyDescent="0.25">
      <c r="A19" s="11" t="s">
        <v>5</v>
      </c>
      <c r="B19" s="86" t="s">
        <v>4</v>
      </c>
      <c r="C19" s="15" t="s">
        <v>474</v>
      </c>
      <c r="D19" s="150" t="s">
        <v>495</v>
      </c>
      <c r="E19" s="44" t="s">
        <v>496</v>
      </c>
      <c r="F19" s="87">
        <v>39509</v>
      </c>
      <c r="G19" s="151">
        <f>([1]Summary!$G$3-F19)/365</f>
        <v>6.0821917808219181</v>
      </c>
      <c r="H19" s="151">
        <f>VLOOKUP(C19,[2]Rates!$C$6:$D$136,2,0)</f>
        <v>15</v>
      </c>
      <c r="I19" s="152">
        <f t="shared" si="0"/>
        <v>8.917808219178081</v>
      </c>
      <c r="J19" s="88">
        <v>3847692</v>
      </c>
      <c r="K19" s="88"/>
      <c r="L19" s="153">
        <f t="shared" si="1"/>
        <v>3847692</v>
      </c>
      <c r="M19" s="88">
        <v>1736782.9856000002</v>
      </c>
      <c r="N19" s="24">
        <f t="shared" si="2"/>
        <v>2110909.0143999998</v>
      </c>
      <c r="O19" s="24"/>
      <c r="P19" s="28">
        <f t="shared" si="3"/>
        <v>9</v>
      </c>
      <c r="Q19" s="26">
        <f t="shared" si="4"/>
        <v>192384.6</v>
      </c>
      <c r="R19" s="24">
        <f t="shared" si="5"/>
        <v>1918524.4143999997</v>
      </c>
      <c r="S19" s="24">
        <f t="shared" si="6"/>
        <v>213169.37937777775</v>
      </c>
      <c r="T19" s="24">
        <f t="shared" si="7"/>
        <v>0</v>
      </c>
      <c r="U19" s="24">
        <f t="shared" si="8"/>
        <v>2110909.0143999998</v>
      </c>
      <c r="V19" s="27">
        <f t="shared" si="9"/>
        <v>1897739.6350222221</v>
      </c>
      <c r="W19" s="154"/>
      <c r="X19" s="154"/>
      <c r="Y19" s="154"/>
      <c r="Z19" s="154"/>
      <c r="AA19" s="35">
        <f t="shared" si="10"/>
        <v>1897739.6350222221</v>
      </c>
      <c r="AB19" s="155"/>
      <c r="AC19" s="155"/>
      <c r="AD19" s="155"/>
      <c r="AE19" s="12">
        <f>([1]Summary!$G$4-F19)/365</f>
        <v>7.0821917808219181</v>
      </c>
      <c r="AF19" s="12">
        <f t="shared" si="11"/>
        <v>7.9178082191780819</v>
      </c>
      <c r="AG19" s="35">
        <f t="shared" si="12"/>
        <v>192384.6</v>
      </c>
      <c r="AH19" s="34">
        <f t="shared" si="13"/>
        <v>1918524.4143999997</v>
      </c>
      <c r="AI19" s="35">
        <f t="shared" si="14"/>
        <v>213169.37937777775</v>
      </c>
      <c r="AJ19" s="35">
        <f t="shared" si="15"/>
        <v>1684570.2556444444</v>
      </c>
      <c r="AL19" s="35">
        <f t="shared" si="16"/>
        <v>1684570.2556444444</v>
      </c>
      <c r="AM19" s="155"/>
      <c r="AN19" s="155"/>
      <c r="AO19" s="155"/>
      <c r="AP19" s="12">
        <f>([1]Summary!$AL$4-F19)/365</f>
        <v>8.0849315068493155</v>
      </c>
      <c r="AQ19" s="12">
        <f t="shared" si="17"/>
        <v>6.9150684931506845</v>
      </c>
      <c r="AR19" s="35">
        <f t="shared" si="18"/>
        <v>192384.6</v>
      </c>
      <c r="AS19" s="34">
        <f t="shared" si="19"/>
        <v>1705355.035022222</v>
      </c>
      <c r="AT19" s="96">
        <f t="shared" si="20"/>
        <v>213169.37937777775</v>
      </c>
      <c r="AU19" s="35">
        <f t="shared" si="21"/>
        <v>1471400.8762666667</v>
      </c>
      <c r="AW19" s="155">
        <f t="shared" si="22"/>
        <v>1471400.8762666667</v>
      </c>
      <c r="AX19" s="155"/>
      <c r="AY19" s="155"/>
      <c r="AZ19" s="155"/>
      <c r="BA19" s="155">
        <f>([1]Summary!$AW$4-F19)/365</f>
        <v>9.0849315068493155</v>
      </c>
      <c r="BB19" s="155">
        <f t="shared" si="23"/>
        <v>5.9150684931506845</v>
      </c>
      <c r="BC19" s="155">
        <f t="shared" si="24"/>
        <v>192384.6</v>
      </c>
      <c r="BD19" s="155">
        <f t="shared" si="25"/>
        <v>1492185.6556444443</v>
      </c>
      <c r="BE19" s="35">
        <f t="shared" si="26"/>
        <v>213169.37937777775</v>
      </c>
      <c r="BF19" s="155">
        <f t="shared" si="27"/>
        <v>1258231.496888889</v>
      </c>
      <c r="BG19" s="155"/>
      <c r="BH19" s="35">
        <f t="shared" si="28"/>
        <v>1258231.496888889</v>
      </c>
      <c r="BI19" s="155"/>
      <c r="BJ19" s="155"/>
      <c r="BK19" s="155"/>
      <c r="BL19" s="35">
        <f>([1]Summary!$BH$4-F19)/365</f>
        <v>10.084931506849315</v>
      </c>
      <c r="BM19" s="155">
        <f t="shared" si="29"/>
        <v>4.9150684931506845</v>
      </c>
      <c r="BN19" s="155">
        <f t="shared" si="30"/>
        <v>192384.6</v>
      </c>
      <c r="BO19" s="35">
        <f t="shared" si="31"/>
        <v>1065846.8968888889</v>
      </c>
      <c r="BP19" s="35">
        <f t="shared" si="32"/>
        <v>213169.37937777775</v>
      </c>
      <c r="BQ19" s="35">
        <f t="shared" si="33"/>
        <v>1045062.1175111113</v>
      </c>
      <c r="BS19" s="132">
        <f t="shared" si="34"/>
        <v>852677.51751111133</v>
      </c>
      <c r="BT19" s="35">
        <v>1045062.1175111113</v>
      </c>
      <c r="BU19" s="155"/>
      <c r="BV19" s="155"/>
      <c r="BW19" s="155"/>
      <c r="BX19" s="35">
        <f>([1]Summary!$BT$4-F19)/365</f>
        <v>11.084931506849315</v>
      </c>
      <c r="BY19" s="96">
        <f t="shared" si="35"/>
        <v>3.9150684931506845</v>
      </c>
      <c r="BZ19" s="35">
        <f t="shared" si="36"/>
        <v>192384.6</v>
      </c>
      <c r="CA19" s="35">
        <f t="shared" si="37"/>
        <v>852677.51751111133</v>
      </c>
      <c r="CB19" s="35">
        <f t="shared" si="38"/>
        <v>213169.37937777775</v>
      </c>
      <c r="CC19" s="35">
        <f t="shared" si="39"/>
        <v>831892.73813333362</v>
      </c>
      <c r="CE19" s="35">
        <v>831892.73813333362</v>
      </c>
      <c r="CF19" s="155"/>
      <c r="CG19" s="155"/>
      <c r="CH19" s="155"/>
      <c r="CI19" s="35">
        <f>([1]Summary!$CE$4-F19)/365</f>
        <v>12.087671232876712</v>
      </c>
      <c r="CJ19" s="96">
        <f t="shared" si="40"/>
        <v>2.912328767123288</v>
      </c>
      <c r="CK19" s="35">
        <f t="shared" si="41"/>
        <v>192384.6</v>
      </c>
      <c r="CL19" s="35">
        <f t="shared" si="42"/>
        <v>639508.13813333365</v>
      </c>
      <c r="CM19" s="35">
        <f t="shared" si="43"/>
        <v>213169.37937777775</v>
      </c>
      <c r="CN19" s="35">
        <f t="shared" si="44"/>
        <v>618723.35875555594</v>
      </c>
      <c r="CP19" s="35">
        <f t="shared" si="45"/>
        <v>618723.35875555594</v>
      </c>
      <c r="CQ19" s="155"/>
      <c r="CR19" s="155"/>
      <c r="CS19" s="155"/>
      <c r="CT19" s="35">
        <f>([1]Summary!$CP$4-F19)/365</f>
        <v>13.087671232876712</v>
      </c>
      <c r="CU19" s="96">
        <f t="shared" si="46"/>
        <v>1.912328767123288</v>
      </c>
      <c r="CV19" s="35">
        <f t="shared" si="47"/>
        <v>192384.6</v>
      </c>
      <c r="CW19" s="35">
        <f t="shared" si="48"/>
        <v>426338.75875555596</v>
      </c>
      <c r="CX19" s="35">
        <f t="shared" si="49"/>
        <v>213169.37937777775</v>
      </c>
      <c r="CY19" s="35">
        <f t="shared" si="50"/>
        <v>405553.97937777819</v>
      </c>
      <c r="DA19" s="35">
        <f t="shared" si="51"/>
        <v>405553.97937777819</v>
      </c>
      <c r="DB19" s="155"/>
      <c r="DC19" s="155"/>
      <c r="DD19" s="155"/>
      <c r="DE19" s="35">
        <f>([1]Summary!$DA$4-F19)/365</f>
        <v>14.087671232876712</v>
      </c>
      <c r="DF19" s="96">
        <f t="shared" si="52"/>
        <v>0.91232876712328803</v>
      </c>
      <c r="DG19" s="35">
        <f t="shared" si="53"/>
        <v>192384.6</v>
      </c>
      <c r="DH19" s="35">
        <f t="shared" si="54"/>
        <v>213169.37937777818</v>
      </c>
      <c r="DI19" s="35">
        <f t="shared" ref="DI19:DI30" si="61">CX19</f>
        <v>213169.37937777775</v>
      </c>
      <c r="DJ19" s="35">
        <f t="shared" si="56"/>
        <v>192384.60000000044</v>
      </c>
      <c r="DL19" s="157">
        <f t="shared" si="57"/>
        <v>3847692</v>
      </c>
      <c r="DM19" s="157">
        <f t="shared" si="58"/>
        <v>3655307.3999999994</v>
      </c>
      <c r="DN19" s="157">
        <f t="shared" si="59"/>
        <v>192384.60000000056</v>
      </c>
      <c r="DO19" s="158">
        <f t="shared" si="60"/>
        <v>0</v>
      </c>
    </row>
    <row r="20" spans="1:119" s="156" customFormat="1" ht="24" customHeight="1" x14ac:dyDescent="0.25">
      <c r="A20" s="11" t="s">
        <v>5</v>
      </c>
      <c r="B20" s="86" t="s">
        <v>4</v>
      </c>
      <c r="C20" s="15" t="s">
        <v>474</v>
      </c>
      <c r="D20" s="150" t="s">
        <v>497</v>
      </c>
      <c r="E20" s="44" t="s">
        <v>498</v>
      </c>
      <c r="F20" s="87">
        <v>39538</v>
      </c>
      <c r="G20" s="151">
        <f>([1]Summary!$G$3-F20)/365</f>
        <v>6.0027397260273974</v>
      </c>
      <c r="H20" s="151">
        <f>VLOOKUP(C20,[2]Rates!$C$6:$D$136,2,0)</f>
        <v>15</v>
      </c>
      <c r="I20" s="152">
        <f t="shared" si="0"/>
        <v>8.9972602739726035</v>
      </c>
      <c r="J20" s="88">
        <v>1082000</v>
      </c>
      <c r="K20" s="88"/>
      <c r="L20" s="153">
        <f t="shared" si="1"/>
        <v>1082000</v>
      </c>
      <c r="M20" s="88">
        <v>481705.60000000009</v>
      </c>
      <c r="N20" s="24">
        <f t="shared" si="2"/>
        <v>600294.39999999991</v>
      </c>
      <c r="O20" s="24"/>
      <c r="P20" s="28">
        <f t="shared" si="3"/>
        <v>9</v>
      </c>
      <c r="Q20" s="26">
        <f t="shared" si="4"/>
        <v>54100</v>
      </c>
      <c r="R20" s="24">
        <f t="shared" si="5"/>
        <v>546194.39999999991</v>
      </c>
      <c r="S20" s="24">
        <f t="shared" si="6"/>
        <v>60688.266666666656</v>
      </c>
      <c r="T20" s="24">
        <f t="shared" si="7"/>
        <v>0</v>
      </c>
      <c r="U20" s="24">
        <f t="shared" si="8"/>
        <v>600294.39999999991</v>
      </c>
      <c r="V20" s="27">
        <f t="shared" si="9"/>
        <v>539606.1333333333</v>
      </c>
      <c r="W20" s="154"/>
      <c r="X20" s="154"/>
      <c r="Y20" s="154"/>
      <c r="Z20" s="154"/>
      <c r="AA20" s="35">
        <f t="shared" si="10"/>
        <v>539606.1333333333</v>
      </c>
      <c r="AB20" s="155"/>
      <c r="AC20" s="155"/>
      <c r="AD20" s="155"/>
      <c r="AE20" s="12">
        <f>([1]Summary!$G$4-F20)/365</f>
        <v>7.0027397260273974</v>
      </c>
      <c r="AF20" s="12">
        <f t="shared" si="11"/>
        <v>7.9972602739726026</v>
      </c>
      <c r="AG20" s="35">
        <f t="shared" si="12"/>
        <v>54100</v>
      </c>
      <c r="AH20" s="34">
        <f t="shared" si="13"/>
        <v>546194.39999999991</v>
      </c>
      <c r="AI20" s="35">
        <f t="shared" si="14"/>
        <v>60688.266666666656</v>
      </c>
      <c r="AJ20" s="35">
        <f t="shared" si="15"/>
        <v>478917.86666666664</v>
      </c>
      <c r="AL20" s="35">
        <f t="shared" si="16"/>
        <v>478917.86666666664</v>
      </c>
      <c r="AM20" s="155"/>
      <c r="AN20" s="155"/>
      <c r="AO20" s="155"/>
      <c r="AP20" s="12">
        <f>([1]Summary!$AL$4-F20)/365</f>
        <v>8.0054794520547947</v>
      </c>
      <c r="AQ20" s="12">
        <f t="shared" si="17"/>
        <v>6.9945205479452053</v>
      </c>
      <c r="AR20" s="35">
        <f t="shared" si="18"/>
        <v>54100</v>
      </c>
      <c r="AS20" s="34">
        <f t="shared" si="19"/>
        <v>485506.1333333333</v>
      </c>
      <c r="AT20" s="96">
        <f t="shared" si="20"/>
        <v>60688.266666666656</v>
      </c>
      <c r="AU20" s="35">
        <f t="shared" si="21"/>
        <v>418229.6</v>
      </c>
      <c r="AW20" s="155">
        <f t="shared" si="22"/>
        <v>418229.6</v>
      </c>
      <c r="AX20" s="155"/>
      <c r="AY20" s="155"/>
      <c r="AZ20" s="155"/>
      <c r="BA20" s="155">
        <f>([1]Summary!$AW$4-F20)/365</f>
        <v>9.0054794520547947</v>
      </c>
      <c r="BB20" s="155">
        <f t="shared" si="23"/>
        <v>5.9945205479452053</v>
      </c>
      <c r="BC20" s="155">
        <f t="shared" si="24"/>
        <v>54100</v>
      </c>
      <c r="BD20" s="155">
        <f t="shared" si="25"/>
        <v>424817.86666666664</v>
      </c>
      <c r="BE20" s="35">
        <f t="shared" si="26"/>
        <v>60688.266666666656</v>
      </c>
      <c r="BF20" s="155">
        <f t="shared" si="27"/>
        <v>357541.33333333331</v>
      </c>
      <c r="BG20" s="155"/>
      <c r="BH20" s="35">
        <f t="shared" si="28"/>
        <v>357541.33333333331</v>
      </c>
      <c r="BI20" s="155"/>
      <c r="BJ20" s="155"/>
      <c r="BK20" s="155"/>
      <c r="BL20" s="35">
        <f>([1]Summary!$BH$4-F20)/365</f>
        <v>10.005479452054795</v>
      </c>
      <c r="BM20" s="155">
        <f t="shared" si="29"/>
        <v>4.9945205479452053</v>
      </c>
      <c r="BN20" s="155">
        <f t="shared" si="30"/>
        <v>54100</v>
      </c>
      <c r="BO20" s="35">
        <f t="shared" si="31"/>
        <v>303441.33333333331</v>
      </c>
      <c r="BP20" s="35">
        <f t="shared" si="32"/>
        <v>60688.266666666656</v>
      </c>
      <c r="BQ20" s="35">
        <f t="shared" si="33"/>
        <v>296853.06666666665</v>
      </c>
      <c r="BS20" s="132">
        <f t="shared" si="34"/>
        <v>242753.06666666665</v>
      </c>
      <c r="BT20" s="35">
        <v>296853.06666666665</v>
      </c>
      <c r="BU20" s="155"/>
      <c r="BV20" s="155"/>
      <c r="BW20" s="155"/>
      <c r="BX20" s="35">
        <f>([1]Summary!$BT$4-F20)/365</f>
        <v>11.005479452054795</v>
      </c>
      <c r="BY20" s="96">
        <f t="shared" si="35"/>
        <v>3.9945205479452053</v>
      </c>
      <c r="BZ20" s="35">
        <f t="shared" si="36"/>
        <v>54100</v>
      </c>
      <c r="CA20" s="35">
        <f t="shared" si="37"/>
        <v>242753.06666666665</v>
      </c>
      <c r="CB20" s="35">
        <f t="shared" si="38"/>
        <v>60688.266666666656</v>
      </c>
      <c r="CC20" s="35">
        <f t="shared" si="39"/>
        <v>236164.8</v>
      </c>
      <c r="CE20" s="35">
        <v>236164.8</v>
      </c>
      <c r="CF20" s="155"/>
      <c r="CG20" s="155"/>
      <c r="CH20" s="155"/>
      <c r="CI20" s="35">
        <f>([1]Summary!$CE$4-F20)/365</f>
        <v>12.008219178082191</v>
      </c>
      <c r="CJ20" s="96">
        <f t="shared" si="40"/>
        <v>2.9917808219178088</v>
      </c>
      <c r="CK20" s="35">
        <f t="shared" si="41"/>
        <v>54100</v>
      </c>
      <c r="CL20" s="35">
        <f t="shared" si="42"/>
        <v>182064.8</v>
      </c>
      <c r="CM20" s="35">
        <f t="shared" si="43"/>
        <v>60688.266666666656</v>
      </c>
      <c r="CN20" s="35">
        <f t="shared" si="44"/>
        <v>175476.53333333333</v>
      </c>
      <c r="CP20" s="35">
        <f t="shared" si="45"/>
        <v>175476.53333333333</v>
      </c>
      <c r="CQ20" s="155"/>
      <c r="CR20" s="155"/>
      <c r="CS20" s="155"/>
      <c r="CT20" s="35">
        <f>([1]Summary!$CP$4-F20)/365</f>
        <v>13.008219178082191</v>
      </c>
      <c r="CU20" s="96">
        <f t="shared" si="46"/>
        <v>1.9917808219178088</v>
      </c>
      <c r="CV20" s="35">
        <f t="shared" si="47"/>
        <v>54100</v>
      </c>
      <c r="CW20" s="35">
        <f t="shared" si="48"/>
        <v>121376.53333333333</v>
      </c>
      <c r="CX20" s="35">
        <f t="shared" si="49"/>
        <v>60688.266666666656</v>
      </c>
      <c r="CY20" s="35">
        <f t="shared" si="50"/>
        <v>114788.26666666666</v>
      </c>
      <c r="DA20" s="35">
        <f t="shared" si="51"/>
        <v>114788.26666666666</v>
      </c>
      <c r="DB20" s="155"/>
      <c r="DC20" s="155"/>
      <c r="DD20" s="155"/>
      <c r="DE20" s="35">
        <f>([1]Summary!$DA$4-F20)/365</f>
        <v>14.008219178082191</v>
      </c>
      <c r="DF20" s="96">
        <f t="shared" si="52"/>
        <v>0.99178082191780881</v>
      </c>
      <c r="DG20" s="35">
        <f t="shared" si="53"/>
        <v>54100</v>
      </c>
      <c r="DH20" s="35">
        <f t="shared" si="54"/>
        <v>60688.266666666663</v>
      </c>
      <c r="DI20" s="35">
        <f t="shared" si="61"/>
        <v>60688.266666666656</v>
      </c>
      <c r="DJ20" s="35">
        <f t="shared" si="56"/>
        <v>54100.000000000007</v>
      </c>
      <c r="DL20" s="157">
        <f t="shared" si="57"/>
        <v>1082000</v>
      </c>
      <c r="DM20" s="157">
        <f t="shared" si="58"/>
        <v>1027899.9999999995</v>
      </c>
      <c r="DN20" s="157">
        <f t="shared" si="59"/>
        <v>54100.000000000466</v>
      </c>
      <c r="DO20" s="158">
        <f t="shared" si="60"/>
        <v>-4.5838532969355583E-10</v>
      </c>
    </row>
    <row r="21" spans="1:119" s="156" customFormat="1" ht="24" customHeight="1" x14ac:dyDescent="0.25">
      <c r="A21" s="11" t="s">
        <v>5</v>
      </c>
      <c r="B21" s="86" t="s">
        <v>4</v>
      </c>
      <c r="C21" s="15" t="s">
        <v>474</v>
      </c>
      <c r="D21" s="150" t="s">
        <v>499</v>
      </c>
      <c r="E21" s="44" t="s">
        <v>496</v>
      </c>
      <c r="F21" s="87">
        <v>39538</v>
      </c>
      <c r="G21" s="151">
        <f>([1]Summary!$G$3-F21)/365</f>
        <v>6.0027397260273974</v>
      </c>
      <c r="H21" s="151">
        <f>VLOOKUP(C21,[2]Rates!$C$6:$D$136,2,0)</f>
        <v>15</v>
      </c>
      <c r="I21" s="152">
        <f t="shared" si="0"/>
        <v>8.9972602739726035</v>
      </c>
      <c r="J21" s="88">
        <v>1000000</v>
      </c>
      <c r="K21" s="88"/>
      <c r="L21" s="153">
        <f t="shared" si="1"/>
        <v>1000000</v>
      </c>
      <c r="M21" s="88">
        <v>445200</v>
      </c>
      <c r="N21" s="24">
        <f t="shared" si="2"/>
        <v>554800</v>
      </c>
      <c r="O21" s="24"/>
      <c r="P21" s="28">
        <f t="shared" si="3"/>
        <v>9</v>
      </c>
      <c r="Q21" s="26">
        <f t="shared" si="4"/>
        <v>50000</v>
      </c>
      <c r="R21" s="24">
        <f t="shared" si="5"/>
        <v>504800</v>
      </c>
      <c r="S21" s="24">
        <f t="shared" si="6"/>
        <v>56088.888888888891</v>
      </c>
      <c r="T21" s="24">
        <f t="shared" si="7"/>
        <v>0</v>
      </c>
      <c r="U21" s="24">
        <f t="shared" si="8"/>
        <v>554800</v>
      </c>
      <c r="V21" s="27">
        <f t="shared" si="9"/>
        <v>498711.11111111112</v>
      </c>
      <c r="W21" s="154"/>
      <c r="X21" s="154"/>
      <c r="Y21" s="154"/>
      <c r="Z21" s="154"/>
      <c r="AA21" s="35">
        <f t="shared" si="10"/>
        <v>498711.11111111112</v>
      </c>
      <c r="AB21" s="155"/>
      <c r="AC21" s="155"/>
      <c r="AD21" s="155"/>
      <c r="AE21" s="12">
        <f>([1]Summary!$G$4-F21)/365</f>
        <v>7.0027397260273974</v>
      </c>
      <c r="AF21" s="12">
        <f t="shared" si="11"/>
        <v>7.9972602739726026</v>
      </c>
      <c r="AG21" s="35">
        <f t="shared" si="12"/>
        <v>50000</v>
      </c>
      <c r="AH21" s="34">
        <f t="shared" si="13"/>
        <v>504800</v>
      </c>
      <c r="AI21" s="35">
        <f t="shared" si="14"/>
        <v>56088.888888888891</v>
      </c>
      <c r="AJ21" s="35">
        <f t="shared" si="15"/>
        <v>442622.22222222225</v>
      </c>
      <c r="AL21" s="35">
        <f t="shared" si="16"/>
        <v>442622.22222222225</v>
      </c>
      <c r="AM21" s="155"/>
      <c r="AN21" s="155"/>
      <c r="AO21" s="155"/>
      <c r="AP21" s="12">
        <f>([1]Summary!$AL$4-F21)/365</f>
        <v>8.0054794520547947</v>
      </c>
      <c r="AQ21" s="12">
        <f t="shared" si="17"/>
        <v>6.9945205479452053</v>
      </c>
      <c r="AR21" s="35">
        <f t="shared" si="18"/>
        <v>50000</v>
      </c>
      <c r="AS21" s="34">
        <f t="shared" si="19"/>
        <v>448711.11111111112</v>
      </c>
      <c r="AT21" s="96">
        <f t="shared" si="20"/>
        <v>56088.888888888891</v>
      </c>
      <c r="AU21" s="35">
        <f t="shared" si="21"/>
        <v>386533.33333333337</v>
      </c>
      <c r="AW21" s="155">
        <f t="shared" si="22"/>
        <v>386533.33333333337</v>
      </c>
      <c r="AX21" s="155"/>
      <c r="AY21" s="155"/>
      <c r="AZ21" s="155"/>
      <c r="BA21" s="155">
        <f>([1]Summary!$AW$4-F21)/365</f>
        <v>9.0054794520547947</v>
      </c>
      <c r="BB21" s="155">
        <f t="shared" si="23"/>
        <v>5.9945205479452053</v>
      </c>
      <c r="BC21" s="155">
        <f t="shared" si="24"/>
        <v>50000</v>
      </c>
      <c r="BD21" s="155">
        <f t="shared" si="25"/>
        <v>392622.22222222225</v>
      </c>
      <c r="BE21" s="35">
        <f t="shared" si="26"/>
        <v>56088.888888888891</v>
      </c>
      <c r="BF21" s="155">
        <f t="shared" si="27"/>
        <v>330444.4444444445</v>
      </c>
      <c r="BG21" s="155"/>
      <c r="BH21" s="35">
        <f t="shared" si="28"/>
        <v>330444.4444444445</v>
      </c>
      <c r="BI21" s="155"/>
      <c r="BJ21" s="155"/>
      <c r="BK21" s="155"/>
      <c r="BL21" s="35">
        <f>([1]Summary!$BH$4-F21)/365</f>
        <v>10.005479452054795</v>
      </c>
      <c r="BM21" s="155">
        <f t="shared" si="29"/>
        <v>4.9945205479452053</v>
      </c>
      <c r="BN21" s="155">
        <f t="shared" si="30"/>
        <v>50000</v>
      </c>
      <c r="BO21" s="35">
        <f t="shared" si="31"/>
        <v>280444.4444444445</v>
      </c>
      <c r="BP21" s="35">
        <f t="shared" si="32"/>
        <v>56088.888888888891</v>
      </c>
      <c r="BQ21" s="35">
        <f t="shared" si="33"/>
        <v>274355.55555555562</v>
      </c>
      <c r="BS21" s="132">
        <f t="shared" si="34"/>
        <v>224355.55555555562</v>
      </c>
      <c r="BT21" s="35">
        <v>274355.55555555562</v>
      </c>
      <c r="BU21" s="155"/>
      <c r="BV21" s="155"/>
      <c r="BW21" s="155"/>
      <c r="BX21" s="35">
        <f>([1]Summary!$BT$4-F21)/365</f>
        <v>11.005479452054795</v>
      </c>
      <c r="BY21" s="96">
        <f t="shared" si="35"/>
        <v>3.9945205479452053</v>
      </c>
      <c r="BZ21" s="35">
        <f t="shared" si="36"/>
        <v>50000</v>
      </c>
      <c r="CA21" s="35">
        <f t="shared" si="37"/>
        <v>224355.55555555562</v>
      </c>
      <c r="CB21" s="35">
        <f t="shared" si="38"/>
        <v>56088.888888888891</v>
      </c>
      <c r="CC21" s="35">
        <f t="shared" si="39"/>
        <v>218266.66666666674</v>
      </c>
      <c r="CE21" s="35">
        <v>218266.66666666674</v>
      </c>
      <c r="CF21" s="155"/>
      <c r="CG21" s="155"/>
      <c r="CH21" s="155"/>
      <c r="CI21" s="35">
        <f>([1]Summary!$CE$4-F21)/365</f>
        <v>12.008219178082191</v>
      </c>
      <c r="CJ21" s="96">
        <f t="shared" si="40"/>
        <v>2.9917808219178088</v>
      </c>
      <c r="CK21" s="35">
        <f t="shared" si="41"/>
        <v>50000</v>
      </c>
      <c r="CL21" s="35">
        <f t="shared" si="42"/>
        <v>168266.66666666674</v>
      </c>
      <c r="CM21" s="35">
        <f t="shared" si="43"/>
        <v>56088.888888888891</v>
      </c>
      <c r="CN21" s="35">
        <f t="shared" si="44"/>
        <v>162177.77777777787</v>
      </c>
      <c r="CP21" s="35">
        <f t="shared" si="45"/>
        <v>162177.77777777787</v>
      </c>
      <c r="CQ21" s="155"/>
      <c r="CR21" s="155"/>
      <c r="CS21" s="155"/>
      <c r="CT21" s="35">
        <f>([1]Summary!$CP$4-F21)/365</f>
        <v>13.008219178082191</v>
      </c>
      <c r="CU21" s="96">
        <f t="shared" si="46"/>
        <v>1.9917808219178088</v>
      </c>
      <c r="CV21" s="35">
        <f t="shared" si="47"/>
        <v>50000</v>
      </c>
      <c r="CW21" s="35">
        <f t="shared" si="48"/>
        <v>112177.77777777787</v>
      </c>
      <c r="CX21" s="35">
        <f t="shared" si="49"/>
        <v>56088.888888888891</v>
      </c>
      <c r="CY21" s="35">
        <f t="shared" si="50"/>
        <v>106088.88888888898</v>
      </c>
      <c r="DA21" s="35">
        <f t="shared" si="51"/>
        <v>106088.88888888898</v>
      </c>
      <c r="DB21" s="155"/>
      <c r="DC21" s="155"/>
      <c r="DD21" s="155"/>
      <c r="DE21" s="35">
        <f>([1]Summary!$DA$4-F21)/365</f>
        <v>14.008219178082191</v>
      </c>
      <c r="DF21" s="96">
        <f t="shared" si="52"/>
        <v>0.99178082191780881</v>
      </c>
      <c r="DG21" s="35">
        <f t="shared" si="53"/>
        <v>50000</v>
      </c>
      <c r="DH21" s="35">
        <f t="shared" si="54"/>
        <v>56088.888888888978</v>
      </c>
      <c r="DI21" s="35">
        <f t="shared" si="61"/>
        <v>56088.888888888891</v>
      </c>
      <c r="DJ21" s="35">
        <f t="shared" si="56"/>
        <v>50000.000000000087</v>
      </c>
      <c r="DL21" s="157">
        <f t="shared" si="57"/>
        <v>1000000</v>
      </c>
      <c r="DM21" s="157">
        <f t="shared" si="58"/>
        <v>949999.99999999988</v>
      </c>
      <c r="DN21" s="157">
        <f t="shared" si="59"/>
        <v>50000.000000000116</v>
      </c>
      <c r="DO21" s="158">
        <f t="shared" si="60"/>
        <v>0</v>
      </c>
    </row>
    <row r="22" spans="1:119" s="156" customFormat="1" ht="24" customHeight="1" x14ac:dyDescent="0.25">
      <c r="A22" s="11" t="s">
        <v>5</v>
      </c>
      <c r="B22" s="86" t="s">
        <v>4</v>
      </c>
      <c r="C22" s="15" t="s">
        <v>474</v>
      </c>
      <c r="D22" s="150" t="s">
        <v>500</v>
      </c>
      <c r="E22" s="44" t="s">
        <v>501</v>
      </c>
      <c r="F22" s="87">
        <v>39811</v>
      </c>
      <c r="G22" s="151">
        <f>([1]Summary!$G$3-F22)/365</f>
        <v>5.2547945205479456</v>
      </c>
      <c r="H22" s="151">
        <f>VLOOKUP(C22,[2]Rates!$C$6:$D$136,2,0)</f>
        <v>15</v>
      </c>
      <c r="I22" s="152">
        <f t="shared" si="0"/>
        <v>9.7452054794520535</v>
      </c>
      <c r="J22" s="88">
        <v>1744017</v>
      </c>
      <c r="K22" s="88"/>
      <c r="L22" s="153">
        <f t="shared" si="1"/>
        <v>1744017</v>
      </c>
      <c r="M22" s="88">
        <v>679382.24560000002</v>
      </c>
      <c r="N22" s="24">
        <f t="shared" si="2"/>
        <v>1064634.7544</v>
      </c>
      <c r="O22" s="24"/>
      <c r="P22" s="28">
        <f t="shared" si="3"/>
        <v>10</v>
      </c>
      <c r="Q22" s="26">
        <f t="shared" si="4"/>
        <v>87200.85</v>
      </c>
      <c r="R22" s="24">
        <f t="shared" si="5"/>
        <v>977433.9044</v>
      </c>
      <c r="S22" s="24">
        <f t="shared" si="6"/>
        <v>97743.390440000003</v>
      </c>
      <c r="T22" s="24">
        <f t="shared" si="7"/>
        <v>0</v>
      </c>
      <c r="U22" s="24">
        <f t="shared" si="8"/>
        <v>1064634.7544</v>
      </c>
      <c r="V22" s="27">
        <f t="shared" si="9"/>
        <v>966891.36395999999</v>
      </c>
      <c r="W22" s="154"/>
      <c r="X22" s="154"/>
      <c r="Y22" s="154"/>
      <c r="Z22" s="154"/>
      <c r="AA22" s="35">
        <f t="shared" si="10"/>
        <v>966891.36395999999</v>
      </c>
      <c r="AB22" s="155"/>
      <c r="AC22" s="155"/>
      <c r="AD22" s="155"/>
      <c r="AE22" s="12">
        <f>([1]Summary!$G$4-F22)/365</f>
        <v>6.2547945205479456</v>
      </c>
      <c r="AF22" s="12">
        <f t="shared" si="11"/>
        <v>8.7452054794520535</v>
      </c>
      <c r="AG22" s="35">
        <f t="shared" si="12"/>
        <v>87200.85</v>
      </c>
      <c r="AH22" s="34">
        <f t="shared" si="13"/>
        <v>977433.9044</v>
      </c>
      <c r="AI22" s="35">
        <f t="shared" si="14"/>
        <v>97743.390440000003</v>
      </c>
      <c r="AJ22" s="35">
        <f t="shared" si="15"/>
        <v>869147.97352</v>
      </c>
      <c r="AL22" s="35">
        <f t="shared" si="16"/>
        <v>869147.97352</v>
      </c>
      <c r="AM22" s="155"/>
      <c r="AN22" s="155"/>
      <c r="AO22" s="155"/>
      <c r="AP22" s="12">
        <f>([1]Summary!$AL$4-F22)/365</f>
        <v>7.2575342465753421</v>
      </c>
      <c r="AQ22" s="12">
        <f t="shared" si="17"/>
        <v>7.7424657534246579</v>
      </c>
      <c r="AR22" s="35">
        <f t="shared" si="18"/>
        <v>87200.85</v>
      </c>
      <c r="AS22" s="34">
        <f t="shared" si="19"/>
        <v>879690.51396000001</v>
      </c>
      <c r="AT22" s="96">
        <f t="shared" si="20"/>
        <v>97743.390440000003</v>
      </c>
      <c r="AU22" s="35">
        <f t="shared" si="21"/>
        <v>771404.58308000001</v>
      </c>
      <c r="AW22" s="155">
        <f t="shared" si="22"/>
        <v>771404.58308000001</v>
      </c>
      <c r="AX22" s="155"/>
      <c r="AY22" s="155"/>
      <c r="AZ22" s="155"/>
      <c r="BA22" s="155">
        <f>([1]Summary!$AW$4-F22)/365</f>
        <v>8.257534246575343</v>
      </c>
      <c r="BB22" s="155">
        <f t="shared" si="23"/>
        <v>6.742465753424657</v>
      </c>
      <c r="BC22" s="155">
        <f t="shared" si="24"/>
        <v>87200.85</v>
      </c>
      <c r="BD22" s="155">
        <f t="shared" si="25"/>
        <v>781947.12352000002</v>
      </c>
      <c r="BE22" s="35">
        <f t="shared" si="26"/>
        <v>97743.390440000003</v>
      </c>
      <c r="BF22" s="155">
        <f t="shared" si="27"/>
        <v>673661.19264000002</v>
      </c>
      <c r="BG22" s="155"/>
      <c r="BH22" s="35">
        <f t="shared" si="28"/>
        <v>673661.19264000002</v>
      </c>
      <c r="BI22" s="155"/>
      <c r="BJ22" s="155"/>
      <c r="BK22" s="155"/>
      <c r="BL22" s="35">
        <f>([1]Summary!$BH$4-F22)/365</f>
        <v>9.257534246575343</v>
      </c>
      <c r="BM22" s="155">
        <f t="shared" si="29"/>
        <v>5.742465753424657</v>
      </c>
      <c r="BN22" s="155">
        <f t="shared" si="30"/>
        <v>87200.85</v>
      </c>
      <c r="BO22" s="35">
        <f t="shared" si="31"/>
        <v>586460.34264000005</v>
      </c>
      <c r="BP22" s="35">
        <f t="shared" si="32"/>
        <v>97743.390440000003</v>
      </c>
      <c r="BQ22" s="35">
        <f t="shared" si="33"/>
        <v>575917.80220000003</v>
      </c>
      <c r="BS22" s="132">
        <f t="shared" si="34"/>
        <v>488716.95220000006</v>
      </c>
      <c r="BT22" s="35">
        <v>575917.80220000003</v>
      </c>
      <c r="BU22" s="155"/>
      <c r="BV22" s="155"/>
      <c r="BW22" s="155"/>
      <c r="BX22" s="35">
        <f>([1]Summary!$BT$4-F22)/365</f>
        <v>10.257534246575343</v>
      </c>
      <c r="BY22" s="96">
        <f t="shared" si="35"/>
        <v>4.742465753424657</v>
      </c>
      <c r="BZ22" s="35">
        <f t="shared" si="36"/>
        <v>87200.85</v>
      </c>
      <c r="CA22" s="35">
        <f t="shared" si="37"/>
        <v>488716.95220000006</v>
      </c>
      <c r="CB22" s="35">
        <f t="shared" si="38"/>
        <v>97743.390440000003</v>
      </c>
      <c r="CC22" s="35">
        <f t="shared" si="39"/>
        <v>478174.41176000005</v>
      </c>
      <c r="CE22" s="35">
        <v>478174.41176000005</v>
      </c>
      <c r="CF22" s="155"/>
      <c r="CG22" s="155"/>
      <c r="CH22" s="155"/>
      <c r="CI22" s="35">
        <f>([1]Summary!$CE$4-F22)/365</f>
        <v>11.260273972602739</v>
      </c>
      <c r="CJ22" s="96">
        <f t="shared" si="40"/>
        <v>3.7397260273972606</v>
      </c>
      <c r="CK22" s="35">
        <f t="shared" si="41"/>
        <v>87200.85</v>
      </c>
      <c r="CL22" s="35">
        <f t="shared" si="42"/>
        <v>390973.56176000007</v>
      </c>
      <c r="CM22" s="35">
        <f t="shared" si="43"/>
        <v>97743.390440000003</v>
      </c>
      <c r="CN22" s="35">
        <f t="shared" si="44"/>
        <v>380431.02132000006</v>
      </c>
      <c r="CP22" s="35">
        <f t="shared" si="45"/>
        <v>380431.02132000006</v>
      </c>
      <c r="CQ22" s="155"/>
      <c r="CR22" s="155"/>
      <c r="CS22" s="155"/>
      <c r="CT22" s="35">
        <f>([1]Summary!$CP$4-F22)/365</f>
        <v>12.260273972602739</v>
      </c>
      <c r="CU22" s="96">
        <f t="shared" si="46"/>
        <v>2.7397260273972606</v>
      </c>
      <c r="CV22" s="35">
        <f t="shared" si="47"/>
        <v>87200.85</v>
      </c>
      <c r="CW22" s="35">
        <f t="shared" si="48"/>
        <v>293230.17132000008</v>
      </c>
      <c r="CX22" s="35">
        <f t="shared" si="49"/>
        <v>97743.390440000003</v>
      </c>
      <c r="CY22" s="35">
        <f t="shared" si="50"/>
        <v>282687.63088000007</v>
      </c>
      <c r="DA22" s="35">
        <f t="shared" si="51"/>
        <v>282687.63088000007</v>
      </c>
      <c r="DB22" s="155"/>
      <c r="DC22" s="155"/>
      <c r="DD22" s="155"/>
      <c r="DE22" s="35">
        <f>([1]Summary!$DA$4-F22)/365</f>
        <v>13.260273972602739</v>
      </c>
      <c r="DF22" s="96">
        <f t="shared" si="52"/>
        <v>1.7397260273972606</v>
      </c>
      <c r="DG22" s="35">
        <f t="shared" si="53"/>
        <v>87200.85</v>
      </c>
      <c r="DH22" s="35">
        <f t="shared" si="54"/>
        <v>195486.78088000006</v>
      </c>
      <c r="DI22" s="35">
        <f t="shared" si="61"/>
        <v>97743.390440000003</v>
      </c>
      <c r="DJ22" s="35">
        <f t="shared" si="56"/>
        <v>184944.24044000008</v>
      </c>
      <c r="DL22" s="157">
        <f t="shared" si="57"/>
        <v>1744017</v>
      </c>
      <c r="DM22" s="157">
        <f t="shared" si="58"/>
        <v>1559072.7595599999</v>
      </c>
      <c r="DN22" s="157">
        <f t="shared" si="59"/>
        <v>184944.24044000008</v>
      </c>
      <c r="DO22" s="158">
        <f t="shared" si="60"/>
        <v>0</v>
      </c>
    </row>
    <row r="23" spans="1:119" s="156" customFormat="1" ht="24" customHeight="1" x14ac:dyDescent="0.25">
      <c r="A23" s="11" t="s">
        <v>5</v>
      </c>
      <c r="B23" s="86" t="s">
        <v>4</v>
      </c>
      <c r="C23" s="15" t="s">
        <v>474</v>
      </c>
      <c r="D23" s="150" t="s">
        <v>502</v>
      </c>
      <c r="E23" s="44" t="s">
        <v>503</v>
      </c>
      <c r="F23" s="87">
        <v>39964</v>
      </c>
      <c r="G23" s="151">
        <f>([1]Summary!$G$3-F23)/365</f>
        <v>4.8356164383561646</v>
      </c>
      <c r="H23" s="151">
        <f>VLOOKUP(C23,[2]Rates!$C$6:$D$136,2,0)</f>
        <v>15</v>
      </c>
      <c r="I23" s="152">
        <f t="shared" si="0"/>
        <v>10.164383561643834</v>
      </c>
      <c r="J23" s="88">
        <v>630000</v>
      </c>
      <c r="K23" s="88"/>
      <c r="L23" s="153">
        <f t="shared" si="1"/>
        <v>630000</v>
      </c>
      <c r="M23" s="88">
        <v>226046</v>
      </c>
      <c r="N23" s="24">
        <f t="shared" si="2"/>
        <v>403954</v>
      </c>
      <c r="O23" s="24"/>
      <c r="P23" s="28">
        <f t="shared" si="3"/>
        <v>10</v>
      </c>
      <c r="Q23" s="26">
        <f t="shared" si="4"/>
        <v>31500</v>
      </c>
      <c r="R23" s="24">
        <f t="shared" si="5"/>
        <v>372454</v>
      </c>
      <c r="S23" s="24">
        <f t="shared" si="6"/>
        <v>37245.4</v>
      </c>
      <c r="T23" s="24">
        <f t="shared" si="7"/>
        <v>0</v>
      </c>
      <c r="U23" s="24">
        <f t="shared" si="8"/>
        <v>403954</v>
      </c>
      <c r="V23" s="27">
        <f t="shared" si="9"/>
        <v>366708.6</v>
      </c>
      <c r="W23" s="154"/>
      <c r="X23" s="154"/>
      <c r="Y23" s="154"/>
      <c r="Z23" s="154"/>
      <c r="AA23" s="35">
        <f t="shared" si="10"/>
        <v>366708.6</v>
      </c>
      <c r="AB23" s="155"/>
      <c r="AC23" s="155"/>
      <c r="AD23" s="155"/>
      <c r="AE23" s="12">
        <f>([1]Summary!$G$4-F23)/365</f>
        <v>5.8356164383561646</v>
      </c>
      <c r="AF23" s="12">
        <f t="shared" si="11"/>
        <v>9.1643835616438345</v>
      </c>
      <c r="AG23" s="35">
        <f t="shared" si="12"/>
        <v>31500</v>
      </c>
      <c r="AH23" s="34">
        <f t="shared" si="13"/>
        <v>372454</v>
      </c>
      <c r="AI23" s="35">
        <f t="shared" si="14"/>
        <v>37245.4</v>
      </c>
      <c r="AJ23" s="35">
        <f t="shared" si="15"/>
        <v>329463.19999999995</v>
      </c>
      <c r="AL23" s="35">
        <f t="shared" si="16"/>
        <v>329463.19999999995</v>
      </c>
      <c r="AM23" s="155"/>
      <c r="AN23" s="155"/>
      <c r="AO23" s="155"/>
      <c r="AP23" s="12">
        <f>([1]Summary!$AL$4-F23)/365</f>
        <v>6.838356164383562</v>
      </c>
      <c r="AQ23" s="12">
        <f t="shared" si="17"/>
        <v>8.161643835616438</v>
      </c>
      <c r="AR23" s="35">
        <f t="shared" si="18"/>
        <v>31500</v>
      </c>
      <c r="AS23" s="34">
        <f t="shared" si="19"/>
        <v>335208.59999999998</v>
      </c>
      <c r="AT23" s="96">
        <f t="shared" si="20"/>
        <v>37245.4</v>
      </c>
      <c r="AU23" s="35">
        <f t="shared" si="21"/>
        <v>292217.79999999993</v>
      </c>
      <c r="AW23" s="155">
        <f t="shared" si="22"/>
        <v>292217.79999999993</v>
      </c>
      <c r="AX23" s="155"/>
      <c r="AY23" s="155"/>
      <c r="AZ23" s="155"/>
      <c r="BA23" s="155">
        <f>([1]Summary!$AW$4-F23)/365</f>
        <v>7.838356164383562</v>
      </c>
      <c r="BB23" s="155">
        <f t="shared" si="23"/>
        <v>7.161643835616438</v>
      </c>
      <c r="BC23" s="155">
        <f t="shared" si="24"/>
        <v>31500</v>
      </c>
      <c r="BD23" s="155">
        <f t="shared" si="25"/>
        <v>297963.19999999995</v>
      </c>
      <c r="BE23" s="35">
        <f t="shared" si="26"/>
        <v>37245.4</v>
      </c>
      <c r="BF23" s="155">
        <f t="shared" si="27"/>
        <v>254972.39999999994</v>
      </c>
      <c r="BG23" s="155"/>
      <c r="BH23" s="35">
        <f t="shared" si="28"/>
        <v>254972.39999999994</v>
      </c>
      <c r="BI23" s="155"/>
      <c r="BJ23" s="155"/>
      <c r="BK23" s="155"/>
      <c r="BL23" s="35">
        <f>([1]Summary!$BH$4-F23)/365</f>
        <v>8.838356164383562</v>
      </c>
      <c r="BM23" s="155">
        <f t="shared" si="29"/>
        <v>6.161643835616438</v>
      </c>
      <c r="BN23" s="155">
        <f t="shared" si="30"/>
        <v>31500</v>
      </c>
      <c r="BO23" s="35">
        <f t="shared" si="31"/>
        <v>223472.39999999994</v>
      </c>
      <c r="BP23" s="35">
        <f t="shared" si="32"/>
        <v>37245.4</v>
      </c>
      <c r="BQ23" s="35">
        <f t="shared" si="33"/>
        <v>217726.99999999994</v>
      </c>
      <c r="BS23" s="132">
        <f t="shared" si="34"/>
        <v>186226.99999999994</v>
      </c>
      <c r="BT23" s="35">
        <v>217726.99999999994</v>
      </c>
      <c r="BU23" s="155"/>
      <c r="BV23" s="155"/>
      <c r="BW23" s="155"/>
      <c r="BX23" s="35">
        <f>([1]Summary!$BT$4-F23)/365</f>
        <v>9.838356164383562</v>
      </c>
      <c r="BY23" s="96">
        <f t="shared" si="35"/>
        <v>5.161643835616438</v>
      </c>
      <c r="BZ23" s="35">
        <f t="shared" si="36"/>
        <v>31500</v>
      </c>
      <c r="CA23" s="35">
        <f t="shared" si="37"/>
        <v>186226.99999999994</v>
      </c>
      <c r="CB23" s="35">
        <f t="shared" si="38"/>
        <v>37245.4</v>
      </c>
      <c r="CC23" s="35">
        <f t="shared" si="39"/>
        <v>180481.59999999995</v>
      </c>
      <c r="CE23" s="35">
        <v>180481.59999999995</v>
      </c>
      <c r="CF23" s="155"/>
      <c r="CG23" s="155"/>
      <c r="CH23" s="155"/>
      <c r="CI23" s="35">
        <f>([1]Summary!$CE$4-F23)/365</f>
        <v>10.841095890410958</v>
      </c>
      <c r="CJ23" s="96">
        <f t="shared" si="40"/>
        <v>4.1589041095890416</v>
      </c>
      <c r="CK23" s="35">
        <f t="shared" si="41"/>
        <v>31500</v>
      </c>
      <c r="CL23" s="35">
        <f t="shared" si="42"/>
        <v>148981.59999999995</v>
      </c>
      <c r="CM23" s="35">
        <f t="shared" si="43"/>
        <v>37245.4</v>
      </c>
      <c r="CN23" s="35">
        <f t="shared" si="44"/>
        <v>143236.19999999995</v>
      </c>
      <c r="CP23" s="35">
        <f t="shared" si="45"/>
        <v>143236.19999999995</v>
      </c>
      <c r="CQ23" s="155"/>
      <c r="CR23" s="155"/>
      <c r="CS23" s="155"/>
      <c r="CT23" s="35">
        <f>([1]Summary!$CP$4-F23)/365</f>
        <v>11.841095890410958</v>
      </c>
      <c r="CU23" s="96">
        <f t="shared" si="46"/>
        <v>3.1589041095890416</v>
      </c>
      <c r="CV23" s="35">
        <f t="shared" si="47"/>
        <v>31500</v>
      </c>
      <c r="CW23" s="35">
        <f t="shared" si="48"/>
        <v>111736.19999999995</v>
      </c>
      <c r="CX23" s="35">
        <f t="shared" si="49"/>
        <v>37245.4</v>
      </c>
      <c r="CY23" s="35">
        <f t="shared" si="50"/>
        <v>105990.79999999996</v>
      </c>
      <c r="DA23" s="35">
        <f t="shared" si="51"/>
        <v>105990.79999999996</v>
      </c>
      <c r="DB23" s="155"/>
      <c r="DC23" s="155"/>
      <c r="DD23" s="155"/>
      <c r="DE23" s="35">
        <f>([1]Summary!$DA$4-F23)/365</f>
        <v>12.841095890410958</v>
      </c>
      <c r="DF23" s="96">
        <f t="shared" si="52"/>
        <v>2.1589041095890416</v>
      </c>
      <c r="DG23" s="35">
        <f t="shared" si="53"/>
        <v>31500</v>
      </c>
      <c r="DH23" s="35">
        <f t="shared" si="54"/>
        <v>74490.799999999959</v>
      </c>
      <c r="DI23" s="35">
        <f t="shared" si="61"/>
        <v>37245.4</v>
      </c>
      <c r="DJ23" s="35">
        <f t="shared" si="56"/>
        <v>68745.399999999965</v>
      </c>
      <c r="DL23" s="157">
        <f t="shared" si="57"/>
        <v>630000</v>
      </c>
      <c r="DM23" s="157">
        <f t="shared" si="58"/>
        <v>561254.60000000021</v>
      </c>
      <c r="DN23" s="157">
        <f t="shared" si="59"/>
        <v>68745.39999999979</v>
      </c>
      <c r="DO23" s="158">
        <f t="shared" si="60"/>
        <v>1.7462298274040222E-10</v>
      </c>
    </row>
    <row r="24" spans="1:119" s="156" customFormat="1" ht="24" customHeight="1" x14ac:dyDescent="0.25">
      <c r="A24" s="11" t="s">
        <v>5</v>
      </c>
      <c r="B24" s="86" t="s">
        <v>4</v>
      </c>
      <c r="C24" s="15" t="s">
        <v>474</v>
      </c>
      <c r="D24" s="150" t="s">
        <v>504</v>
      </c>
      <c r="E24" s="44" t="s">
        <v>503</v>
      </c>
      <c r="F24" s="87">
        <v>39964</v>
      </c>
      <c r="G24" s="151">
        <f>([1]Summary!$G$3-F24)/365</f>
        <v>4.8356164383561646</v>
      </c>
      <c r="H24" s="151">
        <f>VLOOKUP(C24,[2]Rates!$C$6:$D$136,2,0)</f>
        <v>15</v>
      </c>
      <c r="I24" s="152">
        <f t="shared" si="0"/>
        <v>10.164383561643834</v>
      </c>
      <c r="J24" s="88">
        <v>600000</v>
      </c>
      <c r="K24" s="88"/>
      <c r="L24" s="153">
        <f t="shared" si="1"/>
        <v>600000</v>
      </c>
      <c r="M24" s="88">
        <v>215282</v>
      </c>
      <c r="N24" s="24">
        <f t="shared" si="2"/>
        <v>384718</v>
      </c>
      <c r="O24" s="24"/>
      <c r="P24" s="28">
        <f t="shared" si="3"/>
        <v>10</v>
      </c>
      <c r="Q24" s="26">
        <f t="shared" si="4"/>
        <v>30000</v>
      </c>
      <c r="R24" s="24">
        <f t="shared" si="5"/>
        <v>354718</v>
      </c>
      <c r="S24" s="24">
        <f t="shared" si="6"/>
        <v>35471.800000000003</v>
      </c>
      <c r="T24" s="24">
        <f t="shared" si="7"/>
        <v>0</v>
      </c>
      <c r="U24" s="24">
        <f t="shared" si="8"/>
        <v>384718</v>
      </c>
      <c r="V24" s="27">
        <f t="shared" si="9"/>
        <v>349246.2</v>
      </c>
      <c r="W24" s="154"/>
      <c r="X24" s="154"/>
      <c r="Y24" s="154"/>
      <c r="Z24" s="154"/>
      <c r="AA24" s="35">
        <f t="shared" si="10"/>
        <v>349246.2</v>
      </c>
      <c r="AB24" s="155"/>
      <c r="AC24" s="155"/>
      <c r="AD24" s="155"/>
      <c r="AE24" s="12">
        <f>([1]Summary!$G$4-F24)/365</f>
        <v>5.8356164383561646</v>
      </c>
      <c r="AF24" s="12">
        <f t="shared" si="11"/>
        <v>9.1643835616438345</v>
      </c>
      <c r="AG24" s="35">
        <f t="shared" si="12"/>
        <v>30000</v>
      </c>
      <c r="AH24" s="34">
        <f t="shared" si="13"/>
        <v>354718</v>
      </c>
      <c r="AI24" s="35">
        <f t="shared" si="14"/>
        <v>35471.800000000003</v>
      </c>
      <c r="AJ24" s="35">
        <f t="shared" si="15"/>
        <v>313774.40000000002</v>
      </c>
      <c r="AL24" s="35">
        <f t="shared" si="16"/>
        <v>313774.40000000002</v>
      </c>
      <c r="AM24" s="155"/>
      <c r="AN24" s="155"/>
      <c r="AO24" s="155"/>
      <c r="AP24" s="12">
        <f>([1]Summary!$AL$4-F24)/365</f>
        <v>6.838356164383562</v>
      </c>
      <c r="AQ24" s="12">
        <f t="shared" si="17"/>
        <v>8.161643835616438</v>
      </c>
      <c r="AR24" s="35">
        <f t="shared" si="18"/>
        <v>30000</v>
      </c>
      <c r="AS24" s="34">
        <f t="shared" si="19"/>
        <v>319246.2</v>
      </c>
      <c r="AT24" s="96">
        <f t="shared" si="20"/>
        <v>35471.800000000003</v>
      </c>
      <c r="AU24" s="35">
        <f t="shared" si="21"/>
        <v>278302.60000000003</v>
      </c>
      <c r="AW24" s="155">
        <f t="shared" si="22"/>
        <v>278302.60000000003</v>
      </c>
      <c r="AX24" s="155"/>
      <c r="AY24" s="155"/>
      <c r="AZ24" s="155"/>
      <c r="BA24" s="155">
        <f>([1]Summary!$AW$4-F24)/365</f>
        <v>7.838356164383562</v>
      </c>
      <c r="BB24" s="155">
        <f t="shared" si="23"/>
        <v>7.161643835616438</v>
      </c>
      <c r="BC24" s="155">
        <f t="shared" si="24"/>
        <v>30000</v>
      </c>
      <c r="BD24" s="155">
        <f t="shared" si="25"/>
        <v>283774.40000000002</v>
      </c>
      <c r="BE24" s="35">
        <f t="shared" si="26"/>
        <v>35471.800000000003</v>
      </c>
      <c r="BF24" s="155">
        <f t="shared" si="27"/>
        <v>242830.80000000005</v>
      </c>
      <c r="BG24" s="155"/>
      <c r="BH24" s="35">
        <f t="shared" si="28"/>
        <v>242830.80000000005</v>
      </c>
      <c r="BI24" s="155"/>
      <c r="BJ24" s="155"/>
      <c r="BK24" s="155"/>
      <c r="BL24" s="35">
        <f>([1]Summary!$BH$4-F24)/365</f>
        <v>8.838356164383562</v>
      </c>
      <c r="BM24" s="155">
        <f t="shared" si="29"/>
        <v>6.161643835616438</v>
      </c>
      <c r="BN24" s="155">
        <f t="shared" si="30"/>
        <v>30000</v>
      </c>
      <c r="BO24" s="35">
        <f t="shared" si="31"/>
        <v>212830.80000000005</v>
      </c>
      <c r="BP24" s="35">
        <f t="shared" si="32"/>
        <v>35471.800000000003</v>
      </c>
      <c r="BQ24" s="35">
        <f t="shared" si="33"/>
        <v>207359.00000000006</v>
      </c>
      <c r="BS24" s="132">
        <f t="shared" si="34"/>
        <v>177359.00000000006</v>
      </c>
      <c r="BT24" s="35">
        <v>207359.00000000006</v>
      </c>
      <c r="BU24" s="155"/>
      <c r="BV24" s="155"/>
      <c r="BW24" s="155"/>
      <c r="BX24" s="35">
        <f>([1]Summary!$BT$4-F24)/365</f>
        <v>9.838356164383562</v>
      </c>
      <c r="BY24" s="96">
        <f t="shared" si="35"/>
        <v>5.161643835616438</v>
      </c>
      <c r="BZ24" s="35">
        <f t="shared" si="36"/>
        <v>30000</v>
      </c>
      <c r="CA24" s="35">
        <f t="shared" si="37"/>
        <v>177359.00000000006</v>
      </c>
      <c r="CB24" s="35">
        <f t="shared" si="38"/>
        <v>35471.800000000003</v>
      </c>
      <c r="CC24" s="35">
        <f t="shared" si="39"/>
        <v>171887.20000000007</v>
      </c>
      <c r="CE24" s="35">
        <v>171887.20000000007</v>
      </c>
      <c r="CF24" s="155"/>
      <c r="CG24" s="155"/>
      <c r="CH24" s="155"/>
      <c r="CI24" s="35">
        <f>([1]Summary!$CE$4-F24)/365</f>
        <v>10.841095890410958</v>
      </c>
      <c r="CJ24" s="96">
        <f t="shared" si="40"/>
        <v>4.1589041095890416</v>
      </c>
      <c r="CK24" s="35">
        <f t="shared" si="41"/>
        <v>30000</v>
      </c>
      <c r="CL24" s="35">
        <f t="shared" si="42"/>
        <v>141887.20000000007</v>
      </c>
      <c r="CM24" s="35">
        <f t="shared" si="43"/>
        <v>35471.800000000003</v>
      </c>
      <c r="CN24" s="35">
        <f t="shared" si="44"/>
        <v>136415.40000000008</v>
      </c>
      <c r="CP24" s="35">
        <f t="shared" si="45"/>
        <v>136415.40000000008</v>
      </c>
      <c r="CQ24" s="155"/>
      <c r="CR24" s="155"/>
      <c r="CS24" s="155"/>
      <c r="CT24" s="35">
        <f>([1]Summary!$CP$4-F24)/365</f>
        <v>11.841095890410958</v>
      </c>
      <c r="CU24" s="96">
        <f t="shared" si="46"/>
        <v>3.1589041095890416</v>
      </c>
      <c r="CV24" s="35">
        <f t="shared" si="47"/>
        <v>30000</v>
      </c>
      <c r="CW24" s="35">
        <f t="shared" si="48"/>
        <v>106415.40000000008</v>
      </c>
      <c r="CX24" s="35">
        <f t="shared" si="49"/>
        <v>35471.800000000003</v>
      </c>
      <c r="CY24" s="35">
        <f t="shared" si="50"/>
        <v>100943.60000000008</v>
      </c>
      <c r="DA24" s="35">
        <f t="shared" si="51"/>
        <v>100943.60000000008</v>
      </c>
      <c r="DB24" s="155"/>
      <c r="DC24" s="155"/>
      <c r="DD24" s="155"/>
      <c r="DE24" s="35">
        <f>([1]Summary!$DA$4-F24)/365</f>
        <v>12.841095890410958</v>
      </c>
      <c r="DF24" s="96">
        <f t="shared" si="52"/>
        <v>2.1589041095890416</v>
      </c>
      <c r="DG24" s="35">
        <f t="shared" si="53"/>
        <v>30000</v>
      </c>
      <c r="DH24" s="35">
        <f t="shared" si="54"/>
        <v>70943.600000000079</v>
      </c>
      <c r="DI24" s="35">
        <f t="shared" si="61"/>
        <v>35471.800000000003</v>
      </c>
      <c r="DJ24" s="35">
        <f t="shared" si="56"/>
        <v>65471.800000000076</v>
      </c>
      <c r="DL24" s="157">
        <f t="shared" si="57"/>
        <v>600000</v>
      </c>
      <c r="DM24" s="157">
        <f t="shared" si="58"/>
        <v>534528.19999999995</v>
      </c>
      <c r="DN24" s="157">
        <f t="shared" si="59"/>
        <v>65471.800000000047</v>
      </c>
      <c r="DO24" s="158">
        <f t="shared" si="60"/>
        <v>0</v>
      </c>
    </row>
    <row r="25" spans="1:119" s="156" customFormat="1" ht="24" customHeight="1" x14ac:dyDescent="0.25">
      <c r="A25" s="11" t="s">
        <v>5</v>
      </c>
      <c r="B25" s="86" t="s">
        <v>4</v>
      </c>
      <c r="C25" s="15" t="s">
        <v>474</v>
      </c>
      <c r="D25" s="150" t="s">
        <v>505</v>
      </c>
      <c r="E25" s="44" t="s">
        <v>503</v>
      </c>
      <c r="F25" s="87">
        <v>39964</v>
      </c>
      <c r="G25" s="151">
        <f>([1]Summary!$G$3-F25)/365</f>
        <v>4.8356164383561646</v>
      </c>
      <c r="H25" s="151">
        <f>VLOOKUP(C25,[2]Rates!$C$6:$D$136,2,0)</f>
        <v>15</v>
      </c>
      <c r="I25" s="152">
        <f t="shared" si="0"/>
        <v>10.164383561643834</v>
      </c>
      <c r="J25" s="88">
        <v>580000</v>
      </c>
      <c r="K25" s="88"/>
      <c r="L25" s="153">
        <f t="shared" si="1"/>
        <v>580000</v>
      </c>
      <c r="M25" s="88">
        <v>208106</v>
      </c>
      <c r="N25" s="24">
        <f t="shared" si="2"/>
        <v>371894</v>
      </c>
      <c r="O25" s="24"/>
      <c r="P25" s="28">
        <f t="shared" si="3"/>
        <v>10</v>
      </c>
      <c r="Q25" s="26">
        <f t="shared" si="4"/>
        <v>29000</v>
      </c>
      <c r="R25" s="24">
        <f t="shared" si="5"/>
        <v>342894</v>
      </c>
      <c r="S25" s="24">
        <f t="shared" si="6"/>
        <v>34289.4</v>
      </c>
      <c r="T25" s="24">
        <f t="shared" si="7"/>
        <v>0</v>
      </c>
      <c r="U25" s="24">
        <f t="shared" si="8"/>
        <v>371894</v>
      </c>
      <c r="V25" s="27">
        <f t="shared" si="9"/>
        <v>337604.6</v>
      </c>
      <c r="W25" s="154"/>
      <c r="X25" s="154"/>
      <c r="Y25" s="154"/>
      <c r="Z25" s="154"/>
      <c r="AA25" s="35">
        <f t="shared" si="10"/>
        <v>337604.6</v>
      </c>
      <c r="AB25" s="155"/>
      <c r="AC25" s="155"/>
      <c r="AD25" s="155"/>
      <c r="AE25" s="12">
        <f>([1]Summary!$G$4-F25)/365</f>
        <v>5.8356164383561646</v>
      </c>
      <c r="AF25" s="12">
        <f t="shared" si="11"/>
        <v>9.1643835616438345</v>
      </c>
      <c r="AG25" s="35">
        <f t="shared" si="12"/>
        <v>29000</v>
      </c>
      <c r="AH25" s="34">
        <f t="shared" si="13"/>
        <v>342894</v>
      </c>
      <c r="AI25" s="35">
        <f t="shared" si="14"/>
        <v>34289.4</v>
      </c>
      <c r="AJ25" s="35">
        <f t="shared" si="15"/>
        <v>303315.19999999995</v>
      </c>
      <c r="AL25" s="35">
        <f t="shared" si="16"/>
        <v>303315.19999999995</v>
      </c>
      <c r="AM25" s="155"/>
      <c r="AN25" s="155"/>
      <c r="AO25" s="155"/>
      <c r="AP25" s="12">
        <f>([1]Summary!$AL$4-F25)/365</f>
        <v>6.838356164383562</v>
      </c>
      <c r="AQ25" s="12">
        <f t="shared" si="17"/>
        <v>8.161643835616438</v>
      </c>
      <c r="AR25" s="35">
        <f t="shared" si="18"/>
        <v>29000</v>
      </c>
      <c r="AS25" s="34">
        <f t="shared" si="19"/>
        <v>308604.59999999998</v>
      </c>
      <c r="AT25" s="96">
        <f t="shared" si="20"/>
        <v>34289.4</v>
      </c>
      <c r="AU25" s="35">
        <f t="shared" si="21"/>
        <v>269025.79999999993</v>
      </c>
      <c r="AW25" s="155">
        <f t="shared" si="22"/>
        <v>269025.79999999993</v>
      </c>
      <c r="AX25" s="155"/>
      <c r="AY25" s="155"/>
      <c r="AZ25" s="155"/>
      <c r="BA25" s="155">
        <f>([1]Summary!$AW$4-F25)/365</f>
        <v>7.838356164383562</v>
      </c>
      <c r="BB25" s="155">
        <f t="shared" si="23"/>
        <v>7.161643835616438</v>
      </c>
      <c r="BC25" s="155">
        <f t="shared" si="24"/>
        <v>29000</v>
      </c>
      <c r="BD25" s="155">
        <f t="shared" si="25"/>
        <v>274315.19999999995</v>
      </c>
      <c r="BE25" s="35">
        <f t="shared" si="26"/>
        <v>34289.4</v>
      </c>
      <c r="BF25" s="155">
        <f t="shared" si="27"/>
        <v>234736.39999999994</v>
      </c>
      <c r="BG25" s="155"/>
      <c r="BH25" s="35">
        <f t="shared" si="28"/>
        <v>234736.39999999994</v>
      </c>
      <c r="BI25" s="155"/>
      <c r="BJ25" s="155"/>
      <c r="BK25" s="155"/>
      <c r="BL25" s="35">
        <f>([1]Summary!$BH$4-F25)/365</f>
        <v>8.838356164383562</v>
      </c>
      <c r="BM25" s="155">
        <f t="shared" si="29"/>
        <v>6.161643835616438</v>
      </c>
      <c r="BN25" s="155">
        <f t="shared" si="30"/>
        <v>29000</v>
      </c>
      <c r="BO25" s="35">
        <f t="shared" si="31"/>
        <v>205736.39999999994</v>
      </c>
      <c r="BP25" s="35">
        <f t="shared" si="32"/>
        <v>34289.4</v>
      </c>
      <c r="BQ25" s="35">
        <f t="shared" si="33"/>
        <v>200446.99999999994</v>
      </c>
      <c r="BS25" s="132">
        <f t="shared" si="34"/>
        <v>171446.99999999994</v>
      </c>
      <c r="BT25" s="35">
        <v>200446.99999999994</v>
      </c>
      <c r="BU25" s="155"/>
      <c r="BV25" s="155"/>
      <c r="BW25" s="155"/>
      <c r="BX25" s="35">
        <f>([1]Summary!$BT$4-F25)/365</f>
        <v>9.838356164383562</v>
      </c>
      <c r="BY25" s="96">
        <f t="shared" si="35"/>
        <v>5.161643835616438</v>
      </c>
      <c r="BZ25" s="35">
        <f t="shared" si="36"/>
        <v>29000</v>
      </c>
      <c r="CA25" s="35">
        <f t="shared" si="37"/>
        <v>171446.99999999994</v>
      </c>
      <c r="CB25" s="35">
        <f t="shared" si="38"/>
        <v>34289.4</v>
      </c>
      <c r="CC25" s="35">
        <f t="shared" si="39"/>
        <v>166157.59999999995</v>
      </c>
      <c r="CE25" s="35">
        <v>166157.59999999995</v>
      </c>
      <c r="CF25" s="155"/>
      <c r="CG25" s="155"/>
      <c r="CH25" s="155"/>
      <c r="CI25" s="35">
        <f>([1]Summary!$CE$4-F25)/365</f>
        <v>10.841095890410958</v>
      </c>
      <c r="CJ25" s="96">
        <f t="shared" si="40"/>
        <v>4.1589041095890416</v>
      </c>
      <c r="CK25" s="35">
        <f t="shared" si="41"/>
        <v>29000</v>
      </c>
      <c r="CL25" s="35">
        <f t="shared" si="42"/>
        <v>137157.59999999995</v>
      </c>
      <c r="CM25" s="35">
        <f t="shared" si="43"/>
        <v>34289.4</v>
      </c>
      <c r="CN25" s="35">
        <f t="shared" si="44"/>
        <v>131868.19999999995</v>
      </c>
      <c r="CP25" s="35">
        <f t="shared" si="45"/>
        <v>131868.19999999995</v>
      </c>
      <c r="CQ25" s="155"/>
      <c r="CR25" s="155"/>
      <c r="CS25" s="155"/>
      <c r="CT25" s="35">
        <f>([1]Summary!$CP$4-F25)/365</f>
        <v>11.841095890410958</v>
      </c>
      <c r="CU25" s="96">
        <f t="shared" si="46"/>
        <v>3.1589041095890416</v>
      </c>
      <c r="CV25" s="35">
        <f t="shared" si="47"/>
        <v>29000</v>
      </c>
      <c r="CW25" s="35">
        <f t="shared" si="48"/>
        <v>102868.19999999995</v>
      </c>
      <c r="CX25" s="35">
        <f t="shared" si="49"/>
        <v>34289.4</v>
      </c>
      <c r="CY25" s="35">
        <f t="shared" si="50"/>
        <v>97578.799999999959</v>
      </c>
      <c r="DA25" s="35">
        <f t="shared" si="51"/>
        <v>97578.799999999959</v>
      </c>
      <c r="DB25" s="155"/>
      <c r="DC25" s="155"/>
      <c r="DD25" s="155"/>
      <c r="DE25" s="35">
        <f>([1]Summary!$DA$4-F25)/365</f>
        <v>12.841095890410958</v>
      </c>
      <c r="DF25" s="96">
        <f t="shared" si="52"/>
        <v>2.1589041095890416</v>
      </c>
      <c r="DG25" s="35">
        <f t="shared" si="53"/>
        <v>29000</v>
      </c>
      <c r="DH25" s="35">
        <f t="shared" si="54"/>
        <v>68578.799999999959</v>
      </c>
      <c r="DI25" s="35">
        <f t="shared" si="61"/>
        <v>34289.4</v>
      </c>
      <c r="DJ25" s="35">
        <f t="shared" si="56"/>
        <v>63289.399999999958</v>
      </c>
      <c r="DL25" s="157">
        <f t="shared" si="57"/>
        <v>580000</v>
      </c>
      <c r="DM25" s="157">
        <f t="shared" si="58"/>
        <v>516710.60000000015</v>
      </c>
      <c r="DN25" s="157">
        <f t="shared" si="59"/>
        <v>63289.399999999849</v>
      </c>
      <c r="DO25" s="158">
        <f t="shared" si="60"/>
        <v>1.0913936421275139E-10</v>
      </c>
    </row>
    <row r="26" spans="1:119" s="156" customFormat="1" ht="24" customHeight="1" x14ac:dyDescent="0.25">
      <c r="A26" s="11" t="s">
        <v>5</v>
      </c>
      <c r="B26" s="86" t="s">
        <v>4</v>
      </c>
      <c r="C26" s="15" t="s">
        <v>474</v>
      </c>
      <c r="D26" s="150" t="s">
        <v>506</v>
      </c>
      <c r="E26" s="44" t="s">
        <v>507</v>
      </c>
      <c r="F26" s="87">
        <v>40633</v>
      </c>
      <c r="G26" s="151">
        <f>([1]Summary!$G$3-F26)/365</f>
        <v>3.0027397260273974</v>
      </c>
      <c r="H26" s="151">
        <f>VLOOKUP(C26,[2]Rates!$C$6:$D$136,2,0)</f>
        <v>15</v>
      </c>
      <c r="I26" s="152">
        <f t="shared" si="0"/>
        <v>11.997260273972604</v>
      </c>
      <c r="J26" s="88">
        <v>286780</v>
      </c>
      <c r="K26" s="88"/>
      <c r="L26" s="153">
        <f t="shared" si="1"/>
        <v>286780</v>
      </c>
      <c r="M26" s="88">
        <v>63895.528000000006</v>
      </c>
      <c r="N26" s="24">
        <f t="shared" si="2"/>
        <v>222884.47200000001</v>
      </c>
      <c r="O26" s="24"/>
      <c r="P26" s="28">
        <f t="shared" si="3"/>
        <v>12</v>
      </c>
      <c r="Q26" s="26">
        <f t="shared" si="4"/>
        <v>14339</v>
      </c>
      <c r="R26" s="24">
        <f t="shared" si="5"/>
        <v>208545.47200000001</v>
      </c>
      <c r="S26" s="24">
        <f t="shared" si="6"/>
        <v>17378.789333333334</v>
      </c>
      <c r="T26" s="24">
        <f t="shared" si="7"/>
        <v>0</v>
      </c>
      <c r="U26" s="24">
        <f t="shared" si="8"/>
        <v>222884.47200000001</v>
      </c>
      <c r="V26" s="27">
        <f t="shared" si="9"/>
        <v>205505.68266666669</v>
      </c>
      <c r="W26" s="154"/>
      <c r="X26" s="154"/>
      <c r="Y26" s="154"/>
      <c r="Z26" s="154"/>
      <c r="AA26" s="35">
        <f t="shared" si="10"/>
        <v>205505.68266666669</v>
      </c>
      <c r="AB26" s="155"/>
      <c r="AC26" s="155"/>
      <c r="AD26" s="155"/>
      <c r="AE26" s="12">
        <f>([1]Summary!$G$4-F26)/365</f>
        <v>4.0027397260273974</v>
      </c>
      <c r="AF26" s="12">
        <f t="shared" si="11"/>
        <v>10.997260273972604</v>
      </c>
      <c r="AG26" s="35">
        <f t="shared" si="12"/>
        <v>14339</v>
      </c>
      <c r="AH26" s="34">
        <f t="shared" si="13"/>
        <v>208545.47200000001</v>
      </c>
      <c r="AI26" s="35">
        <f t="shared" si="14"/>
        <v>17378.789333333334</v>
      </c>
      <c r="AJ26" s="35">
        <f t="shared" si="15"/>
        <v>188126.89333333337</v>
      </c>
      <c r="AL26" s="35">
        <f t="shared" si="16"/>
        <v>188126.89333333337</v>
      </c>
      <c r="AM26" s="155"/>
      <c r="AN26" s="155"/>
      <c r="AO26" s="155"/>
      <c r="AP26" s="12">
        <f>([1]Summary!$AL$4-F26)/365</f>
        <v>5.0054794520547947</v>
      </c>
      <c r="AQ26" s="12">
        <f t="shared" si="17"/>
        <v>9.9945205479452053</v>
      </c>
      <c r="AR26" s="35">
        <f t="shared" si="18"/>
        <v>14339</v>
      </c>
      <c r="AS26" s="34">
        <f t="shared" si="19"/>
        <v>191166.68266666669</v>
      </c>
      <c r="AT26" s="96">
        <f t="shared" si="20"/>
        <v>17378.789333333334</v>
      </c>
      <c r="AU26" s="35">
        <f t="shared" si="21"/>
        <v>170748.10400000005</v>
      </c>
      <c r="AW26" s="155">
        <f t="shared" si="22"/>
        <v>170748.10400000005</v>
      </c>
      <c r="AX26" s="155"/>
      <c r="AY26" s="155"/>
      <c r="AZ26" s="155"/>
      <c r="BA26" s="155">
        <f>([1]Summary!$AW$4-F26)/365</f>
        <v>6.0054794520547947</v>
      </c>
      <c r="BB26" s="155">
        <f t="shared" si="23"/>
        <v>8.9945205479452053</v>
      </c>
      <c r="BC26" s="155">
        <f t="shared" si="24"/>
        <v>14339</v>
      </c>
      <c r="BD26" s="155">
        <f t="shared" si="25"/>
        <v>173787.89333333337</v>
      </c>
      <c r="BE26" s="35">
        <f t="shared" si="26"/>
        <v>17378.789333333334</v>
      </c>
      <c r="BF26" s="155">
        <f t="shared" si="27"/>
        <v>153369.31466666673</v>
      </c>
      <c r="BG26" s="155"/>
      <c r="BH26" s="35">
        <f t="shared" si="28"/>
        <v>153369.31466666673</v>
      </c>
      <c r="BI26" s="155"/>
      <c r="BJ26" s="155"/>
      <c r="BK26" s="155"/>
      <c r="BL26" s="35">
        <f>([1]Summary!$BH$4-F26)/365</f>
        <v>7.0054794520547947</v>
      </c>
      <c r="BM26" s="155">
        <f t="shared" si="29"/>
        <v>7.9945205479452053</v>
      </c>
      <c r="BN26" s="155">
        <f t="shared" si="30"/>
        <v>14339</v>
      </c>
      <c r="BO26" s="35">
        <f t="shared" si="31"/>
        <v>139030.31466666673</v>
      </c>
      <c r="BP26" s="35">
        <f t="shared" si="32"/>
        <v>17378.789333333334</v>
      </c>
      <c r="BQ26" s="35">
        <f t="shared" si="33"/>
        <v>135990.52533333341</v>
      </c>
      <c r="BS26" s="132">
        <f t="shared" si="34"/>
        <v>121651.52533333341</v>
      </c>
      <c r="BT26" s="35">
        <v>135990.52533333341</v>
      </c>
      <c r="BU26" s="155"/>
      <c r="BV26" s="155"/>
      <c r="BW26" s="155"/>
      <c r="BX26" s="35">
        <f>([1]Summary!$BT$4-F26)/365</f>
        <v>8.0054794520547947</v>
      </c>
      <c r="BY26" s="96">
        <f t="shared" si="35"/>
        <v>6.9945205479452053</v>
      </c>
      <c r="BZ26" s="35">
        <f t="shared" si="36"/>
        <v>14339</v>
      </c>
      <c r="CA26" s="35">
        <f t="shared" si="37"/>
        <v>121651.52533333341</v>
      </c>
      <c r="CB26" s="35">
        <f t="shared" si="38"/>
        <v>17378.789333333334</v>
      </c>
      <c r="CC26" s="35">
        <f t="shared" si="39"/>
        <v>118611.73600000008</v>
      </c>
      <c r="CE26" s="35">
        <v>118611.73600000008</v>
      </c>
      <c r="CF26" s="155"/>
      <c r="CG26" s="155"/>
      <c r="CH26" s="155"/>
      <c r="CI26" s="35">
        <f>([1]Summary!$CE$4-F26)/365</f>
        <v>9.0082191780821912</v>
      </c>
      <c r="CJ26" s="96">
        <f t="shared" si="40"/>
        <v>5.9917808219178088</v>
      </c>
      <c r="CK26" s="35">
        <f t="shared" si="41"/>
        <v>14339</v>
      </c>
      <c r="CL26" s="35">
        <f t="shared" si="42"/>
        <v>104272.73600000008</v>
      </c>
      <c r="CM26" s="35">
        <f t="shared" si="43"/>
        <v>17378.789333333334</v>
      </c>
      <c r="CN26" s="35">
        <f t="shared" si="44"/>
        <v>101232.94666666674</v>
      </c>
      <c r="CP26" s="35">
        <f t="shared" si="45"/>
        <v>101232.94666666674</v>
      </c>
      <c r="CQ26" s="155"/>
      <c r="CR26" s="155"/>
      <c r="CS26" s="155"/>
      <c r="CT26" s="35">
        <f>([1]Summary!$CP$4-F26)/365</f>
        <v>10.008219178082191</v>
      </c>
      <c r="CU26" s="96">
        <f t="shared" si="46"/>
        <v>4.9917808219178088</v>
      </c>
      <c r="CV26" s="35">
        <f t="shared" si="47"/>
        <v>14339</v>
      </c>
      <c r="CW26" s="35">
        <f t="shared" si="48"/>
        <v>86893.946666666743</v>
      </c>
      <c r="CX26" s="35">
        <f t="shared" si="49"/>
        <v>17378.789333333334</v>
      </c>
      <c r="CY26" s="35">
        <f t="shared" si="50"/>
        <v>83854.157333333409</v>
      </c>
      <c r="DA26" s="35">
        <f t="shared" si="51"/>
        <v>83854.157333333409</v>
      </c>
      <c r="DB26" s="155"/>
      <c r="DC26" s="155"/>
      <c r="DD26" s="155"/>
      <c r="DE26" s="35">
        <f>([1]Summary!$DA$4-F26)/365</f>
        <v>11.008219178082191</v>
      </c>
      <c r="DF26" s="96">
        <f t="shared" si="52"/>
        <v>3.9917808219178088</v>
      </c>
      <c r="DG26" s="35">
        <f t="shared" si="53"/>
        <v>14339</v>
      </c>
      <c r="DH26" s="35">
        <f t="shared" si="54"/>
        <v>69515.157333333409</v>
      </c>
      <c r="DI26" s="35">
        <f t="shared" si="61"/>
        <v>17378.789333333334</v>
      </c>
      <c r="DJ26" s="35">
        <f t="shared" si="56"/>
        <v>66475.368000000075</v>
      </c>
      <c r="DL26" s="157">
        <f t="shared" si="57"/>
        <v>286780</v>
      </c>
      <c r="DM26" s="157">
        <f t="shared" si="58"/>
        <v>220304.63199999993</v>
      </c>
      <c r="DN26" s="157">
        <f t="shared" si="59"/>
        <v>66475.368000000075</v>
      </c>
      <c r="DO26" s="158">
        <f t="shared" si="60"/>
        <v>0</v>
      </c>
    </row>
    <row r="27" spans="1:119" s="156" customFormat="1" ht="24" customHeight="1" x14ac:dyDescent="0.25">
      <c r="A27" s="11" t="s">
        <v>5</v>
      </c>
      <c r="B27" s="86" t="s">
        <v>4</v>
      </c>
      <c r="C27" s="15" t="s">
        <v>474</v>
      </c>
      <c r="D27" s="150" t="s">
        <v>508</v>
      </c>
      <c r="E27" s="44" t="s">
        <v>509</v>
      </c>
      <c r="F27" s="87">
        <v>40816</v>
      </c>
      <c r="G27" s="151">
        <f>([1]Summary!$G$3-F27)/365</f>
        <v>2.5013698630136987</v>
      </c>
      <c r="H27" s="151">
        <f>VLOOKUP(C27,[2]Rates!$C$6:$D$136,2,0)</f>
        <v>15</v>
      </c>
      <c r="I27" s="152">
        <f t="shared" si="0"/>
        <v>12.498630136986302</v>
      </c>
      <c r="J27" s="88">
        <v>1134487</v>
      </c>
      <c r="K27" s="88"/>
      <c r="L27" s="153">
        <f t="shared" si="1"/>
        <v>1134487</v>
      </c>
      <c r="M27" s="88">
        <v>252536.80619999999</v>
      </c>
      <c r="N27" s="24">
        <f t="shared" si="2"/>
        <v>881950.19380000001</v>
      </c>
      <c r="O27" s="24"/>
      <c r="P27" s="28">
        <f t="shared" si="3"/>
        <v>12</v>
      </c>
      <c r="Q27" s="26">
        <f t="shared" si="4"/>
        <v>56724.350000000006</v>
      </c>
      <c r="R27" s="24">
        <f t="shared" si="5"/>
        <v>825225.84380000003</v>
      </c>
      <c r="S27" s="24">
        <f t="shared" si="6"/>
        <v>68768.820316666664</v>
      </c>
      <c r="T27" s="24">
        <f t="shared" si="7"/>
        <v>0</v>
      </c>
      <c r="U27" s="24">
        <f t="shared" si="8"/>
        <v>881950.19380000001</v>
      </c>
      <c r="V27" s="27">
        <f t="shared" si="9"/>
        <v>813181.37348333339</v>
      </c>
      <c r="W27" s="154"/>
      <c r="X27" s="154"/>
      <c r="Y27" s="154"/>
      <c r="Z27" s="154"/>
      <c r="AA27" s="35">
        <f t="shared" si="10"/>
        <v>813181.37348333339</v>
      </c>
      <c r="AB27" s="155"/>
      <c r="AC27" s="155"/>
      <c r="AD27" s="155"/>
      <c r="AE27" s="12">
        <f>([1]Summary!$G$4-F27)/365</f>
        <v>3.5013698630136987</v>
      </c>
      <c r="AF27" s="12">
        <f t="shared" si="11"/>
        <v>11.498630136986302</v>
      </c>
      <c r="AG27" s="35">
        <f t="shared" si="12"/>
        <v>56724.350000000006</v>
      </c>
      <c r="AH27" s="34">
        <f t="shared" si="13"/>
        <v>825225.84380000003</v>
      </c>
      <c r="AI27" s="35">
        <f t="shared" si="14"/>
        <v>68768.820316666664</v>
      </c>
      <c r="AJ27" s="35">
        <f t="shared" si="15"/>
        <v>744412.55316666677</v>
      </c>
      <c r="AL27" s="35">
        <f t="shared" si="16"/>
        <v>744412.55316666677</v>
      </c>
      <c r="AM27" s="155"/>
      <c r="AN27" s="155"/>
      <c r="AO27" s="155"/>
      <c r="AP27" s="12">
        <f>([1]Summary!$AL$4-F27)/365</f>
        <v>4.5041095890410956</v>
      </c>
      <c r="AQ27" s="12">
        <f t="shared" si="17"/>
        <v>10.495890410958904</v>
      </c>
      <c r="AR27" s="35">
        <f t="shared" si="18"/>
        <v>56724.350000000006</v>
      </c>
      <c r="AS27" s="34">
        <f t="shared" si="19"/>
        <v>756457.02348333341</v>
      </c>
      <c r="AT27" s="96">
        <f t="shared" si="20"/>
        <v>68768.820316666664</v>
      </c>
      <c r="AU27" s="35">
        <f t="shared" si="21"/>
        <v>675643.73285000015</v>
      </c>
      <c r="AW27" s="155">
        <f t="shared" si="22"/>
        <v>675643.73285000015</v>
      </c>
      <c r="AX27" s="155"/>
      <c r="AY27" s="155"/>
      <c r="AZ27" s="155"/>
      <c r="BA27" s="155">
        <f>([1]Summary!$AW$4-F27)/365</f>
        <v>5.5041095890410956</v>
      </c>
      <c r="BB27" s="155">
        <f t="shared" si="23"/>
        <v>9.4958904109589035</v>
      </c>
      <c r="BC27" s="155">
        <f t="shared" si="24"/>
        <v>56724.350000000006</v>
      </c>
      <c r="BD27" s="155">
        <f t="shared" si="25"/>
        <v>687688.20316666679</v>
      </c>
      <c r="BE27" s="35">
        <f t="shared" si="26"/>
        <v>68768.820316666664</v>
      </c>
      <c r="BF27" s="155">
        <f t="shared" si="27"/>
        <v>606874.91253333353</v>
      </c>
      <c r="BG27" s="155"/>
      <c r="BH27" s="35">
        <f t="shared" si="28"/>
        <v>606874.91253333353</v>
      </c>
      <c r="BI27" s="155"/>
      <c r="BJ27" s="155"/>
      <c r="BK27" s="155"/>
      <c r="BL27" s="35">
        <f>([1]Summary!$BH$4-F27)/365</f>
        <v>6.5041095890410956</v>
      </c>
      <c r="BM27" s="155">
        <f t="shared" si="29"/>
        <v>8.4958904109589035</v>
      </c>
      <c r="BN27" s="155">
        <f t="shared" si="30"/>
        <v>56724.350000000006</v>
      </c>
      <c r="BO27" s="35">
        <f t="shared" si="31"/>
        <v>550150.56253333355</v>
      </c>
      <c r="BP27" s="35">
        <f t="shared" si="32"/>
        <v>68768.820316666664</v>
      </c>
      <c r="BQ27" s="35">
        <f t="shared" si="33"/>
        <v>538106.0922166669</v>
      </c>
      <c r="BS27" s="132">
        <f t="shared" si="34"/>
        <v>481381.74221666693</v>
      </c>
      <c r="BT27" s="35">
        <v>538106.0922166669</v>
      </c>
      <c r="BU27" s="155"/>
      <c r="BV27" s="155"/>
      <c r="BW27" s="155"/>
      <c r="BX27" s="35">
        <f>([1]Summary!$BT$4-F27)/365</f>
        <v>7.5041095890410956</v>
      </c>
      <c r="BY27" s="96">
        <f t="shared" si="35"/>
        <v>7.4958904109589044</v>
      </c>
      <c r="BZ27" s="35">
        <f t="shared" si="36"/>
        <v>56724.350000000006</v>
      </c>
      <c r="CA27" s="35">
        <f t="shared" si="37"/>
        <v>481381.74221666693</v>
      </c>
      <c r="CB27" s="35">
        <f t="shared" si="38"/>
        <v>68768.820316666664</v>
      </c>
      <c r="CC27" s="35">
        <f t="shared" si="39"/>
        <v>469337.27190000023</v>
      </c>
      <c r="CE27" s="35">
        <v>469337.27190000023</v>
      </c>
      <c r="CF27" s="155"/>
      <c r="CG27" s="155"/>
      <c r="CH27" s="155"/>
      <c r="CI27" s="35">
        <f>([1]Summary!$CE$4-F27)/365</f>
        <v>8.506849315068493</v>
      </c>
      <c r="CJ27" s="96">
        <f t="shared" si="40"/>
        <v>6.493150684931507</v>
      </c>
      <c r="CK27" s="35">
        <f t="shared" si="41"/>
        <v>56724.350000000006</v>
      </c>
      <c r="CL27" s="35">
        <f t="shared" si="42"/>
        <v>412612.92190000019</v>
      </c>
      <c r="CM27" s="35">
        <f t="shared" si="43"/>
        <v>68768.820316666664</v>
      </c>
      <c r="CN27" s="35">
        <f t="shared" si="44"/>
        <v>400568.45158333355</v>
      </c>
      <c r="CP27" s="35">
        <f t="shared" si="45"/>
        <v>400568.45158333355</v>
      </c>
      <c r="CQ27" s="155"/>
      <c r="CR27" s="155"/>
      <c r="CS27" s="155"/>
      <c r="CT27" s="35">
        <f>([1]Summary!$CP$4-F27)/365</f>
        <v>9.506849315068493</v>
      </c>
      <c r="CU27" s="96">
        <f t="shared" si="46"/>
        <v>5.493150684931507</v>
      </c>
      <c r="CV27" s="35">
        <f t="shared" si="47"/>
        <v>56724.350000000006</v>
      </c>
      <c r="CW27" s="35">
        <f t="shared" si="48"/>
        <v>343844.10158333357</v>
      </c>
      <c r="CX27" s="35">
        <f t="shared" si="49"/>
        <v>68768.820316666664</v>
      </c>
      <c r="CY27" s="35">
        <f t="shared" si="50"/>
        <v>331799.63126666687</v>
      </c>
      <c r="DA27" s="35">
        <f t="shared" si="51"/>
        <v>331799.63126666687</v>
      </c>
      <c r="DB27" s="155"/>
      <c r="DC27" s="155"/>
      <c r="DD27" s="155"/>
      <c r="DE27" s="35">
        <f>([1]Summary!$DA$4-F27)/365</f>
        <v>10.506849315068493</v>
      </c>
      <c r="DF27" s="96">
        <f t="shared" si="52"/>
        <v>4.493150684931507</v>
      </c>
      <c r="DG27" s="35">
        <f t="shared" si="53"/>
        <v>56724.350000000006</v>
      </c>
      <c r="DH27" s="35">
        <f t="shared" si="54"/>
        <v>275075.28126666683</v>
      </c>
      <c r="DI27" s="35">
        <f t="shared" si="61"/>
        <v>68768.820316666664</v>
      </c>
      <c r="DJ27" s="35">
        <f t="shared" si="56"/>
        <v>263030.81095000019</v>
      </c>
      <c r="DL27" s="157">
        <f t="shared" si="57"/>
        <v>1134487</v>
      </c>
      <c r="DM27" s="157">
        <f t="shared" si="58"/>
        <v>871456.18904999981</v>
      </c>
      <c r="DN27" s="157">
        <f t="shared" si="59"/>
        <v>263030.81095000019</v>
      </c>
      <c r="DO27" s="158">
        <f t="shared" si="60"/>
        <v>0</v>
      </c>
    </row>
    <row r="28" spans="1:119" s="156" customFormat="1" ht="24" customHeight="1" x14ac:dyDescent="0.25">
      <c r="A28" s="11" t="s">
        <v>5</v>
      </c>
      <c r="B28" s="86" t="s">
        <v>4</v>
      </c>
      <c r="C28" s="15" t="s">
        <v>474</v>
      </c>
      <c r="D28" s="150" t="s">
        <v>510</v>
      </c>
      <c r="E28" s="44" t="s">
        <v>511</v>
      </c>
      <c r="F28" s="87">
        <v>41176</v>
      </c>
      <c r="G28" s="151">
        <f>([1]Summary!$G$3-F28)/365</f>
        <v>1.515068493150685</v>
      </c>
      <c r="H28" s="151">
        <f>VLOOKUP(C28,[2]Rates!$C$6:$D$136,2,0)</f>
        <v>15</v>
      </c>
      <c r="I28" s="152">
        <f t="shared" si="0"/>
        <v>13.484931506849314</v>
      </c>
      <c r="J28" s="88">
        <v>153600</v>
      </c>
      <c r="K28" s="88"/>
      <c r="L28" s="153">
        <f t="shared" si="1"/>
        <v>153600</v>
      </c>
      <c r="M28" s="88">
        <v>22981.120000000003</v>
      </c>
      <c r="N28" s="24">
        <f t="shared" si="2"/>
        <v>130618.88</v>
      </c>
      <c r="O28" s="24"/>
      <c r="P28" s="28">
        <f t="shared" si="3"/>
        <v>13</v>
      </c>
      <c r="Q28" s="26">
        <f t="shared" si="4"/>
        <v>7680</v>
      </c>
      <c r="R28" s="24">
        <f t="shared" si="5"/>
        <v>122938.88</v>
      </c>
      <c r="S28" s="24">
        <f t="shared" si="6"/>
        <v>9456.836923076924</v>
      </c>
      <c r="T28" s="24">
        <f t="shared" si="7"/>
        <v>0</v>
      </c>
      <c r="U28" s="24">
        <f t="shared" si="8"/>
        <v>130618.88</v>
      </c>
      <c r="V28" s="27">
        <f t="shared" si="9"/>
        <v>121162.04307692309</v>
      </c>
      <c r="W28" s="154"/>
      <c r="X28" s="154"/>
      <c r="Y28" s="154"/>
      <c r="Z28" s="154"/>
      <c r="AA28" s="35">
        <f t="shared" si="10"/>
        <v>121162.04307692309</v>
      </c>
      <c r="AB28" s="155"/>
      <c r="AC28" s="155"/>
      <c r="AD28" s="155"/>
      <c r="AE28" s="12">
        <f>([1]Summary!$G$4-F28)/365</f>
        <v>2.515068493150685</v>
      </c>
      <c r="AF28" s="12">
        <f t="shared" si="11"/>
        <v>12.484931506849314</v>
      </c>
      <c r="AG28" s="35">
        <f t="shared" si="12"/>
        <v>7680</v>
      </c>
      <c r="AH28" s="34">
        <f t="shared" si="13"/>
        <v>122938.88</v>
      </c>
      <c r="AI28" s="35">
        <f t="shared" si="14"/>
        <v>9456.836923076924</v>
      </c>
      <c r="AJ28" s="35">
        <f t="shared" si="15"/>
        <v>111705.20615384617</v>
      </c>
      <c r="AL28" s="35">
        <f t="shared" si="16"/>
        <v>111705.20615384617</v>
      </c>
      <c r="AM28" s="155"/>
      <c r="AN28" s="155"/>
      <c r="AO28" s="155"/>
      <c r="AP28" s="12">
        <f>([1]Summary!$AL$4-F28)/365</f>
        <v>3.5178082191780824</v>
      </c>
      <c r="AQ28" s="12">
        <f t="shared" si="17"/>
        <v>11.482191780821918</v>
      </c>
      <c r="AR28" s="35">
        <f t="shared" si="18"/>
        <v>7680</v>
      </c>
      <c r="AS28" s="34">
        <f t="shared" si="19"/>
        <v>113482.04307692309</v>
      </c>
      <c r="AT28" s="96">
        <f t="shared" si="20"/>
        <v>9456.836923076924</v>
      </c>
      <c r="AU28" s="35">
        <f t="shared" si="21"/>
        <v>102248.36923076925</v>
      </c>
      <c r="AW28" s="155">
        <f t="shared" si="22"/>
        <v>102248.36923076925</v>
      </c>
      <c r="AX28" s="155"/>
      <c r="AY28" s="155"/>
      <c r="AZ28" s="155"/>
      <c r="BA28" s="155">
        <f>([1]Summary!$AW$4-F28)/365</f>
        <v>4.5178082191780824</v>
      </c>
      <c r="BB28" s="155">
        <f t="shared" si="23"/>
        <v>10.482191780821918</v>
      </c>
      <c r="BC28" s="155">
        <f t="shared" si="24"/>
        <v>7680</v>
      </c>
      <c r="BD28" s="155">
        <f t="shared" si="25"/>
        <v>104025.20615384617</v>
      </c>
      <c r="BE28" s="35">
        <f t="shared" si="26"/>
        <v>9456.836923076924</v>
      </c>
      <c r="BF28" s="155">
        <f t="shared" si="27"/>
        <v>92791.532307692338</v>
      </c>
      <c r="BG28" s="155"/>
      <c r="BH28" s="35">
        <f t="shared" si="28"/>
        <v>92791.532307692338</v>
      </c>
      <c r="BI28" s="155"/>
      <c r="BJ28" s="155"/>
      <c r="BK28" s="155"/>
      <c r="BL28" s="35">
        <f>([1]Summary!$BH$4-F28)/365</f>
        <v>5.5178082191780824</v>
      </c>
      <c r="BM28" s="155">
        <f t="shared" si="29"/>
        <v>9.4821917808219176</v>
      </c>
      <c r="BN28" s="155">
        <f t="shared" si="30"/>
        <v>7680</v>
      </c>
      <c r="BO28" s="35">
        <f t="shared" si="31"/>
        <v>85111.532307692338</v>
      </c>
      <c r="BP28" s="35">
        <f t="shared" si="32"/>
        <v>9456.836923076924</v>
      </c>
      <c r="BQ28" s="35">
        <f t="shared" si="33"/>
        <v>83334.695384615421</v>
      </c>
      <c r="BS28" s="132">
        <f t="shared" si="34"/>
        <v>75654.695384615421</v>
      </c>
      <c r="BT28" s="35">
        <v>83334.695384615421</v>
      </c>
      <c r="BU28" s="155"/>
      <c r="BV28" s="155"/>
      <c r="BW28" s="155"/>
      <c r="BX28" s="35">
        <f>([1]Summary!$BT$4-F28)/365</f>
        <v>6.5178082191780824</v>
      </c>
      <c r="BY28" s="96">
        <f t="shared" si="35"/>
        <v>8.4821917808219176</v>
      </c>
      <c r="BZ28" s="35">
        <f t="shared" si="36"/>
        <v>7680</v>
      </c>
      <c r="CA28" s="35">
        <f t="shared" si="37"/>
        <v>75654.695384615421</v>
      </c>
      <c r="CB28" s="35">
        <f t="shared" si="38"/>
        <v>9456.836923076924</v>
      </c>
      <c r="CC28" s="35">
        <f t="shared" si="39"/>
        <v>73877.858461538504</v>
      </c>
      <c r="CE28" s="35">
        <v>73877.858461538504</v>
      </c>
      <c r="CF28" s="155"/>
      <c r="CG28" s="155"/>
      <c r="CH28" s="155"/>
      <c r="CI28" s="35">
        <f>([1]Summary!$CE$4-F28)/365</f>
        <v>7.5205479452054798</v>
      </c>
      <c r="CJ28" s="96">
        <f t="shared" si="40"/>
        <v>7.4794520547945202</v>
      </c>
      <c r="CK28" s="35">
        <f t="shared" si="41"/>
        <v>7680</v>
      </c>
      <c r="CL28" s="35">
        <f t="shared" si="42"/>
        <v>66197.858461538504</v>
      </c>
      <c r="CM28" s="35">
        <f t="shared" si="43"/>
        <v>9456.836923076924</v>
      </c>
      <c r="CN28" s="35">
        <f t="shared" si="44"/>
        <v>64421.02153846158</v>
      </c>
      <c r="CP28" s="35">
        <f t="shared" si="45"/>
        <v>64421.02153846158</v>
      </c>
      <c r="CQ28" s="155"/>
      <c r="CR28" s="155"/>
      <c r="CS28" s="155"/>
      <c r="CT28" s="35">
        <f>([1]Summary!$CP$4-F28)/365</f>
        <v>8.5205479452054789</v>
      </c>
      <c r="CU28" s="96">
        <f t="shared" si="46"/>
        <v>6.4794520547945211</v>
      </c>
      <c r="CV28" s="35">
        <f t="shared" si="47"/>
        <v>7680</v>
      </c>
      <c r="CW28" s="35">
        <f t="shared" si="48"/>
        <v>56741.02153846158</v>
      </c>
      <c r="CX28" s="35">
        <f t="shared" si="49"/>
        <v>9456.836923076924</v>
      </c>
      <c r="CY28" s="35">
        <f t="shared" si="50"/>
        <v>54964.184615384656</v>
      </c>
      <c r="DA28" s="35">
        <f t="shared" si="51"/>
        <v>54964.184615384656</v>
      </c>
      <c r="DB28" s="155"/>
      <c r="DC28" s="155"/>
      <c r="DD28" s="155"/>
      <c r="DE28" s="35">
        <f>([1]Summary!$DA$4-F28)/365</f>
        <v>9.5205479452054789</v>
      </c>
      <c r="DF28" s="96">
        <f t="shared" si="52"/>
        <v>5.4794520547945211</v>
      </c>
      <c r="DG28" s="35">
        <f t="shared" si="53"/>
        <v>7680</v>
      </c>
      <c r="DH28" s="35">
        <f t="shared" si="54"/>
        <v>47284.184615384656</v>
      </c>
      <c r="DI28" s="35">
        <f t="shared" si="61"/>
        <v>9456.836923076924</v>
      </c>
      <c r="DJ28" s="35">
        <f t="shared" si="56"/>
        <v>45507.347692307732</v>
      </c>
      <c r="DL28" s="157">
        <f t="shared" si="57"/>
        <v>153600</v>
      </c>
      <c r="DM28" s="157">
        <f t="shared" si="58"/>
        <v>108092.6523076923</v>
      </c>
      <c r="DN28" s="157">
        <f t="shared" si="59"/>
        <v>45507.347692307696</v>
      </c>
      <c r="DO28" s="158">
        <f t="shared" si="60"/>
        <v>0</v>
      </c>
    </row>
    <row r="29" spans="1:119" s="156" customFormat="1" ht="24" customHeight="1" x14ac:dyDescent="0.25">
      <c r="A29" s="11" t="s">
        <v>5</v>
      </c>
      <c r="B29" s="86" t="s">
        <v>4</v>
      </c>
      <c r="C29" s="15" t="s">
        <v>474</v>
      </c>
      <c r="D29" s="150" t="s">
        <v>512</v>
      </c>
      <c r="E29" s="44" t="s">
        <v>513</v>
      </c>
      <c r="F29" s="87">
        <v>41364</v>
      </c>
      <c r="G29" s="151">
        <f>([1]Summary!$G$3-F29)/365</f>
        <v>1</v>
      </c>
      <c r="H29" s="151">
        <f>VLOOKUP(C29,[2]Rates!$C$6:$D$136,2,0)</f>
        <v>15</v>
      </c>
      <c r="I29" s="152">
        <f t="shared" si="0"/>
        <v>14</v>
      </c>
      <c r="J29" s="88">
        <v>1073596</v>
      </c>
      <c r="K29" s="88"/>
      <c r="L29" s="153">
        <f t="shared" si="1"/>
        <v>1073596</v>
      </c>
      <c r="M29" s="88">
        <v>79882.823199999999</v>
      </c>
      <c r="N29" s="24">
        <f t="shared" si="2"/>
        <v>993713.17680000002</v>
      </c>
      <c r="O29" s="24"/>
      <c r="P29" s="28">
        <f t="shared" si="3"/>
        <v>14</v>
      </c>
      <c r="Q29" s="26">
        <f t="shared" si="4"/>
        <v>53679.8</v>
      </c>
      <c r="R29" s="24">
        <f t="shared" si="5"/>
        <v>940033.37679999997</v>
      </c>
      <c r="S29" s="24">
        <f t="shared" si="6"/>
        <v>67145.241200000004</v>
      </c>
      <c r="T29" s="24">
        <f t="shared" si="7"/>
        <v>0</v>
      </c>
      <c r="U29" s="24">
        <f t="shared" si="8"/>
        <v>993713.17680000002</v>
      </c>
      <c r="V29" s="27">
        <f t="shared" si="9"/>
        <v>926567.93559999997</v>
      </c>
      <c r="W29" s="154"/>
      <c r="X29" s="154"/>
      <c r="Y29" s="154"/>
      <c r="Z29" s="154"/>
      <c r="AA29" s="35">
        <f t="shared" si="10"/>
        <v>926567.93559999997</v>
      </c>
      <c r="AB29" s="155"/>
      <c r="AC29" s="155"/>
      <c r="AD29" s="155"/>
      <c r="AE29" s="12">
        <f>([1]Summary!$G$4-F29)/365</f>
        <v>2</v>
      </c>
      <c r="AF29" s="12">
        <f t="shared" si="11"/>
        <v>13</v>
      </c>
      <c r="AG29" s="35">
        <f t="shared" si="12"/>
        <v>53679.8</v>
      </c>
      <c r="AH29" s="34">
        <f t="shared" si="13"/>
        <v>940033.37679999997</v>
      </c>
      <c r="AI29" s="35">
        <f t="shared" si="14"/>
        <v>67145.241200000004</v>
      </c>
      <c r="AJ29" s="35">
        <f t="shared" si="15"/>
        <v>859422.69439999992</v>
      </c>
      <c r="AL29" s="35">
        <f t="shared" si="16"/>
        <v>859422.69439999992</v>
      </c>
      <c r="AM29" s="155"/>
      <c r="AN29" s="155"/>
      <c r="AO29" s="155"/>
      <c r="AP29" s="12">
        <f>([1]Summary!$AL$4-F29)/365</f>
        <v>3.0027397260273974</v>
      </c>
      <c r="AQ29" s="12">
        <f t="shared" si="17"/>
        <v>11.997260273972604</v>
      </c>
      <c r="AR29" s="35">
        <f t="shared" si="18"/>
        <v>53679.8</v>
      </c>
      <c r="AS29" s="34">
        <f t="shared" si="19"/>
        <v>872888.13559999992</v>
      </c>
      <c r="AT29" s="96">
        <f t="shared" si="20"/>
        <v>67145.241200000004</v>
      </c>
      <c r="AU29" s="35">
        <f t="shared" si="21"/>
        <v>792277.45319999987</v>
      </c>
      <c r="AW29" s="155">
        <f t="shared" si="22"/>
        <v>792277.45319999987</v>
      </c>
      <c r="AX29" s="155"/>
      <c r="AY29" s="155"/>
      <c r="AZ29" s="155"/>
      <c r="BA29" s="155">
        <f>([1]Summary!$AW$4-F29)/365</f>
        <v>4.0027397260273974</v>
      </c>
      <c r="BB29" s="155">
        <f t="shared" si="23"/>
        <v>10.997260273972604</v>
      </c>
      <c r="BC29" s="155">
        <f t="shared" si="24"/>
        <v>53679.8</v>
      </c>
      <c r="BD29" s="155">
        <f t="shared" si="25"/>
        <v>805742.89439999987</v>
      </c>
      <c r="BE29" s="35">
        <f t="shared" si="26"/>
        <v>67145.241200000004</v>
      </c>
      <c r="BF29" s="155">
        <f t="shared" si="27"/>
        <v>725132.21199999982</v>
      </c>
      <c r="BG29" s="155"/>
      <c r="BH29" s="35">
        <f t="shared" si="28"/>
        <v>725132.21199999982</v>
      </c>
      <c r="BI29" s="155"/>
      <c r="BJ29" s="155"/>
      <c r="BK29" s="155"/>
      <c r="BL29" s="35">
        <f>([1]Summary!$BH$4-F29)/365</f>
        <v>5.0027397260273974</v>
      </c>
      <c r="BM29" s="155">
        <f t="shared" si="29"/>
        <v>9.9972602739726035</v>
      </c>
      <c r="BN29" s="155">
        <f t="shared" si="30"/>
        <v>53679.8</v>
      </c>
      <c r="BO29" s="35">
        <f t="shared" si="31"/>
        <v>671452.41199999978</v>
      </c>
      <c r="BP29" s="35">
        <f t="shared" si="32"/>
        <v>67145.241200000004</v>
      </c>
      <c r="BQ29" s="35">
        <f t="shared" si="33"/>
        <v>657986.97079999978</v>
      </c>
      <c r="BS29" s="132">
        <f t="shared" si="34"/>
        <v>604307.17079999973</v>
      </c>
      <c r="BT29" s="35">
        <v>657986.97079999978</v>
      </c>
      <c r="BU29" s="155"/>
      <c r="BV29" s="155"/>
      <c r="BW29" s="155"/>
      <c r="BX29" s="35">
        <f>([1]Summary!$BT$4-F29)/365</f>
        <v>6.0027397260273974</v>
      </c>
      <c r="BY29" s="96">
        <f t="shared" si="35"/>
        <v>8.9972602739726035</v>
      </c>
      <c r="BZ29" s="35">
        <f t="shared" si="36"/>
        <v>53679.8</v>
      </c>
      <c r="CA29" s="35">
        <f t="shared" si="37"/>
        <v>604307.17079999973</v>
      </c>
      <c r="CB29" s="35">
        <f t="shared" si="38"/>
        <v>67145.241200000004</v>
      </c>
      <c r="CC29" s="35">
        <f t="shared" si="39"/>
        <v>590841.72959999973</v>
      </c>
      <c r="CE29" s="35">
        <v>590841.72959999973</v>
      </c>
      <c r="CF29" s="155"/>
      <c r="CG29" s="155"/>
      <c r="CH29" s="155"/>
      <c r="CI29" s="35">
        <f>([1]Summary!$CE$4-F29)/365</f>
        <v>7.0054794520547947</v>
      </c>
      <c r="CJ29" s="96">
        <f t="shared" si="40"/>
        <v>7.9945205479452053</v>
      </c>
      <c r="CK29" s="35">
        <f t="shared" si="41"/>
        <v>53679.8</v>
      </c>
      <c r="CL29" s="35">
        <f t="shared" si="42"/>
        <v>537161.92959999968</v>
      </c>
      <c r="CM29" s="35">
        <f t="shared" si="43"/>
        <v>67145.241200000004</v>
      </c>
      <c r="CN29" s="35">
        <f t="shared" si="44"/>
        <v>523696.48839999974</v>
      </c>
      <c r="CP29" s="35">
        <f t="shared" si="45"/>
        <v>523696.48839999974</v>
      </c>
      <c r="CQ29" s="155"/>
      <c r="CR29" s="155"/>
      <c r="CS29" s="155"/>
      <c r="CT29" s="35">
        <f>([1]Summary!$CP$4-F29)/365</f>
        <v>8.0054794520547947</v>
      </c>
      <c r="CU29" s="96">
        <f t="shared" si="46"/>
        <v>6.9945205479452053</v>
      </c>
      <c r="CV29" s="35">
        <f t="shared" si="47"/>
        <v>53679.8</v>
      </c>
      <c r="CW29" s="35">
        <f t="shared" si="48"/>
        <v>470016.68839999975</v>
      </c>
      <c r="CX29" s="35">
        <f t="shared" si="49"/>
        <v>67145.241200000004</v>
      </c>
      <c r="CY29" s="35">
        <f t="shared" si="50"/>
        <v>456551.24719999975</v>
      </c>
      <c r="DA29" s="35">
        <f t="shared" si="51"/>
        <v>456551.24719999975</v>
      </c>
      <c r="DB29" s="155"/>
      <c r="DC29" s="155"/>
      <c r="DD29" s="155"/>
      <c r="DE29" s="35">
        <f>([1]Summary!$DA$4-F29)/365</f>
        <v>9.0054794520547947</v>
      </c>
      <c r="DF29" s="96">
        <f t="shared" si="52"/>
        <v>5.9945205479452053</v>
      </c>
      <c r="DG29" s="35">
        <f t="shared" si="53"/>
        <v>53679.8</v>
      </c>
      <c r="DH29" s="35">
        <f t="shared" si="54"/>
        <v>402871.44719999976</v>
      </c>
      <c r="DI29" s="35">
        <f t="shared" si="61"/>
        <v>67145.241200000004</v>
      </c>
      <c r="DJ29" s="35">
        <f t="shared" si="56"/>
        <v>389406.00599999976</v>
      </c>
      <c r="DL29" s="157">
        <f t="shared" si="57"/>
        <v>1073596</v>
      </c>
      <c r="DM29" s="157">
        <f t="shared" si="58"/>
        <v>684189.99400000006</v>
      </c>
      <c r="DN29" s="157">
        <f t="shared" si="59"/>
        <v>389406.00599999994</v>
      </c>
      <c r="DO29" s="158">
        <f t="shared" si="60"/>
        <v>0</v>
      </c>
    </row>
    <row r="30" spans="1:119" s="156" customFormat="1" ht="24" customHeight="1" x14ac:dyDescent="0.25">
      <c r="A30" s="11" t="s">
        <v>5</v>
      </c>
      <c r="B30" s="86" t="s">
        <v>4</v>
      </c>
      <c r="C30" s="15" t="s">
        <v>474</v>
      </c>
      <c r="D30" s="150" t="s">
        <v>514</v>
      </c>
      <c r="E30" s="44" t="s">
        <v>515</v>
      </c>
      <c r="F30" s="87">
        <v>42521</v>
      </c>
      <c r="G30" s="151"/>
      <c r="H30" s="151">
        <f>VLOOKUP(C30,[2]Rates!$C$6:$D$136,2,0)</f>
        <v>15</v>
      </c>
      <c r="I30" s="152">
        <f t="shared" si="0"/>
        <v>15</v>
      </c>
      <c r="J30" s="88"/>
      <c r="K30" s="88"/>
      <c r="L30" s="153"/>
      <c r="M30" s="88"/>
      <c r="N30" s="24"/>
      <c r="O30" s="24"/>
      <c r="P30" s="28"/>
      <c r="Q30" s="26"/>
      <c r="R30" s="24"/>
      <c r="S30" s="24"/>
      <c r="T30" s="24"/>
      <c r="U30" s="24"/>
      <c r="V30" s="27"/>
      <c r="W30" s="154"/>
      <c r="X30" s="154"/>
      <c r="Y30" s="154"/>
      <c r="Z30" s="154"/>
      <c r="AA30" s="35"/>
      <c r="AB30" s="155"/>
      <c r="AC30" s="155"/>
      <c r="AD30" s="155"/>
      <c r="AE30" s="12">
        <f>([1]Summary!$G$4-F30)/365</f>
        <v>-1.1698630136986301</v>
      </c>
      <c r="AF30" s="12"/>
      <c r="AG30" s="35"/>
      <c r="AH30" s="34"/>
      <c r="AI30" s="35"/>
      <c r="AJ30" s="35"/>
      <c r="AL30" s="35"/>
      <c r="AM30" s="155">
        <f>2080000+45000</f>
        <v>2125000</v>
      </c>
      <c r="AN30" s="155"/>
      <c r="AO30" s="155">
        <f>+[1]Summary!$AN$1-F30+1</f>
        <v>305</v>
      </c>
      <c r="AP30" s="12">
        <v>0</v>
      </c>
      <c r="AQ30" s="12">
        <f t="shared" si="17"/>
        <v>15</v>
      </c>
      <c r="AR30" s="159">
        <f>+AM30*5%</f>
        <v>106250</v>
      </c>
      <c r="AS30" s="160">
        <f>IF(AM30-AR30&lt;=0,0,IF(AQ30&lt;=0,0,AM30-AR30))</f>
        <v>2018750</v>
      </c>
      <c r="AT30" s="35">
        <f>+AS30/AQ30*AO30/365</f>
        <v>112460.04566210047</v>
      </c>
      <c r="AU30" s="35">
        <f t="shared" si="21"/>
        <v>2012539.9543378996</v>
      </c>
      <c r="AW30" s="155">
        <f t="shared" si="22"/>
        <v>2012539.9543378996</v>
      </c>
      <c r="AX30" s="155"/>
      <c r="AY30" s="155"/>
      <c r="AZ30" s="155"/>
      <c r="BA30" s="155">
        <f>([1]Summary!$AW$4-F30)/365</f>
        <v>0.83287671232876714</v>
      </c>
      <c r="BB30" s="155">
        <f t="shared" si="23"/>
        <v>14.167123287671233</v>
      </c>
      <c r="BC30" s="155">
        <f t="shared" si="24"/>
        <v>106250</v>
      </c>
      <c r="BD30" s="160">
        <f>IF(AW30-BC30&lt;=0,0,IF(BB30&lt;=0,0,AW30-BC30))</f>
        <v>1906289.9543378996</v>
      </c>
      <c r="BE30" s="155">
        <f>+BD30/BB30</f>
        <v>134557.30677496293</v>
      </c>
      <c r="BF30" s="155">
        <f t="shared" si="27"/>
        <v>1877982.6475629366</v>
      </c>
      <c r="BG30" s="155"/>
      <c r="BH30" s="35">
        <f t="shared" si="28"/>
        <v>1877982.6475629366</v>
      </c>
      <c r="BI30" s="155"/>
      <c r="BJ30" s="155"/>
      <c r="BK30" s="155"/>
      <c r="BL30" s="35">
        <f>([1]Summary!$BH$4-F30)/365</f>
        <v>1.832876712328767</v>
      </c>
      <c r="BM30" s="155">
        <f t="shared" si="29"/>
        <v>13.167123287671233</v>
      </c>
      <c r="BN30" s="155">
        <f t="shared" si="30"/>
        <v>106250</v>
      </c>
      <c r="BO30" s="35">
        <f t="shared" si="31"/>
        <v>1771732.6475629366</v>
      </c>
      <c r="BP30" s="35">
        <f t="shared" si="32"/>
        <v>134557.30677496293</v>
      </c>
      <c r="BQ30" s="35">
        <f t="shared" si="33"/>
        <v>1743425.3407879737</v>
      </c>
      <c r="BS30" s="132">
        <f t="shared" si="34"/>
        <v>1637175.3407879737</v>
      </c>
      <c r="BT30" s="35">
        <v>1743425.3407879737</v>
      </c>
      <c r="BU30" s="155"/>
      <c r="BV30" s="155"/>
      <c r="BW30" s="155"/>
      <c r="BX30" s="35">
        <f>([1]Summary!$BT$4-F30)/365</f>
        <v>2.8328767123287673</v>
      </c>
      <c r="BY30" s="96">
        <f t="shared" si="35"/>
        <v>12.167123287671233</v>
      </c>
      <c r="BZ30" s="35">
        <f t="shared" si="36"/>
        <v>106250</v>
      </c>
      <c r="CA30" s="35">
        <f t="shared" si="37"/>
        <v>1637175.3407879737</v>
      </c>
      <c r="CB30" s="35">
        <f t="shared" si="38"/>
        <v>134557.30677496293</v>
      </c>
      <c r="CC30" s="35">
        <f t="shared" si="39"/>
        <v>1608868.0340130108</v>
      </c>
      <c r="CE30" s="35">
        <v>1608868.0340130108</v>
      </c>
      <c r="CF30" s="155"/>
      <c r="CG30" s="155"/>
      <c r="CH30" s="155"/>
      <c r="CI30" s="35">
        <f>([1]Summary!$CE$4-F30)/365</f>
        <v>3.8356164383561642</v>
      </c>
      <c r="CJ30" s="96">
        <f t="shared" si="40"/>
        <v>11.164383561643836</v>
      </c>
      <c r="CK30" s="35">
        <f t="shared" si="41"/>
        <v>106250</v>
      </c>
      <c r="CL30" s="35">
        <f t="shared" si="42"/>
        <v>1502618.0340130108</v>
      </c>
      <c r="CM30" s="35">
        <f t="shared" si="43"/>
        <v>134557.30677496293</v>
      </c>
      <c r="CN30" s="35">
        <f t="shared" si="44"/>
        <v>1474310.7272380479</v>
      </c>
      <c r="CP30" s="35">
        <f t="shared" si="45"/>
        <v>1474310.7272380479</v>
      </c>
      <c r="CQ30" s="155"/>
      <c r="CR30" s="155"/>
      <c r="CS30" s="155"/>
      <c r="CT30" s="35">
        <f>([1]Summary!$CP$4-F30)/365</f>
        <v>4.8356164383561646</v>
      </c>
      <c r="CU30" s="96">
        <f t="shared" si="46"/>
        <v>10.164383561643834</v>
      </c>
      <c r="CV30" s="35">
        <f t="shared" si="47"/>
        <v>106250</v>
      </c>
      <c r="CW30" s="35">
        <f t="shared" si="48"/>
        <v>1368060.7272380479</v>
      </c>
      <c r="CX30" s="35">
        <f t="shared" si="49"/>
        <v>134557.30677496293</v>
      </c>
      <c r="CY30" s="35">
        <f t="shared" si="50"/>
        <v>1339753.4204630849</v>
      </c>
      <c r="DA30" s="35">
        <f t="shared" si="51"/>
        <v>1339753.4204630849</v>
      </c>
      <c r="DB30" s="155"/>
      <c r="DC30" s="155"/>
      <c r="DD30" s="155"/>
      <c r="DE30" s="35">
        <f>([1]Summary!$DA$4-F30)/365</f>
        <v>5.8356164383561646</v>
      </c>
      <c r="DF30" s="96">
        <f t="shared" si="52"/>
        <v>9.1643835616438345</v>
      </c>
      <c r="DG30" s="35">
        <f t="shared" si="53"/>
        <v>106250</v>
      </c>
      <c r="DH30" s="35">
        <f t="shared" si="54"/>
        <v>1233503.4204630849</v>
      </c>
      <c r="DI30" s="35">
        <f t="shared" si="61"/>
        <v>134557.30677496293</v>
      </c>
      <c r="DJ30" s="35">
        <f t="shared" si="56"/>
        <v>1205196.113688122</v>
      </c>
      <c r="DL30" s="157">
        <f t="shared" si="57"/>
        <v>2125000</v>
      </c>
      <c r="DM30" s="157">
        <f t="shared" si="58"/>
        <v>919803.88631187798</v>
      </c>
      <c r="DN30" s="157">
        <f t="shared" si="59"/>
        <v>1205196.113688122</v>
      </c>
      <c r="DO30" s="158">
        <f t="shared" si="60"/>
        <v>0</v>
      </c>
    </row>
    <row r="31" spans="1:119" s="156" customFormat="1" ht="24" customHeight="1" x14ac:dyDescent="0.25">
      <c r="A31" s="11" t="s">
        <v>5</v>
      </c>
      <c r="B31" s="86" t="s">
        <v>4</v>
      </c>
      <c r="C31" s="15" t="s">
        <v>474</v>
      </c>
      <c r="D31" s="150" t="s">
        <v>516</v>
      </c>
      <c r="E31" s="44" t="s">
        <v>517</v>
      </c>
      <c r="F31" s="87">
        <v>44932</v>
      </c>
      <c r="G31" s="151"/>
      <c r="H31" s="151">
        <v>10</v>
      </c>
      <c r="I31" s="152">
        <f t="shared" si="0"/>
        <v>10</v>
      </c>
      <c r="J31" s="88"/>
      <c r="K31" s="88"/>
      <c r="L31" s="153"/>
      <c r="M31" s="88"/>
      <c r="N31" s="24"/>
      <c r="O31" s="24"/>
      <c r="P31" s="28"/>
      <c r="Q31" s="26"/>
      <c r="R31" s="24"/>
      <c r="S31" s="24"/>
      <c r="T31" s="24"/>
      <c r="U31" s="24"/>
      <c r="V31" s="27"/>
      <c r="W31" s="154"/>
      <c r="X31" s="154"/>
      <c r="Y31" s="154"/>
      <c r="Z31" s="154"/>
      <c r="AA31" s="35"/>
      <c r="AB31" s="155"/>
      <c r="AC31" s="155"/>
      <c r="AD31" s="155"/>
      <c r="AE31" s="12"/>
      <c r="AF31" s="12"/>
      <c r="AG31" s="35"/>
      <c r="AH31" s="34"/>
      <c r="AI31" s="35"/>
      <c r="AJ31" s="35"/>
      <c r="AL31" s="35"/>
      <c r="AM31" s="155"/>
      <c r="AN31" s="155"/>
      <c r="AO31" s="155"/>
      <c r="AP31" s="12"/>
      <c r="AQ31" s="12"/>
      <c r="AR31" s="159"/>
      <c r="AS31" s="160"/>
      <c r="AT31" s="35"/>
      <c r="AU31" s="35"/>
      <c r="AW31" s="155"/>
      <c r="AX31" s="155"/>
      <c r="AY31" s="155"/>
      <c r="AZ31" s="155"/>
      <c r="BA31" s="155"/>
      <c r="BB31" s="155"/>
      <c r="BC31" s="155"/>
      <c r="BD31" s="160"/>
      <c r="BE31" s="155"/>
      <c r="BF31" s="155"/>
      <c r="BG31" s="155"/>
      <c r="BH31" s="35"/>
      <c r="BI31" s="155"/>
      <c r="BJ31" s="155"/>
      <c r="BK31" s="155"/>
      <c r="BL31" s="35"/>
      <c r="BM31" s="155"/>
      <c r="BN31" s="155"/>
      <c r="BO31" s="35"/>
      <c r="BP31" s="35"/>
      <c r="BQ31" s="35"/>
      <c r="BS31" s="132"/>
      <c r="BT31" s="35"/>
      <c r="BU31" s="155"/>
      <c r="BV31" s="155"/>
      <c r="BW31" s="155"/>
      <c r="BX31" s="35"/>
      <c r="BY31" s="96"/>
      <c r="BZ31" s="35"/>
      <c r="CA31" s="35"/>
      <c r="CB31" s="35"/>
      <c r="CC31" s="35"/>
      <c r="CE31" s="35"/>
      <c r="CF31" s="155"/>
      <c r="CG31" s="155"/>
      <c r="CH31" s="155"/>
      <c r="CI31" s="35"/>
      <c r="CJ31" s="96"/>
      <c r="CK31" s="35"/>
      <c r="CL31" s="35"/>
      <c r="CM31" s="35"/>
      <c r="CN31" s="35"/>
      <c r="CP31" s="35"/>
      <c r="CQ31" s="155"/>
      <c r="CR31" s="155"/>
      <c r="CS31" s="155"/>
      <c r="CT31" s="35"/>
      <c r="CU31" s="96"/>
      <c r="CV31" s="35"/>
      <c r="CW31" s="35"/>
      <c r="CX31" s="35"/>
      <c r="CY31" s="35"/>
      <c r="DA31" s="35"/>
      <c r="DB31" s="155">
        <v>630000</v>
      </c>
      <c r="DC31" s="35"/>
      <c r="DD31" s="35">
        <f>[1]Summary!$DC$1-F31+1</f>
        <v>85</v>
      </c>
      <c r="DE31" s="35"/>
      <c r="DF31" s="96">
        <f t="shared" si="52"/>
        <v>10</v>
      </c>
      <c r="DG31" s="35">
        <f>DB31*5%</f>
        <v>31500</v>
      </c>
      <c r="DH31" s="35">
        <f>DB31-DG31</f>
        <v>598500</v>
      </c>
      <c r="DI31" s="35">
        <f>DH31/DF31/365*DD31</f>
        <v>13937.671232876712</v>
      </c>
      <c r="DJ31" s="35">
        <f>DB31-DI31</f>
        <v>616062.32876712328</v>
      </c>
      <c r="DL31" s="157">
        <f t="shared" si="57"/>
        <v>630000</v>
      </c>
      <c r="DM31" s="157">
        <f t="shared" si="58"/>
        <v>13937.671232876712</v>
      </c>
      <c r="DN31" s="157">
        <f t="shared" si="59"/>
        <v>616062.32876712328</v>
      </c>
      <c r="DO31" s="158">
        <f t="shared" si="60"/>
        <v>0</v>
      </c>
    </row>
    <row r="32" spans="1:119" s="156" customFormat="1" ht="24" customHeight="1" x14ac:dyDescent="0.25">
      <c r="A32" s="161" t="s">
        <v>6</v>
      </c>
      <c r="B32" s="162" t="s">
        <v>518</v>
      </c>
      <c r="C32" s="163" t="s">
        <v>518</v>
      </c>
      <c r="D32" s="164" t="s">
        <v>519</v>
      </c>
      <c r="E32" s="165" t="s">
        <v>520</v>
      </c>
      <c r="F32" s="166">
        <v>39293</v>
      </c>
      <c r="G32" s="167">
        <f>([1]Summary!$G$3-F32)/365</f>
        <v>6.6739726027397257</v>
      </c>
      <c r="H32" s="167">
        <f>VLOOKUP(C32,[2]Rates!$C$6:$D$136,2,0)</f>
        <v>10</v>
      </c>
      <c r="I32" s="168">
        <f t="shared" si="0"/>
        <v>3.3260273972602743</v>
      </c>
      <c r="J32" s="169">
        <v>210000</v>
      </c>
      <c r="K32" s="169"/>
      <c r="L32" s="153">
        <f t="shared" ref="L32:L42" si="62">+J32-K32</f>
        <v>210000</v>
      </c>
      <c r="M32" s="169">
        <v>98273</v>
      </c>
      <c r="N32" s="74">
        <f t="shared" ref="N32:N42" si="63">J32-M32</f>
        <v>111727</v>
      </c>
      <c r="O32" s="74"/>
      <c r="P32" s="170">
        <f t="shared" ref="P32:P38" si="64">ROUND(I32,0)</f>
        <v>3</v>
      </c>
      <c r="Q32" s="76">
        <f t="shared" ref="Q32:Q38" si="65">J32*5%</f>
        <v>10500</v>
      </c>
      <c r="R32" s="74">
        <f t="shared" ref="R32:R38" si="66">IF(N32-Q32&lt;=0,0,IF(P32&lt;=0,0,N32-Q32))</f>
        <v>101227</v>
      </c>
      <c r="S32" s="74">
        <f t="shared" ref="S32:S38" si="67">R32/P32</f>
        <v>33742.333333333336</v>
      </c>
      <c r="T32" s="74">
        <f t="shared" ref="T32:T38" si="68">IF(P32&lt;=0,Q32-N32,IF(N32&lt;=Q32,Q32-N32,0))</f>
        <v>0</v>
      </c>
      <c r="U32" s="74">
        <f t="shared" ref="U32:U42" si="69">N32+T32</f>
        <v>111727</v>
      </c>
      <c r="V32" s="27">
        <f t="shared" ref="V32:V42" si="70">+U32-S32</f>
        <v>77984.666666666657</v>
      </c>
      <c r="W32" s="154"/>
      <c r="X32" s="154"/>
      <c r="Y32" s="154"/>
      <c r="Z32" s="154"/>
      <c r="AA32" s="35">
        <f t="shared" ref="AA32:AA42" si="71">V32</f>
        <v>77984.666666666657</v>
      </c>
      <c r="AB32" s="155"/>
      <c r="AC32" s="155"/>
      <c r="AD32" s="155"/>
      <c r="AE32" s="12">
        <f>([1]Summary!$G$4-F32)/365</f>
        <v>7.6739726027397257</v>
      </c>
      <c r="AF32" s="12">
        <f t="shared" ref="AF32:AF42" si="72">H32-AE32</f>
        <v>2.3260273972602743</v>
      </c>
      <c r="AG32" s="35">
        <f t="shared" ref="AG32:AG38" si="73">Q32</f>
        <v>10500</v>
      </c>
      <c r="AH32" s="34">
        <f t="shared" ref="AH32:AH38" si="74">IF(N32-Q32&lt;=0,0,IF(AF32&lt;=0,0,N32-Q32))</f>
        <v>101227</v>
      </c>
      <c r="AI32" s="35">
        <f t="shared" ref="AI32:AI38" si="75">S32</f>
        <v>33742.333333333336</v>
      </c>
      <c r="AJ32" s="35">
        <f t="shared" ref="AJ32:AJ38" si="76">AA32-AI32</f>
        <v>44242.333333333321</v>
      </c>
      <c r="AL32" s="35">
        <f t="shared" ref="AL32:AL42" si="77">+AJ32</f>
        <v>44242.333333333321</v>
      </c>
      <c r="AM32" s="155"/>
      <c r="AN32" s="155"/>
      <c r="AO32" s="155"/>
      <c r="AP32" s="12">
        <f>([1]Summary!$AL$4-F32)/365</f>
        <v>8.6767123287671239</v>
      </c>
      <c r="AQ32" s="12">
        <f t="shared" ref="AQ32:AQ42" si="78">H32-AP32</f>
        <v>1.3232876712328761</v>
      </c>
      <c r="AR32" s="35">
        <f t="shared" ref="AR32:AR42" si="79">+AG32</f>
        <v>10500</v>
      </c>
      <c r="AS32" s="34">
        <f t="shared" ref="AS32:AS38" si="80">IF(AA32-AG32&lt;=0,0,IF(AQ32&lt;=0,0,AA32-AG32))</f>
        <v>67484.666666666657</v>
      </c>
      <c r="AT32" s="96">
        <f t="shared" ref="AT32:AT38" si="81">+AI32</f>
        <v>33742.333333333336</v>
      </c>
      <c r="AU32" s="35">
        <f t="shared" ref="AU32:AU42" si="82">+AL32+AM32-AT32</f>
        <v>10499.999999999985</v>
      </c>
      <c r="AW32" s="155">
        <f t="shared" ref="AW32:AW42" si="83">+AU32</f>
        <v>10499.999999999985</v>
      </c>
      <c r="AX32" s="155"/>
      <c r="AY32" s="155"/>
      <c r="AZ32" s="155"/>
      <c r="BA32" s="155">
        <f>([1]Summary!$AW$4-F32)/365</f>
        <v>9.6767123287671239</v>
      </c>
      <c r="BB32" s="155">
        <f t="shared" ref="BB32:BB42" si="84">H32-BA32</f>
        <v>0.32328767123287605</v>
      </c>
      <c r="BC32" s="155">
        <f t="shared" ref="BC32:BC42" si="85">+AR32</f>
        <v>10500</v>
      </c>
      <c r="BD32" s="155">
        <f t="shared" ref="BD32:BD42" si="86">IF(AL32-AR32&lt;=0,0,IF(BB32&lt;=0,0,AL32-AR32))</f>
        <v>33742.333333333321</v>
      </c>
      <c r="BE32" s="35"/>
      <c r="BF32" s="155">
        <f t="shared" ref="BF32:BF42" si="87">+AW32+AX32-BE32</f>
        <v>10499.999999999985</v>
      </c>
      <c r="BG32" s="155"/>
      <c r="BH32" s="35">
        <f t="shared" ref="BH32:BH42" si="88">+BF32</f>
        <v>10499.999999999985</v>
      </c>
      <c r="BI32" s="155"/>
      <c r="BJ32" s="155"/>
      <c r="BK32" s="155"/>
      <c r="BL32" s="35">
        <f>([1]Summary!$BH$4-F32)/365</f>
        <v>10.676712328767124</v>
      </c>
      <c r="BM32" s="155">
        <f t="shared" ref="BM32:BM42" si="89">H32-BL32</f>
        <v>-0.67671232876712395</v>
      </c>
      <c r="BN32" s="155">
        <f t="shared" ref="BN32:BN42" si="90">+BC32</f>
        <v>10500</v>
      </c>
      <c r="BO32" s="35">
        <f t="shared" ref="BO32:BO42" si="91">IF(BH32-BN32&lt;=0,0,IF(BM32&lt;=0,0,BH32-BN32))</f>
        <v>0</v>
      </c>
      <c r="BP32" s="35">
        <f t="shared" ref="BP32:BP42" si="92">+BE32</f>
        <v>0</v>
      </c>
      <c r="BQ32" s="35">
        <f t="shared" ref="BQ32:BQ42" si="93">+BH32+BI32-BP32</f>
        <v>10499.999999999985</v>
      </c>
      <c r="BS32" s="132">
        <f t="shared" ref="BS32:BS42" si="94">+BQ32-BN32</f>
        <v>-1.4551915228366852E-11</v>
      </c>
      <c r="BT32" s="35">
        <v>10499.999999999985</v>
      </c>
      <c r="BU32" s="155"/>
      <c r="BV32" s="155"/>
      <c r="BW32" s="155"/>
      <c r="BX32" s="35">
        <f>([1]Summary!$BT$4-F32)/365</f>
        <v>11.676712328767124</v>
      </c>
      <c r="BY32" s="96">
        <f t="shared" ref="BY32:BY42" si="95">H32-BX32</f>
        <v>-1.6767123287671239</v>
      </c>
      <c r="BZ32" s="35">
        <f t="shared" ref="BZ32:BZ42" si="96">+BN32</f>
        <v>10500</v>
      </c>
      <c r="CA32" s="35">
        <f t="shared" ref="CA32:CA42" si="97">IF(BT32-BZ32&lt;=0,0,IF(BY32&lt;=0,0,BT32-BZ32))</f>
        <v>0</v>
      </c>
      <c r="CB32" s="35">
        <f t="shared" ref="CB32:CB42" si="98">BP32</f>
        <v>0</v>
      </c>
      <c r="CC32" s="35">
        <f t="shared" ref="CC32:CC42" si="99">+BT32+BU32-CB32</f>
        <v>10499.999999999985</v>
      </c>
      <c r="CE32" s="35">
        <v>10499.999999999985</v>
      </c>
      <c r="CF32" s="155"/>
      <c r="CG32" s="155"/>
      <c r="CH32" s="155"/>
      <c r="CI32" s="35">
        <f>([1]Summary!$CE$4-F32)/365</f>
        <v>12.67945205479452</v>
      </c>
      <c r="CJ32" s="96">
        <f t="shared" ref="CJ32:CJ44" si="100">H32-CI32</f>
        <v>-2.6794520547945204</v>
      </c>
      <c r="CK32" s="35">
        <f t="shared" ref="CK32:CK42" si="101">+BZ32</f>
        <v>10500</v>
      </c>
      <c r="CL32" s="35">
        <f t="shared" ref="CL32:CL42" si="102">IF(CE32-CK32&lt;=0,0,IF(CJ32&lt;=0,0,CE32-CK32))</f>
        <v>0</v>
      </c>
      <c r="CM32" s="35">
        <f t="shared" ref="CM32:CM42" si="103">CB32</f>
        <v>0</v>
      </c>
      <c r="CN32" s="35">
        <f t="shared" ref="CN32:CN44" si="104">+CE32+CF32-CM32</f>
        <v>10499.999999999985</v>
      </c>
      <c r="CP32" s="35">
        <f t="shared" ref="CP32:CP44" si="105">CN32</f>
        <v>10499.999999999985</v>
      </c>
      <c r="CQ32" s="155"/>
      <c r="CR32" s="155"/>
      <c r="CS32" s="155"/>
      <c r="CT32" s="35">
        <f>([1]Summary!$CP$4-F32)/365</f>
        <v>13.67945205479452</v>
      </c>
      <c r="CU32" s="96">
        <f t="shared" ref="CU32:CU44" si="106">H32-CT32</f>
        <v>-3.6794520547945204</v>
      </c>
      <c r="CV32" s="35">
        <f t="shared" ref="CV32:CV44" si="107">CK32</f>
        <v>10500</v>
      </c>
      <c r="CW32" s="35">
        <f t="shared" ref="CW32:CW44" si="108">IF(CP32-CV32&lt;=0,0,IF(CU32&lt;=0,0,CP32-CV32))</f>
        <v>0</v>
      </c>
      <c r="CX32" s="35">
        <f t="shared" ref="CX32:CX42" si="109">CM32</f>
        <v>0</v>
      </c>
      <c r="CY32" s="35">
        <f t="shared" ref="CY32:CY44" si="110">+CP32+CQ32-CX32</f>
        <v>10499.999999999985</v>
      </c>
      <c r="DA32" s="35">
        <f t="shared" ref="DA32:DA44" si="111">CY32</f>
        <v>10499.999999999985</v>
      </c>
      <c r="DB32" s="155"/>
      <c r="DC32" s="155"/>
      <c r="DD32" s="155"/>
      <c r="DE32" s="35">
        <f>([1]Summary!$DA$4-F32)/365</f>
        <v>14.67945205479452</v>
      </c>
      <c r="DF32" s="96">
        <f t="shared" si="52"/>
        <v>-4.6794520547945204</v>
      </c>
      <c r="DG32" s="35">
        <f t="shared" ref="DG32:DG44" si="112">CV32</f>
        <v>10500</v>
      </c>
      <c r="DH32" s="35">
        <f t="shared" ref="DH32:DH44" si="113">IF(DA32-DG32&lt;=0,0,IF(DF32&lt;=0,0,DA32-DG32))</f>
        <v>0</v>
      </c>
      <c r="DI32" s="35">
        <f>CX32</f>
        <v>0</v>
      </c>
      <c r="DJ32" s="35">
        <f t="shared" ref="DJ32:DJ44" si="114">+DA32+DB32-DI32</f>
        <v>10499.999999999985</v>
      </c>
      <c r="DL32" s="157">
        <f t="shared" si="57"/>
        <v>210000</v>
      </c>
      <c r="DM32" s="157">
        <f t="shared" si="58"/>
        <v>199500.00000000003</v>
      </c>
      <c r="DN32" s="157">
        <f t="shared" si="59"/>
        <v>10499.999999999971</v>
      </c>
      <c r="DO32" s="158">
        <f t="shared" si="60"/>
        <v>1.4551915228366852E-11</v>
      </c>
    </row>
    <row r="33" spans="1:119" s="156" customFormat="1" ht="24" customHeight="1" x14ac:dyDescent="0.25">
      <c r="A33" s="11" t="s">
        <v>6</v>
      </c>
      <c r="B33" s="86" t="s">
        <v>4</v>
      </c>
      <c r="C33" s="15" t="s">
        <v>474</v>
      </c>
      <c r="D33" s="150" t="s">
        <v>521</v>
      </c>
      <c r="E33" s="39" t="s">
        <v>522</v>
      </c>
      <c r="F33" s="87">
        <v>39903</v>
      </c>
      <c r="G33" s="151">
        <f>([1]Summary!$G$3-F33)/365</f>
        <v>5.0027397260273974</v>
      </c>
      <c r="H33" s="151">
        <f>VLOOKUP(C33,[2]Rates!$C$6:$D$136,2,0)</f>
        <v>15</v>
      </c>
      <c r="I33" s="152">
        <f t="shared" si="0"/>
        <v>9.9972602739726035</v>
      </c>
      <c r="J33" s="88">
        <v>955522</v>
      </c>
      <c r="K33" s="88"/>
      <c r="L33" s="153">
        <f t="shared" si="62"/>
        <v>955522</v>
      </c>
      <c r="M33" s="88">
        <v>374374.05479999998</v>
      </c>
      <c r="N33" s="24">
        <f t="shared" si="63"/>
        <v>581147.94519999996</v>
      </c>
      <c r="O33" s="24"/>
      <c r="P33" s="28">
        <f t="shared" si="64"/>
        <v>10</v>
      </c>
      <c r="Q33" s="26">
        <f t="shared" si="65"/>
        <v>47776.100000000006</v>
      </c>
      <c r="R33" s="24">
        <f t="shared" si="66"/>
        <v>533371.84519999998</v>
      </c>
      <c r="S33" s="24">
        <f t="shared" si="67"/>
        <v>53337.184519999995</v>
      </c>
      <c r="T33" s="24">
        <f t="shared" si="68"/>
        <v>0</v>
      </c>
      <c r="U33" s="24">
        <f t="shared" si="69"/>
        <v>581147.94519999996</v>
      </c>
      <c r="V33" s="27">
        <f t="shared" si="70"/>
        <v>527810.76067999995</v>
      </c>
      <c r="W33" s="154"/>
      <c r="X33" s="154"/>
      <c r="Y33" s="154"/>
      <c r="Z33" s="154"/>
      <c r="AA33" s="35">
        <f t="shared" si="71"/>
        <v>527810.76067999995</v>
      </c>
      <c r="AB33" s="155"/>
      <c r="AC33" s="155"/>
      <c r="AD33" s="155"/>
      <c r="AE33" s="12">
        <f>([1]Summary!$G$4-F33)/365</f>
        <v>6.0027397260273974</v>
      </c>
      <c r="AF33" s="12">
        <f t="shared" si="72"/>
        <v>8.9972602739726035</v>
      </c>
      <c r="AG33" s="35">
        <f t="shared" si="73"/>
        <v>47776.100000000006</v>
      </c>
      <c r="AH33" s="34">
        <f t="shared" si="74"/>
        <v>533371.84519999998</v>
      </c>
      <c r="AI33" s="35">
        <f t="shared" si="75"/>
        <v>53337.184519999995</v>
      </c>
      <c r="AJ33" s="35">
        <f t="shared" si="76"/>
        <v>474473.57615999994</v>
      </c>
      <c r="AL33" s="35">
        <f t="shared" si="77"/>
        <v>474473.57615999994</v>
      </c>
      <c r="AM33" s="155"/>
      <c r="AN33" s="155"/>
      <c r="AO33" s="155"/>
      <c r="AP33" s="12">
        <f>([1]Summary!$AL$4-F33)/365</f>
        <v>7.0054794520547947</v>
      </c>
      <c r="AQ33" s="12">
        <f t="shared" si="78"/>
        <v>7.9945205479452053</v>
      </c>
      <c r="AR33" s="35">
        <f t="shared" si="79"/>
        <v>47776.100000000006</v>
      </c>
      <c r="AS33" s="34">
        <f t="shared" si="80"/>
        <v>480034.66067999997</v>
      </c>
      <c r="AT33" s="96">
        <f t="shared" si="81"/>
        <v>53337.184519999995</v>
      </c>
      <c r="AU33" s="35">
        <f t="shared" si="82"/>
        <v>421136.39163999993</v>
      </c>
      <c r="AW33" s="155">
        <f t="shared" si="83"/>
        <v>421136.39163999993</v>
      </c>
      <c r="AX33" s="155"/>
      <c r="AY33" s="155"/>
      <c r="AZ33" s="155"/>
      <c r="BA33" s="155">
        <f>([1]Summary!$AW$4-F33)/365</f>
        <v>8.0054794520547947</v>
      </c>
      <c r="BB33" s="155">
        <f t="shared" si="84"/>
        <v>6.9945205479452053</v>
      </c>
      <c r="BC33" s="155">
        <f t="shared" si="85"/>
        <v>47776.100000000006</v>
      </c>
      <c r="BD33" s="155">
        <f t="shared" si="86"/>
        <v>426697.47615999996</v>
      </c>
      <c r="BE33" s="35">
        <f t="shared" ref="BE33:BE42" si="115">+AT33</f>
        <v>53337.184519999995</v>
      </c>
      <c r="BF33" s="155">
        <f t="shared" si="87"/>
        <v>367799.20711999992</v>
      </c>
      <c r="BG33" s="155"/>
      <c r="BH33" s="35">
        <f t="shared" si="88"/>
        <v>367799.20711999992</v>
      </c>
      <c r="BI33" s="155"/>
      <c r="BJ33" s="155"/>
      <c r="BK33" s="155"/>
      <c r="BL33" s="35">
        <f>([1]Summary!$BH$4-F33)/365</f>
        <v>9.0054794520547947</v>
      </c>
      <c r="BM33" s="155">
        <f t="shared" si="89"/>
        <v>5.9945205479452053</v>
      </c>
      <c r="BN33" s="155">
        <f t="shared" si="90"/>
        <v>47776.100000000006</v>
      </c>
      <c r="BO33" s="35">
        <f t="shared" si="91"/>
        <v>320023.10711999994</v>
      </c>
      <c r="BP33" s="35">
        <f t="shared" si="92"/>
        <v>53337.184519999995</v>
      </c>
      <c r="BQ33" s="35">
        <f t="shared" si="93"/>
        <v>314462.02259999991</v>
      </c>
      <c r="BS33" s="132">
        <f t="shared" si="94"/>
        <v>266685.92259999993</v>
      </c>
      <c r="BT33" s="35">
        <v>314462.02259999991</v>
      </c>
      <c r="BU33" s="155"/>
      <c r="BV33" s="155"/>
      <c r="BW33" s="155"/>
      <c r="BX33" s="35">
        <f>([1]Summary!$BT$4-F33)/365</f>
        <v>10.005479452054795</v>
      </c>
      <c r="BY33" s="96">
        <f t="shared" si="95"/>
        <v>4.9945205479452053</v>
      </c>
      <c r="BZ33" s="35">
        <f t="shared" si="96"/>
        <v>47776.100000000006</v>
      </c>
      <c r="CA33" s="35">
        <f t="shared" si="97"/>
        <v>266685.92259999993</v>
      </c>
      <c r="CB33" s="35">
        <f t="shared" si="98"/>
        <v>53337.184519999995</v>
      </c>
      <c r="CC33" s="35">
        <f t="shared" si="99"/>
        <v>261124.8380799999</v>
      </c>
      <c r="CE33" s="35">
        <v>261124.8380799999</v>
      </c>
      <c r="CF33" s="155"/>
      <c r="CG33" s="155"/>
      <c r="CH33" s="155"/>
      <c r="CI33" s="35">
        <f>([1]Summary!$CE$4-F33)/365</f>
        <v>11.008219178082191</v>
      </c>
      <c r="CJ33" s="96">
        <f t="shared" si="100"/>
        <v>3.9917808219178088</v>
      </c>
      <c r="CK33" s="35">
        <f t="shared" si="101"/>
        <v>47776.100000000006</v>
      </c>
      <c r="CL33" s="35">
        <f t="shared" si="102"/>
        <v>213348.73807999989</v>
      </c>
      <c r="CM33" s="35">
        <f t="shared" si="103"/>
        <v>53337.184519999995</v>
      </c>
      <c r="CN33" s="35">
        <f t="shared" si="104"/>
        <v>207787.65355999989</v>
      </c>
      <c r="CP33" s="35">
        <f t="shared" si="105"/>
        <v>207787.65355999989</v>
      </c>
      <c r="CQ33" s="155"/>
      <c r="CR33" s="155"/>
      <c r="CS33" s="155"/>
      <c r="CT33" s="35">
        <f>([1]Summary!$CP$4-F33)/365</f>
        <v>12.008219178082191</v>
      </c>
      <c r="CU33" s="96">
        <f t="shared" si="106"/>
        <v>2.9917808219178088</v>
      </c>
      <c r="CV33" s="35">
        <f t="shared" si="107"/>
        <v>47776.100000000006</v>
      </c>
      <c r="CW33" s="35">
        <f t="shared" si="108"/>
        <v>160011.55355999988</v>
      </c>
      <c r="CX33" s="35">
        <f t="shared" si="109"/>
        <v>53337.184519999995</v>
      </c>
      <c r="CY33" s="35">
        <f t="shared" si="110"/>
        <v>154450.46903999988</v>
      </c>
      <c r="DA33" s="35">
        <f t="shared" si="111"/>
        <v>154450.46903999988</v>
      </c>
      <c r="DB33" s="155"/>
      <c r="DC33" s="155"/>
      <c r="DD33" s="155"/>
      <c r="DE33" s="35">
        <f>([1]Summary!$DA$4-F33)/365</f>
        <v>13.008219178082191</v>
      </c>
      <c r="DF33" s="96">
        <f t="shared" si="52"/>
        <v>1.9917808219178088</v>
      </c>
      <c r="DG33" s="35">
        <f t="shared" si="112"/>
        <v>47776.100000000006</v>
      </c>
      <c r="DH33" s="35">
        <f t="shared" si="113"/>
        <v>106674.36903999987</v>
      </c>
      <c r="DI33" s="35">
        <f>CX33</f>
        <v>53337.184519999995</v>
      </c>
      <c r="DJ33" s="35">
        <f t="shared" si="114"/>
        <v>101113.28451999988</v>
      </c>
      <c r="DL33" s="157">
        <f t="shared" si="57"/>
        <v>955522</v>
      </c>
      <c r="DM33" s="157">
        <f t="shared" si="58"/>
        <v>854408.71548000001</v>
      </c>
      <c r="DN33" s="157">
        <f t="shared" si="59"/>
        <v>101113.28451999999</v>
      </c>
      <c r="DO33" s="158">
        <f t="shared" si="60"/>
        <v>0</v>
      </c>
    </row>
    <row r="34" spans="1:119" s="156" customFormat="1" ht="24" customHeight="1" x14ac:dyDescent="0.25">
      <c r="A34" s="11" t="s">
        <v>6</v>
      </c>
      <c r="B34" s="86" t="s">
        <v>4</v>
      </c>
      <c r="C34" s="15" t="s">
        <v>474</v>
      </c>
      <c r="D34" s="150" t="s">
        <v>523</v>
      </c>
      <c r="E34" s="39" t="s">
        <v>524</v>
      </c>
      <c r="F34" s="87">
        <v>41153</v>
      </c>
      <c r="G34" s="151">
        <f>([1]Summary!$G$3-F34)/365</f>
        <v>1.5780821917808219</v>
      </c>
      <c r="H34" s="151">
        <f>VLOOKUP(C34,[2]Rates!$C$6:$D$136,2,0)</f>
        <v>15</v>
      </c>
      <c r="I34" s="152">
        <f t="shared" si="0"/>
        <v>13.421917808219177</v>
      </c>
      <c r="J34" s="88">
        <v>26400</v>
      </c>
      <c r="K34" s="88"/>
      <c r="L34" s="153">
        <f t="shared" si="62"/>
        <v>26400</v>
      </c>
      <c r="M34" s="88">
        <v>2686.88</v>
      </c>
      <c r="N34" s="24">
        <f t="shared" si="63"/>
        <v>23713.119999999999</v>
      </c>
      <c r="O34" s="24"/>
      <c r="P34" s="28">
        <f t="shared" si="64"/>
        <v>13</v>
      </c>
      <c r="Q34" s="26">
        <f t="shared" si="65"/>
        <v>1320</v>
      </c>
      <c r="R34" s="24">
        <f t="shared" si="66"/>
        <v>22393.119999999999</v>
      </c>
      <c r="S34" s="24">
        <f t="shared" si="67"/>
        <v>1722.5476923076922</v>
      </c>
      <c r="T34" s="24">
        <f t="shared" si="68"/>
        <v>0</v>
      </c>
      <c r="U34" s="24">
        <f t="shared" si="69"/>
        <v>23713.119999999999</v>
      </c>
      <c r="V34" s="27">
        <f t="shared" si="70"/>
        <v>21990.572307692306</v>
      </c>
      <c r="W34" s="154"/>
      <c r="X34" s="154"/>
      <c r="Y34" s="154"/>
      <c r="Z34" s="154"/>
      <c r="AA34" s="35">
        <f t="shared" si="71"/>
        <v>21990.572307692306</v>
      </c>
      <c r="AB34" s="155"/>
      <c r="AC34" s="155"/>
      <c r="AD34" s="155"/>
      <c r="AE34" s="12">
        <f>([1]Summary!$G$4-F34)/365</f>
        <v>2.5780821917808221</v>
      </c>
      <c r="AF34" s="12">
        <f t="shared" si="72"/>
        <v>12.421917808219177</v>
      </c>
      <c r="AG34" s="35">
        <f t="shared" si="73"/>
        <v>1320</v>
      </c>
      <c r="AH34" s="34">
        <f t="shared" si="74"/>
        <v>22393.119999999999</v>
      </c>
      <c r="AI34" s="35">
        <f t="shared" si="75"/>
        <v>1722.5476923076922</v>
      </c>
      <c r="AJ34" s="35">
        <f t="shared" si="76"/>
        <v>20268.024615384613</v>
      </c>
      <c r="AL34" s="35">
        <f t="shared" si="77"/>
        <v>20268.024615384613</v>
      </c>
      <c r="AM34" s="155"/>
      <c r="AN34" s="155"/>
      <c r="AO34" s="155"/>
      <c r="AP34" s="12">
        <f>([1]Summary!$AL$4-F34)/365</f>
        <v>3.580821917808219</v>
      </c>
      <c r="AQ34" s="12">
        <f t="shared" si="78"/>
        <v>11.419178082191781</v>
      </c>
      <c r="AR34" s="35">
        <f t="shared" si="79"/>
        <v>1320</v>
      </c>
      <c r="AS34" s="34">
        <f t="shared" si="80"/>
        <v>20670.572307692306</v>
      </c>
      <c r="AT34" s="96">
        <f t="shared" si="81"/>
        <v>1722.5476923076922</v>
      </c>
      <c r="AU34" s="35">
        <f t="shared" si="82"/>
        <v>18545.47692307692</v>
      </c>
      <c r="AW34" s="155">
        <f t="shared" si="83"/>
        <v>18545.47692307692</v>
      </c>
      <c r="AX34" s="155"/>
      <c r="AY34" s="155"/>
      <c r="AZ34" s="155"/>
      <c r="BA34" s="155">
        <f>([1]Summary!$AW$4-F34)/365</f>
        <v>4.580821917808219</v>
      </c>
      <c r="BB34" s="155">
        <f t="shared" si="84"/>
        <v>10.419178082191781</v>
      </c>
      <c r="BC34" s="155">
        <f t="shared" si="85"/>
        <v>1320</v>
      </c>
      <c r="BD34" s="155">
        <f t="shared" si="86"/>
        <v>18948.024615384613</v>
      </c>
      <c r="BE34" s="35">
        <f t="shared" si="115"/>
        <v>1722.5476923076922</v>
      </c>
      <c r="BF34" s="155">
        <f t="shared" si="87"/>
        <v>16822.929230769227</v>
      </c>
      <c r="BG34" s="155"/>
      <c r="BH34" s="35">
        <f t="shared" si="88"/>
        <v>16822.929230769227</v>
      </c>
      <c r="BI34" s="155"/>
      <c r="BJ34" s="155"/>
      <c r="BK34" s="155"/>
      <c r="BL34" s="35">
        <f>([1]Summary!$BH$4-F34)/365</f>
        <v>5.580821917808219</v>
      </c>
      <c r="BM34" s="155">
        <f t="shared" si="89"/>
        <v>9.419178082191781</v>
      </c>
      <c r="BN34" s="155">
        <f t="shared" si="90"/>
        <v>1320</v>
      </c>
      <c r="BO34" s="35">
        <f t="shared" si="91"/>
        <v>15502.929230769227</v>
      </c>
      <c r="BP34" s="35">
        <f t="shared" si="92"/>
        <v>1722.5476923076922</v>
      </c>
      <c r="BQ34" s="35">
        <f t="shared" si="93"/>
        <v>15100.381538461534</v>
      </c>
      <c r="BS34" s="132">
        <f t="shared" si="94"/>
        <v>13780.381538461534</v>
      </c>
      <c r="BT34" s="35">
        <v>15100.381538461534</v>
      </c>
      <c r="BU34" s="155"/>
      <c r="BV34" s="155"/>
      <c r="BW34" s="155"/>
      <c r="BX34" s="35">
        <f>([1]Summary!$BT$4-F34)/365</f>
        <v>6.580821917808219</v>
      </c>
      <c r="BY34" s="96">
        <f t="shared" si="95"/>
        <v>8.419178082191781</v>
      </c>
      <c r="BZ34" s="35">
        <f t="shared" si="96"/>
        <v>1320</v>
      </c>
      <c r="CA34" s="35">
        <f t="shared" si="97"/>
        <v>13780.381538461534</v>
      </c>
      <c r="CB34" s="35">
        <f t="shared" si="98"/>
        <v>1722.5476923076922</v>
      </c>
      <c r="CC34" s="35">
        <f t="shared" si="99"/>
        <v>13377.833846153841</v>
      </c>
      <c r="CE34" s="35">
        <v>13377.833846153841</v>
      </c>
      <c r="CF34" s="155"/>
      <c r="CG34" s="155"/>
      <c r="CH34" s="155"/>
      <c r="CI34" s="35">
        <f>([1]Summary!$CE$4-F34)/365</f>
        <v>7.5835616438356164</v>
      </c>
      <c r="CJ34" s="96">
        <f t="shared" si="100"/>
        <v>7.4164383561643836</v>
      </c>
      <c r="CK34" s="35">
        <f t="shared" si="101"/>
        <v>1320</v>
      </c>
      <c r="CL34" s="35">
        <f t="shared" si="102"/>
        <v>12057.833846153841</v>
      </c>
      <c r="CM34" s="35">
        <f t="shared" si="103"/>
        <v>1722.5476923076922</v>
      </c>
      <c r="CN34" s="35">
        <f t="shared" si="104"/>
        <v>11655.286153846147</v>
      </c>
      <c r="CP34" s="35">
        <f t="shared" si="105"/>
        <v>11655.286153846147</v>
      </c>
      <c r="CQ34" s="155"/>
      <c r="CR34" s="155"/>
      <c r="CS34" s="155"/>
      <c r="CT34" s="35">
        <f>([1]Summary!$CP$4-F34)/365</f>
        <v>8.5835616438356173</v>
      </c>
      <c r="CU34" s="96">
        <f t="shared" si="106"/>
        <v>6.4164383561643827</v>
      </c>
      <c r="CV34" s="35">
        <f t="shared" si="107"/>
        <v>1320</v>
      </c>
      <c r="CW34" s="35">
        <f t="shared" si="108"/>
        <v>10335.286153846147</v>
      </c>
      <c r="CX34" s="35">
        <f t="shared" si="109"/>
        <v>1722.5476923076922</v>
      </c>
      <c r="CY34" s="35">
        <f t="shared" si="110"/>
        <v>9932.7384615384544</v>
      </c>
      <c r="DA34" s="35">
        <f t="shared" si="111"/>
        <v>9932.7384615384544</v>
      </c>
      <c r="DB34" s="155"/>
      <c r="DC34" s="155"/>
      <c r="DD34" s="155"/>
      <c r="DE34" s="35">
        <f>([1]Summary!$DA$4-F34)/365</f>
        <v>9.5835616438356173</v>
      </c>
      <c r="DF34" s="96">
        <f t="shared" si="52"/>
        <v>5.4164383561643827</v>
      </c>
      <c r="DG34" s="35">
        <f t="shared" si="112"/>
        <v>1320</v>
      </c>
      <c r="DH34" s="35">
        <f t="shared" si="113"/>
        <v>8612.7384615384544</v>
      </c>
      <c r="DI34" s="35">
        <f>CX34</f>
        <v>1722.5476923076922</v>
      </c>
      <c r="DJ34" s="35">
        <f t="shared" si="114"/>
        <v>8210.1907692307614</v>
      </c>
      <c r="DL34" s="157">
        <f t="shared" si="57"/>
        <v>26400</v>
      </c>
      <c r="DM34" s="157">
        <f t="shared" si="58"/>
        <v>18189.809230769235</v>
      </c>
      <c r="DN34" s="157">
        <f t="shared" si="59"/>
        <v>8210.190769230765</v>
      </c>
      <c r="DO34" s="158">
        <f t="shared" si="60"/>
        <v>0</v>
      </c>
    </row>
    <row r="35" spans="1:119" s="156" customFormat="1" ht="24" customHeight="1" x14ac:dyDescent="0.25">
      <c r="A35" s="11" t="s">
        <v>6</v>
      </c>
      <c r="B35" s="86" t="s">
        <v>4</v>
      </c>
      <c r="C35" s="15" t="s">
        <v>474</v>
      </c>
      <c r="D35" s="150" t="s">
        <v>525</v>
      </c>
      <c r="E35" s="39" t="s">
        <v>526</v>
      </c>
      <c r="F35" s="87">
        <v>41012</v>
      </c>
      <c r="G35" s="151">
        <f>([1]Summary!$G$3-F35)/365</f>
        <v>1.9643835616438357</v>
      </c>
      <c r="H35" s="151">
        <f>VLOOKUP(C35,[2]Rates!$C$6:$D$136,2,0)</f>
        <v>15</v>
      </c>
      <c r="I35" s="152">
        <f t="shared" si="0"/>
        <v>13.035616438356165</v>
      </c>
      <c r="J35" s="88">
        <v>581000</v>
      </c>
      <c r="K35" s="88"/>
      <c r="L35" s="153">
        <f t="shared" si="62"/>
        <v>581000</v>
      </c>
      <c r="M35" s="88">
        <v>54287.5</v>
      </c>
      <c r="N35" s="24">
        <f t="shared" si="63"/>
        <v>526712.5</v>
      </c>
      <c r="O35" s="24"/>
      <c r="P35" s="28">
        <f t="shared" si="64"/>
        <v>13</v>
      </c>
      <c r="Q35" s="26">
        <f t="shared" si="65"/>
        <v>29050</v>
      </c>
      <c r="R35" s="24">
        <f t="shared" si="66"/>
        <v>497662.5</v>
      </c>
      <c r="S35" s="24">
        <f t="shared" si="67"/>
        <v>38281.730769230766</v>
      </c>
      <c r="T35" s="24">
        <f t="shared" si="68"/>
        <v>0</v>
      </c>
      <c r="U35" s="24">
        <f t="shared" si="69"/>
        <v>526712.5</v>
      </c>
      <c r="V35" s="27">
        <f t="shared" si="70"/>
        <v>488430.76923076925</v>
      </c>
      <c r="W35" s="154"/>
      <c r="X35" s="154"/>
      <c r="Y35" s="154"/>
      <c r="Z35" s="154"/>
      <c r="AA35" s="35">
        <f t="shared" si="71"/>
        <v>488430.76923076925</v>
      </c>
      <c r="AB35" s="155"/>
      <c r="AC35" s="155"/>
      <c r="AD35" s="155"/>
      <c r="AE35" s="12">
        <f>([1]Summary!$G$4-F35)/365</f>
        <v>2.9643835616438357</v>
      </c>
      <c r="AF35" s="12">
        <f t="shared" si="72"/>
        <v>12.035616438356165</v>
      </c>
      <c r="AG35" s="35">
        <f t="shared" si="73"/>
        <v>29050</v>
      </c>
      <c r="AH35" s="34">
        <f t="shared" si="74"/>
        <v>497662.5</v>
      </c>
      <c r="AI35" s="35">
        <f t="shared" si="75"/>
        <v>38281.730769230766</v>
      </c>
      <c r="AJ35" s="35">
        <f t="shared" si="76"/>
        <v>450149.0384615385</v>
      </c>
      <c r="AL35" s="35">
        <f t="shared" si="77"/>
        <v>450149.0384615385</v>
      </c>
      <c r="AM35" s="155"/>
      <c r="AN35" s="155"/>
      <c r="AO35" s="155"/>
      <c r="AP35" s="12">
        <f>([1]Summary!$AL$4-F35)/365</f>
        <v>3.967123287671233</v>
      </c>
      <c r="AQ35" s="12">
        <f t="shared" si="78"/>
        <v>11.032876712328767</v>
      </c>
      <c r="AR35" s="35">
        <f t="shared" si="79"/>
        <v>29050</v>
      </c>
      <c r="AS35" s="34">
        <f t="shared" si="80"/>
        <v>459380.76923076925</v>
      </c>
      <c r="AT35" s="96">
        <f t="shared" si="81"/>
        <v>38281.730769230766</v>
      </c>
      <c r="AU35" s="35">
        <f t="shared" si="82"/>
        <v>411867.30769230775</v>
      </c>
      <c r="AW35" s="155">
        <f t="shared" si="83"/>
        <v>411867.30769230775</v>
      </c>
      <c r="AX35" s="155"/>
      <c r="AY35" s="155"/>
      <c r="AZ35" s="155"/>
      <c r="BA35" s="155">
        <f>([1]Summary!$AW$4-F35)/365</f>
        <v>4.9671232876712326</v>
      </c>
      <c r="BB35" s="155">
        <f t="shared" si="84"/>
        <v>10.032876712328768</v>
      </c>
      <c r="BC35" s="155">
        <f t="shared" si="85"/>
        <v>29050</v>
      </c>
      <c r="BD35" s="155">
        <f t="shared" si="86"/>
        <v>421099.0384615385</v>
      </c>
      <c r="BE35" s="35">
        <f t="shared" si="115"/>
        <v>38281.730769230766</v>
      </c>
      <c r="BF35" s="155">
        <f t="shared" si="87"/>
        <v>373585.57692307699</v>
      </c>
      <c r="BG35" s="155"/>
      <c r="BH35" s="35">
        <f t="shared" si="88"/>
        <v>373585.57692307699</v>
      </c>
      <c r="BI35" s="155"/>
      <c r="BJ35" s="155"/>
      <c r="BK35" s="155"/>
      <c r="BL35" s="35">
        <f>([1]Summary!$BH$4-F35)/365</f>
        <v>5.9671232876712326</v>
      </c>
      <c r="BM35" s="155">
        <f t="shared" si="89"/>
        <v>9.0328767123287683</v>
      </c>
      <c r="BN35" s="155">
        <f t="shared" si="90"/>
        <v>29050</v>
      </c>
      <c r="BO35" s="35">
        <f t="shared" si="91"/>
        <v>344535.57692307699</v>
      </c>
      <c r="BP35" s="35">
        <f t="shared" si="92"/>
        <v>38281.730769230766</v>
      </c>
      <c r="BQ35" s="35">
        <f t="shared" si="93"/>
        <v>335303.84615384624</v>
      </c>
      <c r="BS35" s="132">
        <f t="shared" si="94"/>
        <v>306253.84615384624</v>
      </c>
      <c r="BT35" s="35">
        <v>335303.84615384624</v>
      </c>
      <c r="BU35" s="155"/>
      <c r="BV35" s="155"/>
      <c r="BW35" s="155"/>
      <c r="BX35" s="35">
        <f>([1]Summary!$BT$4-F35)/365</f>
        <v>6.9671232876712326</v>
      </c>
      <c r="BY35" s="96">
        <f t="shared" si="95"/>
        <v>8.0328767123287683</v>
      </c>
      <c r="BZ35" s="35">
        <f t="shared" si="96"/>
        <v>29050</v>
      </c>
      <c r="CA35" s="35">
        <f t="shared" si="97"/>
        <v>306253.84615384624</v>
      </c>
      <c r="CB35" s="35">
        <f t="shared" si="98"/>
        <v>38281.730769230766</v>
      </c>
      <c r="CC35" s="35">
        <f t="shared" si="99"/>
        <v>297022.11538461549</v>
      </c>
      <c r="CE35" s="35">
        <v>297022.11538461549</v>
      </c>
      <c r="CF35" s="155"/>
      <c r="CG35" s="155"/>
      <c r="CH35" s="155"/>
      <c r="CI35" s="35">
        <f>([1]Summary!$CE$4-F35)/365</f>
        <v>7.9698630136986299</v>
      </c>
      <c r="CJ35" s="96">
        <f t="shared" si="100"/>
        <v>7.0301369863013701</v>
      </c>
      <c r="CK35" s="35">
        <f t="shared" si="101"/>
        <v>29050</v>
      </c>
      <c r="CL35" s="35">
        <f t="shared" si="102"/>
        <v>267972.11538461549</v>
      </c>
      <c r="CM35" s="35">
        <f t="shared" si="103"/>
        <v>38281.730769230766</v>
      </c>
      <c r="CN35" s="35">
        <f t="shared" si="104"/>
        <v>258740.38461538474</v>
      </c>
      <c r="CP35" s="35">
        <f t="shared" si="105"/>
        <v>258740.38461538474</v>
      </c>
      <c r="CQ35" s="155"/>
      <c r="CR35" s="155"/>
      <c r="CS35" s="155"/>
      <c r="CT35" s="35">
        <f>([1]Summary!$CP$4-F35)/365</f>
        <v>8.9698630136986299</v>
      </c>
      <c r="CU35" s="96">
        <f t="shared" si="106"/>
        <v>6.0301369863013701</v>
      </c>
      <c r="CV35" s="35">
        <f t="shared" si="107"/>
        <v>29050</v>
      </c>
      <c r="CW35" s="35">
        <f t="shared" si="108"/>
        <v>229690.38461538474</v>
      </c>
      <c r="CX35" s="35">
        <f t="shared" si="109"/>
        <v>38281.730769230766</v>
      </c>
      <c r="CY35" s="35">
        <f t="shared" si="110"/>
        <v>220458.65384615399</v>
      </c>
      <c r="DA35" s="35">
        <f t="shared" si="111"/>
        <v>220458.65384615399</v>
      </c>
      <c r="DB35" s="155"/>
      <c r="DC35" s="155"/>
      <c r="DD35" s="155"/>
      <c r="DE35" s="35">
        <f>([1]Summary!$DA$4-F35)/365</f>
        <v>9.9698630136986299</v>
      </c>
      <c r="DF35" s="96">
        <f t="shared" si="52"/>
        <v>5.0301369863013701</v>
      </c>
      <c r="DG35" s="35">
        <f t="shared" si="112"/>
        <v>29050</v>
      </c>
      <c r="DH35" s="35">
        <f t="shared" si="113"/>
        <v>191408.65384615399</v>
      </c>
      <c r="DI35" s="35">
        <f>CX35</f>
        <v>38281.730769230766</v>
      </c>
      <c r="DJ35" s="35">
        <f t="shared" si="114"/>
        <v>182176.92307692324</v>
      </c>
      <c r="DL35" s="157">
        <f t="shared" si="57"/>
        <v>581000</v>
      </c>
      <c r="DM35" s="157">
        <f t="shared" si="58"/>
        <v>398823.07692307682</v>
      </c>
      <c r="DN35" s="157">
        <f t="shared" si="59"/>
        <v>182176.92307692318</v>
      </c>
      <c r="DO35" s="158">
        <f t="shared" si="60"/>
        <v>0</v>
      </c>
    </row>
    <row r="36" spans="1:119" s="156" customFormat="1" ht="24" customHeight="1" x14ac:dyDescent="0.25">
      <c r="A36" s="11" t="s">
        <v>6</v>
      </c>
      <c r="B36" s="171" t="s">
        <v>518</v>
      </c>
      <c r="C36" s="172" t="s">
        <v>518</v>
      </c>
      <c r="D36" s="150" t="s">
        <v>527</v>
      </c>
      <c r="E36" s="39" t="s">
        <v>528</v>
      </c>
      <c r="F36" s="87">
        <v>41047</v>
      </c>
      <c r="G36" s="151">
        <f>([1]Summary!$G$3-F36)/365</f>
        <v>1.8684931506849316</v>
      </c>
      <c r="H36" s="151">
        <f>VLOOKUP(C36,[2]Rates!$C$6:$D$136,2,0)</f>
        <v>10</v>
      </c>
      <c r="I36" s="152">
        <f t="shared" si="0"/>
        <v>8.131506849315068</v>
      </c>
      <c r="J36" s="88">
        <v>501011</v>
      </c>
      <c r="K36" s="88"/>
      <c r="L36" s="153">
        <f t="shared" si="62"/>
        <v>501011</v>
      </c>
      <c r="M36" s="88">
        <v>57909.016199999998</v>
      </c>
      <c r="N36" s="24">
        <f t="shared" si="63"/>
        <v>443101.98379999999</v>
      </c>
      <c r="O36" s="24"/>
      <c r="P36" s="28">
        <f t="shared" si="64"/>
        <v>8</v>
      </c>
      <c r="Q36" s="26">
        <f t="shared" si="65"/>
        <v>25050.550000000003</v>
      </c>
      <c r="R36" s="24">
        <f t="shared" si="66"/>
        <v>418051.4338</v>
      </c>
      <c r="S36" s="24">
        <f t="shared" si="67"/>
        <v>52256.429225</v>
      </c>
      <c r="T36" s="24">
        <f t="shared" si="68"/>
        <v>0</v>
      </c>
      <c r="U36" s="24">
        <f t="shared" si="69"/>
        <v>443101.98379999999</v>
      </c>
      <c r="V36" s="27">
        <f t="shared" si="70"/>
        <v>390845.55457499996</v>
      </c>
      <c r="W36" s="154"/>
      <c r="X36" s="154"/>
      <c r="Y36" s="154"/>
      <c r="Z36" s="154"/>
      <c r="AA36" s="35">
        <f t="shared" si="71"/>
        <v>390845.55457499996</v>
      </c>
      <c r="AB36" s="155"/>
      <c r="AC36" s="155"/>
      <c r="AD36" s="155"/>
      <c r="AE36" s="12">
        <f>([1]Summary!$G$4-F36)/365</f>
        <v>2.8684931506849316</v>
      </c>
      <c r="AF36" s="12">
        <f t="shared" si="72"/>
        <v>7.131506849315068</v>
      </c>
      <c r="AG36" s="35">
        <f t="shared" si="73"/>
        <v>25050.550000000003</v>
      </c>
      <c r="AH36" s="34">
        <f t="shared" si="74"/>
        <v>418051.4338</v>
      </c>
      <c r="AI36" s="35">
        <f t="shared" si="75"/>
        <v>52256.429225</v>
      </c>
      <c r="AJ36" s="35">
        <f t="shared" si="76"/>
        <v>338589.12534999999</v>
      </c>
      <c r="AL36" s="35">
        <f t="shared" si="77"/>
        <v>338589.12534999999</v>
      </c>
      <c r="AM36" s="155"/>
      <c r="AN36" s="155"/>
      <c r="AO36" s="155"/>
      <c r="AP36" s="12">
        <f>([1]Summary!$AL$4-F36)/365</f>
        <v>3.871232876712329</v>
      </c>
      <c r="AQ36" s="12">
        <f t="shared" si="78"/>
        <v>6.1287671232876715</v>
      </c>
      <c r="AR36" s="35">
        <f t="shared" si="79"/>
        <v>25050.550000000003</v>
      </c>
      <c r="AS36" s="34">
        <f t="shared" si="80"/>
        <v>365795.00457499997</v>
      </c>
      <c r="AT36" s="96">
        <f t="shared" si="81"/>
        <v>52256.429225</v>
      </c>
      <c r="AU36" s="35">
        <f t="shared" si="82"/>
        <v>286332.69612500002</v>
      </c>
      <c r="AW36" s="155">
        <f t="shared" si="83"/>
        <v>286332.69612500002</v>
      </c>
      <c r="AX36" s="155"/>
      <c r="AY36" s="155"/>
      <c r="AZ36" s="155"/>
      <c r="BA36" s="155">
        <f>([1]Summary!$AW$4-F36)/365</f>
        <v>4.8712328767123285</v>
      </c>
      <c r="BB36" s="155">
        <f t="shared" si="84"/>
        <v>5.1287671232876715</v>
      </c>
      <c r="BC36" s="155">
        <f t="shared" si="85"/>
        <v>25050.550000000003</v>
      </c>
      <c r="BD36" s="155">
        <f t="shared" si="86"/>
        <v>313538.57535</v>
      </c>
      <c r="BE36" s="35">
        <f t="shared" si="115"/>
        <v>52256.429225</v>
      </c>
      <c r="BF36" s="155">
        <f t="shared" si="87"/>
        <v>234076.26690000002</v>
      </c>
      <c r="BG36" s="155"/>
      <c r="BH36" s="35">
        <f t="shared" si="88"/>
        <v>234076.26690000002</v>
      </c>
      <c r="BI36" s="155"/>
      <c r="BJ36" s="155"/>
      <c r="BK36" s="155"/>
      <c r="BL36" s="35">
        <f>([1]Summary!$BH$4-F36)/365</f>
        <v>5.8712328767123285</v>
      </c>
      <c r="BM36" s="155">
        <f t="shared" si="89"/>
        <v>4.1287671232876715</v>
      </c>
      <c r="BN36" s="155">
        <f t="shared" si="90"/>
        <v>25050.550000000003</v>
      </c>
      <c r="BO36" s="35">
        <f t="shared" si="91"/>
        <v>209025.7169</v>
      </c>
      <c r="BP36" s="35">
        <f t="shared" si="92"/>
        <v>52256.429225</v>
      </c>
      <c r="BQ36" s="35">
        <f t="shared" si="93"/>
        <v>181819.83767500002</v>
      </c>
      <c r="BS36" s="132">
        <f t="shared" si="94"/>
        <v>156769.28767500003</v>
      </c>
      <c r="BT36" s="35">
        <v>181819.83767500002</v>
      </c>
      <c r="BU36" s="155"/>
      <c r="BV36" s="155"/>
      <c r="BW36" s="155"/>
      <c r="BX36" s="35">
        <f>([1]Summary!$BT$4-F36)/365</f>
        <v>6.8712328767123285</v>
      </c>
      <c r="BY36" s="96">
        <f t="shared" si="95"/>
        <v>3.1287671232876715</v>
      </c>
      <c r="BZ36" s="35">
        <f t="shared" si="96"/>
        <v>25050.550000000003</v>
      </c>
      <c r="CA36" s="35">
        <f t="shared" si="97"/>
        <v>156769.28767500003</v>
      </c>
      <c r="CB36" s="35">
        <f t="shared" si="98"/>
        <v>52256.429225</v>
      </c>
      <c r="CC36" s="35">
        <f t="shared" si="99"/>
        <v>129563.40845000002</v>
      </c>
      <c r="CE36" s="35">
        <v>129563.40845000002</v>
      </c>
      <c r="CF36" s="155"/>
      <c r="CG36" s="155"/>
      <c r="CH36" s="155"/>
      <c r="CI36" s="35">
        <f>([1]Summary!$CE$4-F36)/365</f>
        <v>7.8739726027397259</v>
      </c>
      <c r="CJ36" s="96">
        <f t="shared" si="100"/>
        <v>2.1260273972602741</v>
      </c>
      <c r="CK36" s="35">
        <f t="shared" si="101"/>
        <v>25050.550000000003</v>
      </c>
      <c r="CL36" s="35">
        <f t="shared" si="102"/>
        <v>104512.85845000001</v>
      </c>
      <c r="CM36" s="35">
        <f t="shared" si="103"/>
        <v>52256.429225</v>
      </c>
      <c r="CN36" s="35">
        <f t="shared" si="104"/>
        <v>77306.979225000017</v>
      </c>
      <c r="CP36" s="35">
        <f t="shared" si="105"/>
        <v>77306.979225000017</v>
      </c>
      <c r="CQ36" s="155"/>
      <c r="CR36" s="155"/>
      <c r="CS36" s="155"/>
      <c r="CT36" s="35">
        <f>([1]Summary!$CP$4-F36)/365</f>
        <v>8.8739726027397268</v>
      </c>
      <c r="CU36" s="96">
        <f t="shared" si="106"/>
        <v>1.1260273972602732</v>
      </c>
      <c r="CV36" s="35">
        <f t="shared" si="107"/>
        <v>25050.550000000003</v>
      </c>
      <c r="CW36" s="35">
        <f t="shared" si="108"/>
        <v>52256.429225000014</v>
      </c>
      <c r="CX36" s="35">
        <f t="shared" si="109"/>
        <v>52256.429225</v>
      </c>
      <c r="CY36" s="35">
        <f t="shared" si="110"/>
        <v>25050.550000000017</v>
      </c>
      <c r="DA36" s="35">
        <f t="shared" si="111"/>
        <v>25050.550000000017</v>
      </c>
      <c r="DB36" s="155"/>
      <c r="DC36" s="155"/>
      <c r="DD36" s="155"/>
      <c r="DE36" s="35">
        <f>([1]Summary!$DA$4-F36)/365</f>
        <v>9.8739726027397268</v>
      </c>
      <c r="DF36" s="96">
        <f t="shared" si="52"/>
        <v>0.12602739726027323</v>
      </c>
      <c r="DG36" s="35">
        <f t="shared" si="112"/>
        <v>25050.550000000003</v>
      </c>
      <c r="DH36" s="35">
        <f t="shared" si="113"/>
        <v>1.4551915228366852E-11</v>
      </c>
      <c r="DI36" s="35"/>
      <c r="DJ36" s="35">
        <f t="shared" si="114"/>
        <v>25050.550000000017</v>
      </c>
      <c r="DL36" s="157">
        <f t="shared" si="57"/>
        <v>501011</v>
      </c>
      <c r="DM36" s="157">
        <f t="shared" si="58"/>
        <v>475960.44999999995</v>
      </c>
      <c r="DN36" s="157">
        <f t="shared" si="59"/>
        <v>25050.550000000047</v>
      </c>
      <c r="DO36" s="158">
        <f t="shared" si="60"/>
        <v>-2.9103830456733704E-11</v>
      </c>
    </row>
    <row r="37" spans="1:119" s="156" customFormat="1" ht="24" customHeight="1" x14ac:dyDescent="0.25">
      <c r="A37" s="11" t="s">
        <v>6</v>
      </c>
      <c r="B37" s="171" t="s">
        <v>518</v>
      </c>
      <c r="C37" s="172" t="s">
        <v>518</v>
      </c>
      <c r="D37" s="150" t="s">
        <v>529</v>
      </c>
      <c r="E37" s="39" t="s">
        <v>530</v>
      </c>
      <c r="F37" s="173">
        <v>41145</v>
      </c>
      <c r="G37" s="151">
        <f>([1]Summary!$G$3-F37)/365</f>
        <v>1.6</v>
      </c>
      <c r="H37" s="151">
        <f>VLOOKUP(C37,[2]Rates!$C$6:$D$136,2,0)</f>
        <v>10</v>
      </c>
      <c r="I37" s="152">
        <f t="shared" si="0"/>
        <v>8.4</v>
      </c>
      <c r="J37" s="88">
        <v>461939</v>
      </c>
      <c r="K37" s="88"/>
      <c r="L37" s="153">
        <f t="shared" si="62"/>
        <v>461939</v>
      </c>
      <c r="M37" s="88">
        <v>35167.102500000001</v>
      </c>
      <c r="N37" s="24">
        <f t="shared" si="63"/>
        <v>426771.89750000002</v>
      </c>
      <c r="O37" s="24"/>
      <c r="P37" s="28">
        <f t="shared" si="64"/>
        <v>8</v>
      </c>
      <c r="Q37" s="26">
        <f t="shared" si="65"/>
        <v>23096.95</v>
      </c>
      <c r="R37" s="24">
        <f t="shared" si="66"/>
        <v>403674.94750000001</v>
      </c>
      <c r="S37" s="24">
        <f t="shared" si="67"/>
        <v>50459.368437500001</v>
      </c>
      <c r="T37" s="24">
        <f t="shared" si="68"/>
        <v>0</v>
      </c>
      <c r="U37" s="24">
        <f t="shared" si="69"/>
        <v>426771.89750000002</v>
      </c>
      <c r="V37" s="27">
        <f t="shared" si="70"/>
        <v>376312.52906249999</v>
      </c>
      <c r="W37" s="154"/>
      <c r="X37" s="154"/>
      <c r="Y37" s="154"/>
      <c r="Z37" s="154"/>
      <c r="AA37" s="35">
        <f t="shared" si="71"/>
        <v>376312.52906249999</v>
      </c>
      <c r="AB37" s="155"/>
      <c r="AC37" s="155"/>
      <c r="AD37" s="155"/>
      <c r="AE37" s="12">
        <f>([1]Summary!$G$4-F37)/365</f>
        <v>2.6</v>
      </c>
      <c r="AF37" s="12">
        <f t="shared" si="72"/>
        <v>7.4</v>
      </c>
      <c r="AG37" s="35">
        <f t="shared" si="73"/>
        <v>23096.95</v>
      </c>
      <c r="AH37" s="34">
        <f t="shared" si="74"/>
        <v>403674.94750000001</v>
      </c>
      <c r="AI37" s="35">
        <f t="shared" si="75"/>
        <v>50459.368437500001</v>
      </c>
      <c r="AJ37" s="35">
        <f t="shared" si="76"/>
        <v>325853.16062500002</v>
      </c>
      <c r="AL37" s="35">
        <f t="shared" si="77"/>
        <v>325853.16062500002</v>
      </c>
      <c r="AM37" s="155"/>
      <c r="AN37" s="155"/>
      <c r="AO37" s="155"/>
      <c r="AP37" s="12">
        <f>([1]Summary!$AL$4-F37)/365</f>
        <v>3.6027397260273974</v>
      </c>
      <c r="AQ37" s="12">
        <f t="shared" si="78"/>
        <v>6.3972602739726021</v>
      </c>
      <c r="AR37" s="35">
        <f t="shared" si="79"/>
        <v>23096.95</v>
      </c>
      <c r="AS37" s="34">
        <f t="shared" si="80"/>
        <v>353215.57906249998</v>
      </c>
      <c r="AT37" s="96">
        <f t="shared" si="81"/>
        <v>50459.368437500001</v>
      </c>
      <c r="AU37" s="35">
        <f t="shared" si="82"/>
        <v>275393.79218750005</v>
      </c>
      <c r="AW37" s="155">
        <f t="shared" si="83"/>
        <v>275393.79218750005</v>
      </c>
      <c r="AX37" s="155"/>
      <c r="AY37" s="155"/>
      <c r="AZ37" s="155"/>
      <c r="BA37" s="155">
        <f>([1]Summary!$AW$4-F37)/365</f>
        <v>4.602739726027397</v>
      </c>
      <c r="BB37" s="155">
        <f t="shared" si="84"/>
        <v>5.397260273972603</v>
      </c>
      <c r="BC37" s="155">
        <f t="shared" si="85"/>
        <v>23096.95</v>
      </c>
      <c r="BD37" s="155">
        <f t="shared" si="86"/>
        <v>302756.21062500001</v>
      </c>
      <c r="BE37" s="35">
        <f t="shared" si="115"/>
        <v>50459.368437500001</v>
      </c>
      <c r="BF37" s="155">
        <f t="shared" si="87"/>
        <v>224934.42375000005</v>
      </c>
      <c r="BG37" s="155"/>
      <c r="BH37" s="35">
        <f t="shared" si="88"/>
        <v>224934.42375000005</v>
      </c>
      <c r="BI37" s="155"/>
      <c r="BJ37" s="155"/>
      <c r="BK37" s="155"/>
      <c r="BL37" s="35">
        <f>([1]Summary!$BH$4-F37)/365</f>
        <v>5.602739726027397</v>
      </c>
      <c r="BM37" s="155">
        <f t="shared" si="89"/>
        <v>4.397260273972603</v>
      </c>
      <c r="BN37" s="155">
        <f t="shared" si="90"/>
        <v>23096.95</v>
      </c>
      <c r="BO37" s="35">
        <f t="shared" si="91"/>
        <v>201837.47375000003</v>
      </c>
      <c r="BP37" s="35">
        <f t="shared" si="92"/>
        <v>50459.368437500001</v>
      </c>
      <c r="BQ37" s="35">
        <f t="shared" si="93"/>
        <v>174475.05531250004</v>
      </c>
      <c r="BS37" s="132">
        <f t="shared" si="94"/>
        <v>151378.10531250003</v>
      </c>
      <c r="BT37" s="35">
        <v>174475.05531250004</v>
      </c>
      <c r="BU37" s="155"/>
      <c r="BV37" s="155"/>
      <c r="BW37" s="155"/>
      <c r="BX37" s="35">
        <f>([1]Summary!$BT$4-F37)/365</f>
        <v>6.602739726027397</v>
      </c>
      <c r="BY37" s="96">
        <f t="shared" si="95"/>
        <v>3.397260273972603</v>
      </c>
      <c r="BZ37" s="35">
        <f t="shared" si="96"/>
        <v>23096.95</v>
      </c>
      <c r="CA37" s="35">
        <f t="shared" si="97"/>
        <v>151378.10531250003</v>
      </c>
      <c r="CB37" s="35">
        <f t="shared" si="98"/>
        <v>50459.368437500001</v>
      </c>
      <c r="CC37" s="35">
        <f t="shared" si="99"/>
        <v>124015.68687500004</v>
      </c>
      <c r="CE37" s="35">
        <v>124015.68687500004</v>
      </c>
      <c r="CF37" s="155"/>
      <c r="CG37" s="155"/>
      <c r="CH37" s="155"/>
      <c r="CI37" s="35">
        <f>([1]Summary!$CE$4-F37)/365</f>
        <v>7.6054794520547944</v>
      </c>
      <c r="CJ37" s="96">
        <f t="shared" si="100"/>
        <v>2.3945205479452056</v>
      </c>
      <c r="CK37" s="35">
        <f t="shared" si="101"/>
        <v>23096.95</v>
      </c>
      <c r="CL37" s="35">
        <f t="shared" si="102"/>
        <v>100918.73687500005</v>
      </c>
      <c r="CM37" s="35">
        <f t="shared" si="103"/>
        <v>50459.368437500001</v>
      </c>
      <c r="CN37" s="35">
        <f t="shared" si="104"/>
        <v>73556.318437500042</v>
      </c>
      <c r="CP37" s="35">
        <f t="shared" si="105"/>
        <v>73556.318437500042</v>
      </c>
      <c r="CQ37" s="155"/>
      <c r="CR37" s="155"/>
      <c r="CS37" s="155"/>
      <c r="CT37" s="35">
        <f>([1]Summary!$CP$4-F37)/365</f>
        <v>8.6054794520547944</v>
      </c>
      <c r="CU37" s="96">
        <f t="shared" si="106"/>
        <v>1.3945205479452056</v>
      </c>
      <c r="CV37" s="35">
        <f t="shared" si="107"/>
        <v>23096.95</v>
      </c>
      <c r="CW37" s="35">
        <f t="shared" si="108"/>
        <v>50459.368437500045</v>
      </c>
      <c r="CX37" s="35">
        <f t="shared" si="109"/>
        <v>50459.368437500001</v>
      </c>
      <c r="CY37" s="35">
        <f t="shared" si="110"/>
        <v>23096.950000000041</v>
      </c>
      <c r="DA37" s="35">
        <f t="shared" si="111"/>
        <v>23096.950000000041</v>
      </c>
      <c r="DB37" s="155"/>
      <c r="DC37" s="155"/>
      <c r="DD37" s="155"/>
      <c r="DE37" s="35">
        <f>([1]Summary!$DA$4-F37)/365</f>
        <v>9.6054794520547944</v>
      </c>
      <c r="DF37" s="96">
        <f t="shared" si="52"/>
        <v>0.39452054794520564</v>
      </c>
      <c r="DG37" s="35">
        <f t="shared" si="112"/>
        <v>23096.95</v>
      </c>
      <c r="DH37" s="35">
        <f t="shared" si="113"/>
        <v>4.0017766878008842E-11</v>
      </c>
      <c r="DI37" s="35"/>
      <c r="DJ37" s="35">
        <f t="shared" si="114"/>
        <v>23096.950000000041</v>
      </c>
      <c r="DL37" s="157">
        <f t="shared" si="57"/>
        <v>461939</v>
      </c>
      <c r="DM37" s="157">
        <f t="shared" si="58"/>
        <v>438842.04999999993</v>
      </c>
      <c r="DN37" s="157">
        <f t="shared" si="59"/>
        <v>23096.95000000007</v>
      </c>
      <c r="DO37" s="158">
        <f t="shared" si="60"/>
        <v>-2.9103830456733704E-11</v>
      </c>
    </row>
    <row r="38" spans="1:119" s="156" customFormat="1" ht="24" customHeight="1" x14ac:dyDescent="0.25">
      <c r="A38" s="11" t="s">
        <v>6</v>
      </c>
      <c r="B38" s="171" t="s">
        <v>518</v>
      </c>
      <c r="C38" s="172" t="s">
        <v>518</v>
      </c>
      <c r="D38" s="150" t="s">
        <v>531</v>
      </c>
      <c r="E38" s="39" t="s">
        <v>532</v>
      </c>
      <c r="F38" s="173">
        <v>41289</v>
      </c>
      <c r="G38" s="151">
        <f>([1]Summary!$G$3-F38)/365</f>
        <v>1.2054794520547945</v>
      </c>
      <c r="H38" s="151">
        <f>VLOOKUP(C38,[2]Rates!$C$6:$D$136,2,0)</f>
        <v>10</v>
      </c>
      <c r="I38" s="152">
        <f t="shared" si="0"/>
        <v>8.794520547945206</v>
      </c>
      <c r="J38" s="88">
        <v>7500</v>
      </c>
      <c r="K38" s="88"/>
      <c r="L38" s="153">
        <f t="shared" si="62"/>
        <v>7500</v>
      </c>
      <c r="M38" s="88">
        <v>430.25</v>
      </c>
      <c r="N38" s="24">
        <f t="shared" si="63"/>
        <v>7069.75</v>
      </c>
      <c r="O38" s="24"/>
      <c r="P38" s="28">
        <f t="shared" si="64"/>
        <v>9</v>
      </c>
      <c r="Q38" s="26">
        <f t="shared" si="65"/>
        <v>375</v>
      </c>
      <c r="R38" s="24">
        <f t="shared" si="66"/>
        <v>6694.75</v>
      </c>
      <c r="S38" s="24">
        <f t="shared" si="67"/>
        <v>743.86111111111109</v>
      </c>
      <c r="T38" s="24">
        <f t="shared" si="68"/>
        <v>0</v>
      </c>
      <c r="U38" s="24">
        <f t="shared" si="69"/>
        <v>7069.75</v>
      </c>
      <c r="V38" s="27">
        <f t="shared" si="70"/>
        <v>6325.8888888888887</v>
      </c>
      <c r="W38" s="154"/>
      <c r="X38" s="154"/>
      <c r="Y38" s="154"/>
      <c r="Z38" s="154"/>
      <c r="AA38" s="35">
        <f t="shared" si="71"/>
        <v>6325.8888888888887</v>
      </c>
      <c r="AB38" s="155"/>
      <c r="AC38" s="155"/>
      <c r="AD38" s="155"/>
      <c r="AE38" s="12">
        <f>([1]Summary!$G$4-F38)/365</f>
        <v>2.2054794520547945</v>
      </c>
      <c r="AF38" s="12">
        <f t="shared" si="72"/>
        <v>7.794520547945206</v>
      </c>
      <c r="AG38" s="35">
        <f t="shared" si="73"/>
        <v>375</v>
      </c>
      <c r="AH38" s="34">
        <f t="shared" si="74"/>
        <v>6694.75</v>
      </c>
      <c r="AI38" s="35">
        <f t="shared" si="75"/>
        <v>743.86111111111109</v>
      </c>
      <c r="AJ38" s="35">
        <f t="shared" si="76"/>
        <v>5582.0277777777774</v>
      </c>
      <c r="AL38" s="35">
        <f t="shared" si="77"/>
        <v>5582.0277777777774</v>
      </c>
      <c r="AM38" s="155"/>
      <c r="AN38" s="155"/>
      <c r="AO38" s="155"/>
      <c r="AP38" s="12">
        <f>([1]Summary!$AL$4-F38)/365</f>
        <v>3.2082191780821918</v>
      </c>
      <c r="AQ38" s="12">
        <f t="shared" si="78"/>
        <v>6.7917808219178077</v>
      </c>
      <c r="AR38" s="35">
        <f t="shared" si="79"/>
        <v>375</v>
      </c>
      <c r="AS38" s="34">
        <f t="shared" si="80"/>
        <v>5950.8888888888887</v>
      </c>
      <c r="AT38" s="96">
        <f t="shared" si="81"/>
        <v>743.86111111111109</v>
      </c>
      <c r="AU38" s="35">
        <f t="shared" si="82"/>
        <v>4838.1666666666661</v>
      </c>
      <c r="AW38" s="155">
        <f t="shared" si="83"/>
        <v>4838.1666666666661</v>
      </c>
      <c r="AX38" s="155"/>
      <c r="AY38" s="155"/>
      <c r="AZ38" s="155"/>
      <c r="BA38" s="155">
        <f>([1]Summary!$AW$4-F38)/365</f>
        <v>4.2082191780821914</v>
      </c>
      <c r="BB38" s="155">
        <f t="shared" si="84"/>
        <v>5.7917808219178086</v>
      </c>
      <c r="BC38" s="155">
        <f t="shared" si="85"/>
        <v>375</v>
      </c>
      <c r="BD38" s="155">
        <f t="shared" si="86"/>
        <v>5207.0277777777774</v>
      </c>
      <c r="BE38" s="35">
        <f t="shared" si="115"/>
        <v>743.86111111111109</v>
      </c>
      <c r="BF38" s="155">
        <f t="shared" si="87"/>
        <v>4094.3055555555547</v>
      </c>
      <c r="BG38" s="155"/>
      <c r="BH38" s="35">
        <f t="shared" si="88"/>
        <v>4094.3055555555547</v>
      </c>
      <c r="BI38" s="155"/>
      <c r="BJ38" s="155"/>
      <c r="BK38" s="155"/>
      <c r="BL38" s="35">
        <f>([1]Summary!$BH$4-F38)/365</f>
        <v>5.2082191780821914</v>
      </c>
      <c r="BM38" s="155">
        <f t="shared" si="89"/>
        <v>4.7917808219178086</v>
      </c>
      <c r="BN38" s="155">
        <f t="shared" si="90"/>
        <v>375</v>
      </c>
      <c r="BO38" s="35">
        <f t="shared" si="91"/>
        <v>3719.3055555555547</v>
      </c>
      <c r="BP38" s="35">
        <f t="shared" si="92"/>
        <v>743.86111111111109</v>
      </c>
      <c r="BQ38" s="35">
        <f t="shared" si="93"/>
        <v>3350.4444444444434</v>
      </c>
      <c r="BS38" s="132">
        <f t="shared" si="94"/>
        <v>2975.4444444444434</v>
      </c>
      <c r="BT38" s="35">
        <v>3350.4444444444434</v>
      </c>
      <c r="BU38" s="155"/>
      <c r="BV38" s="155"/>
      <c r="BW38" s="155"/>
      <c r="BX38" s="35">
        <f>([1]Summary!$BT$4-F38)/365</f>
        <v>6.2082191780821914</v>
      </c>
      <c r="BY38" s="96">
        <f t="shared" si="95"/>
        <v>3.7917808219178086</v>
      </c>
      <c r="BZ38" s="35">
        <f t="shared" si="96"/>
        <v>375</v>
      </c>
      <c r="CA38" s="35">
        <f t="shared" si="97"/>
        <v>2975.4444444444434</v>
      </c>
      <c r="CB38" s="35">
        <f t="shared" si="98"/>
        <v>743.86111111111109</v>
      </c>
      <c r="CC38" s="35">
        <f t="shared" si="99"/>
        <v>2606.5833333333321</v>
      </c>
      <c r="CE38" s="35">
        <v>2606.5833333333321</v>
      </c>
      <c r="CF38" s="155"/>
      <c r="CG38" s="155"/>
      <c r="CH38" s="155"/>
      <c r="CI38" s="35">
        <f>([1]Summary!$CE$4-F38)/365</f>
        <v>7.2109589041095887</v>
      </c>
      <c r="CJ38" s="96">
        <f t="shared" si="100"/>
        <v>2.7890410958904113</v>
      </c>
      <c r="CK38" s="35">
        <f t="shared" si="101"/>
        <v>375</v>
      </c>
      <c r="CL38" s="35">
        <f t="shared" si="102"/>
        <v>2231.5833333333321</v>
      </c>
      <c r="CM38" s="35">
        <f t="shared" si="103"/>
        <v>743.86111111111109</v>
      </c>
      <c r="CN38" s="35">
        <f t="shared" si="104"/>
        <v>1862.722222222221</v>
      </c>
      <c r="CP38" s="35">
        <f t="shared" si="105"/>
        <v>1862.722222222221</v>
      </c>
      <c r="CQ38" s="155"/>
      <c r="CR38" s="155"/>
      <c r="CS38" s="155"/>
      <c r="CT38" s="35">
        <f>([1]Summary!$CP$4-F38)/365</f>
        <v>8.2109589041095887</v>
      </c>
      <c r="CU38" s="96">
        <f t="shared" si="106"/>
        <v>1.7890410958904113</v>
      </c>
      <c r="CV38" s="35">
        <f t="shared" si="107"/>
        <v>375</v>
      </c>
      <c r="CW38" s="35">
        <f t="shared" si="108"/>
        <v>1487.722222222221</v>
      </c>
      <c r="CX38" s="35">
        <f t="shared" si="109"/>
        <v>743.86111111111109</v>
      </c>
      <c r="CY38" s="35">
        <f t="shared" si="110"/>
        <v>1118.8611111111099</v>
      </c>
      <c r="DA38" s="35">
        <f t="shared" si="111"/>
        <v>1118.8611111111099</v>
      </c>
      <c r="DB38" s="155"/>
      <c r="DC38" s="155"/>
      <c r="DD38" s="155"/>
      <c r="DE38" s="35">
        <f>([1]Summary!$DA$4-F38)/365</f>
        <v>9.2109589041095887</v>
      </c>
      <c r="DF38" s="96">
        <f t="shared" si="52"/>
        <v>0.78904109589041127</v>
      </c>
      <c r="DG38" s="35">
        <f t="shared" si="112"/>
        <v>375</v>
      </c>
      <c r="DH38" s="35">
        <f t="shared" si="113"/>
        <v>743.86111111110995</v>
      </c>
      <c r="DI38" s="35">
        <f t="shared" ref="DI38:DI44" si="116">CX38</f>
        <v>743.86111111111109</v>
      </c>
      <c r="DJ38" s="35">
        <f t="shared" si="114"/>
        <v>374.99999999999886</v>
      </c>
      <c r="DL38" s="157">
        <f t="shared" si="57"/>
        <v>7500</v>
      </c>
      <c r="DM38" s="157">
        <f t="shared" si="58"/>
        <v>7125.0000000000009</v>
      </c>
      <c r="DN38" s="157">
        <f t="shared" si="59"/>
        <v>374.99999999999909</v>
      </c>
      <c r="DO38" s="158">
        <f t="shared" si="60"/>
        <v>0</v>
      </c>
    </row>
    <row r="39" spans="1:119" s="156" customFormat="1" ht="24" customHeight="1" x14ac:dyDescent="0.25">
      <c r="A39" s="11" t="s">
        <v>6</v>
      </c>
      <c r="B39" s="162" t="s">
        <v>518</v>
      </c>
      <c r="C39" s="172" t="s">
        <v>518</v>
      </c>
      <c r="D39" s="150" t="s">
        <v>533</v>
      </c>
      <c r="E39" s="39" t="s">
        <v>534</v>
      </c>
      <c r="F39" s="173">
        <v>42106</v>
      </c>
      <c r="G39" s="151">
        <f>([1]Summary!$G$4-F39)/365</f>
        <v>-3.287671232876712E-2</v>
      </c>
      <c r="H39" s="151">
        <f>VLOOKUP(C39,[2]Rates!$C$6:$D$136,2,0)</f>
        <v>10</v>
      </c>
      <c r="I39" s="174">
        <f t="shared" si="0"/>
        <v>10.032876712328767</v>
      </c>
      <c r="J39" s="88"/>
      <c r="K39" s="88"/>
      <c r="L39" s="153">
        <f t="shared" si="62"/>
        <v>0</v>
      </c>
      <c r="M39" s="175">
        <v>0</v>
      </c>
      <c r="N39" s="24">
        <f t="shared" si="63"/>
        <v>0</v>
      </c>
      <c r="O39" s="154"/>
      <c r="P39" s="154"/>
      <c r="Q39" s="154"/>
      <c r="R39" s="24">
        <f>IF(N39-AG39&lt;=0,0,IF(AF39&lt;=0,0,N39-AG39))</f>
        <v>0</v>
      </c>
      <c r="T39" s="24"/>
      <c r="U39" s="24">
        <f t="shared" si="69"/>
        <v>0</v>
      </c>
      <c r="V39" s="27">
        <f t="shared" si="70"/>
        <v>0</v>
      </c>
      <c r="W39" s="154"/>
      <c r="X39" s="154"/>
      <c r="Y39" s="154"/>
      <c r="Z39" s="154"/>
      <c r="AA39" s="35">
        <f t="shared" si="71"/>
        <v>0</v>
      </c>
      <c r="AB39" s="155">
        <v>73500</v>
      </c>
      <c r="AC39" s="155"/>
      <c r="AD39" s="35">
        <f>+[1]Summary!$AD$1-F39+1</f>
        <v>355</v>
      </c>
      <c r="AE39" s="12">
        <f>([1]Summary!$G$4-F39)/365</f>
        <v>-3.287671232876712E-2</v>
      </c>
      <c r="AF39" s="12">
        <f t="shared" si="72"/>
        <v>10.032876712328767</v>
      </c>
      <c r="AG39" s="159">
        <f>AB39*5%</f>
        <v>3675</v>
      </c>
      <c r="AH39" s="155">
        <f>IF(AB39-AG39&lt;=0,0,IF(AF39&lt;=0,0,AB39-AG39))</f>
        <v>69825</v>
      </c>
      <c r="AI39" s="35">
        <f>(AH39/AF39)/365*AD39</f>
        <v>6768.9445658110326</v>
      </c>
      <c r="AJ39" s="155">
        <f>AB39-AI39</f>
        <v>66731.055434188966</v>
      </c>
      <c r="AL39" s="35">
        <f t="shared" si="77"/>
        <v>66731.055434188966</v>
      </c>
      <c r="AM39" s="155"/>
      <c r="AN39" s="155"/>
      <c r="AO39" s="35"/>
      <c r="AP39" s="12">
        <f>([1]Summary!$AL$4-F39)/365</f>
        <v>0.96986301369863015</v>
      </c>
      <c r="AQ39" s="12">
        <f t="shared" si="78"/>
        <v>9.0301369863013701</v>
      </c>
      <c r="AR39" s="159">
        <f t="shared" si="79"/>
        <v>3675</v>
      </c>
      <c r="AS39" s="160">
        <f>IF(AB39-AG39&lt;=0,0,IF(AQ39&lt;=0,0,AB39-AG39))</f>
        <v>69825</v>
      </c>
      <c r="AT39" s="176">
        <f>+AH39/AF39</f>
        <v>6959.619060622611</v>
      </c>
      <c r="AU39" s="35">
        <f t="shared" si="82"/>
        <v>59771.436373566357</v>
      </c>
      <c r="AW39" s="155">
        <f t="shared" si="83"/>
        <v>59771.436373566357</v>
      </c>
      <c r="AX39" s="155"/>
      <c r="AY39" s="155"/>
      <c r="AZ39" s="155"/>
      <c r="BA39" s="155">
        <f>([1]Summary!$AW$4-F39)/365</f>
        <v>1.9698630136986301</v>
      </c>
      <c r="BB39" s="155">
        <f t="shared" si="84"/>
        <v>8.0301369863013701</v>
      </c>
      <c r="BC39" s="155">
        <f t="shared" si="85"/>
        <v>3675</v>
      </c>
      <c r="BD39" s="155">
        <f t="shared" si="86"/>
        <v>63056.055434188966</v>
      </c>
      <c r="BE39" s="155">
        <f t="shared" si="115"/>
        <v>6959.619060622611</v>
      </c>
      <c r="BF39" s="155">
        <f t="shared" si="87"/>
        <v>52811.817312943749</v>
      </c>
      <c r="BG39" s="155"/>
      <c r="BH39" s="35">
        <f t="shared" si="88"/>
        <v>52811.817312943749</v>
      </c>
      <c r="BI39" s="155"/>
      <c r="BJ39" s="155"/>
      <c r="BK39" s="155"/>
      <c r="BL39" s="35">
        <f>([1]Summary!$BH$4-F39)/365</f>
        <v>2.9698630136986299</v>
      </c>
      <c r="BM39" s="155">
        <f t="shared" si="89"/>
        <v>7.0301369863013701</v>
      </c>
      <c r="BN39" s="155">
        <f t="shared" si="90"/>
        <v>3675</v>
      </c>
      <c r="BO39" s="35">
        <f t="shared" si="91"/>
        <v>49136.817312943749</v>
      </c>
      <c r="BP39" s="35">
        <f t="shared" si="92"/>
        <v>6959.619060622611</v>
      </c>
      <c r="BQ39" s="35">
        <f t="shared" si="93"/>
        <v>45852.198252321141</v>
      </c>
      <c r="BS39" s="132">
        <f t="shared" si="94"/>
        <v>42177.198252321141</v>
      </c>
      <c r="BT39" s="35">
        <v>45852.198252321141</v>
      </c>
      <c r="BU39" s="155"/>
      <c r="BV39" s="155"/>
      <c r="BW39" s="155"/>
      <c r="BX39" s="35">
        <f>([1]Summary!$BT$4-F39)/365</f>
        <v>3.9698630136986299</v>
      </c>
      <c r="BY39" s="96">
        <f t="shared" si="95"/>
        <v>6.0301369863013701</v>
      </c>
      <c r="BZ39" s="35">
        <f t="shared" si="96"/>
        <v>3675</v>
      </c>
      <c r="CA39" s="35">
        <f t="shared" si="97"/>
        <v>42177.198252321141</v>
      </c>
      <c r="CB39" s="35">
        <f t="shared" si="98"/>
        <v>6959.619060622611</v>
      </c>
      <c r="CC39" s="35">
        <f t="shared" si="99"/>
        <v>38892.579191698533</v>
      </c>
      <c r="CE39" s="35">
        <v>38892.579191698533</v>
      </c>
      <c r="CF39" s="155"/>
      <c r="CG39" s="155"/>
      <c r="CH39" s="155"/>
      <c r="CI39" s="35">
        <f>([1]Summary!$CE$4-F39)/365</f>
        <v>4.9726027397260273</v>
      </c>
      <c r="CJ39" s="96">
        <f t="shared" si="100"/>
        <v>5.0273972602739727</v>
      </c>
      <c r="CK39" s="35">
        <f t="shared" si="101"/>
        <v>3675</v>
      </c>
      <c r="CL39" s="35">
        <f t="shared" si="102"/>
        <v>35217.579191698533</v>
      </c>
      <c r="CM39" s="35">
        <f t="shared" si="103"/>
        <v>6959.619060622611</v>
      </c>
      <c r="CN39" s="35">
        <f t="shared" si="104"/>
        <v>31932.960131075921</v>
      </c>
      <c r="CP39" s="35">
        <f t="shared" si="105"/>
        <v>31932.960131075921</v>
      </c>
      <c r="CQ39" s="155"/>
      <c r="CR39" s="155"/>
      <c r="CS39" s="155"/>
      <c r="CT39" s="35">
        <f>([1]Summary!$CP$4-F39)/365</f>
        <v>5.9726027397260273</v>
      </c>
      <c r="CU39" s="96">
        <f t="shared" si="106"/>
        <v>4.0273972602739727</v>
      </c>
      <c r="CV39" s="35">
        <f t="shared" si="107"/>
        <v>3675</v>
      </c>
      <c r="CW39" s="35">
        <f t="shared" si="108"/>
        <v>28257.960131075921</v>
      </c>
      <c r="CX39" s="35">
        <f t="shared" si="109"/>
        <v>6959.619060622611</v>
      </c>
      <c r="CY39" s="35">
        <f t="shared" si="110"/>
        <v>24973.341070453309</v>
      </c>
      <c r="DA39" s="35">
        <f t="shared" si="111"/>
        <v>24973.341070453309</v>
      </c>
      <c r="DB39" s="155"/>
      <c r="DC39" s="155"/>
      <c r="DD39" s="155"/>
      <c r="DE39" s="35">
        <f>([1]Summary!$DA$4-F39)/365</f>
        <v>6.9726027397260273</v>
      </c>
      <c r="DF39" s="96">
        <f t="shared" si="52"/>
        <v>3.0273972602739727</v>
      </c>
      <c r="DG39" s="35">
        <f t="shared" si="112"/>
        <v>3675</v>
      </c>
      <c r="DH39" s="35">
        <f t="shared" si="113"/>
        <v>21298.341070453309</v>
      </c>
      <c r="DI39" s="35">
        <f t="shared" si="116"/>
        <v>6959.619060622611</v>
      </c>
      <c r="DJ39" s="35">
        <f t="shared" si="114"/>
        <v>18013.722009830697</v>
      </c>
      <c r="DL39" s="157">
        <f t="shared" si="57"/>
        <v>73500</v>
      </c>
      <c r="DM39" s="157">
        <f t="shared" si="58"/>
        <v>55486.277990169299</v>
      </c>
      <c r="DN39" s="157">
        <f t="shared" si="59"/>
        <v>18013.722009830701</v>
      </c>
      <c r="DO39" s="158">
        <f t="shared" si="60"/>
        <v>0</v>
      </c>
    </row>
    <row r="40" spans="1:119" s="156" customFormat="1" ht="24" customHeight="1" x14ac:dyDescent="0.25">
      <c r="A40" s="11" t="s">
        <v>7</v>
      </c>
      <c r="B40" s="86" t="s">
        <v>4</v>
      </c>
      <c r="C40" s="15" t="s">
        <v>474</v>
      </c>
      <c r="D40" s="150" t="s">
        <v>535</v>
      </c>
      <c r="E40" s="39" t="s">
        <v>536</v>
      </c>
      <c r="F40" s="177">
        <v>39617</v>
      </c>
      <c r="G40" s="151">
        <f>([1]Summary!$G$3-F40)/365</f>
        <v>5.7863013698630139</v>
      </c>
      <c r="H40" s="151">
        <f>VLOOKUP(C40,[2]Rates!$C$6:$D$136,2,0)</f>
        <v>15</v>
      </c>
      <c r="I40" s="152">
        <f t="shared" si="0"/>
        <v>9.2136986301369852</v>
      </c>
      <c r="J40" s="88">
        <v>457172</v>
      </c>
      <c r="K40" s="88"/>
      <c r="L40" s="153">
        <f t="shared" si="62"/>
        <v>457172</v>
      </c>
      <c r="M40" s="88">
        <v>197878.6496</v>
      </c>
      <c r="N40" s="24">
        <f t="shared" si="63"/>
        <v>259293.3504</v>
      </c>
      <c r="O40" s="24"/>
      <c r="P40" s="28">
        <f>ROUND(I40,0)</f>
        <v>9</v>
      </c>
      <c r="Q40" s="26">
        <f>J40*5%</f>
        <v>22858.600000000002</v>
      </c>
      <c r="R40" s="24">
        <f>IF(N40-Q40&lt;=0,0,IF(P40&lt;=0,0,N40-Q40))</f>
        <v>236434.75039999999</v>
      </c>
      <c r="S40" s="24">
        <f>R40/P40</f>
        <v>26270.527822222222</v>
      </c>
      <c r="T40" s="24">
        <f>IF(P40&lt;=0,Q40-N40,IF(N40&lt;=Q40,Q40-N40,0))</f>
        <v>0</v>
      </c>
      <c r="U40" s="24">
        <f t="shared" si="69"/>
        <v>259293.3504</v>
      </c>
      <c r="V40" s="27">
        <f t="shared" si="70"/>
        <v>233022.82257777778</v>
      </c>
      <c r="W40" s="154"/>
      <c r="X40" s="154"/>
      <c r="Y40" s="154"/>
      <c r="Z40" s="154"/>
      <c r="AA40" s="35">
        <f t="shared" si="71"/>
        <v>233022.82257777778</v>
      </c>
      <c r="AB40" s="155"/>
      <c r="AC40" s="155"/>
      <c r="AD40" s="155"/>
      <c r="AE40" s="12">
        <f>([1]Summary!$G$4-F40)/365</f>
        <v>6.7863013698630139</v>
      </c>
      <c r="AF40" s="12">
        <f t="shared" si="72"/>
        <v>8.2136986301369852</v>
      </c>
      <c r="AG40" s="155">
        <f>Q40</f>
        <v>22858.600000000002</v>
      </c>
      <c r="AH40" s="160">
        <f>IF(N40-Q40&lt;=0,0,IF(AF40&lt;=0,0,N40-Q40))</f>
        <v>236434.75039999999</v>
      </c>
      <c r="AI40" s="160">
        <f>S40</f>
        <v>26270.527822222222</v>
      </c>
      <c r="AJ40" s="35">
        <f>AA40-AI40</f>
        <v>206752.29475555557</v>
      </c>
      <c r="AL40" s="35">
        <f t="shared" si="77"/>
        <v>206752.29475555557</v>
      </c>
      <c r="AM40" s="155"/>
      <c r="AN40" s="155"/>
      <c r="AO40" s="155"/>
      <c r="AP40" s="12">
        <f>([1]Summary!$AL$4-F40)/365</f>
        <v>7.7890410958904113</v>
      </c>
      <c r="AQ40" s="12">
        <f t="shared" si="78"/>
        <v>7.2109589041095887</v>
      </c>
      <c r="AR40" s="155">
        <f t="shared" si="79"/>
        <v>22858.600000000002</v>
      </c>
      <c r="AS40" s="160">
        <f>IF(AA40-AG40&lt;=0,0,IF(AQ40&lt;=0,0,AA40-AG40))</f>
        <v>210164.22257777778</v>
      </c>
      <c r="AT40" s="96">
        <f>+AI40</f>
        <v>26270.527822222222</v>
      </c>
      <c r="AU40" s="35">
        <f t="shared" si="82"/>
        <v>180481.76693333336</v>
      </c>
      <c r="AW40" s="155">
        <f t="shared" si="83"/>
        <v>180481.76693333336</v>
      </c>
      <c r="AX40" s="155"/>
      <c r="AY40" s="155"/>
      <c r="AZ40" s="155"/>
      <c r="BA40" s="155">
        <f>([1]Summary!$AW$4-F40)/365</f>
        <v>8.7890410958904113</v>
      </c>
      <c r="BB40" s="155">
        <f t="shared" si="84"/>
        <v>6.2109589041095887</v>
      </c>
      <c r="BC40" s="155">
        <f t="shared" si="85"/>
        <v>22858.600000000002</v>
      </c>
      <c r="BD40" s="155">
        <f t="shared" si="86"/>
        <v>183893.69475555557</v>
      </c>
      <c r="BE40" s="155">
        <f t="shared" si="115"/>
        <v>26270.527822222222</v>
      </c>
      <c r="BF40" s="155">
        <f t="shared" si="87"/>
        <v>154211.23911111115</v>
      </c>
      <c r="BG40" s="155"/>
      <c r="BH40" s="35">
        <f t="shared" si="88"/>
        <v>154211.23911111115</v>
      </c>
      <c r="BI40" s="155"/>
      <c r="BJ40" s="155"/>
      <c r="BK40" s="155"/>
      <c r="BL40" s="35">
        <f>([1]Summary!$BH$4-F40)/365</f>
        <v>9.7890410958904113</v>
      </c>
      <c r="BM40" s="155">
        <f t="shared" si="89"/>
        <v>5.2109589041095887</v>
      </c>
      <c r="BN40" s="155">
        <f t="shared" si="90"/>
        <v>22858.600000000002</v>
      </c>
      <c r="BO40" s="35">
        <f t="shared" si="91"/>
        <v>131352.63911111114</v>
      </c>
      <c r="BP40" s="35">
        <f t="shared" si="92"/>
        <v>26270.527822222222</v>
      </c>
      <c r="BQ40" s="35">
        <f t="shared" si="93"/>
        <v>127940.71128888892</v>
      </c>
      <c r="BS40" s="132">
        <f t="shared" si="94"/>
        <v>105082.11128888892</v>
      </c>
      <c r="BT40" s="35">
        <v>127940.71128888892</v>
      </c>
      <c r="BU40" s="155"/>
      <c r="BV40" s="155"/>
      <c r="BW40" s="155"/>
      <c r="BX40" s="35">
        <f>([1]Summary!$BT$4-F40)/365</f>
        <v>10.789041095890411</v>
      </c>
      <c r="BY40" s="96">
        <f t="shared" si="95"/>
        <v>4.2109589041095887</v>
      </c>
      <c r="BZ40" s="35">
        <f t="shared" si="96"/>
        <v>22858.600000000002</v>
      </c>
      <c r="CA40" s="35">
        <f t="shared" si="97"/>
        <v>105082.11128888892</v>
      </c>
      <c r="CB40" s="35">
        <f t="shared" si="98"/>
        <v>26270.527822222222</v>
      </c>
      <c r="CC40" s="35">
        <f t="shared" si="99"/>
        <v>101670.1834666667</v>
      </c>
      <c r="CE40" s="35">
        <v>101670.1834666667</v>
      </c>
      <c r="CF40" s="155"/>
      <c r="CG40" s="155"/>
      <c r="CH40" s="155"/>
      <c r="CI40" s="35">
        <f>([1]Summary!$CE$4-F40)/365</f>
        <v>11.791780821917808</v>
      </c>
      <c r="CJ40" s="96">
        <f t="shared" si="100"/>
        <v>3.2082191780821923</v>
      </c>
      <c r="CK40" s="35">
        <f t="shared" si="101"/>
        <v>22858.600000000002</v>
      </c>
      <c r="CL40" s="35">
        <f t="shared" si="102"/>
        <v>78811.583466666692</v>
      </c>
      <c r="CM40" s="35">
        <f t="shared" si="103"/>
        <v>26270.527822222222</v>
      </c>
      <c r="CN40" s="35">
        <f t="shared" si="104"/>
        <v>75399.655644444472</v>
      </c>
      <c r="CP40" s="35">
        <f t="shared" si="105"/>
        <v>75399.655644444472</v>
      </c>
      <c r="CQ40" s="155"/>
      <c r="CR40" s="155"/>
      <c r="CS40" s="155"/>
      <c r="CT40" s="35">
        <f>([1]Summary!$CP$4-F40)/365</f>
        <v>12.791780821917808</v>
      </c>
      <c r="CU40" s="96">
        <f t="shared" si="106"/>
        <v>2.2082191780821923</v>
      </c>
      <c r="CV40" s="35">
        <f t="shared" si="107"/>
        <v>22858.600000000002</v>
      </c>
      <c r="CW40" s="35">
        <f t="shared" si="108"/>
        <v>52541.055644444466</v>
      </c>
      <c r="CX40" s="35">
        <f t="shared" si="109"/>
        <v>26270.527822222222</v>
      </c>
      <c r="CY40" s="35">
        <f t="shared" si="110"/>
        <v>49129.127822222246</v>
      </c>
      <c r="DA40" s="35">
        <f t="shared" si="111"/>
        <v>49129.127822222246</v>
      </c>
      <c r="DB40" s="155"/>
      <c r="DC40" s="155"/>
      <c r="DD40" s="155"/>
      <c r="DE40" s="35">
        <f>([1]Summary!$DA$4-F40)/365</f>
        <v>13.791780821917808</v>
      </c>
      <c r="DF40" s="96">
        <f t="shared" si="52"/>
        <v>1.2082191780821923</v>
      </c>
      <c r="DG40" s="35">
        <f t="shared" si="112"/>
        <v>22858.600000000002</v>
      </c>
      <c r="DH40" s="35">
        <f t="shared" si="113"/>
        <v>26270.527822222244</v>
      </c>
      <c r="DI40" s="35">
        <f t="shared" si="116"/>
        <v>26270.527822222222</v>
      </c>
      <c r="DJ40" s="35">
        <f t="shared" si="114"/>
        <v>22858.600000000024</v>
      </c>
      <c r="DL40" s="157">
        <f t="shared" si="57"/>
        <v>457172</v>
      </c>
      <c r="DM40" s="157">
        <f t="shared" si="58"/>
        <v>434313.39999999991</v>
      </c>
      <c r="DN40" s="157">
        <f t="shared" si="59"/>
        <v>22858.600000000093</v>
      </c>
      <c r="DO40" s="158">
        <f t="shared" si="60"/>
        <v>-6.9121597334742546E-11</v>
      </c>
    </row>
    <row r="41" spans="1:119" s="156" customFormat="1" ht="24" customHeight="1" x14ac:dyDescent="0.25">
      <c r="A41" s="11" t="s">
        <v>7</v>
      </c>
      <c r="B41" s="86" t="s">
        <v>4</v>
      </c>
      <c r="C41" s="15" t="s">
        <v>474</v>
      </c>
      <c r="D41" s="150" t="s">
        <v>537</v>
      </c>
      <c r="E41" s="39" t="s">
        <v>538</v>
      </c>
      <c r="F41" s="177">
        <v>39629</v>
      </c>
      <c r="G41" s="151">
        <f>([1]Summary!$G$3-F41)/365</f>
        <v>5.7534246575342465</v>
      </c>
      <c r="H41" s="151">
        <f>VLOOKUP(C41,[2]Rates!$C$6:$D$136,2,0)</f>
        <v>15</v>
      </c>
      <c r="I41" s="152">
        <f t="shared" si="0"/>
        <v>9.2465753424657535</v>
      </c>
      <c r="J41" s="88">
        <v>700000</v>
      </c>
      <c r="K41" s="88"/>
      <c r="L41" s="153">
        <f t="shared" si="62"/>
        <v>700000</v>
      </c>
      <c r="M41" s="88">
        <v>298654</v>
      </c>
      <c r="N41" s="24">
        <f t="shared" si="63"/>
        <v>401346</v>
      </c>
      <c r="O41" s="24"/>
      <c r="P41" s="28">
        <f>ROUND(I41,0)</f>
        <v>9</v>
      </c>
      <c r="Q41" s="26">
        <f>J41*5%</f>
        <v>35000</v>
      </c>
      <c r="R41" s="24">
        <f>IF(N41-Q41&lt;=0,0,IF(P41&lt;=0,0,N41-Q41))</f>
        <v>366346</v>
      </c>
      <c r="S41" s="24">
        <f>R41/P41</f>
        <v>40705.111111111109</v>
      </c>
      <c r="T41" s="24">
        <f>IF(P41&lt;=0,Q41-N41,IF(N41&lt;=Q41,Q41-N41,0))</f>
        <v>0</v>
      </c>
      <c r="U41" s="24">
        <f t="shared" si="69"/>
        <v>401346</v>
      </c>
      <c r="V41" s="27">
        <f t="shared" si="70"/>
        <v>360640.88888888888</v>
      </c>
      <c r="W41" s="154"/>
      <c r="X41" s="154"/>
      <c r="Y41" s="154"/>
      <c r="Z41" s="154"/>
      <c r="AA41" s="35">
        <f t="shared" si="71"/>
        <v>360640.88888888888</v>
      </c>
      <c r="AB41" s="155"/>
      <c r="AC41" s="155"/>
      <c r="AD41" s="155"/>
      <c r="AE41" s="12">
        <f>([1]Summary!$G$4-F41)/365</f>
        <v>6.7534246575342465</v>
      </c>
      <c r="AF41" s="12">
        <f t="shared" si="72"/>
        <v>8.2465753424657535</v>
      </c>
      <c r="AG41" s="155">
        <f>Q41</f>
        <v>35000</v>
      </c>
      <c r="AH41" s="160">
        <f>IF(N41-Q41&lt;=0,0,IF(AF41&lt;=0,0,N41-Q41))</f>
        <v>366346</v>
      </c>
      <c r="AI41" s="160">
        <f>S41</f>
        <v>40705.111111111109</v>
      </c>
      <c r="AJ41" s="35">
        <f>AA41-AI41</f>
        <v>319935.77777777775</v>
      </c>
      <c r="AL41" s="35">
        <f t="shared" si="77"/>
        <v>319935.77777777775</v>
      </c>
      <c r="AM41" s="155"/>
      <c r="AN41" s="155"/>
      <c r="AO41" s="155"/>
      <c r="AP41" s="12">
        <f>([1]Summary!$AL$4-F41)/365</f>
        <v>7.7561643835616438</v>
      </c>
      <c r="AQ41" s="12">
        <f t="shared" si="78"/>
        <v>7.2438356164383562</v>
      </c>
      <c r="AR41" s="155">
        <f t="shared" si="79"/>
        <v>35000</v>
      </c>
      <c r="AS41" s="160">
        <f>IF(AA41-AG41&lt;=0,0,IF(AQ41&lt;=0,0,AA41-AG41))</f>
        <v>325640.88888888888</v>
      </c>
      <c r="AT41" s="96">
        <f>+AI41</f>
        <v>40705.111111111109</v>
      </c>
      <c r="AU41" s="35">
        <f t="shared" si="82"/>
        <v>279230.66666666663</v>
      </c>
      <c r="AW41" s="155">
        <f t="shared" si="83"/>
        <v>279230.66666666663</v>
      </c>
      <c r="AX41" s="155"/>
      <c r="AY41" s="155"/>
      <c r="AZ41" s="155"/>
      <c r="BA41" s="155">
        <f>([1]Summary!$AW$4-F41)/365</f>
        <v>8.7561643835616429</v>
      </c>
      <c r="BB41" s="155">
        <f t="shared" si="84"/>
        <v>6.2438356164383571</v>
      </c>
      <c r="BC41" s="155">
        <f t="shared" si="85"/>
        <v>35000</v>
      </c>
      <c r="BD41" s="155">
        <f t="shared" si="86"/>
        <v>284935.77777777775</v>
      </c>
      <c r="BE41" s="155">
        <f t="shared" si="115"/>
        <v>40705.111111111109</v>
      </c>
      <c r="BF41" s="155">
        <f t="shared" si="87"/>
        <v>238525.5555555555</v>
      </c>
      <c r="BG41" s="155"/>
      <c r="BH41" s="35">
        <f t="shared" si="88"/>
        <v>238525.5555555555</v>
      </c>
      <c r="BI41" s="155"/>
      <c r="BJ41" s="155"/>
      <c r="BK41" s="155"/>
      <c r="BL41" s="35">
        <f>([1]Summary!$BH$4-F41)/365</f>
        <v>9.7561643835616429</v>
      </c>
      <c r="BM41" s="155">
        <f t="shared" si="89"/>
        <v>5.2438356164383571</v>
      </c>
      <c r="BN41" s="155">
        <f t="shared" si="90"/>
        <v>35000</v>
      </c>
      <c r="BO41" s="35">
        <f t="shared" si="91"/>
        <v>203525.5555555555</v>
      </c>
      <c r="BP41" s="35">
        <f t="shared" si="92"/>
        <v>40705.111111111109</v>
      </c>
      <c r="BQ41" s="35">
        <f t="shared" si="93"/>
        <v>197820.44444444438</v>
      </c>
      <c r="BS41" s="132">
        <f t="shared" si="94"/>
        <v>162820.44444444438</v>
      </c>
      <c r="BT41" s="35">
        <v>197820.44444444438</v>
      </c>
      <c r="BU41" s="155"/>
      <c r="BV41" s="155"/>
      <c r="BW41" s="155"/>
      <c r="BX41" s="35">
        <f>([1]Summary!$BT$4-F41)/365</f>
        <v>10.756164383561643</v>
      </c>
      <c r="BY41" s="96">
        <f t="shared" si="95"/>
        <v>4.2438356164383571</v>
      </c>
      <c r="BZ41" s="35">
        <f t="shared" si="96"/>
        <v>35000</v>
      </c>
      <c r="CA41" s="35">
        <f t="shared" si="97"/>
        <v>162820.44444444438</v>
      </c>
      <c r="CB41" s="35">
        <f t="shared" si="98"/>
        <v>40705.111111111109</v>
      </c>
      <c r="CC41" s="35">
        <f t="shared" si="99"/>
        <v>157115.33333333326</v>
      </c>
      <c r="CE41" s="35">
        <v>157115.33333333326</v>
      </c>
      <c r="CF41" s="155"/>
      <c r="CG41" s="155"/>
      <c r="CH41" s="155"/>
      <c r="CI41" s="35">
        <f>([1]Summary!$CE$4-F41)/365</f>
        <v>11.758904109589041</v>
      </c>
      <c r="CJ41" s="96">
        <f t="shared" si="100"/>
        <v>3.2410958904109588</v>
      </c>
      <c r="CK41" s="35">
        <f t="shared" si="101"/>
        <v>35000</v>
      </c>
      <c r="CL41" s="35">
        <f t="shared" si="102"/>
        <v>122115.33333333326</v>
      </c>
      <c r="CM41" s="35">
        <f t="shared" si="103"/>
        <v>40705.111111111109</v>
      </c>
      <c r="CN41" s="35">
        <f t="shared" si="104"/>
        <v>116410.22222222215</v>
      </c>
      <c r="CP41" s="35">
        <f t="shared" si="105"/>
        <v>116410.22222222215</v>
      </c>
      <c r="CQ41" s="155"/>
      <c r="CR41" s="155"/>
      <c r="CS41" s="155"/>
      <c r="CT41" s="35">
        <f>([1]Summary!$CP$4-F41)/365</f>
        <v>12.758904109589041</v>
      </c>
      <c r="CU41" s="96">
        <f t="shared" si="106"/>
        <v>2.2410958904109588</v>
      </c>
      <c r="CV41" s="35">
        <f t="shared" si="107"/>
        <v>35000</v>
      </c>
      <c r="CW41" s="35">
        <f t="shared" si="108"/>
        <v>81410.222222222146</v>
      </c>
      <c r="CX41" s="35">
        <f t="shared" si="109"/>
        <v>40705.111111111109</v>
      </c>
      <c r="CY41" s="35">
        <f t="shared" si="110"/>
        <v>75705.111111111037</v>
      </c>
      <c r="DA41" s="35">
        <f t="shared" si="111"/>
        <v>75705.111111111037</v>
      </c>
      <c r="DB41" s="155"/>
      <c r="DC41" s="155"/>
      <c r="DD41" s="155"/>
      <c r="DE41" s="35">
        <f>([1]Summary!$DA$4-F41)/365</f>
        <v>13.758904109589041</v>
      </c>
      <c r="DF41" s="96">
        <f t="shared" si="52"/>
        <v>1.2410958904109588</v>
      </c>
      <c r="DG41" s="35">
        <f t="shared" si="112"/>
        <v>35000</v>
      </c>
      <c r="DH41" s="35">
        <f t="shared" si="113"/>
        <v>40705.111111111037</v>
      </c>
      <c r="DI41" s="35">
        <f t="shared" si="116"/>
        <v>40705.111111111109</v>
      </c>
      <c r="DJ41" s="35">
        <f t="shared" si="114"/>
        <v>34999.999999999927</v>
      </c>
      <c r="DL41" s="157">
        <f t="shared" si="57"/>
        <v>700000</v>
      </c>
      <c r="DM41" s="157">
        <f t="shared" si="58"/>
        <v>665000.00000000012</v>
      </c>
      <c r="DN41" s="157">
        <f t="shared" si="59"/>
        <v>34999.999999999884</v>
      </c>
      <c r="DO41" s="158">
        <f t="shared" si="60"/>
        <v>0</v>
      </c>
    </row>
    <row r="42" spans="1:119" s="156" customFormat="1" ht="24" customHeight="1" x14ac:dyDescent="0.25">
      <c r="A42" s="11" t="s">
        <v>7</v>
      </c>
      <c r="B42" s="86" t="s">
        <v>4</v>
      </c>
      <c r="C42" s="15" t="s">
        <v>474</v>
      </c>
      <c r="D42" s="150" t="s">
        <v>539</v>
      </c>
      <c r="E42" s="39" t="s">
        <v>540</v>
      </c>
      <c r="F42" s="177">
        <v>40390</v>
      </c>
      <c r="G42" s="151">
        <f>([1]Summary!$G$3-F42)/365</f>
        <v>3.6684931506849314</v>
      </c>
      <c r="H42" s="151">
        <f>VLOOKUP(C42,[2]Rates!$C$6:$D$136,2,0)</f>
        <v>15</v>
      </c>
      <c r="I42" s="152">
        <f t="shared" si="0"/>
        <v>11.331506849315069</v>
      </c>
      <c r="J42" s="88">
        <v>925000</v>
      </c>
      <c r="K42" s="88"/>
      <c r="L42" s="153">
        <f t="shared" si="62"/>
        <v>925000</v>
      </c>
      <c r="M42" s="88">
        <v>251787</v>
      </c>
      <c r="N42" s="24">
        <f t="shared" si="63"/>
        <v>673213</v>
      </c>
      <c r="O42" s="24"/>
      <c r="P42" s="28">
        <f>ROUND(I42,0)</f>
        <v>11</v>
      </c>
      <c r="Q42" s="26">
        <f>J42*5%</f>
        <v>46250</v>
      </c>
      <c r="R42" s="24">
        <f>IF(N42-Q42&lt;=0,0,IF(P42&lt;=0,0,N42-Q42))</f>
        <v>626963</v>
      </c>
      <c r="S42" s="24">
        <f>R42/P42</f>
        <v>56996.63636363636</v>
      </c>
      <c r="T42" s="24">
        <f>IF(P42&lt;=0,Q42-N42,IF(N42&lt;=Q42,Q42-N42,0))</f>
        <v>0</v>
      </c>
      <c r="U42" s="24">
        <f t="shared" si="69"/>
        <v>673213</v>
      </c>
      <c r="V42" s="27">
        <f t="shared" si="70"/>
        <v>616216.36363636365</v>
      </c>
      <c r="W42" s="154"/>
      <c r="X42" s="154"/>
      <c r="Y42" s="154"/>
      <c r="Z42" s="154"/>
      <c r="AA42" s="35">
        <f t="shared" si="71"/>
        <v>616216.36363636365</v>
      </c>
      <c r="AB42" s="155"/>
      <c r="AC42" s="155"/>
      <c r="AD42" s="155"/>
      <c r="AE42" s="12">
        <f>([1]Summary!$G$4-F42)/365</f>
        <v>4.6684931506849319</v>
      </c>
      <c r="AF42" s="12">
        <f t="shared" si="72"/>
        <v>10.331506849315069</v>
      </c>
      <c r="AG42" s="155">
        <f>Q42</f>
        <v>46250</v>
      </c>
      <c r="AH42" s="160">
        <f>IF(N42-Q42&lt;=0,0,IF(AF42&lt;=0,0,N42-Q42))</f>
        <v>626963</v>
      </c>
      <c r="AI42" s="160">
        <f>S42</f>
        <v>56996.63636363636</v>
      </c>
      <c r="AJ42" s="35">
        <f>AA42-AI42</f>
        <v>559219.72727272729</v>
      </c>
      <c r="AL42" s="35">
        <f t="shared" si="77"/>
        <v>559219.72727272729</v>
      </c>
      <c r="AM42" s="155"/>
      <c r="AN42" s="155"/>
      <c r="AO42" s="155"/>
      <c r="AP42" s="12">
        <f>([1]Summary!$AL$4-F42)/365</f>
        <v>5.6712328767123283</v>
      </c>
      <c r="AQ42" s="12">
        <f t="shared" si="78"/>
        <v>9.3287671232876725</v>
      </c>
      <c r="AR42" s="155">
        <f t="shared" si="79"/>
        <v>46250</v>
      </c>
      <c r="AS42" s="160">
        <f>IF(AA42-AG42&lt;=0,0,IF(AQ42&lt;=0,0,AA42-AG42))</f>
        <v>569966.36363636365</v>
      </c>
      <c r="AT42" s="96">
        <f>+AI42</f>
        <v>56996.63636363636</v>
      </c>
      <c r="AU42" s="35">
        <f t="shared" si="82"/>
        <v>502223.09090909094</v>
      </c>
      <c r="AW42" s="155">
        <f t="shared" si="83"/>
        <v>502223.09090909094</v>
      </c>
      <c r="AX42" s="155"/>
      <c r="AY42" s="155"/>
      <c r="AZ42" s="155"/>
      <c r="BA42" s="155">
        <f>([1]Summary!$AW$4-F42)/365</f>
        <v>6.6712328767123283</v>
      </c>
      <c r="BB42" s="155">
        <f t="shared" si="84"/>
        <v>8.3287671232876725</v>
      </c>
      <c r="BC42" s="155">
        <f t="shared" si="85"/>
        <v>46250</v>
      </c>
      <c r="BD42" s="155">
        <f t="shared" si="86"/>
        <v>512969.72727272729</v>
      </c>
      <c r="BE42" s="155">
        <f t="shared" si="115"/>
        <v>56996.63636363636</v>
      </c>
      <c r="BF42" s="155">
        <f t="shared" si="87"/>
        <v>445226.45454545459</v>
      </c>
      <c r="BG42" s="155"/>
      <c r="BH42" s="35">
        <f t="shared" si="88"/>
        <v>445226.45454545459</v>
      </c>
      <c r="BI42" s="155"/>
      <c r="BJ42" s="155"/>
      <c r="BK42" s="155"/>
      <c r="BL42" s="35">
        <f>([1]Summary!$BH$4-F42)/365</f>
        <v>7.6712328767123283</v>
      </c>
      <c r="BM42" s="155">
        <f t="shared" si="89"/>
        <v>7.3287671232876717</v>
      </c>
      <c r="BN42" s="155">
        <f t="shared" si="90"/>
        <v>46250</v>
      </c>
      <c r="BO42" s="35">
        <f t="shared" si="91"/>
        <v>398976.45454545459</v>
      </c>
      <c r="BP42" s="35">
        <f t="shared" si="92"/>
        <v>56996.63636363636</v>
      </c>
      <c r="BQ42" s="35">
        <f t="shared" si="93"/>
        <v>388229.81818181823</v>
      </c>
      <c r="BS42" s="132">
        <f t="shared" si="94"/>
        <v>341979.81818181823</v>
      </c>
      <c r="BT42" s="35">
        <v>388229.81818181823</v>
      </c>
      <c r="BU42" s="155"/>
      <c r="BV42" s="155"/>
      <c r="BW42" s="155"/>
      <c r="BX42" s="35">
        <f>([1]Summary!$BT$4-F42)/365</f>
        <v>8.6712328767123292</v>
      </c>
      <c r="BY42" s="96">
        <f t="shared" si="95"/>
        <v>6.3287671232876708</v>
      </c>
      <c r="BZ42" s="35">
        <f t="shared" si="96"/>
        <v>46250</v>
      </c>
      <c r="CA42" s="35">
        <f t="shared" si="97"/>
        <v>341979.81818181823</v>
      </c>
      <c r="CB42" s="35">
        <f t="shared" si="98"/>
        <v>56996.63636363636</v>
      </c>
      <c r="CC42" s="35">
        <f t="shared" si="99"/>
        <v>331233.18181818188</v>
      </c>
      <c r="CE42" s="35">
        <v>331233.18181818188</v>
      </c>
      <c r="CF42" s="155"/>
      <c r="CG42" s="155"/>
      <c r="CH42" s="155"/>
      <c r="CI42" s="35">
        <f>([1]Summary!$CE$4-F42)/365</f>
        <v>9.6739726027397257</v>
      </c>
      <c r="CJ42" s="96">
        <f t="shared" si="100"/>
        <v>5.3260273972602743</v>
      </c>
      <c r="CK42" s="35">
        <f t="shared" si="101"/>
        <v>46250</v>
      </c>
      <c r="CL42" s="35">
        <f t="shared" si="102"/>
        <v>284983.18181818188</v>
      </c>
      <c r="CM42" s="35">
        <f t="shared" si="103"/>
        <v>56996.63636363636</v>
      </c>
      <c r="CN42" s="35">
        <f t="shared" si="104"/>
        <v>274236.54545454553</v>
      </c>
      <c r="CP42" s="35">
        <f t="shared" si="105"/>
        <v>274236.54545454553</v>
      </c>
      <c r="CQ42" s="155"/>
      <c r="CR42" s="155"/>
      <c r="CS42" s="155"/>
      <c r="CT42" s="35">
        <f>([1]Summary!$CP$4-F42)/365</f>
        <v>10.673972602739726</v>
      </c>
      <c r="CU42" s="96">
        <f t="shared" si="106"/>
        <v>4.3260273972602743</v>
      </c>
      <c r="CV42" s="35">
        <f t="shared" si="107"/>
        <v>46250</v>
      </c>
      <c r="CW42" s="35">
        <f t="shared" si="108"/>
        <v>227986.54545454553</v>
      </c>
      <c r="CX42" s="35">
        <f t="shared" si="109"/>
        <v>56996.63636363636</v>
      </c>
      <c r="CY42" s="35">
        <f t="shared" si="110"/>
        <v>217239.90909090918</v>
      </c>
      <c r="DA42" s="35">
        <f t="shared" si="111"/>
        <v>217239.90909090918</v>
      </c>
      <c r="DB42" s="155"/>
      <c r="DC42" s="155"/>
      <c r="DD42" s="155"/>
      <c r="DE42" s="35">
        <f>([1]Summary!$DA$4-F42)/365</f>
        <v>11.673972602739726</v>
      </c>
      <c r="DF42" s="96">
        <f t="shared" si="52"/>
        <v>3.3260273972602743</v>
      </c>
      <c r="DG42" s="35">
        <f t="shared" si="112"/>
        <v>46250</v>
      </c>
      <c r="DH42" s="35">
        <f t="shared" si="113"/>
        <v>170989.90909090918</v>
      </c>
      <c r="DI42" s="35">
        <f t="shared" si="116"/>
        <v>56996.63636363636</v>
      </c>
      <c r="DJ42" s="35">
        <f t="shared" si="114"/>
        <v>160243.27272727282</v>
      </c>
      <c r="DL42" s="157">
        <f t="shared" si="57"/>
        <v>925000</v>
      </c>
      <c r="DM42" s="157">
        <f t="shared" si="58"/>
        <v>764756.72727272718</v>
      </c>
      <c r="DN42" s="157">
        <f t="shared" si="59"/>
        <v>160243.27272727282</v>
      </c>
      <c r="DO42" s="158">
        <f t="shared" si="60"/>
        <v>0</v>
      </c>
    </row>
    <row r="43" spans="1:119" s="4" customFormat="1" ht="24" customHeight="1" x14ac:dyDescent="0.25">
      <c r="A43" s="92" t="s">
        <v>7</v>
      </c>
      <c r="B43" s="94" t="s">
        <v>332</v>
      </c>
      <c r="C43" s="94" t="s">
        <v>474</v>
      </c>
      <c r="D43" s="178" t="s">
        <v>541</v>
      </c>
      <c r="E43" s="179" t="s">
        <v>542</v>
      </c>
      <c r="F43" s="180">
        <v>43990</v>
      </c>
      <c r="G43" s="181"/>
      <c r="H43" s="181">
        <v>15</v>
      </c>
      <c r="I43" s="181">
        <f t="shared" si="0"/>
        <v>15</v>
      </c>
      <c r="J43" s="182"/>
      <c r="K43" s="182"/>
      <c r="L43" s="183"/>
      <c r="M43" s="182"/>
      <c r="N43" s="184"/>
      <c r="O43" s="185"/>
      <c r="P43" s="186"/>
      <c r="Q43" s="187"/>
      <c r="R43" s="184"/>
      <c r="S43" s="184"/>
      <c r="T43" s="184"/>
      <c r="U43" s="188"/>
      <c r="V43" s="189"/>
      <c r="W43" s="190"/>
      <c r="X43" s="190"/>
      <c r="Y43" s="190"/>
      <c r="Z43" s="190"/>
      <c r="AA43" s="185"/>
      <c r="AB43" s="185"/>
      <c r="AC43" s="185"/>
      <c r="AD43" s="191"/>
      <c r="AE43" s="192"/>
      <c r="AF43" s="192"/>
      <c r="AG43" s="193"/>
      <c r="AH43" s="194"/>
      <c r="AI43" s="195"/>
      <c r="AJ43" s="194"/>
      <c r="AK43" s="196"/>
      <c r="AL43" s="185"/>
      <c r="AM43" s="185"/>
      <c r="AN43" s="185"/>
      <c r="AO43" s="191"/>
      <c r="AP43" s="192"/>
      <c r="AQ43" s="192"/>
      <c r="AR43" s="193"/>
      <c r="AS43" s="194"/>
      <c r="AT43" s="35"/>
      <c r="AU43" s="35"/>
      <c r="AW43" s="35"/>
      <c r="AX43" s="35"/>
      <c r="AY43" s="35"/>
      <c r="AZ43" s="35"/>
      <c r="BA43" s="155"/>
      <c r="BB43" s="155"/>
      <c r="BC43" s="104"/>
      <c r="BD43" s="35"/>
      <c r="BE43" s="35"/>
      <c r="BF43" s="35"/>
      <c r="BG43" s="35"/>
      <c r="BH43" s="35"/>
      <c r="BI43" s="35"/>
      <c r="BJ43" s="35"/>
      <c r="BK43" s="35"/>
      <c r="BL43" s="35"/>
      <c r="BM43" s="155"/>
      <c r="BN43" s="104"/>
      <c r="BO43" s="35"/>
      <c r="BP43" s="96"/>
      <c r="BQ43" s="35"/>
      <c r="BS43" s="132"/>
      <c r="BT43" s="35"/>
      <c r="BU43" s="35"/>
      <c r="BV43" s="35"/>
      <c r="BW43" s="35"/>
      <c r="BX43" s="35"/>
      <c r="BY43" s="35"/>
      <c r="BZ43" s="35"/>
      <c r="CA43" s="35"/>
      <c r="CB43" s="35"/>
      <c r="CC43" s="35"/>
      <c r="CE43" s="35"/>
      <c r="CF43" s="35">
        <v>175000</v>
      </c>
      <c r="CG43" s="35"/>
      <c r="CH43" s="35">
        <f>[1]Summary!$CG$1-F43</f>
        <v>296</v>
      </c>
      <c r="CI43" s="35"/>
      <c r="CJ43" s="35">
        <f t="shared" si="100"/>
        <v>15</v>
      </c>
      <c r="CK43" s="35">
        <f>+CF43*5%</f>
        <v>8750</v>
      </c>
      <c r="CL43" s="35">
        <f>+CF43-CK43</f>
        <v>166250</v>
      </c>
      <c r="CM43" s="35">
        <f>+(CL43/CJ43*CH43)/365</f>
        <v>8988.1278538812785</v>
      </c>
      <c r="CN43" s="35">
        <f t="shared" si="104"/>
        <v>166011.87214611872</v>
      </c>
      <c r="CP43" s="35">
        <f t="shared" si="105"/>
        <v>166011.87214611872</v>
      </c>
      <c r="CQ43" s="35"/>
      <c r="CR43" s="35"/>
      <c r="CS43" s="35"/>
      <c r="CT43" s="35">
        <f>([1]Summary!$CP$4-F43)/365</f>
        <v>0.81095890410958904</v>
      </c>
      <c r="CU43" s="96">
        <f t="shared" si="106"/>
        <v>14.189041095890412</v>
      </c>
      <c r="CV43" s="35">
        <f t="shared" si="107"/>
        <v>8750</v>
      </c>
      <c r="CW43" s="35">
        <f t="shared" si="108"/>
        <v>157261.87214611872</v>
      </c>
      <c r="CX43" s="35">
        <f>CW43/CU43</f>
        <v>11083.333333333332</v>
      </c>
      <c r="CY43" s="35">
        <f t="shared" si="110"/>
        <v>154928.53881278538</v>
      </c>
      <c r="DA43" s="35">
        <f t="shared" si="111"/>
        <v>154928.53881278538</v>
      </c>
      <c r="DB43" s="35"/>
      <c r="DC43" s="35"/>
      <c r="DD43" s="35"/>
      <c r="DE43" s="35">
        <f>([1]Summary!$DA$4-F43)/365</f>
        <v>1.810958904109589</v>
      </c>
      <c r="DF43" s="96">
        <f t="shared" si="52"/>
        <v>13.189041095890412</v>
      </c>
      <c r="DG43" s="35">
        <f t="shared" si="112"/>
        <v>8750</v>
      </c>
      <c r="DH43" s="35">
        <f t="shared" si="113"/>
        <v>146178.53881278538</v>
      </c>
      <c r="DI43" s="35">
        <f t="shared" si="116"/>
        <v>11083.333333333332</v>
      </c>
      <c r="DJ43" s="35">
        <f t="shared" si="114"/>
        <v>143845.20547945204</v>
      </c>
      <c r="DL43" s="157">
        <f t="shared" si="57"/>
        <v>175000</v>
      </c>
      <c r="DM43" s="157">
        <f t="shared" si="58"/>
        <v>31154.794520547945</v>
      </c>
      <c r="DN43" s="157">
        <f t="shared" si="59"/>
        <v>143845.20547945207</v>
      </c>
      <c r="DO43" s="158">
        <f t="shared" si="60"/>
        <v>0</v>
      </c>
    </row>
    <row r="44" spans="1:119" s="4" customFormat="1" ht="24" customHeight="1" x14ac:dyDescent="0.25">
      <c r="A44" s="92" t="s">
        <v>7</v>
      </c>
      <c r="B44" s="94" t="s">
        <v>332</v>
      </c>
      <c r="C44" s="94" t="s">
        <v>474</v>
      </c>
      <c r="D44" s="178" t="s">
        <v>543</v>
      </c>
      <c r="E44" s="179" t="s">
        <v>544</v>
      </c>
      <c r="F44" s="180">
        <v>44282</v>
      </c>
      <c r="G44" s="181"/>
      <c r="H44" s="181">
        <v>15</v>
      </c>
      <c r="I44" s="181">
        <f t="shared" si="0"/>
        <v>15</v>
      </c>
      <c r="J44" s="182"/>
      <c r="K44" s="182"/>
      <c r="L44" s="183"/>
      <c r="M44" s="182"/>
      <c r="N44" s="184"/>
      <c r="O44" s="185"/>
      <c r="P44" s="186"/>
      <c r="Q44" s="187"/>
      <c r="R44" s="184"/>
      <c r="S44" s="184"/>
      <c r="T44" s="184"/>
      <c r="U44" s="188"/>
      <c r="V44" s="189"/>
      <c r="W44" s="190"/>
      <c r="X44" s="190"/>
      <c r="Y44" s="190"/>
      <c r="Z44" s="190"/>
      <c r="AA44" s="185"/>
      <c r="AB44" s="185"/>
      <c r="AC44" s="185"/>
      <c r="AD44" s="191"/>
      <c r="AE44" s="192"/>
      <c r="AF44" s="192"/>
      <c r="AG44" s="193"/>
      <c r="AH44" s="194"/>
      <c r="AI44" s="195"/>
      <c r="AJ44" s="194"/>
      <c r="AK44" s="196"/>
      <c r="AL44" s="185"/>
      <c r="AM44" s="185"/>
      <c r="AN44" s="185"/>
      <c r="AO44" s="191"/>
      <c r="AP44" s="192"/>
      <c r="AQ44" s="192"/>
      <c r="AR44" s="193"/>
      <c r="AS44" s="194"/>
      <c r="AT44" s="35"/>
      <c r="AU44" s="35"/>
      <c r="AW44" s="35"/>
      <c r="AX44" s="35"/>
      <c r="AY44" s="35"/>
      <c r="AZ44" s="35"/>
      <c r="BA44" s="155"/>
      <c r="BB44" s="155"/>
      <c r="BC44" s="104"/>
      <c r="BD44" s="35"/>
      <c r="BE44" s="35"/>
      <c r="BF44" s="35"/>
      <c r="BG44" s="35"/>
      <c r="BH44" s="35"/>
      <c r="BI44" s="35"/>
      <c r="BJ44" s="35"/>
      <c r="BK44" s="35"/>
      <c r="BL44" s="35"/>
      <c r="BM44" s="155"/>
      <c r="BN44" s="104"/>
      <c r="BO44" s="35"/>
      <c r="BP44" s="96"/>
      <c r="BQ44" s="35"/>
      <c r="BS44" s="132"/>
      <c r="BT44" s="35"/>
      <c r="BU44" s="35"/>
      <c r="BV44" s="35"/>
      <c r="BW44" s="35"/>
      <c r="BX44" s="35"/>
      <c r="BY44" s="35"/>
      <c r="BZ44" s="35"/>
      <c r="CA44" s="35"/>
      <c r="CB44" s="35"/>
      <c r="CC44" s="35"/>
      <c r="CE44" s="35"/>
      <c r="CF44" s="35">
        <v>92000</v>
      </c>
      <c r="CG44" s="35"/>
      <c r="CH44" s="35">
        <f>[1]Summary!$CG$1-F44</f>
        <v>4</v>
      </c>
      <c r="CI44" s="35"/>
      <c r="CJ44" s="35">
        <f t="shared" si="100"/>
        <v>15</v>
      </c>
      <c r="CK44" s="35">
        <f>+CF44*5%</f>
        <v>4600</v>
      </c>
      <c r="CL44" s="35">
        <f>+CF44-CK44</f>
        <v>87400</v>
      </c>
      <c r="CM44" s="35">
        <f>+(CL44/CJ44*CH44)/365</f>
        <v>63.853881278538815</v>
      </c>
      <c r="CN44" s="35">
        <f t="shared" si="104"/>
        <v>91936.146118721459</v>
      </c>
      <c r="CP44" s="35">
        <f t="shared" si="105"/>
        <v>91936.146118721459</v>
      </c>
      <c r="CQ44" s="35"/>
      <c r="CR44" s="35"/>
      <c r="CS44" s="35"/>
      <c r="CT44" s="35">
        <f>([1]Summary!$CP$4-F44)/365</f>
        <v>1.0958904109589041E-2</v>
      </c>
      <c r="CU44" s="96">
        <f t="shared" si="106"/>
        <v>14.989041095890411</v>
      </c>
      <c r="CV44" s="35">
        <f t="shared" si="107"/>
        <v>4600</v>
      </c>
      <c r="CW44" s="35">
        <f t="shared" si="108"/>
        <v>87336.146118721459</v>
      </c>
      <c r="CX44" s="35">
        <f>CW44/CU44</f>
        <v>5826.666666666667</v>
      </c>
      <c r="CY44" s="35">
        <f t="shared" si="110"/>
        <v>86109.479452054788</v>
      </c>
      <c r="DA44" s="35">
        <f t="shared" si="111"/>
        <v>86109.479452054788</v>
      </c>
      <c r="DB44" s="35"/>
      <c r="DC44" s="35"/>
      <c r="DD44" s="35"/>
      <c r="DE44" s="35">
        <f>([1]Summary!$DA$4-F44)/365</f>
        <v>1.010958904109589</v>
      </c>
      <c r="DF44" s="96">
        <f t="shared" si="52"/>
        <v>13.989041095890411</v>
      </c>
      <c r="DG44" s="35">
        <f t="shared" si="112"/>
        <v>4600</v>
      </c>
      <c r="DH44" s="35">
        <f t="shared" si="113"/>
        <v>81509.479452054788</v>
      </c>
      <c r="DI44" s="35">
        <f t="shared" si="116"/>
        <v>5826.666666666667</v>
      </c>
      <c r="DJ44" s="35">
        <f t="shared" si="114"/>
        <v>80282.812785388116</v>
      </c>
      <c r="DL44" s="157">
        <f t="shared" si="57"/>
        <v>92000</v>
      </c>
      <c r="DM44" s="157">
        <f t="shared" si="58"/>
        <v>11717.187214611873</v>
      </c>
      <c r="DN44" s="157">
        <f t="shared" si="59"/>
        <v>80282.812785388131</v>
      </c>
      <c r="DO44" s="158">
        <f t="shared" si="60"/>
        <v>0</v>
      </c>
    </row>
    <row r="45" spans="1:119" s="4" customFormat="1" ht="24" customHeight="1" x14ac:dyDescent="0.25">
      <c r="A45" s="92" t="s">
        <v>7</v>
      </c>
      <c r="B45" s="94" t="s">
        <v>332</v>
      </c>
      <c r="C45" s="94" t="s">
        <v>474</v>
      </c>
      <c r="D45" s="178" t="s">
        <v>545</v>
      </c>
      <c r="E45" s="179" t="s">
        <v>546</v>
      </c>
      <c r="F45" s="180">
        <v>44963</v>
      </c>
      <c r="G45" s="181"/>
      <c r="H45" s="181">
        <v>15</v>
      </c>
      <c r="I45" s="181">
        <f t="shared" si="0"/>
        <v>15</v>
      </c>
      <c r="J45" s="182"/>
      <c r="K45" s="182"/>
      <c r="L45" s="183"/>
      <c r="M45" s="182"/>
      <c r="N45" s="184"/>
      <c r="O45" s="185"/>
      <c r="P45" s="186"/>
      <c r="Q45" s="187"/>
      <c r="R45" s="184"/>
      <c r="S45" s="184"/>
      <c r="T45" s="184"/>
      <c r="U45" s="188"/>
      <c r="V45" s="189"/>
      <c r="W45" s="190"/>
      <c r="X45" s="190"/>
      <c r="Y45" s="190"/>
      <c r="Z45" s="190"/>
      <c r="AA45" s="185"/>
      <c r="AB45" s="185"/>
      <c r="AC45" s="185"/>
      <c r="AD45" s="191"/>
      <c r="AE45" s="192"/>
      <c r="AF45" s="192"/>
      <c r="AG45" s="193"/>
      <c r="AH45" s="194"/>
      <c r="AI45" s="195"/>
      <c r="AJ45" s="194"/>
      <c r="AK45" s="196"/>
      <c r="AL45" s="185"/>
      <c r="AM45" s="185"/>
      <c r="AN45" s="185"/>
      <c r="AO45" s="191"/>
      <c r="AP45" s="192"/>
      <c r="AQ45" s="192"/>
      <c r="AR45" s="193"/>
      <c r="AS45" s="194"/>
      <c r="AT45" s="35"/>
      <c r="AU45" s="35"/>
      <c r="AW45" s="35"/>
      <c r="AX45" s="35"/>
      <c r="AY45" s="35"/>
      <c r="AZ45" s="35"/>
      <c r="BA45" s="155"/>
      <c r="BB45" s="155"/>
      <c r="BC45" s="104"/>
      <c r="BD45" s="35"/>
      <c r="BE45" s="35"/>
      <c r="BF45" s="35"/>
      <c r="BG45" s="35"/>
      <c r="BH45" s="35"/>
      <c r="BI45" s="35"/>
      <c r="BJ45" s="35"/>
      <c r="BK45" s="35"/>
      <c r="BL45" s="35"/>
      <c r="BM45" s="155"/>
      <c r="BN45" s="104"/>
      <c r="BO45" s="35"/>
      <c r="BP45" s="96"/>
      <c r="BQ45" s="35"/>
      <c r="BS45" s="132"/>
      <c r="BT45" s="35"/>
      <c r="BU45" s="35"/>
      <c r="BV45" s="35"/>
      <c r="BW45" s="35"/>
      <c r="BX45" s="35"/>
      <c r="BY45" s="35"/>
      <c r="BZ45" s="35"/>
      <c r="CA45" s="35"/>
      <c r="CB45" s="35"/>
      <c r="CC45" s="35"/>
      <c r="CE45" s="35"/>
      <c r="CF45" s="35"/>
      <c r="CG45" s="35"/>
      <c r="CH45" s="35"/>
      <c r="CI45" s="35"/>
      <c r="CJ45" s="35"/>
      <c r="CK45" s="35"/>
      <c r="CL45" s="35"/>
      <c r="CM45" s="35"/>
      <c r="CN45" s="35"/>
      <c r="CP45" s="35"/>
      <c r="CQ45" s="35"/>
      <c r="CR45" s="35"/>
      <c r="CS45" s="35"/>
      <c r="CT45" s="35"/>
      <c r="CU45" s="96"/>
      <c r="CV45" s="35"/>
      <c r="CW45" s="35"/>
      <c r="CX45" s="35"/>
      <c r="CY45" s="35"/>
      <c r="DA45" s="35"/>
      <c r="DB45" s="35">
        <v>325000</v>
      </c>
      <c r="DC45" s="35"/>
      <c r="DD45" s="35">
        <f>[1]Summary!$DC$1-F45+1</f>
        <v>54</v>
      </c>
      <c r="DE45" s="35"/>
      <c r="DF45" s="96">
        <f t="shared" si="52"/>
        <v>15</v>
      </c>
      <c r="DG45" s="35">
        <f>DB45*5%</f>
        <v>16250</v>
      </c>
      <c r="DH45" s="35">
        <f>DB45-DG45</f>
        <v>308750</v>
      </c>
      <c r="DI45" s="35">
        <f>DH45/DF45/365*DD45</f>
        <v>3045.2054794520545</v>
      </c>
      <c r="DJ45" s="35">
        <f>DB45-DI45</f>
        <v>321954.79452054796</v>
      </c>
      <c r="DL45" s="157">
        <f t="shared" si="57"/>
        <v>325000</v>
      </c>
      <c r="DM45" s="157">
        <f t="shared" si="58"/>
        <v>3045.2054794520545</v>
      </c>
      <c r="DN45" s="157">
        <f t="shared" si="59"/>
        <v>321954.79452054796</v>
      </c>
      <c r="DO45" s="158">
        <f t="shared" si="60"/>
        <v>0</v>
      </c>
    </row>
    <row r="46" spans="1:119" s="4" customFormat="1" ht="24" customHeight="1" x14ac:dyDescent="0.25">
      <c r="A46" s="92" t="s">
        <v>7</v>
      </c>
      <c r="B46" s="94" t="s">
        <v>332</v>
      </c>
      <c r="C46" s="94" t="s">
        <v>474</v>
      </c>
      <c r="D46" s="178" t="s">
        <v>547</v>
      </c>
      <c r="E46" s="179" t="s">
        <v>548</v>
      </c>
      <c r="F46" s="180">
        <v>44971</v>
      </c>
      <c r="G46" s="181"/>
      <c r="H46" s="181">
        <v>15</v>
      </c>
      <c r="I46" s="181">
        <f t="shared" si="0"/>
        <v>15</v>
      </c>
      <c r="J46" s="182"/>
      <c r="K46" s="182"/>
      <c r="L46" s="183"/>
      <c r="M46" s="182"/>
      <c r="N46" s="184"/>
      <c r="O46" s="185"/>
      <c r="P46" s="186"/>
      <c r="Q46" s="187"/>
      <c r="R46" s="184"/>
      <c r="S46" s="184"/>
      <c r="T46" s="184"/>
      <c r="U46" s="188"/>
      <c r="V46" s="189"/>
      <c r="W46" s="190"/>
      <c r="X46" s="190"/>
      <c r="Y46" s="190"/>
      <c r="Z46" s="190"/>
      <c r="AA46" s="185"/>
      <c r="AB46" s="185"/>
      <c r="AC46" s="185"/>
      <c r="AD46" s="191"/>
      <c r="AE46" s="192"/>
      <c r="AF46" s="192"/>
      <c r="AG46" s="193"/>
      <c r="AH46" s="194"/>
      <c r="AI46" s="195"/>
      <c r="AJ46" s="194"/>
      <c r="AK46" s="196"/>
      <c r="AL46" s="185"/>
      <c r="AM46" s="185"/>
      <c r="AN46" s="185"/>
      <c r="AO46" s="191"/>
      <c r="AP46" s="192"/>
      <c r="AQ46" s="192"/>
      <c r="AR46" s="193"/>
      <c r="AS46" s="194"/>
      <c r="AT46" s="35"/>
      <c r="AU46" s="35"/>
      <c r="AW46" s="35"/>
      <c r="AX46" s="35"/>
      <c r="AY46" s="35"/>
      <c r="AZ46" s="35"/>
      <c r="BA46" s="155"/>
      <c r="BB46" s="155"/>
      <c r="BC46" s="104"/>
      <c r="BD46" s="35"/>
      <c r="BE46" s="35"/>
      <c r="BF46" s="35"/>
      <c r="BG46" s="35"/>
      <c r="BH46" s="35"/>
      <c r="BI46" s="35"/>
      <c r="BJ46" s="35"/>
      <c r="BK46" s="35"/>
      <c r="BL46" s="35"/>
      <c r="BM46" s="155"/>
      <c r="BN46" s="104"/>
      <c r="BO46" s="35"/>
      <c r="BP46" s="96"/>
      <c r="BQ46" s="35"/>
      <c r="BS46" s="132"/>
      <c r="BT46" s="35"/>
      <c r="BU46" s="35"/>
      <c r="BV46" s="35"/>
      <c r="BW46" s="35"/>
      <c r="BX46" s="35"/>
      <c r="BY46" s="35"/>
      <c r="BZ46" s="35"/>
      <c r="CA46" s="35"/>
      <c r="CB46" s="35"/>
      <c r="CC46" s="35"/>
      <c r="CE46" s="35"/>
      <c r="CF46" s="35"/>
      <c r="CG46" s="35"/>
      <c r="CH46" s="35"/>
      <c r="CI46" s="35"/>
      <c r="CJ46" s="35"/>
      <c r="CK46" s="35"/>
      <c r="CL46" s="35"/>
      <c r="CM46" s="35"/>
      <c r="CN46" s="35"/>
      <c r="CP46" s="35"/>
      <c r="CQ46" s="35"/>
      <c r="CR46" s="35"/>
      <c r="CS46" s="35"/>
      <c r="CT46" s="35"/>
      <c r="CU46" s="96"/>
      <c r="CV46" s="35"/>
      <c r="CW46" s="35"/>
      <c r="CX46" s="35"/>
      <c r="CY46" s="35"/>
      <c r="DA46" s="35"/>
      <c r="DB46" s="35">
        <v>100000</v>
      </c>
      <c r="DC46" s="35"/>
      <c r="DD46" s="35">
        <f>[1]Summary!$DC$1-F46+1</f>
        <v>46</v>
      </c>
      <c r="DE46" s="35"/>
      <c r="DF46" s="96">
        <f t="shared" si="52"/>
        <v>15</v>
      </c>
      <c r="DG46" s="35">
        <f>DB46*5%</f>
        <v>5000</v>
      </c>
      <c r="DH46" s="35">
        <f>DB46-DG46</f>
        <v>95000</v>
      </c>
      <c r="DI46" s="35">
        <f>DH46/DF46/365*DD46</f>
        <v>798.17351598173514</v>
      </c>
      <c r="DJ46" s="35">
        <f>DB46-DI46</f>
        <v>99201.826484018267</v>
      </c>
      <c r="DL46" s="157">
        <f t="shared" si="57"/>
        <v>100000</v>
      </c>
      <c r="DM46" s="157">
        <f t="shared" si="58"/>
        <v>798.17351598173514</v>
      </c>
      <c r="DN46" s="157">
        <f t="shared" si="59"/>
        <v>99201.826484018267</v>
      </c>
      <c r="DO46" s="158">
        <f t="shared" si="60"/>
        <v>0</v>
      </c>
    </row>
    <row r="47" spans="1:119" s="4" customFormat="1" ht="24" customHeight="1" x14ac:dyDescent="0.25">
      <c r="A47" s="92" t="s">
        <v>7</v>
      </c>
      <c r="B47" s="94" t="s">
        <v>332</v>
      </c>
      <c r="C47" s="94" t="s">
        <v>474</v>
      </c>
      <c r="D47" s="197" t="s">
        <v>549</v>
      </c>
      <c r="E47" s="198" t="s">
        <v>550</v>
      </c>
      <c r="F47" s="199">
        <v>44984</v>
      </c>
      <c r="G47" s="167"/>
      <c r="H47" s="167">
        <v>15</v>
      </c>
      <c r="I47" s="167">
        <f t="shared" si="0"/>
        <v>15</v>
      </c>
      <c r="J47" s="200"/>
      <c r="K47" s="200"/>
      <c r="L47" s="183"/>
      <c r="M47" s="200"/>
      <c r="N47" s="74"/>
      <c r="O47" s="201"/>
      <c r="P47" s="170"/>
      <c r="Q47" s="76"/>
      <c r="R47" s="74"/>
      <c r="S47" s="74"/>
      <c r="T47" s="74"/>
      <c r="U47" s="202"/>
      <c r="V47" s="203"/>
      <c r="W47" s="79"/>
      <c r="X47" s="79"/>
      <c r="Y47" s="79"/>
      <c r="Z47" s="79"/>
      <c r="AA47" s="201"/>
      <c r="AB47" s="201"/>
      <c r="AC47" s="201"/>
      <c r="AD47" s="204"/>
      <c r="AE47" s="205"/>
      <c r="AF47" s="205"/>
      <c r="AG47" s="206"/>
      <c r="AH47" s="207"/>
      <c r="AI47" s="208"/>
      <c r="AJ47" s="207"/>
      <c r="AK47" s="196"/>
      <c r="AL47" s="201"/>
      <c r="AM47" s="201"/>
      <c r="AN47" s="201"/>
      <c r="AO47" s="204"/>
      <c r="AP47" s="205"/>
      <c r="AQ47" s="205"/>
      <c r="AR47" s="206"/>
      <c r="AS47" s="207"/>
      <c r="AT47" s="81"/>
      <c r="AU47" s="81"/>
      <c r="AW47" s="81"/>
      <c r="AX47" s="81"/>
      <c r="AY47" s="81"/>
      <c r="AZ47" s="81"/>
      <c r="BA47" s="209"/>
      <c r="BB47" s="209"/>
      <c r="BC47" s="210"/>
      <c r="BD47" s="81"/>
      <c r="BE47" s="81"/>
      <c r="BF47" s="81"/>
      <c r="BG47" s="81"/>
      <c r="BH47" s="81"/>
      <c r="BI47" s="81"/>
      <c r="BJ47" s="81"/>
      <c r="BK47" s="81"/>
      <c r="BL47" s="81"/>
      <c r="BM47" s="209"/>
      <c r="BN47" s="210"/>
      <c r="BO47" s="81"/>
      <c r="BP47" s="125"/>
      <c r="BQ47" s="81"/>
      <c r="BS47" s="132"/>
      <c r="BT47" s="81"/>
      <c r="BU47" s="81"/>
      <c r="BV47" s="81"/>
      <c r="BW47" s="81"/>
      <c r="BX47" s="81"/>
      <c r="BY47" s="81"/>
      <c r="BZ47" s="81"/>
      <c r="CA47" s="81"/>
      <c r="CB47" s="81"/>
      <c r="CC47" s="81"/>
      <c r="CE47" s="81"/>
      <c r="CF47" s="81"/>
      <c r="CG47" s="81"/>
      <c r="CH47" s="81"/>
      <c r="CI47" s="81"/>
      <c r="CJ47" s="81"/>
      <c r="CK47" s="81"/>
      <c r="CL47" s="81"/>
      <c r="CM47" s="81"/>
      <c r="CN47" s="81"/>
      <c r="CP47" s="81"/>
      <c r="CQ47" s="81"/>
      <c r="CR47" s="81"/>
      <c r="CS47" s="81"/>
      <c r="CT47" s="81"/>
      <c r="CU47" s="125"/>
      <c r="CV47" s="81"/>
      <c r="CW47" s="81"/>
      <c r="CX47" s="81"/>
      <c r="CY47" s="81"/>
      <c r="DA47" s="81"/>
      <c r="DB47" s="81">
        <v>480000</v>
      </c>
      <c r="DC47" s="81"/>
      <c r="DD47" s="81">
        <f>[1]Summary!$DC$1-F47+1</f>
        <v>33</v>
      </c>
      <c r="DE47" s="81"/>
      <c r="DF47" s="125">
        <f t="shared" si="52"/>
        <v>15</v>
      </c>
      <c r="DG47" s="81">
        <f>DB47*5%</f>
        <v>24000</v>
      </c>
      <c r="DH47" s="81">
        <f>DB47-DG47</f>
        <v>456000</v>
      </c>
      <c r="DI47" s="81">
        <f>DH47/DF47/365*DD47</f>
        <v>2748.4931506849316</v>
      </c>
      <c r="DJ47" s="81">
        <f>DB47-DI47</f>
        <v>477251.50684931508</v>
      </c>
      <c r="DL47" s="157">
        <f t="shared" si="57"/>
        <v>480000</v>
      </c>
      <c r="DM47" s="157">
        <f t="shared" si="58"/>
        <v>2748.4931506849316</v>
      </c>
      <c r="DN47" s="157">
        <f t="shared" si="59"/>
        <v>477251.50684931508</v>
      </c>
      <c r="DO47" s="158">
        <f t="shared" si="60"/>
        <v>0</v>
      </c>
    </row>
    <row r="48" spans="1:119" x14ac:dyDescent="0.25">
      <c r="A48" s="1"/>
      <c r="B48" s="1"/>
      <c r="C48" s="1"/>
      <c r="D48" s="1"/>
      <c r="E48" s="1"/>
      <c r="F48" s="1"/>
      <c r="G48" s="1"/>
      <c r="H48" s="1"/>
      <c r="I48" s="1"/>
      <c r="J48" s="157">
        <f>SUM(J8:J47)</f>
        <v>19096716</v>
      </c>
      <c r="K48" s="157">
        <f t="shared" ref="K48:BV48" si="117">SUM(K8:K47)</f>
        <v>0</v>
      </c>
      <c r="L48" s="157">
        <f t="shared" si="117"/>
        <v>19096716</v>
      </c>
      <c r="M48" s="157">
        <f t="shared" si="117"/>
        <v>6993495.7617000025</v>
      </c>
      <c r="N48" s="157">
        <f t="shared" si="117"/>
        <v>12103220.238299999</v>
      </c>
      <c r="O48" s="157">
        <f t="shared" si="117"/>
        <v>0</v>
      </c>
      <c r="P48" s="157">
        <f t="shared" si="117"/>
        <v>186</v>
      </c>
      <c r="Q48" s="157">
        <f t="shared" si="117"/>
        <v>954835.79999999993</v>
      </c>
      <c r="R48" s="157">
        <f t="shared" si="117"/>
        <v>11007552.838299997</v>
      </c>
      <c r="S48" s="157">
        <f t="shared" si="117"/>
        <v>1137083.3435318628</v>
      </c>
      <c r="T48" s="157">
        <f t="shared" si="117"/>
        <v>-140831.6</v>
      </c>
      <c r="U48" s="157">
        <f t="shared" si="117"/>
        <v>11962388.6383</v>
      </c>
      <c r="V48" s="157">
        <f t="shared" si="117"/>
        <v>10825305.294768136</v>
      </c>
      <c r="W48" s="157">
        <f t="shared" si="117"/>
        <v>0</v>
      </c>
      <c r="X48" s="157">
        <f t="shared" si="117"/>
        <v>0</v>
      </c>
      <c r="Y48" s="157">
        <f t="shared" si="117"/>
        <v>0</v>
      </c>
      <c r="Z48" s="157">
        <f t="shared" si="117"/>
        <v>0</v>
      </c>
      <c r="AA48" s="157">
        <f t="shared" si="117"/>
        <v>10825305.294768136</v>
      </c>
      <c r="AB48" s="157">
        <f t="shared" si="117"/>
        <v>73500</v>
      </c>
      <c r="AC48" s="157">
        <f t="shared" si="117"/>
        <v>0</v>
      </c>
      <c r="AD48" s="157">
        <f t="shared" si="117"/>
        <v>355</v>
      </c>
      <c r="AE48" s="157">
        <f t="shared" si="117"/>
        <v>299.61369863013704</v>
      </c>
      <c r="AF48" s="157">
        <f t="shared" si="117"/>
        <v>169.21643835616439</v>
      </c>
      <c r="AG48" s="157">
        <f t="shared" si="117"/>
        <v>958510.79999999993</v>
      </c>
      <c r="AH48" s="157">
        <f t="shared" si="117"/>
        <v>11077377.838299997</v>
      </c>
      <c r="AI48" s="157">
        <f t="shared" si="117"/>
        <v>1143852.288097674</v>
      </c>
      <c r="AJ48" s="157">
        <f t="shared" si="117"/>
        <v>9754953.0066704638</v>
      </c>
      <c r="AK48" s="157">
        <f t="shared" si="117"/>
        <v>0</v>
      </c>
      <c r="AL48" s="157">
        <f t="shared" si="117"/>
        <v>9754953.0066704638</v>
      </c>
      <c r="AM48" s="157">
        <f t="shared" si="117"/>
        <v>2125000</v>
      </c>
      <c r="AN48" s="157">
        <f t="shared" si="117"/>
        <v>0</v>
      </c>
      <c r="AO48" s="157">
        <f t="shared" si="117"/>
        <v>305</v>
      </c>
      <c r="AP48" s="157">
        <f t="shared" si="117"/>
        <v>333.87397260273974</v>
      </c>
      <c r="AQ48" s="157">
        <f t="shared" si="117"/>
        <v>151.12602739726029</v>
      </c>
      <c r="AR48" s="157">
        <f t="shared" si="117"/>
        <v>1064760.7999999998</v>
      </c>
      <c r="AS48" s="157">
        <f t="shared" si="117"/>
        <v>11959044.494768133</v>
      </c>
      <c r="AT48" s="157">
        <f t="shared" si="117"/>
        <v>1256503.0082545858</v>
      </c>
      <c r="AU48" s="157">
        <f t="shared" si="117"/>
        <v>10623449.99841588</v>
      </c>
      <c r="AV48" s="157">
        <f t="shared" si="117"/>
        <v>0</v>
      </c>
      <c r="AW48" s="157">
        <f t="shared" si="117"/>
        <v>10623449.99841588</v>
      </c>
      <c r="AX48" s="157">
        <f t="shared" si="117"/>
        <v>0</v>
      </c>
      <c r="AY48" s="157">
        <f t="shared" si="117"/>
        <v>0</v>
      </c>
      <c r="AZ48" s="157">
        <f t="shared" si="117"/>
        <v>0</v>
      </c>
      <c r="BA48" s="157">
        <f t="shared" si="117"/>
        <v>367.70684931506855</v>
      </c>
      <c r="BB48" s="157">
        <f t="shared" si="117"/>
        <v>117.29315068493155</v>
      </c>
      <c r="BC48" s="157">
        <f t="shared" si="117"/>
        <v>1064760.7999999998</v>
      </c>
      <c r="BD48" s="157">
        <f t="shared" si="117"/>
        <v>10702732.161008362</v>
      </c>
      <c r="BE48" s="157">
        <f t="shared" si="117"/>
        <v>1244857.936034115</v>
      </c>
      <c r="BF48" s="157">
        <f t="shared" si="117"/>
        <v>9378592.0623817611</v>
      </c>
      <c r="BG48" s="157">
        <f t="shared" si="117"/>
        <v>0</v>
      </c>
      <c r="BH48" s="157">
        <f t="shared" si="117"/>
        <v>9378592.0623817611</v>
      </c>
      <c r="BI48" s="157">
        <f t="shared" si="117"/>
        <v>0</v>
      </c>
      <c r="BJ48" s="157">
        <f t="shared" si="117"/>
        <v>0</v>
      </c>
      <c r="BK48" s="157">
        <f t="shared" si="117"/>
        <v>0</v>
      </c>
      <c r="BL48" s="157">
        <f t="shared" si="117"/>
        <v>401.70684931506855</v>
      </c>
      <c r="BM48" s="157">
        <f t="shared" si="117"/>
        <v>83.293150684931547</v>
      </c>
      <c r="BN48" s="157">
        <f t="shared" si="117"/>
        <v>1064760.7999999998</v>
      </c>
      <c r="BO48" s="157">
        <f t="shared" si="117"/>
        <v>8313831.2623817623</v>
      </c>
      <c r="BP48" s="157">
        <f t="shared" si="117"/>
        <v>1244857.936034115</v>
      </c>
      <c r="BQ48" s="157">
        <f t="shared" si="117"/>
        <v>8133734.1263476461</v>
      </c>
      <c r="BR48" s="157">
        <f t="shared" si="117"/>
        <v>0</v>
      </c>
      <c r="BS48" s="157">
        <f t="shared" si="117"/>
        <v>7068973.3263476472</v>
      </c>
      <c r="BT48" s="157">
        <f t="shared" si="117"/>
        <v>8133734.1263476461</v>
      </c>
      <c r="BU48" s="157">
        <f t="shared" si="117"/>
        <v>0</v>
      </c>
      <c r="BV48" s="157">
        <f t="shared" si="117"/>
        <v>0</v>
      </c>
      <c r="BW48" s="157">
        <f t="shared" ref="BW48:DJ48" si="118">SUM(BW8:BW47)</f>
        <v>0</v>
      </c>
      <c r="BX48" s="157">
        <f t="shared" si="118"/>
        <v>435.7068493150685</v>
      </c>
      <c r="BY48" s="157">
        <f t="shared" si="118"/>
        <v>49.293150684931497</v>
      </c>
      <c r="BZ48" s="157">
        <f t="shared" si="118"/>
        <v>1064760.7999999998</v>
      </c>
      <c r="CA48" s="157">
        <f t="shared" si="118"/>
        <v>7068973.3263476472</v>
      </c>
      <c r="CB48" s="157">
        <f t="shared" si="118"/>
        <v>1244857.936034115</v>
      </c>
      <c r="CC48" s="157">
        <f t="shared" si="118"/>
        <v>6888876.190313532</v>
      </c>
      <c r="CD48" s="157">
        <f t="shared" si="118"/>
        <v>0</v>
      </c>
      <c r="CE48" s="157">
        <f t="shared" si="118"/>
        <v>6888876.190313532</v>
      </c>
      <c r="CF48" s="157">
        <f t="shared" si="118"/>
        <v>267000</v>
      </c>
      <c r="CG48" s="157">
        <f t="shared" si="118"/>
        <v>0</v>
      </c>
      <c r="CH48" s="157">
        <f t="shared" si="118"/>
        <v>300</v>
      </c>
      <c r="CI48" s="157">
        <f t="shared" si="118"/>
        <v>469.79999999999995</v>
      </c>
      <c r="CJ48" s="157">
        <f t="shared" si="118"/>
        <v>45.200000000000017</v>
      </c>
      <c r="CK48" s="157">
        <f t="shared" si="118"/>
        <v>1078110.7999999998</v>
      </c>
      <c r="CL48" s="157">
        <f t="shared" si="118"/>
        <v>6077765.3903135322</v>
      </c>
      <c r="CM48" s="157">
        <f t="shared" si="118"/>
        <v>1253909.9177692749</v>
      </c>
      <c r="CN48" s="157">
        <f t="shared" si="118"/>
        <v>5901966.2725442573</v>
      </c>
      <c r="CO48" s="157">
        <f t="shared" si="118"/>
        <v>0</v>
      </c>
      <c r="CP48" s="157">
        <f t="shared" si="118"/>
        <v>5901966.2725442573</v>
      </c>
      <c r="CQ48" s="157">
        <f t="shared" si="118"/>
        <v>0</v>
      </c>
      <c r="CR48" s="157">
        <f t="shared" si="118"/>
        <v>0</v>
      </c>
      <c r="CS48" s="157">
        <f t="shared" si="118"/>
        <v>0</v>
      </c>
      <c r="CT48" s="157">
        <f t="shared" si="118"/>
        <v>504.62191780821917</v>
      </c>
      <c r="CU48" s="157">
        <f t="shared" si="118"/>
        <v>10.378082191780839</v>
      </c>
      <c r="CV48" s="157">
        <f t="shared" si="118"/>
        <v>1078110.7999999998</v>
      </c>
      <c r="CW48" s="157">
        <f t="shared" si="118"/>
        <v>4823855.4725442585</v>
      </c>
      <c r="CX48" s="157">
        <f t="shared" si="118"/>
        <v>1261767.936034115</v>
      </c>
      <c r="CY48" s="157">
        <f t="shared" si="118"/>
        <v>4640198.3365101432</v>
      </c>
      <c r="CZ48" s="157">
        <f t="shared" si="118"/>
        <v>0</v>
      </c>
      <c r="DA48" s="157">
        <f t="shared" si="118"/>
        <v>4640198.3365101432</v>
      </c>
      <c r="DB48" s="157">
        <f t="shared" si="118"/>
        <v>1535000</v>
      </c>
      <c r="DC48" s="157">
        <f t="shared" si="118"/>
        <v>0</v>
      </c>
      <c r="DD48" s="157">
        <f t="shared" si="118"/>
        <v>218</v>
      </c>
      <c r="DE48" s="157">
        <f t="shared" si="118"/>
        <v>540.621917808219</v>
      </c>
      <c r="DF48" s="157">
        <f t="shared" si="118"/>
        <v>29.378082191780823</v>
      </c>
      <c r="DG48" s="157">
        <f t="shared" si="118"/>
        <v>1154860.7999999998</v>
      </c>
      <c r="DH48" s="157">
        <f t="shared" si="118"/>
        <v>5020337.5365101425</v>
      </c>
      <c r="DI48" s="157">
        <f t="shared" si="118"/>
        <v>1094460.2817506108</v>
      </c>
      <c r="DJ48" s="157">
        <f t="shared" si="118"/>
        <v>5080738.0547595313</v>
      </c>
      <c r="DL48" s="157">
        <f>J48+AB48+AM48+AX48+BI48+BU48+CF48+CQ48+DB48</f>
        <v>23097216</v>
      </c>
      <c r="DM48" s="157">
        <f>M48+S48-T48+W48+AI48+AT48+BE48+BP48+CB48+CM48+CX48+DI48</f>
        <v>18016477.945240475</v>
      </c>
      <c r="DN48" s="157">
        <f>DL48-DM48</f>
        <v>5080738.0547595248</v>
      </c>
      <c r="DO48" s="157">
        <f>SUM(DO8:DO47)</f>
        <v>-1.4188117347657681E-10</v>
      </c>
    </row>
    <row r="50" spans="118:118" x14ac:dyDescent="0.25">
      <c r="DN50" s="211">
        <f>DN48-DJ48</f>
        <v>0</v>
      </c>
    </row>
  </sheetData>
  <mergeCells count="3">
    <mergeCell ref="A6:A7"/>
    <mergeCell ref="B6:B7"/>
    <mergeCell ref="C6: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N10"/>
  <sheetViews>
    <sheetView topLeftCell="DE7" workbookViewId="0">
      <selection activeCell="I8" sqref="I8"/>
    </sheetView>
  </sheetViews>
  <sheetFormatPr defaultRowHeight="15" x14ac:dyDescent="0.25"/>
  <cols>
    <col min="2" max="3" width="0" hidden="1" customWidth="1"/>
    <col min="5" max="5" width="17.85546875" bestFit="1" customWidth="1"/>
    <col min="6" max="6" width="11.85546875" bestFit="1" customWidth="1"/>
    <col min="10" max="10" width="12" bestFit="1" customWidth="1"/>
    <col min="11" max="11" width="8.42578125" bestFit="1" customWidth="1"/>
    <col min="12" max="12" width="10.5703125" bestFit="1" customWidth="1"/>
    <col min="13" max="13" width="9.5703125" bestFit="1" customWidth="1"/>
    <col min="14" max="14" width="11.140625" bestFit="1" customWidth="1"/>
    <col min="15" max="15" width="8.28515625" bestFit="1" customWidth="1"/>
    <col min="16" max="16" width="8.85546875" bestFit="1" customWidth="1"/>
    <col min="17" max="17" width="9.7109375" bestFit="1" customWidth="1"/>
    <col min="18" max="18" width="15.85546875" bestFit="1" customWidth="1"/>
    <col min="19" max="19" width="9.7109375" bestFit="1" customWidth="1"/>
    <col min="20" max="20" width="10.28515625" bestFit="1" customWidth="1"/>
    <col min="21" max="22" width="11.140625" bestFit="1" customWidth="1"/>
    <col min="23" max="23" width="7.140625" bestFit="1" customWidth="1"/>
    <col min="24" max="25" width="5.28515625" bestFit="1" customWidth="1"/>
    <col min="26" max="26" width="4.5703125" bestFit="1" customWidth="1"/>
    <col min="27" max="27" width="9.5703125" bestFit="1" customWidth="1"/>
    <col min="28" max="28" width="8.42578125" bestFit="1" customWidth="1"/>
    <col min="29" max="29" width="7" bestFit="1" customWidth="1"/>
    <col min="30" max="30" width="9.7109375" bestFit="1" customWidth="1"/>
    <col min="31" max="31" width="8.5703125" bestFit="1" customWidth="1"/>
    <col min="32" max="32" width="8.85546875" bestFit="1" customWidth="1"/>
    <col min="33" max="33" width="8.5703125" bestFit="1" customWidth="1"/>
    <col min="34" max="34" width="14.85546875" bestFit="1" customWidth="1"/>
    <col min="35" max="35" width="8.7109375" bestFit="1" customWidth="1"/>
    <col min="36" max="36" width="9.5703125" bestFit="1" customWidth="1"/>
    <col min="37" max="37" width="4.5703125" bestFit="1" customWidth="1"/>
    <col min="38" max="38" width="9.5703125" bestFit="1" customWidth="1"/>
    <col min="39" max="39" width="8.42578125" bestFit="1" customWidth="1"/>
    <col min="40" max="40" width="7" bestFit="1" customWidth="1"/>
    <col min="41" max="41" width="9.7109375" bestFit="1" customWidth="1"/>
    <col min="42" max="42" width="8.5703125" bestFit="1" customWidth="1"/>
    <col min="43" max="43" width="8.85546875" bestFit="1" customWidth="1"/>
    <col min="44" max="44" width="8.5703125" bestFit="1" customWidth="1"/>
    <col min="45" max="45" width="14.85546875" bestFit="1" customWidth="1"/>
    <col min="46" max="46" width="9.7109375" bestFit="1" customWidth="1"/>
    <col min="47" max="47" width="9.5703125" bestFit="1" customWidth="1"/>
    <col min="48" max="48" width="4.5703125" bestFit="1" customWidth="1"/>
    <col min="49" max="49" width="9.5703125" bestFit="1" customWidth="1"/>
    <col min="50" max="50" width="8.42578125" bestFit="1" customWidth="1"/>
    <col min="51" max="51" width="7" bestFit="1" customWidth="1"/>
    <col min="52" max="52" width="9.7109375" bestFit="1" customWidth="1"/>
    <col min="53" max="53" width="8.5703125" bestFit="1" customWidth="1"/>
    <col min="54" max="54" width="9.42578125" bestFit="1" customWidth="1"/>
    <col min="55" max="55" width="8.5703125" bestFit="1" customWidth="1"/>
    <col min="56" max="56" width="14.85546875" bestFit="1" customWidth="1"/>
    <col min="57" max="57" width="8.7109375" bestFit="1" customWidth="1"/>
    <col min="58" max="58" width="9.5703125" bestFit="1" customWidth="1"/>
    <col min="59" max="59" width="4.5703125" bestFit="1" customWidth="1"/>
    <col min="60" max="60" width="9.5703125" bestFit="1" customWidth="1"/>
    <col min="61" max="61" width="8.42578125" bestFit="1" customWidth="1"/>
    <col min="62" max="62" width="7" bestFit="1" customWidth="1"/>
    <col min="63" max="63" width="9.7109375" bestFit="1" customWidth="1"/>
    <col min="64" max="64" width="8.5703125" bestFit="1" customWidth="1"/>
    <col min="65" max="65" width="9.42578125" bestFit="1" customWidth="1"/>
    <col min="66" max="66" width="8.5703125" bestFit="1" customWidth="1"/>
    <col min="67" max="67" width="14.85546875" bestFit="1" customWidth="1"/>
    <col min="68" max="68" width="8.7109375" bestFit="1" customWidth="1"/>
    <col min="69" max="69" width="9.5703125" bestFit="1" customWidth="1"/>
    <col min="70" max="70" width="4.5703125" bestFit="1" customWidth="1"/>
    <col min="71" max="72" width="9.5703125" bestFit="1" customWidth="1"/>
    <col min="73" max="73" width="8.42578125" bestFit="1" customWidth="1"/>
    <col min="74" max="74" width="7" bestFit="1" customWidth="1"/>
    <col min="75" max="75" width="9.7109375" bestFit="1" customWidth="1"/>
    <col min="76" max="76" width="8.5703125" bestFit="1" customWidth="1"/>
    <col min="77" max="77" width="9.42578125" bestFit="1" customWidth="1"/>
    <col min="78" max="78" width="8.5703125" bestFit="1" customWidth="1"/>
    <col min="79" max="79" width="14.85546875" bestFit="1" customWidth="1"/>
    <col min="80" max="80" width="8.7109375" bestFit="1" customWidth="1"/>
    <col min="81" max="81" width="9.5703125" bestFit="1" customWidth="1"/>
    <col min="82" max="82" width="4.5703125" bestFit="1" customWidth="1"/>
    <col min="83" max="83" width="9.5703125" bestFit="1" customWidth="1"/>
    <col min="84" max="84" width="8.42578125" bestFit="1" customWidth="1"/>
    <col min="85" max="85" width="7" bestFit="1" customWidth="1"/>
    <col min="86" max="86" width="9.7109375" bestFit="1" customWidth="1"/>
    <col min="87" max="87" width="8.5703125" bestFit="1" customWidth="1"/>
    <col min="88" max="88" width="8.85546875" bestFit="1" customWidth="1"/>
    <col min="89" max="89" width="8.5703125" bestFit="1" customWidth="1"/>
    <col min="90" max="90" width="14.85546875" bestFit="1" customWidth="1"/>
    <col min="91" max="91" width="8.7109375" bestFit="1" customWidth="1"/>
    <col min="92" max="92" width="9.5703125" bestFit="1" customWidth="1"/>
    <col min="93" max="93" width="4.5703125" bestFit="1" customWidth="1"/>
    <col min="94" max="94" width="9.5703125" bestFit="1" customWidth="1"/>
    <col min="95" max="95" width="8.42578125" bestFit="1" customWidth="1"/>
    <col min="96" max="96" width="7" bestFit="1" customWidth="1"/>
    <col min="97" max="97" width="9.7109375" bestFit="1" customWidth="1"/>
    <col min="98" max="98" width="8.5703125" bestFit="1" customWidth="1"/>
    <col min="99" max="99" width="8.7109375" bestFit="1" customWidth="1"/>
    <col min="100" max="100" width="8.5703125" bestFit="1" customWidth="1"/>
    <col min="101" max="101" width="14.85546875" bestFit="1" customWidth="1"/>
    <col min="102" max="102" width="8.7109375" bestFit="1" customWidth="1"/>
    <col min="103" max="103" width="9.5703125" bestFit="1" customWidth="1"/>
    <col min="104" max="104" width="4.5703125" bestFit="1" customWidth="1"/>
    <col min="105" max="105" width="9.5703125" bestFit="1" customWidth="1"/>
    <col min="106" max="106" width="8.42578125" bestFit="1" customWidth="1"/>
    <col min="107" max="107" width="7" bestFit="1" customWidth="1"/>
    <col min="108" max="108" width="9.7109375" bestFit="1" customWidth="1"/>
    <col min="109" max="109" width="8.5703125" bestFit="1" customWidth="1"/>
    <col min="110" max="110" width="8.85546875" bestFit="1" customWidth="1"/>
    <col min="111" max="111" width="8.5703125" bestFit="1" customWidth="1"/>
    <col min="112" max="112" width="14.85546875" bestFit="1" customWidth="1"/>
    <col min="113" max="113" width="8.7109375" bestFit="1" customWidth="1"/>
    <col min="114" max="114" width="9.5703125" bestFit="1" customWidth="1"/>
    <col min="116" max="117" width="10.5703125" bestFit="1" customWidth="1"/>
    <col min="118" max="118" width="9.5703125" bestFit="1" customWidth="1"/>
  </cols>
  <sheetData>
    <row r="6" spans="1:118" s="142" customFormat="1" ht="89.25" x14ac:dyDescent="0.25">
      <c r="A6" s="228" t="s">
        <v>439</v>
      </c>
      <c r="B6" s="228" t="s">
        <v>10</v>
      </c>
      <c r="C6" s="228" t="s">
        <v>11</v>
      </c>
      <c r="D6" s="140" t="s">
        <v>440</v>
      </c>
      <c r="E6" s="8" t="s">
        <v>8</v>
      </c>
      <c r="F6" s="6" t="s">
        <v>441</v>
      </c>
      <c r="G6" s="9" t="s">
        <v>442</v>
      </c>
      <c r="H6" s="9" t="s">
        <v>16</v>
      </c>
      <c r="I6" s="9" t="s">
        <v>17</v>
      </c>
      <c r="J6" s="8" t="s">
        <v>443</v>
      </c>
      <c r="K6" s="8" t="s">
        <v>444</v>
      </c>
      <c r="L6" s="8" t="s">
        <v>445</v>
      </c>
      <c r="M6" s="7" t="s">
        <v>19</v>
      </c>
      <c r="N6" s="7" t="s">
        <v>20</v>
      </c>
      <c r="O6" s="6" t="s">
        <v>446</v>
      </c>
      <c r="P6" s="6" t="s">
        <v>22</v>
      </c>
      <c r="Q6" s="7" t="s">
        <v>23</v>
      </c>
      <c r="R6" s="7" t="s">
        <v>447</v>
      </c>
      <c r="S6" s="10" t="s">
        <v>448</v>
      </c>
      <c r="T6" s="10" t="s">
        <v>26</v>
      </c>
      <c r="U6" s="10" t="s">
        <v>449</v>
      </c>
      <c r="V6" s="141" t="s">
        <v>450</v>
      </c>
      <c r="W6" s="142" t="s">
        <v>451</v>
      </c>
      <c r="X6" s="142" t="s">
        <v>452</v>
      </c>
      <c r="Y6" s="142" t="s">
        <v>453</v>
      </c>
      <c r="AA6" s="143" t="s">
        <v>29</v>
      </c>
      <c r="AB6" s="143" t="s">
        <v>30</v>
      </c>
      <c r="AC6" s="143" t="s">
        <v>454</v>
      </c>
      <c r="AD6" s="143" t="s">
        <v>31</v>
      </c>
      <c r="AE6" s="143" t="s">
        <v>32</v>
      </c>
      <c r="AF6" s="144" t="s">
        <v>33</v>
      </c>
      <c r="AG6" s="145" t="s">
        <v>23</v>
      </c>
      <c r="AH6" s="145" t="s">
        <v>34</v>
      </c>
      <c r="AI6" s="141" t="s">
        <v>35</v>
      </c>
      <c r="AJ6" s="145" t="s">
        <v>36</v>
      </c>
      <c r="AL6" s="143" t="s">
        <v>37</v>
      </c>
      <c r="AM6" s="143" t="s">
        <v>38</v>
      </c>
      <c r="AN6" s="143" t="s">
        <v>454</v>
      </c>
      <c r="AO6" s="143" t="s">
        <v>39</v>
      </c>
      <c r="AP6" s="143" t="s">
        <v>40</v>
      </c>
      <c r="AQ6" s="144" t="s">
        <v>41</v>
      </c>
      <c r="AR6" s="145" t="s">
        <v>23</v>
      </c>
      <c r="AS6" s="145" t="s">
        <v>42</v>
      </c>
      <c r="AT6" s="141" t="s">
        <v>35</v>
      </c>
      <c r="AU6" s="145" t="s">
        <v>43</v>
      </c>
      <c r="AW6" s="134" t="s">
        <v>44</v>
      </c>
      <c r="AX6" s="134" t="s">
        <v>45</v>
      </c>
      <c r="AY6" s="134" t="s">
        <v>454</v>
      </c>
      <c r="AZ6" s="134" t="s">
        <v>46</v>
      </c>
      <c r="BA6" s="134" t="s">
        <v>455</v>
      </c>
      <c r="BB6" s="6" t="s">
        <v>456</v>
      </c>
      <c r="BC6" s="7" t="s">
        <v>23</v>
      </c>
      <c r="BD6" s="7" t="s">
        <v>457</v>
      </c>
      <c r="BE6" s="10" t="s">
        <v>35</v>
      </c>
      <c r="BF6" s="7" t="s">
        <v>50</v>
      </c>
      <c r="BG6" s="7"/>
      <c r="BH6" s="134" t="s">
        <v>51</v>
      </c>
      <c r="BI6" s="134" t="s">
        <v>52</v>
      </c>
      <c r="BJ6" s="134" t="s">
        <v>454</v>
      </c>
      <c r="BK6" s="134" t="s">
        <v>53</v>
      </c>
      <c r="BL6" s="134" t="s">
        <v>458</v>
      </c>
      <c r="BM6" s="6" t="s">
        <v>459</v>
      </c>
      <c r="BN6" s="7" t="s">
        <v>23</v>
      </c>
      <c r="BO6" s="7" t="s">
        <v>56</v>
      </c>
      <c r="BP6" s="10" t="s">
        <v>35</v>
      </c>
      <c r="BQ6" s="7" t="s">
        <v>57</v>
      </c>
      <c r="BT6" s="134" t="s">
        <v>58</v>
      </c>
      <c r="BU6" s="134" t="s">
        <v>59</v>
      </c>
      <c r="BV6" s="134" t="s">
        <v>454</v>
      </c>
      <c r="BW6" s="134" t="s">
        <v>60</v>
      </c>
      <c r="BX6" s="134" t="s">
        <v>460</v>
      </c>
      <c r="BY6" s="6" t="s">
        <v>461</v>
      </c>
      <c r="BZ6" s="7" t="s">
        <v>23</v>
      </c>
      <c r="CA6" s="7" t="s">
        <v>63</v>
      </c>
      <c r="CB6" s="10" t="s">
        <v>35</v>
      </c>
      <c r="CC6" s="7" t="s">
        <v>64</v>
      </c>
      <c r="CE6" s="134" t="s">
        <v>65</v>
      </c>
      <c r="CF6" s="134" t="s">
        <v>66</v>
      </c>
      <c r="CG6" s="134" t="s">
        <v>454</v>
      </c>
      <c r="CH6" s="134" t="s">
        <v>67</v>
      </c>
      <c r="CI6" s="134" t="s">
        <v>462</v>
      </c>
      <c r="CJ6" s="6" t="s">
        <v>463</v>
      </c>
      <c r="CK6" s="7" t="s">
        <v>23</v>
      </c>
      <c r="CL6" s="7" t="s">
        <v>464</v>
      </c>
      <c r="CM6" s="10" t="s">
        <v>35</v>
      </c>
      <c r="CN6" s="7" t="s">
        <v>69</v>
      </c>
      <c r="CP6" s="134" t="s">
        <v>70</v>
      </c>
      <c r="CQ6" s="134" t="s">
        <v>71</v>
      </c>
      <c r="CR6" s="134" t="s">
        <v>454</v>
      </c>
      <c r="CS6" s="134" t="s">
        <v>72</v>
      </c>
      <c r="CT6" s="134" t="s">
        <v>73</v>
      </c>
      <c r="CU6" s="6" t="s">
        <v>74</v>
      </c>
      <c r="CV6" s="7" t="s">
        <v>23</v>
      </c>
      <c r="CW6" s="7" t="s">
        <v>75</v>
      </c>
      <c r="CX6" s="5" t="s">
        <v>35</v>
      </c>
      <c r="CY6" s="7" t="s">
        <v>76</v>
      </c>
      <c r="DA6" s="134" t="s">
        <v>77</v>
      </c>
      <c r="DB6" s="134" t="s">
        <v>78</v>
      </c>
      <c r="DC6" s="134" t="s">
        <v>454</v>
      </c>
      <c r="DD6" s="134" t="s">
        <v>79</v>
      </c>
      <c r="DE6" s="135" t="s">
        <v>80</v>
      </c>
      <c r="DF6" s="6" t="s">
        <v>81</v>
      </c>
      <c r="DG6" s="7" t="s">
        <v>23</v>
      </c>
      <c r="DH6" s="7" t="s">
        <v>82</v>
      </c>
      <c r="DI6" s="5" t="s">
        <v>35</v>
      </c>
      <c r="DJ6" s="7" t="s">
        <v>83</v>
      </c>
      <c r="DL6" s="7" t="s">
        <v>1</v>
      </c>
      <c r="DM6" s="7" t="s">
        <v>465</v>
      </c>
      <c r="DN6" s="7" t="s">
        <v>3</v>
      </c>
    </row>
    <row r="7" spans="1:118" s="142" customFormat="1" ht="38.25" x14ac:dyDescent="0.25">
      <c r="A7" s="235"/>
      <c r="B7" s="236"/>
      <c r="C7" s="236"/>
      <c r="D7" s="135"/>
      <c r="E7" s="146" t="s">
        <v>84</v>
      </c>
      <c r="F7" s="147" t="s">
        <v>85</v>
      </c>
      <c r="G7" s="148" t="s">
        <v>466</v>
      </c>
      <c r="H7" s="148" t="s">
        <v>87</v>
      </c>
      <c r="I7" s="148" t="s">
        <v>467</v>
      </c>
      <c r="J7" s="147" t="s">
        <v>89</v>
      </c>
      <c r="K7" s="147"/>
      <c r="L7" s="147"/>
      <c r="M7" s="147" t="s">
        <v>90</v>
      </c>
      <c r="N7" s="147" t="s">
        <v>468</v>
      </c>
      <c r="O7" s="147"/>
      <c r="P7" s="147" t="s">
        <v>469</v>
      </c>
      <c r="Q7" s="147" t="s">
        <v>93</v>
      </c>
      <c r="R7" s="147" t="s">
        <v>470</v>
      </c>
      <c r="S7" s="147" t="s">
        <v>471</v>
      </c>
      <c r="T7" s="147" t="s">
        <v>99</v>
      </c>
      <c r="U7" s="147" t="s">
        <v>472</v>
      </c>
      <c r="V7" s="134" t="s">
        <v>473</v>
      </c>
      <c r="W7" s="134"/>
      <c r="X7" s="134"/>
      <c r="Y7" s="134"/>
      <c r="Z7" s="134"/>
      <c r="AA7" s="134"/>
      <c r="AB7" s="134"/>
      <c r="AC7" s="134"/>
      <c r="AD7" s="134"/>
      <c r="AE7" s="134"/>
      <c r="AF7" s="134"/>
      <c r="AG7" s="134"/>
      <c r="AH7" s="134"/>
      <c r="AI7" s="134"/>
      <c r="AJ7" s="134"/>
      <c r="AL7" s="134"/>
      <c r="AM7" s="134"/>
      <c r="AN7" s="134"/>
      <c r="AO7" s="134"/>
      <c r="AP7" s="134"/>
      <c r="AQ7" s="134"/>
      <c r="AR7" s="134"/>
      <c r="AS7" s="134"/>
      <c r="AT7" s="134"/>
      <c r="AU7" s="134"/>
      <c r="CX7" s="149"/>
      <c r="DI7" s="149"/>
    </row>
    <row r="8" spans="1:118" s="156" customFormat="1" ht="63.75" x14ac:dyDescent="0.25">
      <c r="A8" s="11" t="s">
        <v>6</v>
      </c>
      <c r="B8" s="86" t="s">
        <v>4</v>
      </c>
      <c r="C8" s="15" t="s">
        <v>474</v>
      </c>
      <c r="D8" s="150" t="s">
        <v>551</v>
      </c>
      <c r="E8" s="39" t="s">
        <v>552</v>
      </c>
      <c r="F8" s="87">
        <v>39538</v>
      </c>
      <c r="G8" s="151">
        <f>([1]Summary!$G$3-F8)/365</f>
        <v>6.0027397260273974</v>
      </c>
      <c r="H8" s="151">
        <f>VLOOKUP(C8,[2]Rates!$C$6:$D$136,2,0)</f>
        <v>15</v>
      </c>
      <c r="I8" s="152">
        <f>H8-G8</f>
        <v>8.9972602739726035</v>
      </c>
      <c r="J8" s="88">
        <v>628426</v>
      </c>
      <c r="K8" s="88"/>
      <c r="L8" s="153">
        <f>+J8-K8</f>
        <v>628426</v>
      </c>
      <c r="M8" s="88">
        <v>246216.8884</v>
      </c>
      <c r="N8" s="24">
        <f>J8-M8</f>
        <v>382209.1116</v>
      </c>
      <c r="O8" s="24"/>
      <c r="P8" s="28">
        <f>ROUND(I8,0)</f>
        <v>9</v>
      </c>
      <c r="Q8" s="26">
        <f>J8*5%</f>
        <v>31421.300000000003</v>
      </c>
      <c r="R8" s="24">
        <f>IF(N8-Q8&lt;=0,0,IF(P8&lt;=0,0,N8-Q8))</f>
        <v>350787.81160000002</v>
      </c>
      <c r="S8" s="24">
        <f>R8/P8</f>
        <v>38976.423511111112</v>
      </c>
      <c r="T8" s="24">
        <f>IF(P8&lt;=0,Q8-N8,IF(N8&lt;=Q8,Q8-N8,0))</f>
        <v>0</v>
      </c>
      <c r="U8" s="24">
        <f>N8+T8</f>
        <v>382209.1116</v>
      </c>
      <c r="V8" s="27">
        <f>+U8-S8</f>
        <v>343232.68808888888</v>
      </c>
      <c r="W8" s="154"/>
      <c r="X8" s="154"/>
      <c r="Y8" s="154"/>
      <c r="Z8" s="154"/>
      <c r="AA8" s="35">
        <f>V8</f>
        <v>343232.68808888888</v>
      </c>
      <c r="AB8" s="155"/>
      <c r="AC8" s="155"/>
      <c r="AD8" s="155"/>
      <c r="AE8" s="12">
        <f>([1]Summary!$G$4-F8)/365</f>
        <v>7.0027397260273974</v>
      </c>
      <c r="AF8" s="12">
        <f>H8-AE8</f>
        <v>7.9972602739726026</v>
      </c>
      <c r="AG8" s="35">
        <f>Q8</f>
        <v>31421.300000000003</v>
      </c>
      <c r="AH8" s="34">
        <f>IF(N8-Q8&lt;=0,0,IF(AF8&lt;=0,0,N8-Q8))</f>
        <v>350787.81160000002</v>
      </c>
      <c r="AI8" s="35">
        <f>S8</f>
        <v>38976.423511111112</v>
      </c>
      <c r="AJ8" s="35">
        <f>AA8-AI8</f>
        <v>304256.26457777777</v>
      </c>
      <c r="AL8" s="35">
        <f>+AJ8</f>
        <v>304256.26457777777</v>
      </c>
      <c r="AM8" s="155"/>
      <c r="AN8" s="155"/>
      <c r="AO8" s="155"/>
      <c r="AP8" s="12">
        <f>([1]Summary!$AL$4-F8)/365</f>
        <v>8.0054794520547947</v>
      </c>
      <c r="AQ8" s="12">
        <f>H8-AP8</f>
        <v>6.9945205479452053</v>
      </c>
      <c r="AR8" s="35">
        <f>+AG8</f>
        <v>31421.300000000003</v>
      </c>
      <c r="AS8" s="34">
        <f>IF(AA8-AG8&lt;=0,0,IF(AQ8&lt;=0,0,AA8-AG8))</f>
        <v>311811.3880888889</v>
      </c>
      <c r="AT8" s="96">
        <f>+AI8</f>
        <v>38976.423511111112</v>
      </c>
      <c r="AU8" s="35">
        <f>+AL8+AM8-AT8</f>
        <v>265279.84106666665</v>
      </c>
      <c r="AW8" s="155">
        <f>+AU8</f>
        <v>265279.84106666665</v>
      </c>
      <c r="AX8" s="155"/>
      <c r="AY8" s="155"/>
      <c r="AZ8" s="155"/>
      <c r="BA8" s="155">
        <f>([1]Summary!$AW$4-F8)/365</f>
        <v>9.0054794520547947</v>
      </c>
      <c r="BB8" s="155">
        <f>H8-BA8</f>
        <v>5.9945205479452053</v>
      </c>
      <c r="BC8" s="155">
        <f>+AR8</f>
        <v>31421.300000000003</v>
      </c>
      <c r="BD8" s="155">
        <f>IF(AL8-AR8&lt;=0,0,IF(BB8&lt;=0,0,AL8-AR8))</f>
        <v>272834.96457777778</v>
      </c>
      <c r="BE8" s="35">
        <f>+AT8</f>
        <v>38976.423511111112</v>
      </c>
      <c r="BF8" s="155">
        <f>+AW8+AX8-BE8</f>
        <v>226303.41755555553</v>
      </c>
      <c r="BG8" s="155"/>
      <c r="BH8" s="35">
        <f>+BF8</f>
        <v>226303.41755555553</v>
      </c>
      <c r="BI8" s="155"/>
      <c r="BJ8" s="155"/>
      <c r="BK8" s="155"/>
      <c r="BL8" s="35">
        <f>([1]Summary!$BH$4-F8)/365</f>
        <v>10.005479452054795</v>
      </c>
      <c r="BM8" s="155">
        <f>H8-BL8</f>
        <v>4.9945205479452053</v>
      </c>
      <c r="BN8" s="155">
        <f>+BC8</f>
        <v>31421.300000000003</v>
      </c>
      <c r="BO8" s="35">
        <f>IF(BH8-BN8&lt;=0,0,IF(BM8&lt;=0,0,BH8-BN8))</f>
        <v>194882.11755555554</v>
      </c>
      <c r="BP8" s="35">
        <f>+BE8</f>
        <v>38976.423511111112</v>
      </c>
      <c r="BQ8" s="35">
        <f>+BH8+BI8-BP8</f>
        <v>187326.99404444441</v>
      </c>
      <c r="BS8" s="132">
        <f>+BQ8-BN8</f>
        <v>155905.69404444442</v>
      </c>
      <c r="BT8" s="35">
        <v>187326.99404444441</v>
      </c>
      <c r="BU8" s="155"/>
      <c r="BV8" s="155"/>
      <c r="BW8" s="155"/>
      <c r="BX8" s="35">
        <f>([1]Summary!$BT$4-F8)/365</f>
        <v>11.005479452054795</v>
      </c>
      <c r="BY8" s="96">
        <f>H8-BX8</f>
        <v>3.9945205479452053</v>
      </c>
      <c r="BZ8" s="35">
        <f>+BN8</f>
        <v>31421.300000000003</v>
      </c>
      <c r="CA8" s="35">
        <f>IF(BT8-BZ8&lt;=0,0,IF(BY8&lt;=0,0,BT8-BZ8))</f>
        <v>155905.69404444442</v>
      </c>
      <c r="CB8" s="35">
        <f>BP8</f>
        <v>38976.423511111112</v>
      </c>
      <c r="CC8" s="35">
        <f>+BT8+BU8-CB8</f>
        <v>148350.57053333329</v>
      </c>
      <c r="CE8" s="35">
        <v>148350.57053333329</v>
      </c>
      <c r="CF8" s="155"/>
      <c r="CG8" s="155"/>
      <c r="CH8" s="155"/>
      <c r="CI8" s="35">
        <f>([1]Summary!$CE$4-F8)/365</f>
        <v>12.008219178082191</v>
      </c>
      <c r="CJ8" s="96">
        <f>H8-CI8</f>
        <v>2.9917808219178088</v>
      </c>
      <c r="CK8" s="35">
        <f>+BZ8</f>
        <v>31421.300000000003</v>
      </c>
      <c r="CL8" s="35">
        <f>IF(CE8-CK8&lt;=0,0,IF(CJ8&lt;=0,0,CE8-CK8))</f>
        <v>116929.27053333329</v>
      </c>
      <c r="CM8" s="35">
        <f>CB8</f>
        <v>38976.423511111112</v>
      </c>
      <c r="CN8" s="35">
        <f>+CE8+CF8-CM8</f>
        <v>109374.14702222217</v>
      </c>
      <c r="CP8" s="35">
        <f>CN8</f>
        <v>109374.14702222217</v>
      </c>
      <c r="CQ8" s="155"/>
      <c r="CR8" s="155"/>
      <c r="CS8" s="155"/>
      <c r="CT8" s="35">
        <f>([1]Summary!$CP$4-F8)/365</f>
        <v>13.008219178082191</v>
      </c>
      <c r="CU8" s="96">
        <f>H8-CT8</f>
        <v>1.9917808219178088</v>
      </c>
      <c r="CV8" s="35">
        <f>CK8</f>
        <v>31421.300000000003</v>
      </c>
      <c r="CW8" s="35">
        <f>IF(CP8-CV8&lt;=0,0,IF(CU8&lt;=0,0,CP8-CV8))</f>
        <v>77952.847022222166</v>
      </c>
      <c r="CX8" s="35">
        <f>CM8</f>
        <v>38976.423511111112</v>
      </c>
      <c r="CY8" s="35">
        <f>+CP8+CQ8-CX8</f>
        <v>70397.723511111049</v>
      </c>
      <c r="DA8" s="35">
        <f>CY8</f>
        <v>70397.723511111049</v>
      </c>
      <c r="DB8" s="155"/>
      <c r="DC8" s="155"/>
      <c r="DD8" s="155"/>
      <c r="DE8" s="35">
        <f>([1]Summary!$DA$4-F8)/365</f>
        <v>14.008219178082191</v>
      </c>
      <c r="DF8" s="96">
        <f>H8-DE8</f>
        <v>0.99178082191780881</v>
      </c>
      <c r="DG8" s="35">
        <f>CV8</f>
        <v>31421.300000000003</v>
      </c>
      <c r="DH8" s="35">
        <f>IF(DA8-DG8&lt;=0,0,IF(DF8&lt;=0,0,DA8-DG8))</f>
        <v>38976.423511111047</v>
      </c>
      <c r="DI8" s="35">
        <f>CX8</f>
        <v>38976.423511111112</v>
      </c>
      <c r="DJ8" s="35">
        <f>+DA8+DB8-DI8</f>
        <v>31421.299999999937</v>
      </c>
      <c r="DL8" s="157">
        <f t="shared" ref="DL8:DL9" si="0">J8+AB8+AM8+AX8+BI8+BU8+CF8+CQ8+DB8</f>
        <v>628426</v>
      </c>
      <c r="DM8" s="157">
        <f t="shared" ref="DM8:DM9" si="1">M8+S8+AI8+AT8+BE8+BP8+CB8+CM8+CX8+DI8</f>
        <v>597004.69999999995</v>
      </c>
      <c r="DN8" s="157">
        <f t="shared" ref="DN8:DN9" si="2">DL8-DM8</f>
        <v>31421.300000000047</v>
      </c>
    </row>
    <row r="9" spans="1:118" s="156" customFormat="1" ht="63.75" x14ac:dyDescent="0.25">
      <c r="A9" s="92" t="s">
        <v>5</v>
      </c>
      <c r="B9" s="94" t="s">
        <v>4</v>
      </c>
      <c r="C9" s="46" t="s">
        <v>474</v>
      </c>
      <c r="D9" s="212" t="s">
        <v>553</v>
      </c>
      <c r="E9" s="213" t="s">
        <v>554</v>
      </c>
      <c r="F9" s="214">
        <v>40918</v>
      </c>
      <c r="G9" s="215">
        <f>([1]Summary!$G$3-F9)/365</f>
        <v>2.2219178082191782</v>
      </c>
      <c r="H9" s="215">
        <f>VLOOKUP(C9,[2]Rates!$C$6:$D$136,2,0)</f>
        <v>15</v>
      </c>
      <c r="I9" s="216">
        <f>H9-G9</f>
        <v>12.778082191780822</v>
      </c>
      <c r="J9" s="217">
        <v>600046</v>
      </c>
      <c r="K9" s="217"/>
      <c r="L9" s="218">
        <f>+J9-K9</f>
        <v>600046</v>
      </c>
      <c r="M9" s="217">
        <v>133570.2396</v>
      </c>
      <c r="N9" s="56">
        <f>J9-M9</f>
        <v>466475.76040000003</v>
      </c>
      <c r="O9" s="56"/>
      <c r="P9" s="82">
        <f>ROUND(I9,0)</f>
        <v>13</v>
      </c>
      <c r="Q9" s="58">
        <f>J9*5%</f>
        <v>30002.300000000003</v>
      </c>
      <c r="R9" s="56">
        <f>IF(N9-Q9&lt;=0,0,IF(P9&lt;=0,0,N9-Q9))</f>
        <v>436473.46040000004</v>
      </c>
      <c r="S9" s="56">
        <f>R9/P9</f>
        <v>33574.881569230769</v>
      </c>
      <c r="T9" s="56">
        <f>IF(P9&lt;=0,Q9-N9,IF(N9&lt;=Q9,Q9-N9,0))</f>
        <v>0</v>
      </c>
      <c r="U9" s="56">
        <f>N9+T9</f>
        <v>466475.76040000003</v>
      </c>
      <c r="V9" s="59">
        <f>+U9-S9</f>
        <v>432900.87883076927</v>
      </c>
      <c r="W9" s="219"/>
      <c r="X9" s="219"/>
      <c r="Y9" s="219"/>
      <c r="Z9" s="219"/>
      <c r="AA9" s="81">
        <f>V9</f>
        <v>432900.87883076927</v>
      </c>
      <c r="AB9" s="209"/>
      <c r="AC9" s="209"/>
      <c r="AD9" s="209"/>
      <c r="AE9" s="220">
        <f>([1]Summary!$G$4-F9)/365</f>
        <v>3.2219178082191782</v>
      </c>
      <c r="AF9" s="220">
        <f>H9-AE9</f>
        <v>11.778082191780822</v>
      </c>
      <c r="AG9" s="81">
        <f>Q9</f>
        <v>30002.300000000003</v>
      </c>
      <c r="AH9" s="95">
        <f>IF(N9-Q9&lt;=0,0,IF(AF9&lt;=0,0,N9-Q9))</f>
        <v>436473.46040000004</v>
      </c>
      <c r="AI9" s="81">
        <f>S9</f>
        <v>33574.881569230769</v>
      </c>
      <c r="AJ9" s="81">
        <f>AA9-AI9</f>
        <v>399325.99726153852</v>
      </c>
      <c r="AL9" s="81">
        <f>+AJ9</f>
        <v>399325.99726153852</v>
      </c>
      <c r="AM9" s="209"/>
      <c r="AN9" s="209"/>
      <c r="AO9" s="209"/>
      <c r="AP9" s="220">
        <f>([1]Summary!$AL$4-F9)/365</f>
        <v>4.2246575342465755</v>
      </c>
      <c r="AQ9" s="220">
        <f>H9-AP9</f>
        <v>10.775342465753425</v>
      </c>
      <c r="AR9" s="81">
        <f>+AG9</f>
        <v>30002.300000000003</v>
      </c>
      <c r="AS9" s="95">
        <f>IF(AA9-AG9&lt;=0,0,IF(AQ9&lt;=0,0,AA9-AG9))</f>
        <v>402898.57883076929</v>
      </c>
      <c r="AT9" s="125">
        <f>+AI9</f>
        <v>33574.881569230769</v>
      </c>
      <c r="AU9" s="81">
        <f>+AL9+AM9-AT9</f>
        <v>365751.11569230777</v>
      </c>
      <c r="AW9" s="209">
        <f>+AU9</f>
        <v>365751.11569230777</v>
      </c>
      <c r="AX9" s="209"/>
      <c r="AY9" s="209"/>
      <c r="AZ9" s="209"/>
      <c r="BA9" s="209">
        <f>([1]Summary!$AW$4-F9)/365</f>
        <v>5.2246575342465755</v>
      </c>
      <c r="BB9" s="209">
        <f>H9-BA9</f>
        <v>9.7753424657534254</v>
      </c>
      <c r="BC9" s="209">
        <f>+AR9</f>
        <v>30002.300000000003</v>
      </c>
      <c r="BD9" s="209">
        <f>IF(AL9-AR9&lt;=0,0,IF(BB9&lt;=0,0,AL9-AR9))</f>
        <v>369323.69726153853</v>
      </c>
      <c r="BE9" s="81">
        <f>+AT9</f>
        <v>33574.881569230769</v>
      </c>
      <c r="BF9" s="209">
        <f>+AW9+AX9-BE9</f>
        <v>332176.23412307701</v>
      </c>
      <c r="BG9" s="209"/>
      <c r="BH9" s="81">
        <f>+BF9</f>
        <v>332176.23412307701</v>
      </c>
      <c r="BI9" s="209"/>
      <c r="BJ9" s="209"/>
      <c r="BK9" s="209"/>
      <c r="BL9" s="81">
        <f>([1]Summary!$BH$4-F9)/365</f>
        <v>6.2246575342465755</v>
      </c>
      <c r="BM9" s="209">
        <f>H9-BL9</f>
        <v>8.7753424657534254</v>
      </c>
      <c r="BN9" s="209">
        <f>+BC9</f>
        <v>30002.300000000003</v>
      </c>
      <c r="BO9" s="81">
        <f>IF(BH9-BN9&lt;=0,0,IF(BM9&lt;=0,0,BH9-BN9))</f>
        <v>302173.93412307702</v>
      </c>
      <c r="BP9" s="81">
        <f>+BE9</f>
        <v>33574.881569230769</v>
      </c>
      <c r="BQ9" s="81">
        <f>+BH9+BI9-BP9</f>
        <v>298601.35255384626</v>
      </c>
      <c r="BS9" s="132">
        <f>+BQ9-BN9</f>
        <v>268599.05255384627</v>
      </c>
      <c r="BT9" s="81">
        <v>298601.35255384626</v>
      </c>
      <c r="BU9" s="209"/>
      <c r="BV9" s="209"/>
      <c r="BW9" s="209"/>
      <c r="BX9" s="81">
        <f>([1]Summary!$BT$4-F9)/365</f>
        <v>7.2246575342465755</v>
      </c>
      <c r="BY9" s="125">
        <f>H9-BX9</f>
        <v>7.7753424657534245</v>
      </c>
      <c r="BZ9" s="81">
        <f>+BN9</f>
        <v>30002.300000000003</v>
      </c>
      <c r="CA9" s="81">
        <f>IF(BT9-BZ9&lt;=0,0,IF(BY9&lt;=0,0,BT9-BZ9))</f>
        <v>268599.05255384627</v>
      </c>
      <c r="CB9" s="81">
        <f>BP9</f>
        <v>33574.881569230769</v>
      </c>
      <c r="CC9" s="81">
        <f>+BT9+BU9-CB9</f>
        <v>265026.4709846155</v>
      </c>
      <c r="CE9" s="81">
        <v>265026.4709846155</v>
      </c>
      <c r="CF9" s="209"/>
      <c r="CG9" s="209"/>
      <c r="CH9" s="209"/>
      <c r="CI9" s="81">
        <f>([1]Summary!$CE$4-F9)/365</f>
        <v>8.2273972602739729</v>
      </c>
      <c r="CJ9" s="125">
        <f>H9-CI9</f>
        <v>6.7726027397260271</v>
      </c>
      <c r="CK9" s="81">
        <f>+BZ9</f>
        <v>30002.300000000003</v>
      </c>
      <c r="CL9" s="81">
        <f>IF(CE9-CK9&lt;=0,0,IF(CJ9&lt;=0,0,CE9-CK9))</f>
        <v>235024.17098461551</v>
      </c>
      <c r="CM9" s="81">
        <f>CB9</f>
        <v>33574.881569230769</v>
      </c>
      <c r="CN9" s="81">
        <f>+CE9+CF9-CM9</f>
        <v>231451.58941538475</v>
      </c>
      <c r="CP9" s="81">
        <f>CN9</f>
        <v>231451.58941538475</v>
      </c>
      <c r="CQ9" s="209"/>
      <c r="CR9" s="209"/>
      <c r="CS9" s="209"/>
      <c r="CT9" s="81">
        <f>([1]Summary!$CP$4-F9)/365</f>
        <v>9.2273972602739729</v>
      </c>
      <c r="CU9" s="125">
        <f>H9-CT9</f>
        <v>5.7726027397260271</v>
      </c>
      <c r="CV9" s="81">
        <f>CK9</f>
        <v>30002.300000000003</v>
      </c>
      <c r="CW9" s="81">
        <f>IF(CP9-CV9&lt;=0,0,IF(CU9&lt;=0,0,CP9-CV9))</f>
        <v>201449.28941538476</v>
      </c>
      <c r="CX9" s="81">
        <f>CM9</f>
        <v>33574.881569230769</v>
      </c>
      <c r="CY9" s="81">
        <f>+CP9+CQ9-CX9</f>
        <v>197876.70784615399</v>
      </c>
      <c r="DA9" s="81">
        <f>CY9</f>
        <v>197876.70784615399</v>
      </c>
      <c r="DB9" s="209"/>
      <c r="DC9" s="209"/>
      <c r="DD9" s="209"/>
      <c r="DE9" s="81">
        <f>([1]Summary!$DA$4-F9)/365</f>
        <v>10.227397260273973</v>
      </c>
      <c r="DF9" s="125">
        <f>H9-DE9</f>
        <v>4.7726027397260271</v>
      </c>
      <c r="DG9" s="81">
        <f>CV9</f>
        <v>30002.300000000003</v>
      </c>
      <c r="DH9" s="81">
        <f>IF(DA9-DG9&lt;=0,0,IF(DF9&lt;=0,0,DA9-DG9))</f>
        <v>167874.407846154</v>
      </c>
      <c r="DI9" s="81">
        <f>CX9</f>
        <v>33574.881569230769</v>
      </c>
      <c r="DJ9" s="81">
        <f>+DA9+DB9-DI9</f>
        <v>164301.82627692324</v>
      </c>
      <c r="DL9" s="157">
        <f t="shared" si="0"/>
        <v>600046</v>
      </c>
      <c r="DM9" s="157">
        <f t="shared" si="1"/>
        <v>435744.17372307682</v>
      </c>
      <c r="DN9" s="157">
        <f t="shared" si="2"/>
        <v>164301.82627692318</v>
      </c>
    </row>
    <row r="10" spans="1:118" x14ac:dyDescent="0.25">
      <c r="A10" s="1"/>
      <c r="B10" s="1"/>
      <c r="C10" s="1"/>
      <c r="D10" s="1"/>
      <c r="E10" s="1"/>
      <c r="F10" s="1"/>
      <c r="G10" s="1"/>
      <c r="H10" s="1"/>
      <c r="I10" s="1"/>
      <c r="J10" s="157">
        <f>SUM(J8:J9)</f>
        <v>1228472</v>
      </c>
      <c r="K10" s="157">
        <f t="shared" ref="K10:BV10" si="3">SUM(K8:K9)</f>
        <v>0</v>
      </c>
      <c r="L10" s="157">
        <f t="shared" si="3"/>
        <v>1228472</v>
      </c>
      <c r="M10" s="157">
        <f t="shared" si="3"/>
        <v>379787.12800000003</v>
      </c>
      <c r="N10" s="157">
        <f t="shared" si="3"/>
        <v>848684.87199999997</v>
      </c>
      <c r="O10" s="157">
        <f t="shared" si="3"/>
        <v>0</v>
      </c>
      <c r="P10" s="157">
        <f t="shared" si="3"/>
        <v>22</v>
      </c>
      <c r="Q10" s="157">
        <f t="shared" si="3"/>
        <v>61423.600000000006</v>
      </c>
      <c r="R10" s="157">
        <f t="shared" si="3"/>
        <v>787261.27200000011</v>
      </c>
      <c r="S10" s="157">
        <f t="shared" si="3"/>
        <v>72551.305080341874</v>
      </c>
      <c r="T10" s="157">
        <f t="shared" si="3"/>
        <v>0</v>
      </c>
      <c r="U10" s="157">
        <f t="shared" si="3"/>
        <v>848684.87199999997</v>
      </c>
      <c r="V10" s="157">
        <f t="shared" si="3"/>
        <v>776133.5669196581</v>
      </c>
      <c r="W10" s="157">
        <f t="shared" si="3"/>
        <v>0</v>
      </c>
      <c r="X10" s="157">
        <f t="shared" si="3"/>
        <v>0</v>
      </c>
      <c r="Y10" s="157">
        <f t="shared" si="3"/>
        <v>0</v>
      </c>
      <c r="Z10" s="157">
        <f t="shared" si="3"/>
        <v>0</v>
      </c>
      <c r="AA10" s="157">
        <f t="shared" si="3"/>
        <v>776133.5669196581</v>
      </c>
      <c r="AB10" s="157">
        <f t="shared" si="3"/>
        <v>0</v>
      </c>
      <c r="AC10" s="157">
        <f t="shared" si="3"/>
        <v>0</v>
      </c>
      <c r="AD10" s="157">
        <f t="shared" si="3"/>
        <v>0</v>
      </c>
      <c r="AE10" s="157">
        <f t="shared" si="3"/>
        <v>10.224657534246575</v>
      </c>
      <c r="AF10" s="157">
        <f t="shared" si="3"/>
        <v>19.775342465753425</v>
      </c>
      <c r="AG10" s="157">
        <f t="shared" si="3"/>
        <v>61423.600000000006</v>
      </c>
      <c r="AH10" s="157">
        <f t="shared" si="3"/>
        <v>787261.27200000011</v>
      </c>
      <c r="AI10" s="157">
        <f t="shared" si="3"/>
        <v>72551.305080341874</v>
      </c>
      <c r="AJ10" s="157">
        <f t="shared" si="3"/>
        <v>703582.26183931623</v>
      </c>
      <c r="AK10" s="157">
        <f t="shared" si="3"/>
        <v>0</v>
      </c>
      <c r="AL10" s="157">
        <f t="shared" si="3"/>
        <v>703582.26183931623</v>
      </c>
      <c r="AM10" s="157">
        <f t="shared" si="3"/>
        <v>0</v>
      </c>
      <c r="AN10" s="157">
        <f t="shared" si="3"/>
        <v>0</v>
      </c>
      <c r="AO10" s="157">
        <f t="shared" si="3"/>
        <v>0</v>
      </c>
      <c r="AP10" s="157">
        <f t="shared" si="3"/>
        <v>12.230136986301371</v>
      </c>
      <c r="AQ10" s="157">
        <f t="shared" si="3"/>
        <v>17.769863013698632</v>
      </c>
      <c r="AR10" s="157">
        <f t="shared" si="3"/>
        <v>61423.600000000006</v>
      </c>
      <c r="AS10" s="157">
        <f t="shared" si="3"/>
        <v>714709.96691965824</v>
      </c>
      <c r="AT10" s="157">
        <f t="shared" si="3"/>
        <v>72551.305080341874</v>
      </c>
      <c r="AU10" s="157">
        <f t="shared" si="3"/>
        <v>631030.95675897435</v>
      </c>
      <c r="AV10" s="157">
        <f t="shared" si="3"/>
        <v>0</v>
      </c>
      <c r="AW10" s="157">
        <f t="shared" si="3"/>
        <v>631030.95675897435</v>
      </c>
      <c r="AX10" s="157">
        <f t="shared" si="3"/>
        <v>0</v>
      </c>
      <c r="AY10" s="157">
        <f t="shared" si="3"/>
        <v>0</v>
      </c>
      <c r="AZ10" s="157">
        <f t="shared" si="3"/>
        <v>0</v>
      </c>
      <c r="BA10" s="157">
        <f t="shared" si="3"/>
        <v>14.230136986301371</v>
      </c>
      <c r="BB10" s="157">
        <f t="shared" si="3"/>
        <v>15.769863013698631</v>
      </c>
      <c r="BC10" s="157">
        <f t="shared" si="3"/>
        <v>61423.600000000006</v>
      </c>
      <c r="BD10" s="157">
        <f t="shared" si="3"/>
        <v>642158.66183931637</v>
      </c>
      <c r="BE10" s="157">
        <f t="shared" si="3"/>
        <v>72551.305080341874</v>
      </c>
      <c r="BF10" s="157">
        <f t="shared" si="3"/>
        <v>558479.65167863248</v>
      </c>
      <c r="BG10" s="157">
        <f t="shared" si="3"/>
        <v>0</v>
      </c>
      <c r="BH10" s="157">
        <f t="shared" si="3"/>
        <v>558479.65167863248</v>
      </c>
      <c r="BI10" s="157">
        <f t="shared" si="3"/>
        <v>0</v>
      </c>
      <c r="BJ10" s="157">
        <f t="shared" si="3"/>
        <v>0</v>
      </c>
      <c r="BK10" s="157">
        <f t="shared" si="3"/>
        <v>0</v>
      </c>
      <c r="BL10" s="157">
        <f t="shared" si="3"/>
        <v>16.230136986301371</v>
      </c>
      <c r="BM10" s="157">
        <f t="shared" si="3"/>
        <v>13.769863013698631</v>
      </c>
      <c r="BN10" s="157">
        <f t="shared" si="3"/>
        <v>61423.600000000006</v>
      </c>
      <c r="BO10" s="157">
        <f t="shared" si="3"/>
        <v>497056.05167863256</v>
      </c>
      <c r="BP10" s="157">
        <f t="shared" si="3"/>
        <v>72551.305080341874</v>
      </c>
      <c r="BQ10" s="157">
        <f t="shared" si="3"/>
        <v>485928.34659829066</v>
      </c>
      <c r="BR10" s="157">
        <f t="shared" si="3"/>
        <v>0</v>
      </c>
      <c r="BS10" s="157">
        <f t="shared" si="3"/>
        <v>424504.74659829069</v>
      </c>
      <c r="BT10" s="157">
        <f t="shared" si="3"/>
        <v>485928.34659829066</v>
      </c>
      <c r="BU10" s="157">
        <f t="shared" si="3"/>
        <v>0</v>
      </c>
      <c r="BV10" s="157">
        <f t="shared" si="3"/>
        <v>0</v>
      </c>
      <c r="BW10" s="157">
        <f t="shared" ref="BW10:DJ10" si="4">SUM(BW8:BW9)</f>
        <v>0</v>
      </c>
      <c r="BX10" s="157">
        <f t="shared" si="4"/>
        <v>18.230136986301371</v>
      </c>
      <c r="BY10" s="157">
        <f t="shared" si="4"/>
        <v>11.769863013698629</v>
      </c>
      <c r="BZ10" s="157">
        <f t="shared" si="4"/>
        <v>61423.600000000006</v>
      </c>
      <c r="CA10" s="157">
        <f t="shared" si="4"/>
        <v>424504.74659829069</v>
      </c>
      <c r="CB10" s="157">
        <f t="shared" si="4"/>
        <v>72551.305080341874</v>
      </c>
      <c r="CC10" s="157">
        <f t="shared" si="4"/>
        <v>413377.04151794879</v>
      </c>
      <c r="CD10" s="157">
        <f t="shared" si="4"/>
        <v>0</v>
      </c>
      <c r="CE10" s="157">
        <f t="shared" si="4"/>
        <v>413377.04151794879</v>
      </c>
      <c r="CF10" s="157">
        <f t="shared" si="4"/>
        <v>0</v>
      </c>
      <c r="CG10" s="157">
        <f t="shared" si="4"/>
        <v>0</v>
      </c>
      <c r="CH10" s="157">
        <f t="shared" si="4"/>
        <v>0</v>
      </c>
      <c r="CI10" s="157">
        <f t="shared" si="4"/>
        <v>20.235616438356164</v>
      </c>
      <c r="CJ10" s="157">
        <f t="shared" si="4"/>
        <v>9.7643835616438359</v>
      </c>
      <c r="CK10" s="157">
        <f t="shared" si="4"/>
        <v>61423.600000000006</v>
      </c>
      <c r="CL10" s="157">
        <f t="shared" si="4"/>
        <v>351953.44151794881</v>
      </c>
      <c r="CM10" s="157">
        <f t="shared" si="4"/>
        <v>72551.305080341874</v>
      </c>
      <c r="CN10" s="157">
        <f t="shared" si="4"/>
        <v>340825.73643760692</v>
      </c>
      <c r="CO10" s="157">
        <f t="shared" si="4"/>
        <v>0</v>
      </c>
      <c r="CP10" s="157">
        <f t="shared" si="4"/>
        <v>340825.73643760692</v>
      </c>
      <c r="CQ10" s="157">
        <f t="shared" si="4"/>
        <v>0</v>
      </c>
      <c r="CR10" s="157">
        <f t="shared" si="4"/>
        <v>0</v>
      </c>
      <c r="CS10" s="157">
        <f t="shared" si="4"/>
        <v>0</v>
      </c>
      <c r="CT10" s="157">
        <f t="shared" si="4"/>
        <v>22.235616438356164</v>
      </c>
      <c r="CU10" s="157">
        <f t="shared" si="4"/>
        <v>7.7643835616438359</v>
      </c>
      <c r="CV10" s="157">
        <f t="shared" si="4"/>
        <v>61423.600000000006</v>
      </c>
      <c r="CW10" s="157">
        <f t="shared" si="4"/>
        <v>279402.13643760694</v>
      </c>
      <c r="CX10" s="157">
        <f t="shared" si="4"/>
        <v>72551.305080341874</v>
      </c>
      <c r="CY10" s="157">
        <f t="shared" si="4"/>
        <v>268274.43135726504</v>
      </c>
      <c r="CZ10" s="157">
        <f t="shared" si="4"/>
        <v>0</v>
      </c>
      <c r="DA10" s="157">
        <f t="shared" si="4"/>
        <v>268274.43135726504</v>
      </c>
      <c r="DB10" s="157">
        <f t="shared" si="4"/>
        <v>0</v>
      </c>
      <c r="DC10" s="157">
        <f t="shared" si="4"/>
        <v>0</v>
      </c>
      <c r="DD10" s="157">
        <f t="shared" si="4"/>
        <v>0</v>
      </c>
      <c r="DE10" s="157">
        <f t="shared" si="4"/>
        <v>24.235616438356164</v>
      </c>
      <c r="DF10" s="157">
        <f t="shared" si="4"/>
        <v>5.7643835616438359</v>
      </c>
      <c r="DG10" s="157">
        <f t="shared" si="4"/>
        <v>61423.600000000006</v>
      </c>
      <c r="DH10" s="157">
        <f t="shared" si="4"/>
        <v>206850.83135726507</v>
      </c>
      <c r="DI10" s="157">
        <f t="shared" si="4"/>
        <v>72551.305080341874</v>
      </c>
      <c r="DJ10" s="157">
        <f t="shared" si="4"/>
        <v>195723.12627692317</v>
      </c>
      <c r="DL10" s="157">
        <f>J10+AB10+AM10+AX10+BI10+BU10+CF10+CQ10+DB10</f>
        <v>1228472</v>
      </c>
      <c r="DM10" s="157">
        <f>M10+S10+AI10+AT10+BE10+BP10+CB10+CM10+CX10+DI10</f>
        <v>1032748.8737230769</v>
      </c>
      <c r="DN10" s="157">
        <f>DL10-DM10</f>
        <v>195723.12627692311</v>
      </c>
    </row>
  </sheetData>
  <mergeCells count="3">
    <mergeCell ref="A6:A7"/>
    <mergeCell ref="B6:B7"/>
    <mergeCell ref="C6:C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N12"/>
  <sheetViews>
    <sheetView topLeftCell="DA1" workbookViewId="0">
      <selection sqref="A1:XFD1048576"/>
    </sheetView>
  </sheetViews>
  <sheetFormatPr defaultRowHeight="15" x14ac:dyDescent="0.25"/>
  <cols>
    <col min="2" max="3" width="0" hidden="1" customWidth="1"/>
    <col min="5" max="5" width="24.140625" bestFit="1" customWidth="1"/>
    <col min="6" max="6" width="10.5703125" bestFit="1" customWidth="1"/>
    <col min="7" max="9" width="8.85546875" bestFit="1" customWidth="1"/>
    <col min="10" max="10" width="12" bestFit="1" customWidth="1"/>
    <col min="11" max="11" width="8.42578125" bestFit="1" customWidth="1"/>
    <col min="12" max="13" width="9.5703125" bestFit="1" customWidth="1"/>
    <col min="14" max="14" width="11.140625" bestFit="1" customWidth="1"/>
    <col min="15" max="15" width="8.28515625" bestFit="1" customWidth="1"/>
    <col min="16" max="16" width="8.85546875" bestFit="1" customWidth="1"/>
    <col min="17" max="17" width="9.7109375" bestFit="1" customWidth="1"/>
    <col min="18" max="18" width="15.85546875" bestFit="1" customWidth="1"/>
    <col min="19" max="19" width="9.7109375" bestFit="1" customWidth="1"/>
    <col min="20" max="20" width="10.28515625" bestFit="1" customWidth="1"/>
    <col min="21" max="22" width="11.140625" bestFit="1" customWidth="1"/>
    <col min="23" max="23" width="7.140625" bestFit="1" customWidth="1"/>
    <col min="24" max="25" width="5.28515625" bestFit="1" customWidth="1"/>
    <col min="27" max="27" width="9.5703125" bestFit="1" customWidth="1"/>
    <col min="28" max="28" width="8.42578125" bestFit="1" customWidth="1"/>
    <col min="29" max="29" width="7" bestFit="1" customWidth="1"/>
    <col min="30" max="30" width="9.7109375" bestFit="1" customWidth="1"/>
    <col min="31" max="31" width="8.5703125" bestFit="1" customWidth="1"/>
    <col min="32" max="32" width="8.85546875" bestFit="1" customWidth="1"/>
    <col min="33" max="33" width="8.5703125" bestFit="1" customWidth="1"/>
    <col min="34" max="34" width="14.85546875" bestFit="1" customWidth="1"/>
    <col min="35" max="35" width="8.7109375" bestFit="1" customWidth="1"/>
    <col min="36" max="36" width="9.5703125" bestFit="1" customWidth="1"/>
    <col min="38" max="38" width="9.5703125" bestFit="1" customWidth="1"/>
    <col min="39" max="39" width="8.42578125" bestFit="1" customWidth="1"/>
    <col min="40" max="40" width="7" bestFit="1" customWidth="1"/>
    <col min="41" max="41" width="9.7109375" bestFit="1" customWidth="1"/>
    <col min="42" max="42" width="8.5703125" bestFit="1" customWidth="1"/>
    <col min="43" max="43" width="8.85546875" bestFit="1" customWidth="1"/>
    <col min="44" max="44" width="8.5703125" bestFit="1" customWidth="1"/>
    <col min="45" max="45" width="14.85546875" bestFit="1" customWidth="1"/>
    <col min="46" max="46" width="9.7109375" bestFit="1" customWidth="1"/>
    <col min="47" max="47" width="9.5703125" bestFit="1" customWidth="1"/>
    <col min="49" max="49" width="9.5703125" bestFit="1" customWidth="1"/>
    <col min="50" max="50" width="8.42578125" bestFit="1" customWidth="1"/>
    <col min="51" max="51" width="7" bestFit="1" customWidth="1"/>
    <col min="52" max="52" width="9.7109375" bestFit="1" customWidth="1"/>
    <col min="53" max="53" width="8.5703125" bestFit="1" customWidth="1"/>
    <col min="54" max="54" width="9.42578125" bestFit="1" customWidth="1"/>
    <col min="55" max="55" width="8.5703125" bestFit="1" customWidth="1"/>
    <col min="56" max="56" width="14.85546875" bestFit="1" customWidth="1"/>
    <col min="57" max="57" width="8.7109375" bestFit="1" customWidth="1"/>
    <col min="58" max="58" width="9.5703125" bestFit="1" customWidth="1"/>
    <col min="60" max="60" width="9.5703125" bestFit="1" customWidth="1"/>
    <col min="61" max="61" width="8.42578125" bestFit="1" customWidth="1"/>
    <col min="62" max="62" width="7" bestFit="1" customWidth="1"/>
    <col min="63" max="63" width="9.7109375" bestFit="1" customWidth="1"/>
    <col min="64" max="64" width="8.5703125" bestFit="1" customWidth="1"/>
    <col min="65" max="65" width="9.42578125" bestFit="1" customWidth="1"/>
    <col min="66" max="66" width="8.5703125" bestFit="1" customWidth="1"/>
    <col min="67" max="67" width="14.85546875" bestFit="1" customWidth="1"/>
    <col min="68" max="68" width="8.7109375" bestFit="1" customWidth="1"/>
    <col min="69" max="69" width="9.5703125" bestFit="1" customWidth="1"/>
    <col min="71" max="72" width="9.5703125" bestFit="1" customWidth="1"/>
    <col min="73" max="73" width="8.42578125" bestFit="1" customWidth="1"/>
    <col min="74" max="74" width="7" bestFit="1" customWidth="1"/>
    <col min="75" max="75" width="9.7109375" bestFit="1" customWidth="1"/>
    <col min="76" max="76" width="8.5703125" bestFit="1" customWidth="1"/>
    <col min="77" max="77" width="9.42578125" bestFit="1" customWidth="1"/>
    <col min="78" max="78" width="8.5703125" bestFit="1" customWidth="1"/>
    <col min="79" max="79" width="14.85546875" bestFit="1" customWidth="1"/>
    <col min="80" max="80" width="8.7109375" bestFit="1" customWidth="1"/>
    <col min="81" max="81" width="9.5703125" bestFit="1" customWidth="1"/>
    <col min="83" max="83" width="9.5703125" bestFit="1" customWidth="1"/>
    <col min="84" max="84" width="8.42578125" bestFit="1" customWidth="1"/>
    <col min="85" max="85" width="7" bestFit="1" customWidth="1"/>
    <col min="86" max="86" width="9.7109375" bestFit="1" customWidth="1"/>
    <col min="87" max="87" width="8.5703125" bestFit="1" customWidth="1"/>
    <col min="88" max="88" width="8.85546875" bestFit="1" customWidth="1"/>
    <col min="89" max="89" width="8.5703125" bestFit="1" customWidth="1"/>
    <col min="90" max="90" width="14.85546875" bestFit="1" customWidth="1"/>
    <col min="91" max="91" width="8.7109375" bestFit="1" customWidth="1"/>
    <col min="92" max="92" width="9.5703125" bestFit="1" customWidth="1"/>
    <col min="94" max="94" width="9.5703125" bestFit="1" customWidth="1"/>
    <col min="95" max="95" width="8.42578125" bestFit="1" customWidth="1"/>
    <col min="96" max="96" width="7" bestFit="1" customWidth="1"/>
    <col min="97" max="97" width="9.7109375" bestFit="1" customWidth="1"/>
    <col min="98" max="98" width="8.5703125" bestFit="1" customWidth="1"/>
    <col min="99" max="99" width="8.7109375" bestFit="1" customWidth="1"/>
    <col min="100" max="100" width="8.5703125" bestFit="1" customWidth="1"/>
    <col min="101" max="101" width="14.85546875" bestFit="1" customWidth="1"/>
    <col min="102" max="102" width="8.7109375" bestFit="1" customWidth="1"/>
    <col min="103" max="103" width="9.5703125" bestFit="1" customWidth="1"/>
    <col min="105" max="105" width="8.7109375" bestFit="1" customWidth="1"/>
    <col min="106" max="106" width="8.42578125" bestFit="1" customWidth="1"/>
    <col min="107" max="107" width="7" bestFit="1" customWidth="1"/>
    <col min="108" max="108" width="9.7109375" bestFit="1" customWidth="1"/>
    <col min="109" max="109" width="8.5703125" bestFit="1" customWidth="1"/>
    <col min="110" max="110" width="8.85546875" bestFit="1" customWidth="1"/>
    <col min="111" max="111" width="8.5703125" bestFit="1" customWidth="1"/>
    <col min="112" max="112" width="14.85546875" bestFit="1" customWidth="1"/>
    <col min="113" max="113" width="8.7109375" bestFit="1" customWidth="1"/>
    <col min="114" max="114" width="9.5703125" bestFit="1" customWidth="1"/>
    <col min="116" max="118" width="9.5703125" bestFit="1" customWidth="1"/>
  </cols>
  <sheetData>
    <row r="6" spans="1:118" s="142" customFormat="1" ht="89.25" x14ac:dyDescent="0.25">
      <c r="A6" s="228" t="s">
        <v>439</v>
      </c>
      <c r="B6" s="228" t="s">
        <v>10</v>
      </c>
      <c r="C6" s="228" t="s">
        <v>11</v>
      </c>
      <c r="D6" s="140" t="s">
        <v>440</v>
      </c>
      <c r="E6" s="8" t="s">
        <v>8</v>
      </c>
      <c r="F6" s="6" t="s">
        <v>441</v>
      </c>
      <c r="G6" s="9" t="s">
        <v>442</v>
      </c>
      <c r="H6" s="9" t="s">
        <v>16</v>
      </c>
      <c r="I6" s="9" t="s">
        <v>17</v>
      </c>
      <c r="J6" s="8" t="s">
        <v>443</v>
      </c>
      <c r="K6" s="8" t="s">
        <v>444</v>
      </c>
      <c r="L6" s="8" t="s">
        <v>445</v>
      </c>
      <c r="M6" s="7" t="s">
        <v>19</v>
      </c>
      <c r="N6" s="7" t="s">
        <v>20</v>
      </c>
      <c r="O6" s="6" t="s">
        <v>446</v>
      </c>
      <c r="P6" s="6" t="s">
        <v>22</v>
      </c>
      <c r="Q6" s="7" t="s">
        <v>23</v>
      </c>
      <c r="R6" s="7" t="s">
        <v>447</v>
      </c>
      <c r="S6" s="10" t="s">
        <v>448</v>
      </c>
      <c r="T6" s="10" t="s">
        <v>26</v>
      </c>
      <c r="U6" s="10" t="s">
        <v>449</v>
      </c>
      <c r="V6" s="141" t="s">
        <v>450</v>
      </c>
      <c r="W6" s="142" t="s">
        <v>451</v>
      </c>
      <c r="X6" s="142" t="s">
        <v>452</v>
      </c>
      <c r="Y6" s="142" t="s">
        <v>453</v>
      </c>
      <c r="AA6" s="143" t="s">
        <v>29</v>
      </c>
      <c r="AB6" s="143" t="s">
        <v>30</v>
      </c>
      <c r="AC6" s="143" t="s">
        <v>454</v>
      </c>
      <c r="AD6" s="143" t="s">
        <v>31</v>
      </c>
      <c r="AE6" s="143" t="s">
        <v>32</v>
      </c>
      <c r="AF6" s="144" t="s">
        <v>33</v>
      </c>
      <c r="AG6" s="145" t="s">
        <v>23</v>
      </c>
      <c r="AH6" s="145" t="s">
        <v>34</v>
      </c>
      <c r="AI6" s="141" t="s">
        <v>35</v>
      </c>
      <c r="AJ6" s="145" t="s">
        <v>36</v>
      </c>
      <c r="AL6" s="143" t="s">
        <v>37</v>
      </c>
      <c r="AM6" s="143" t="s">
        <v>38</v>
      </c>
      <c r="AN6" s="143" t="s">
        <v>454</v>
      </c>
      <c r="AO6" s="143" t="s">
        <v>39</v>
      </c>
      <c r="AP6" s="143" t="s">
        <v>40</v>
      </c>
      <c r="AQ6" s="144" t="s">
        <v>41</v>
      </c>
      <c r="AR6" s="145" t="s">
        <v>23</v>
      </c>
      <c r="AS6" s="145" t="s">
        <v>42</v>
      </c>
      <c r="AT6" s="141" t="s">
        <v>35</v>
      </c>
      <c r="AU6" s="145" t="s">
        <v>43</v>
      </c>
      <c r="AW6" s="134" t="s">
        <v>44</v>
      </c>
      <c r="AX6" s="134" t="s">
        <v>45</v>
      </c>
      <c r="AY6" s="134" t="s">
        <v>454</v>
      </c>
      <c r="AZ6" s="134" t="s">
        <v>46</v>
      </c>
      <c r="BA6" s="134" t="s">
        <v>455</v>
      </c>
      <c r="BB6" s="6" t="s">
        <v>456</v>
      </c>
      <c r="BC6" s="7" t="s">
        <v>23</v>
      </c>
      <c r="BD6" s="7" t="s">
        <v>457</v>
      </c>
      <c r="BE6" s="10" t="s">
        <v>35</v>
      </c>
      <c r="BF6" s="7" t="s">
        <v>50</v>
      </c>
      <c r="BG6" s="7"/>
      <c r="BH6" s="134" t="s">
        <v>51</v>
      </c>
      <c r="BI6" s="134" t="s">
        <v>52</v>
      </c>
      <c r="BJ6" s="134" t="s">
        <v>454</v>
      </c>
      <c r="BK6" s="134" t="s">
        <v>53</v>
      </c>
      <c r="BL6" s="134" t="s">
        <v>458</v>
      </c>
      <c r="BM6" s="6" t="s">
        <v>459</v>
      </c>
      <c r="BN6" s="7" t="s">
        <v>23</v>
      </c>
      <c r="BO6" s="7" t="s">
        <v>56</v>
      </c>
      <c r="BP6" s="10" t="s">
        <v>35</v>
      </c>
      <c r="BQ6" s="7" t="s">
        <v>57</v>
      </c>
      <c r="BT6" s="134" t="s">
        <v>58</v>
      </c>
      <c r="BU6" s="134" t="s">
        <v>59</v>
      </c>
      <c r="BV6" s="134" t="s">
        <v>454</v>
      </c>
      <c r="BW6" s="134" t="s">
        <v>60</v>
      </c>
      <c r="BX6" s="134" t="s">
        <v>460</v>
      </c>
      <c r="BY6" s="6" t="s">
        <v>461</v>
      </c>
      <c r="BZ6" s="7" t="s">
        <v>23</v>
      </c>
      <c r="CA6" s="7" t="s">
        <v>63</v>
      </c>
      <c r="CB6" s="10" t="s">
        <v>35</v>
      </c>
      <c r="CC6" s="7" t="s">
        <v>64</v>
      </c>
      <c r="CE6" s="134" t="s">
        <v>65</v>
      </c>
      <c r="CF6" s="134" t="s">
        <v>66</v>
      </c>
      <c r="CG6" s="134" t="s">
        <v>454</v>
      </c>
      <c r="CH6" s="134" t="s">
        <v>67</v>
      </c>
      <c r="CI6" s="134" t="s">
        <v>462</v>
      </c>
      <c r="CJ6" s="6" t="s">
        <v>463</v>
      </c>
      <c r="CK6" s="7" t="s">
        <v>23</v>
      </c>
      <c r="CL6" s="7" t="s">
        <v>464</v>
      </c>
      <c r="CM6" s="10" t="s">
        <v>35</v>
      </c>
      <c r="CN6" s="7" t="s">
        <v>69</v>
      </c>
      <c r="CP6" s="134" t="s">
        <v>70</v>
      </c>
      <c r="CQ6" s="134" t="s">
        <v>71</v>
      </c>
      <c r="CR6" s="134" t="s">
        <v>454</v>
      </c>
      <c r="CS6" s="134" t="s">
        <v>72</v>
      </c>
      <c r="CT6" s="134" t="s">
        <v>73</v>
      </c>
      <c r="CU6" s="6" t="s">
        <v>74</v>
      </c>
      <c r="CV6" s="7" t="s">
        <v>23</v>
      </c>
      <c r="CW6" s="7" t="s">
        <v>75</v>
      </c>
      <c r="CX6" s="5" t="s">
        <v>35</v>
      </c>
      <c r="CY6" s="7" t="s">
        <v>76</v>
      </c>
      <c r="DA6" s="134" t="s">
        <v>77</v>
      </c>
      <c r="DB6" s="134" t="s">
        <v>78</v>
      </c>
      <c r="DC6" s="134" t="s">
        <v>454</v>
      </c>
      <c r="DD6" s="134" t="s">
        <v>79</v>
      </c>
      <c r="DE6" s="135" t="s">
        <v>80</v>
      </c>
      <c r="DF6" s="6" t="s">
        <v>81</v>
      </c>
      <c r="DG6" s="7" t="s">
        <v>23</v>
      </c>
      <c r="DH6" s="7" t="s">
        <v>82</v>
      </c>
      <c r="DI6" s="5" t="s">
        <v>35</v>
      </c>
      <c r="DJ6" s="7" t="s">
        <v>83</v>
      </c>
      <c r="DL6" s="7" t="s">
        <v>1</v>
      </c>
      <c r="DM6" s="7" t="s">
        <v>465</v>
      </c>
      <c r="DN6" s="7" t="s">
        <v>3</v>
      </c>
    </row>
    <row r="7" spans="1:118" s="142" customFormat="1" ht="38.25" x14ac:dyDescent="0.25">
      <c r="A7" s="235"/>
      <c r="B7" s="236"/>
      <c r="C7" s="236"/>
      <c r="D7" s="135"/>
      <c r="E7" s="146" t="s">
        <v>84</v>
      </c>
      <c r="F7" s="147" t="s">
        <v>85</v>
      </c>
      <c r="G7" s="148" t="s">
        <v>466</v>
      </c>
      <c r="H7" s="148" t="s">
        <v>87</v>
      </c>
      <c r="I7" s="148" t="s">
        <v>467</v>
      </c>
      <c r="J7" s="147" t="s">
        <v>89</v>
      </c>
      <c r="K7" s="147"/>
      <c r="L7" s="147"/>
      <c r="M7" s="147" t="s">
        <v>90</v>
      </c>
      <c r="N7" s="147" t="s">
        <v>468</v>
      </c>
      <c r="O7" s="147"/>
      <c r="P7" s="147" t="s">
        <v>469</v>
      </c>
      <c r="Q7" s="147" t="s">
        <v>93</v>
      </c>
      <c r="R7" s="147" t="s">
        <v>470</v>
      </c>
      <c r="S7" s="147" t="s">
        <v>471</v>
      </c>
      <c r="T7" s="147" t="s">
        <v>99</v>
      </c>
      <c r="U7" s="147" t="s">
        <v>472</v>
      </c>
      <c r="V7" s="134" t="s">
        <v>473</v>
      </c>
      <c r="W7" s="134"/>
      <c r="X7" s="134"/>
      <c r="Y7" s="134"/>
      <c r="Z7" s="134"/>
      <c r="AA7" s="134"/>
      <c r="AB7" s="134"/>
      <c r="AC7" s="134"/>
      <c r="AD7" s="134"/>
      <c r="AE7" s="134"/>
      <c r="AF7" s="134"/>
      <c r="AG7" s="134"/>
      <c r="AH7" s="134"/>
      <c r="AI7" s="134"/>
      <c r="AJ7" s="134"/>
      <c r="AL7" s="134"/>
      <c r="AM7" s="134"/>
      <c r="AN7" s="134"/>
      <c r="AO7" s="134"/>
      <c r="AP7" s="134"/>
      <c r="AQ7" s="134"/>
      <c r="AR7" s="134"/>
      <c r="AS7" s="134"/>
      <c r="AT7" s="134"/>
      <c r="AU7" s="134"/>
      <c r="CX7" s="149"/>
      <c r="DI7" s="149"/>
    </row>
    <row r="8" spans="1:118" s="156" customFormat="1" ht="63.75" x14ac:dyDescent="0.25">
      <c r="A8" s="11" t="s">
        <v>6</v>
      </c>
      <c r="B8" s="86" t="s">
        <v>4</v>
      </c>
      <c r="C8" s="15" t="s">
        <v>474</v>
      </c>
      <c r="D8" s="150" t="s">
        <v>555</v>
      </c>
      <c r="E8" s="39" t="s">
        <v>556</v>
      </c>
      <c r="F8" s="87">
        <v>34425</v>
      </c>
      <c r="G8" s="151">
        <f>([1]Summary!$G$3-F8)/365</f>
        <v>20.010958904109589</v>
      </c>
      <c r="H8" s="151">
        <f>VLOOKUP(C8,[2]Rates!$C$6:$D$136,2,0)</f>
        <v>15</v>
      </c>
      <c r="I8" s="152">
        <f>H8-G8</f>
        <v>-5.0109589041095894</v>
      </c>
      <c r="J8" s="88">
        <v>300000</v>
      </c>
      <c r="K8" s="88"/>
      <c r="L8" s="153">
        <f>+J8-K8</f>
        <v>300000</v>
      </c>
      <c r="M8" s="88">
        <v>198371</v>
      </c>
      <c r="N8" s="24">
        <f>J8-M8</f>
        <v>101629</v>
      </c>
      <c r="O8" s="24"/>
      <c r="P8" s="28">
        <f>ROUND(I8,0)</f>
        <v>-5</v>
      </c>
      <c r="Q8" s="26">
        <f>J8*5%</f>
        <v>15000</v>
      </c>
      <c r="R8" s="24">
        <f>IF(N8-Q8&lt;=0,0,IF(P8&lt;=0,0,N8-Q8))</f>
        <v>0</v>
      </c>
      <c r="S8" s="24">
        <f>R8/P8</f>
        <v>0</v>
      </c>
      <c r="T8" s="24">
        <f>IF(P8&lt;=0,Q8-N8,IF(N8&lt;=Q8,Q8-N8,0))</f>
        <v>-86629</v>
      </c>
      <c r="U8" s="24">
        <f>N8+T8</f>
        <v>15000</v>
      </c>
      <c r="V8" s="27">
        <f>+U8-S8</f>
        <v>15000</v>
      </c>
      <c r="W8" s="154"/>
      <c r="X8" s="154"/>
      <c r="Y8" s="154"/>
      <c r="Z8" s="154"/>
      <c r="AA8" s="35">
        <f>V8</f>
        <v>15000</v>
      </c>
      <c r="AB8" s="155"/>
      <c r="AC8" s="155"/>
      <c r="AD8" s="155"/>
      <c r="AE8" s="12">
        <f>([1]Summary!$G$4-F8)/365</f>
        <v>21.010958904109589</v>
      </c>
      <c r="AF8" s="12">
        <f>H8-AE8</f>
        <v>-6.0109589041095894</v>
      </c>
      <c r="AG8" s="35">
        <f>Q8</f>
        <v>15000</v>
      </c>
      <c r="AH8" s="34">
        <f>IF(N8-Q8&lt;=0,0,IF(AF8&lt;=0,0,N8-Q8))</f>
        <v>0</v>
      </c>
      <c r="AI8" s="35">
        <f>S8</f>
        <v>0</v>
      </c>
      <c r="AJ8" s="35">
        <f>AA8-AI8</f>
        <v>15000</v>
      </c>
      <c r="AL8" s="35">
        <f>+AJ8</f>
        <v>15000</v>
      </c>
      <c r="AM8" s="155"/>
      <c r="AN8" s="155"/>
      <c r="AO8" s="155"/>
      <c r="AP8" s="12">
        <f>([1]Summary!$AL$4-F8)/365</f>
        <v>22.013698630136986</v>
      </c>
      <c r="AQ8" s="12">
        <f>H8-AP8</f>
        <v>-7.0136986301369859</v>
      </c>
      <c r="AR8" s="35">
        <f>+AG8</f>
        <v>15000</v>
      </c>
      <c r="AS8" s="34">
        <f>IF(AA8-AG8&lt;=0,0,IF(AQ8&lt;=0,0,AA8-AG8))</f>
        <v>0</v>
      </c>
      <c r="AT8" s="96">
        <f>+AI8</f>
        <v>0</v>
      </c>
      <c r="AU8" s="35">
        <f>+AL8+AM8-AT8</f>
        <v>15000</v>
      </c>
      <c r="AW8" s="155">
        <f>+AU8</f>
        <v>15000</v>
      </c>
      <c r="AX8" s="155"/>
      <c r="AY8" s="155"/>
      <c r="AZ8" s="155"/>
      <c r="BA8" s="155">
        <f>([1]Summary!$AW$4-F8)/365</f>
        <v>23.013698630136986</v>
      </c>
      <c r="BB8" s="155">
        <f>H8-BA8</f>
        <v>-8.0136986301369859</v>
      </c>
      <c r="BC8" s="155">
        <f>+AR8</f>
        <v>15000</v>
      </c>
      <c r="BD8" s="155">
        <f>IF(AL8-AR8&lt;=0,0,IF(BB8&lt;=0,0,AL8-AR8))</f>
        <v>0</v>
      </c>
      <c r="BE8" s="35">
        <f>+AT8</f>
        <v>0</v>
      </c>
      <c r="BF8" s="155">
        <f>+AW8+AX8-BE8</f>
        <v>15000</v>
      </c>
      <c r="BG8" s="155"/>
      <c r="BH8" s="35">
        <f>+BF8</f>
        <v>15000</v>
      </c>
      <c r="BI8" s="155"/>
      <c r="BJ8" s="155"/>
      <c r="BK8" s="155"/>
      <c r="BL8" s="35">
        <f>([1]Summary!$BH$4-F8)/365</f>
        <v>24.013698630136986</v>
      </c>
      <c r="BM8" s="155">
        <f>H8-BL8</f>
        <v>-9.0136986301369859</v>
      </c>
      <c r="BN8" s="155">
        <f>+BC8</f>
        <v>15000</v>
      </c>
      <c r="BO8" s="35">
        <f>IF(BH8-BN8&lt;=0,0,IF(BM8&lt;=0,0,BH8-BN8))</f>
        <v>0</v>
      </c>
      <c r="BP8" s="35">
        <f>+BE8</f>
        <v>0</v>
      </c>
      <c r="BQ8" s="35">
        <f>+BH8+BI8-BP8</f>
        <v>15000</v>
      </c>
      <c r="BS8" s="132">
        <f>+BQ8-BN8</f>
        <v>0</v>
      </c>
      <c r="BT8" s="35">
        <v>15000</v>
      </c>
      <c r="BU8" s="155"/>
      <c r="BV8" s="155"/>
      <c r="BW8" s="155"/>
      <c r="BX8" s="35">
        <f>([1]Summary!$BT$4-F8)/365</f>
        <v>25.013698630136986</v>
      </c>
      <c r="BY8" s="96">
        <f>H8-BX8</f>
        <v>-10.013698630136986</v>
      </c>
      <c r="BZ8" s="35">
        <f>+BN8</f>
        <v>15000</v>
      </c>
      <c r="CA8" s="35">
        <f>IF(BT8-BZ8&lt;=0,0,IF(BY8&lt;=0,0,BT8-BZ8))</f>
        <v>0</v>
      </c>
      <c r="CB8" s="35">
        <f>BP8</f>
        <v>0</v>
      </c>
      <c r="CC8" s="35">
        <f>+BT8+BU8-CB8</f>
        <v>15000</v>
      </c>
      <c r="CE8" s="35">
        <v>15000</v>
      </c>
      <c r="CF8" s="155"/>
      <c r="CG8" s="155"/>
      <c r="CH8" s="155"/>
      <c r="CI8" s="35">
        <f>([1]Summary!$CE$4-F8)/365</f>
        <v>26.016438356164382</v>
      </c>
      <c r="CJ8" s="96">
        <f>H8-CI8</f>
        <v>-11.016438356164382</v>
      </c>
      <c r="CK8" s="35">
        <f>+BZ8</f>
        <v>15000</v>
      </c>
      <c r="CL8" s="35">
        <f>IF(CE8-CK8&lt;=0,0,IF(CJ8&lt;=0,0,CE8-CK8))</f>
        <v>0</v>
      </c>
      <c r="CM8" s="35">
        <f>CB8</f>
        <v>0</v>
      </c>
      <c r="CN8" s="35">
        <f>+CE8+CF8-CM8</f>
        <v>15000</v>
      </c>
      <c r="CP8" s="35">
        <f>CN8</f>
        <v>15000</v>
      </c>
      <c r="CQ8" s="155"/>
      <c r="CR8" s="155"/>
      <c r="CS8" s="155"/>
      <c r="CT8" s="35">
        <f>([1]Summary!$CP$4-F8)/365</f>
        <v>27.016438356164382</v>
      </c>
      <c r="CU8" s="96">
        <f>H8-CT8</f>
        <v>-12.016438356164382</v>
      </c>
      <c r="CV8" s="35">
        <f>CK8</f>
        <v>15000</v>
      </c>
      <c r="CW8" s="35">
        <f>IF(CP8-CV8&lt;=0,0,IF(CU8&lt;=0,0,CP8-CV8))</f>
        <v>0</v>
      </c>
      <c r="CX8" s="35">
        <f>CM8</f>
        <v>0</v>
      </c>
      <c r="CY8" s="35">
        <f>+CP8+CQ8-CX8</f>
        <v>15000</v>
      </c>
      <c r="DA8" s="35">
        <f>CY8</f>
        <v>15000</v>
      </c>
      <c r="DB8" s="155"/>
      <c r="DC8" s="155"/>
      <c r="DD8" s="155"/>
      <c r="DE8" s="35">
        <f>([1]Summary!$DA$4-F8)/365</f>
        <v>28.016438356164382</v>
      </c>
      <c r="DF8" s="96">
        <f>H8-DE8</f>
        <v>-13.016438356164382</v>
      </c>
      <c r="DG8" s="35">
        <f>CV8</f>
        <v>15000</v>
      </c>
      <c r="DH8" s="35">
        <f>IF(DA8-DG8&lt;=0,0,IF(DF8&lt;=0,0,DA8-DG8))</f>
        <v>0</v>
      </c>
      <c r="DI8" s="35">
        <f>CX8</f>
        <v>0</v>
      </c>
      <c r="DJ8" s="35">
        <f>+DA8+DB8-DI8</f>
        <v>15000</v>
      </c>
      <c r="DL8" s="65"/>
      <c r="DM8" s="154"/>
      <c r="DN8" s="154"/>
    </row>
    <row r="9" spans="1:118" s="156" customFormat="1" ht="63.75" x14ac:dyDescent="0.25">
      <c r="A9" s="92" t="s">
        <v>5</v>
      </c>
      <c r="B9" s="94" t="s">
        <v>4</v>
      </c>
      <c r="C9" s="46" t="s">
        <v>474</v>
      </c>
      <c r="D9" s="212" t="s">
        <v>557</v>
      </c>
      <c r="E9" s="213" t="s">
        <v>558</v>
      </c>
      <c r="F9" s="214">
        <v>40974</v>
      </c>
      <c r="G9" s="215">
        <f>([1]Summary!$G$3-F9)/365</f>
        <v>2.0684931506849313</v>
      </c>
      <c r="H9" s="215">
        <f>VLOOKUP(C9,[2]Rates!$C$6:$D$136,2,0)</f>
        <v>15</v>
      </c>
      <c r="I9" s="216">
        <f>H9-G9</f>
        <v>12.931506849315069</v>
      </c>
      <c r="J9" s="217">
        <v>609775</v>
      </c>
      <c r="K9" s="217"/>
      <c r="L9" s="218">
        <f>+J9-K9</f>
        <v>609775</v>
      </c>
      <c r="M9" s="217">
        <v>135735.91500000001</v>
      </c>
      <c r="N9" s="56">
        <f>J9-M9</f>
        <v>474039.08499999996</v>
      </c>
      <c r="O9" s="56"/>
      <c r="P9" s="82">
        <f>ROUND(I9,0)</f>
        <v>13</v>
      </c>
      <c r="Q9" s="58">
        <f>J9*5%</f>
        <v>30488.75</v>
      </c>
      <c r="R9" s="56">
        <f>IF(N9-Q9&lt;=0,0,IF(P9&lt;=0,0,N9-Q9))</f>
        <v>443550.33499999996</v>
      </c>
      <c r="S9" s="56">
        <f>R9/P9</f>
        <v>34119.256538461537</v>
      </c>
      <c r="T9" s="56">
        <f>IF(P9&lt;=0,Q9-N9,IF(N9&lt;=Q9,Q9-N9,0))</f>
        <v>0</v>
      </c>
      <c r="U9" s="56">
        <f>N9+T9</f>
        <v>474039.08499999996</v>
      </c>
      <c r="V9" s="59">
        <f>+U9-S9</f>
        <v>439919.82846153842</v>
      </c>
      <c r="W9" s="219"/>
      <c r="X9" s="219"/>
      <c r="Y9" s="219"/>
      <c r="Z9" s="219"/>
      <c r="AA9" s="81">
        <f>V9</f>
        <v>439919.82846153842</v>
      </c>
      <c r="AB9" s="209"/>
      <c r="AC9" s="209"/>
      <c r="AD9" s="209"/>
      <c r="AE9" s="220">
        <f>([1]Summary!$G$4-F9)/365</f>
        <v>3.0684931506849313</v>
      </c>
      <c r="AF9" s="220">
        <f>H9-AE9</f>
        <v>11.931506849315069</v>
      </c>
      <c r="AG9" s="81">
        <f>Q9</f>
        <v>30488.75</v>
      </c>
      <c r="AH9" s="95">
        <f>IF(N9-Q9&lt;=0,0,IF(AF9&lt;=0,0,N9-Q9))</f>
        <v>443550.33499999996</v>
      </c>
      <c r="AI9" s="81">
        <f>S9</f>
        <v>34119.256538461537</v>
      </c>
      <c r="AJ9" s="81">
        <f>AA9-AI9</f>
        <v>405800.57192307687</v>
      </c>
      <c r="AL9" s="81">
        <f>+AJ9</f>
        <v>405800.57192307687</v>
      </c>
      <c r="AM9" s="209"/>
      <c r="AN9" s="209"/>
      <c r="AO9" s="209"/>
      <c r="AP9" s="220">
        <f>([1]Summary!$AL$4-F9)/365</f>
        <v>4.0712328767123287</v>
      </c>
      <c r="AQ9" s="220">
        <f>H9-AP9</f>
        <v>10.92876712328767</v>
      </c>
      <c r="AR9" s="81">
        <f>+AG9</f>
        <v>30488.75</v>
      </c>
      <c r="AS9" s="95">
        <f>IF(AA9-AG9&lt;=0,0,IF(AQ9&lt;=0,0,AA9-AG9))</f>
        <v>409431.07846153842</v>
      </c>
      <c r="AT9" s="125">
        <f>+AI9</f>
        <v>34119.256538461537</v>
      </c>
      <c r="AU9" s="81">
        <f>+AL9+AM9-AT9</f>
        <v>371681.31538461533</v>
      </c>
      <c r="AW9" s="209">
        <f>+AU9</f>
        <v>371681.31538461533</v>
      </c>
      <c r="AX9" s="209"/>
      <c r="AY9" s="209"/>
      <c r="AZ9" s="209"/>
      <c r="BA9" s="209">
        <f>([1]Summary!$AW$4-F9)/365</f>
        <v>5.0712328767123287</v>
      </c>
      <c r="BB9" s="209">
        <f>H9-BA9</f>
        <v>9.9287671232876704</v>
      </c>
      <c r="BC9" s="209">
        <f>+AR9</f>
        <v>30488.75</v>
      </c>
      <c r="BD9" s="209">
        <f>IF(AL9-AR9&lt;=0,0,IF(BB9&lt;=0,0,AL9-AR9))</f>
        <v>375311.82192307687</v>
      </c>
      <c r="BE9" s="81">
        <f>+AT9</f>
        <v>34119.256538461537</v>
      </c>
      <c r="BF9" s="209">
        <f>+AW9+AX9-BE9</f>
        <v>337562.05884615378</v>
      </c>
      <c r="BG9" s="209"/>
      <c r="BH9" s="81">
        <f>+BF9</f>
        <v>337562.05884615378</v>
      </c>
      <c r="BI9" s="209"/>
      <c r="BJ9" s="209"/>
      <c r="BK9" s="209"/>
      <c r="BL9" s="81">
        <f>([1]Summary!$BH$4-F9)/365</f>
        <v>6.0712328767123287</v>
      </c>
      <c r="BM9" s="209">
        <f>H9-BL9</f>
        <v>8.9287671232876704</v>
      </c>
      <c r="BN9" s="209">
        <f>+BC9</f>
        <v>30488.75</v>
      </c>
      <c r="BO9" s="81">
        <f>IF(BH9-BN9&lt;=0,0,IF(BM9&lt;=0,0,BH9-BN9))</f>
        <v>307073.30884615378</v>
      </c>
      <c r="BP9" s="81">
        <f>+BE9</f>
        <v>34119.256538461537</v>
      </c>
      <c r="BQ9" s="81">
        <f>+BH9+BI9-BP9</f>
        <v>303442.80230769224</v>
      </c>
      <c r="BS9" s="132">
        <f>+BQ9-BN9</f>
        <v>272954.05230769224</v>
      </c>
      <c r="BT9" s="81">
        <v>303442.80230769224</v>
      </c>
      <c r="BU9" s="209"/>
      <c r="BV9" s="209"/>
      <c r="BW9" s="209"/>
      <c r="BX9" s="81">
        <f>([1]Summary!$BT$4-F9)/365</f>
        <v>7.0712328767123287</v>
      </c>
      <c r="BY9" s="125">
        <f>H9-BX9</f>
        <v>7.9287671232876713</v>
      </c>
      <c r="BZ9" s="81">
        <f>+BN9</f>
        <v>30488.75</v>
      </c>
      <c r="CA9" s="81">
        <f>IF(BT9-BZ9&lt;=0,0,IF(BY9&lt;=0,0,BT9-BZ9))</f>
        <v>272954.05230769224</v>
      </c>
      <c r="CB9" s="81">
        <f>BP9</f>
        <v>34119.256538461537</v>
      </c>
      <c r="CC9" s="81">
        <f>+BT9+BU9-CB9</f>
        <v>269323.5457692307</v>
      </c>
      <c r="CE9" s="81">
        <v>269323.5457692307</v>
      </c>
      <c r="CF9" s="209"/>
      <c r="CG9" s="209"/>
      <c r="CH9" s="209"/>
      <c r="CI9" s="81">
        <f>([1]Summary!$CE$4-F9)/365</f>
        <v>8.0739726027397261</v>
      </c>
      <c r="CJ9" s="125">
        <f>H9-CI9</f>
        <v>6.9260273972602739</v>
      </c>
      <c r="CK9" s="81">
        <f>+BZ9</f>
        <v>30488.75</v>
      </c>
      <c r="CL9" s="81">
        <f>IF(CE9-CK9&lt;=0,0,IF(CJ9&lt;=0,0,CE9-CK9))</f>
        <v>238834.7957692307</v>
      </c>
      <c r="CM9" s="81">
        <f>CB9</f>
        <v>34119.256538461537</v>
      </c>
      <c r="CN9" s="81">
        <f>+CE9+CF9-CM9</f>
        <v>235204.28923076915</v>
      </c>
      <c r="CP9" s="81">
        <f>CN9</f>
        <v>235204.28923076915</v>
      </c>
      <c r="CQ9" s="209"/>
      <c r="CR9" s="209"/>
      <c r="CS9" s="209"/>
      <c r="CT9" s="81">
        <f>([1]Summary!$CP$4-F9)/365</f>
        <v>9.0739726027397261</v>
      </c>
      <c r="CU9" s="125">
        <f>H9-CT9</f>
        <v>5.9260273972602739</v>
      </c>
      <c r="CV9" s="81">
        <f>CK9</f>
        <v>30488.75</v>
      </c>
      <c r="CW9" s="81">
        <f>IF(CP9-CV9&lt;=0,0,IF(CU9&lt;=0,0,CP9-CV9))</f>
        <v>204715.53923076915</v>
      </c>
      <c r="CX9" s="81">
        <f>CM9</f>
        <v>34119.256538461537</v>
      </c>
      <c r="CY9" s="81">
        <f>+CP9+CQ9-CX9</f>
        <v>201085.03269230761</v>
      </c>
      <c r="DA9" s="81">
        <f>CY9</f>
        <v>201085.03269230761</v>
      </c>
      <c r="DB9" s="209"/>
      <c r="DC9" s="209"/>
      <c r="DD9" s="209"/>
      <c r="DE9" s="81">
        <f>([1]Summary!$DA$4-F9)/365</f>
        <v>10.073972602739726</v>
      </c>
      <c r="DF9" s="125">
        <f>H9-DE9</f>
        <v>4.9260273972602739</v>
      </c>
      <c r="DG9" s="81">
        <f>CV9</f>
        <v>30488.75</v>
      </c>
      <c r="DH9" s="81">
        <f>IF(DA9-DG9&lt;=0,0,IF(DF9&lt;=0,0,DA9-DG9))</f>
        <v>170596.28269230761</v>
      </c>
      <c r="DI9" s="81">
        <f>CX9</f>
        <v>34119.256538461537</v>
      </c>
      <c r="DJ9" s="81">
        <f>+DA9+DB9-DI9</f>
        <v>166965.77615384606</v>
      </c>
      <c r="DL9" s="65"/>
      <c r="DM9" s="154"/>
      <c r="DN9" s="154"/>
    </row>
    <row r="10" spans="1:118" x14ac:dyDescent="0.25">
      <c r="A10" s="1"/>
      <c r="B10" s="1"/>
      <c r="C10" s="1"/>
      <c r="D10" s="1"/>
      <c r="E10" s="1"/>
      <c r="F10" s="1"/>
      <c r="G10" s="1"/>
      <c r="H10" s="1"/>
      <c r="I10" s="1"/>
      <c r="J10" s="157">
        <f>SUM(J8:J9)</f>
        <v>909775</v>
      </c>
      <c r="K10" s="157">
        <f t="shared" ref="K10:BV10" si="0">SUM(K8:K9)</f>
        <v>0</v>
      </c>
      <c r="L10" s="157">
        <f t="shared" si="0"/>
        <v>909775</v>
      </c>
      <c r="M10" s="157">
        <f t="shared" si="0"/>
        <v>334106.91500000004</v>
      </c>
      <c r="N10" s="157">
        <f t="shared" si="0"/>
        <v>575668.08499999996</v>
      </c>
      <c r="O10" s="157">
        <f t="shared" si="0"/>
        <v>0</v>
      </c>
      <c r="P10" s="157">
        <f t="shared" si="0"/>
        <v>8</v>
      </c>
      <c r="Q10" s="157">
        <f t="shared" si="0"/>
        <v>45488.75</v>
      </c>
      <c r="R10" s="157">
        <f t="shared" si="0"/>
        <v>443550.33499999996</v>
      </c>
      <c r="S10" s="157">
        <f t="shared" si="0"/>
        <v>34119.256538461537</v>
      </c>
      <c r="T10" s="157">
        <f t="shared" si="0"/>
        <v>-86629</v>
      </c>
      <c r="U10" s="157">
        <f t="shared" si="0"/>
        <v>489039.08499999996</v>
      </c>
      <c r="V10" s="157">
        <f t="shared" si="0"/>
        <v>454919.82846153842</v>
      </c>
      <c r="W10" s="157">
        <f t="shared" si="0"/>
        <v>0</v>
      </c>
      <c r="X10" s="157">
        <f t="shared" si="0"/>
        <v>0</v>
      </c>
      <c r="Y10" s="157">
        <f t="shared" si="0"/>
        <v>0</v>
      </c>
      <c r="Z10" s="157">
        <f t="shared" si="0"/>
        <v>0</v>
      </c>
      <c r="AA10" s="157">
        <f t="shared" si="0"/>
        <v>454919.82846153842</v>
      </c>
      <c r="AB10" s="157">
        <f t="shared" si="0"/>
        <v>0</v>
      </c>
      <c r="AC10" s="157">
        <f t="shared" si="0"/>
        <v>0</v>
      </c>
      <c r="AD10" s="157">
        <f t="shared" si="0"/>
        <v>0</v>
      </c>
      <c r="AE10" s="157">
        <f t="shared" si="0"/>
        <v>24.079452054794523</v>
      </c>
      <c r="AF10" s="157">
        <f t="shared" si="0"/>
        <v>5.9205479452054792</v>
      </c>
      <c r="AG10" s="157">
        <f t="shared" si="0"/>
        <v>45488.75</v>
      </c>
      <c r="AH10" s="157">
        <f t="shared" si="0"/>
        <v>443550.33499999996</v>
      </c>
      <c r="AI10" s="157">
        <f t="shared" si="0"/>
        <v>34119.256538461537</v>
      </c>
      <c r="AJ10" s="157">
        <f t="shared" si="0"/>
        <v>420800.57192307687</v>
      </c>
      <c r="AK10" s="157">
        <f t="shared" si="0"/>
        <v>0</v>
      </c>
      <c r="AL10" s="157">
        <f t="shared" si="0"/>
        <v>420800.57192307687</v>
      </c>
      <c r="AM10" s="157">
        <f t="shared" si="0"/>
        <v>0</v>
      </c>
      <c r="AN10" s="157">
        <f t="shared" si="0"/>
        <v>0</v>
      </c>
      <c r="AO10" s="157">
        <f t="shared" si="0"/>
        <v>0</v>
      </c>
      <c r="AP10" s="157">
        <f t="shared" si="0"/>
        <v>26.084931506849315</v>
      </c>
      <c r="AQ10" s="157">
        <f t="shared" si="0"/>
        <v>3.9150684931506845</v>
      </c>
      <c r="AR10" s="157">
        <f t="shared" si="0"/>
        <v>45488.75</v>
      </c>
      <c r="AS10" s="157">
        <f t="shared" si="0"/>
        <v>409431.07846153842</v>
      </c>
      <c r="AT10" s="157">
        <f t="shared" si="0"/>
        <v>34119.256538461537</v>
      </c>
      <c r="AU10" s="157">
        <f t="shared" si="0"/>
        <v>386681.31538461533</v>
      </c>
      <c r="AV10" s="157">
        <f t="shared" si="0"/>
        <v>0</v>
      </c>
      <c r="AW10" s="157">
        <f t="shared" si="0"/>
        <v>386681.31538461533</v>
      </c>
      <c r="AX10" s="157">
        <f t="shared" si="0"/>
        <v>0</v>
      </c>
      <c r="AY10" s="157">
        <f t="shared" si="0"/>
        <v>0</v>
      </c>
      <c r="AZ10" s="157">
        <f t="shared" si="0"/>
        <v>0</v>
      </c>
      <c r="BA10" s="157">
        <f t="shared" si="0"/>
        <v>28.084931506849315</v>
      </c>
      <c r="BB10" s="157">
        <f t="shared" si="0"/>
        <v>1.9150684931506845</v>
      </c>
      <c r="BC10" s="157">
        <f t="shared" si="0"/>
        <v>45488.75</v>
      </c>
      <c r="BD10" s="157">
        <f t="shared" si="0"/>
        <v>375311.82192307687</v>
      </c>
      <c r="BE10" s="157">
        <f t="shared" si="0"/>
        <v>34119.256538461537</v>
      </c>
      <c r="BF10" s="157">
        <f t="shared" si="0"/>
        <v>352562.05884615378</v>
      </c>
      <c r="BG10" s="157">
        <f t="shared" si="0"/>
        <v>0</v>
      </c>
      <c r="BH10" s="157">
        <f t="shared" si="0"/>
        <v>352562.05884615378</v>
      </c>
      <c r="BI10" s="157">
        <f t="shared" si="0"/>
        <v>0</v>
      </c>
      <c r="BJ10" s="157">
        <f t="shared" si="0"/>
        <v>0</v>
      </c>
      <c r="BK10" s="157">
        <f t="shared" si="0"/>
        <v>0</v>
      </c>
      <c r="BL10" s="157">
        <f t="shared" si="0"/>
        <v>30.084931506849315</v>
      </c>
      <c r="BM10" s="157">
        <f t="shared" si="0"/>
        <v>-8.4931506849315497E-2</v>
      </c>
      <c r="BN10" s="157">
        <f t="shared" si="0"/>
        <v>45488.75</v>
      </c>
      <c r="BO10" s="157">
        <f t="shared" si="0"/>
        <v>307073.30884615378</v>
      </c>
      <c r="BP10" s="157">
        <f t="shared" si="0"/>
        <v>34119.256538461537</v>
      </c>
      <c r="BQ10" s="157">
        <f t="shared" si="0"/>
        <v>318442.80230769224</v>
      </c>
      <c r="BR10" s="157">
        <f t="shared" si="0"/>
        <v>0</v>
      </c>
      <c r="BS10" s="157">
        <f t="shared" si="0"/>
        <v>272954.05230769224</v>
      </c>
      <c r="BT10" s="157">
        <f t="shared" si="0"/>
        <v>318442.80230769224</v>
      </c>
      <c r="BU10" s="157">
        <f t="shared" si="0"/>
        <v>0</v>
      </c>
      <c r="BV10" s="157">
        <f t="shared" si="0"/>
        <v>0</v>
      </c>
      <c r="BW10" s="157">
        <f t="shared" ref="BW10:DJ10" si="1">SUM(BW8:BW9)</f>
        <v>0</v>
      </c>
      <c r="BX10" s="157">
        <f t="shared" si="1"/>
        <v>32.084931506849315</v>
      </c>
      <c r="BY10" s="157">
        <f t="shared" si="1"/>
        <v>-2.0849315068493146</v>
      </c>
      <c r="BZ10" s="157">
        <f t="shared" si="1"/>
        <v>45488.75</v>
      </c>
      <c r="CA10" s="157">
        <f t="shared" si="1"/>
        <v>272954.05230769224</v>
      </c>
      <c r="CB10" s="157">
        <f t="shared" si="1"/>
        <v>34119.256538461537</v>
      </c>
      <c r="CC10" s="157">
        <f t="shared" si="1"/>
        <v>284323.5457692307</v>
      </c>
      <c r="CD10" s="157">
        <f t="shared" si="1"/>
        <v>0</v>
      </c>
      <c r="CE10" s="157">
        <f t="shared" si="1"/>
        <v>284323.5457692307</v>
      </c>
      <c r="CF10" s="157">
        <f t="shared" si="1"/>
        <v>0</v>
      </c>
      <c r="CG10" s="157">
        <f t="shared" si="1"/>
        <v>0</v>
      </c>
      <c r="CH10" s="157">
        <f t="shared" si="1"/>
        <v>0</v>
      </c>
      <c r="CI10" s="157">
        <f t="shared" si="1"/>
        <v>34.090410958904108</v>
      </c>
      <c r="CJ10" s="157">
        <f t="shared" si="1"/>
        <v>-4.0904109589041084</v>
      </c>
      <c r="CK10" s="157">
        <f t="shared" si="1"/>
        <v>45488.75</v>
      </c>
      <c r="CL10" s="157">
        <f t="shared" si="1"/>
        <v>238834.7957692307</v>
      </c>
      <c r="CM10" s="157">
        <f t="shared" si="1"/>
        <v>34119.256538461537</v>
      </c>
      <c r="CN10" s="157">
        <f t="shared" si="1"/>
        <v>250204.28923076915</v>
      </c>
      <c r="CO10" s="157">
        <f t="shared" si="1"/>
        <v>0</v>
      </c>
      <c r="CP10" s="157">
        <f t="shared" si="1"/>
        <v>250204.28923076915</v>
      </c>
      <c r="CQ10" s="157">
        <f t="shared" si="1"/>
        <v>0</v>
      </c>
      <c r="CR10" s="157">
        <f t="shared" si="1"/>
        <v>0</v>
      </c>
      <c r="CS10" s="157">
        <f t="shared" si="1"/>
        <v>0</v>
      </c>
      <c r="CT10" s="157">
        <f t="shared" si="1"/>
        <v>36.090410958904108</v>
      </c>
      <c r="CU10" s="157">
        <f t="shared" si="1"/>
        <v>-6.0904109589041084</v>
      </c>
      <c r="CV10" s="157">
        <f t="shared" si="1"/>
        <v>45488.75</v>
      </c>
      <c r="CW10" s="157">
        <f t="shared" si="1"/>
        <v>204715.53923076915</v>
      </c>
      <c r="CX10" s="157">
        <f t="shared" si="1"/>
        <v>34119.256538461537</v>
      </c>
      <c r="CY10" s="157">
        <f t="shared" si="1"/>
        <v>216085.03269230761</v>
      </c>
      <c r="CZ10" s="157">
        <f t="shared" si="1"/>
        <v>0</v>
      </c>
      <c r="DA10" s="157">
        <f t="shared" si="1"/>
        <v>216085.03269230761</v>
      </c>
      <c r="DB10" s="157">
        <f t="shared" si="1"/>
        <v>0</v>
      </c>
      <c r="DC10" s="157">
        <f t="shared" si="1"/>
        <v>0</v>
      </c>
      <c r="DD10" s="157">
        <f t="shared" si="1"/>
        <v>0</v>
      </c>
      <c r="DE10" s="157">
        <f t="shared" si="1"/>
        <v>38.090410958904108</v>
      </c>
      <c r="DF10" s="157">
        <f t="shared" si="1"/>
        <v>-8.0904109589041084</v>
      </c>
      <c r="DG10" s="157">
        <f t="shared" si="1"/>
        <v>45488.75</v>
      </c>
      <c r="DH10" s="157">
        <f t="shared" si="1"/>
        <v>170596.28269230761</v>
      </c>
      <c r="DI10" s="157">
        <f t="shared" si="1"/>
        <v>34119.256538461537</v>
      </c>
      <c r="DJ10" s="157">
        <f t="shared" si="1"/>
        <v>181965.77615384606</v>
      </c>
      <c r="DL10" s="157">
        <f>J10+AB10+AM10+AX10+BI10+BU10+CF10+CQ10+DB10</f>
        <v>909775</v>
      </c>
      <c r="DM10" s="157">
        <f>M10+S10-T10+AI10+AT10+BE10+BP10+CB10+CM10+CX10+DI10</f>
        <v>727809.22384615394</v>
      </c>
      <c r="DN10" s="157">
        <f>DL10-DM10</f>
        <v>181965.77615384606</v>
      </c>
    </row>
    <row r="12" spans="1:118" x14ac:dyDescent="0.25">
      <c r="DN12" s="211">
        <f>DN10-DJ10</f>
        <v>0</v>
      </c>
    </row>
  </sheetData>
  <mergeCells count="3">
    <mergeCell ref="A6:A7"/>
    <mergeCell ref="B6:B7"/>
    <mergeCell ref="C6:C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N23"/>
  <sheetViews>
    <sheetView topLeftCell="DB19" workbookViewId="0">
      <selection activeCell="G8" sqref="G8"/>
    </sheetView>
  </sheetViews>
  <sheetFormatPr defaultRowHeight="15" x14ac:dyDescent="0.25"/>
  <cols>
    <col min="1" max="1" width="16.5703125" customWidth="1"/>
    <col min="2" max="3" width="0" hidden="1" customWidth="1"/>
    <col min="5" max="5" width="24.42578125" bestFit="1" customWidth="1"/>
    <col min="6" max="6" width="11.7109375" bestFit="1" customWidth="1"/>
    <col min="10" max="10" width="12" bestFit="1" customWidth="1"/>
    <col min="11" max="11" width="8.42578125" bestFit="1" customWidth="1"/>
    <col min="12" max="12" width="10.5703125" bestFit="1" customWidth="1"/>
    <col min="13" max="13" width="9.5703125" bestFit="1" customWidth="1"/>
    <col min="14" max="14" width="11.140625" bestFit="1" customWidth="1"/>
    <col min="15" max="15" width="8.28515625" bestFit="1" customWidth="1"/>
    <col min="16" max="16" width="12.7109375" bestFit="1" customWidth="1"/>
    <col min="17" max="17" width="10.7109375" bestFit="1" customWidth="1"/>
    <col min="18" max="18" width="13.7109375" bestFit="1" customWidth="1"/>
    <col min="19" max="19" width="9.7109375" bestFit="1" customWidth="1"/>
    <col min="20" max="20" width="9.42578125" bestFit="1" customWidth="1"/>
    <col min="21" max="22" width="11.140625" bestFit="1" customWidth="1"/>
    <col min="23" max="23" width="7.140625" bestFit="1" customWidth="1"/>
    <col min="24" max="25" width="5.28515625" bestFit="1" customWidth="1"/>
    <col min="26" max="26" width="4.5703125" bestFit="1" customWidth="1"/>
    <col min="27" max="27" width="10.5703125" bestFit="1" customWidth="1"/>
    <col min="28" max="28" width="8.42578125" bestFit="1" customWidth="1"/>
    <col min="29" max="29" width="7" bestFit="1" customWidth="1"/>
    <col min="30" max="30" width="8.85546875" bestFit="1" customWidth="1"/>
    <col min="31" max="31" width="8.5703125" bestFit="1" customWidth="1"/>
    <col min="32" max="32" width="8.85546875" bestFit="1" customWidth="1"/>
    <col min="33" max="33" width="9.5703125" bestFit="1" customWidth="1"/>
    <col min="34" max="34" width="12.7109375" bestFit="1" customWidth="1"/>
    <col min="35" max="35" width="9.5703125" bestFit="1" customWidth="1"/>
    <col min="36" max="36" width="10.5703125" bestFit="1" customWidth="1"/>
    <col min="37" max="37" width="4.5703125" bestFit="1" customWidth="1"/>
    <col min="38" max="38" width="10.5703125" bestFit="1" customWidth="1"/>
    <col min="39" max="39" width="8.42578125" bestFit="1" customWidth="1"/>
    <col min="40" max="40" width="7" bestFit="1" customWidth="1"/>
    <col min="41" max="41" width="8.85546875" bestFit="1" customWidth="1"/>
    <col min="42" max="42" width="8.5703125" bestFit="1" customWidth="1"/>
    <col min="43" max="43" width="8.85546875" bestFit="1" customWidth="1"/>
    <col min="44" max="44" width="9.5703125" bestFit="1" customWidth="1"/>
    <col min="45" max="45" width="12.7109375" bestFit="1" customWidth="1"/>
    <col min="46" max="46" width="9.7109375" bestFit="1" customWidth="1"/>
    <col min="47" max="47" width="10.5703125" bestFit="1" customWidth="1"/>
    <col min="48" max="48" width="4.5703125" bestFit="1" customWidth="1"/>
    <col min="49" max="49" width="10.5703125" bestFit="1" customWidth="1"/>
    <col min="50" max="50" width="8.5703125" bestFit="1" customWidth="1"/>
    <col min="51" max="51" width="7" bestFit="1" customWidth="1"/>
    <col min="52" max="52" width="8.85546875" bestFit="1" customWidth="1"/>
    <col min="53" max="53" width="8.5703125" bestFit="1" customWidth="1"/>
    <col min="54" max="54" width="9.42578125" bestFit="1" customWidth="1"/>
    <col min="55" max="55" width="9.5703125" bestFit="1" customWidth="1"/>
    <col min="56" max="56" width="12.7109375" bestFit="1" customWidth="1"/>
    <col min="57" max="57" width="9.5703125" bestFit="1" customWidth="1"/>
    <col min="58" max="58" width="10.5703125" bestFit="1" customWidth="1"/>
    <col min="59" max="59" width="4.5703125" bestFit="1" customWidth="1"/>
    <col min="60" max="60" width="10.5703125" bestFit="1" customWidth="1"/>
    <col min="61" max="61" width="8.42578125" bestFit="1" customWidth="1"/>
    <col min="62" max="62" width="7" bestFit="1" customWidth="1"/>
    <col min="63" max="63" width="8.85546875" bestFit="1" customWidth="1"/>
    <col min="64" max="64" width="8.5703125" bestFit="1" customWidth="1"/>
    <col min="65" max="65" width="8.7109375" bestFit="1" customWidth="1"/>
    <col min="66" max="66" width="9.5703125" bestFit="1" customWidth="1"/>
    <col min="67" max="67" width="12.7109375" bestFit="1" customWidth="1"/>
    <col min="68" max="68" width="9.5703125" bestFit="1" customWidth="1"/>
    <col min="69" max="69" width="10.5703125" bestFit="1" customWidth="1"/>
    <col min="70" max="70" width="4.5703125" bestFit="1" customWidth="1"/>
    <col min="71" max="72" width="10.5703125" bestFit="1" customWidth="1"/>
    <col min="73" max="73" width="8.42578125" bestFit="1" customWidth="1"/>
    <col min="74" max="74" width="7" bestFit="1" customWidth="1"/>
    <col min="75" max="75" width="8.85546875" bestFit="1" customWidth="1"/>
    <col min="76" max="76" width="8.5703125" bestFit="1" customWidth="1"/>
    <col min="77" max="77" width="8.7109375" bestFit="1" customWidth="1"/>
    <col min="78" max="78" width="9.5703125" bestFit="1" customWidth="1"/>
    <col min="79" max="79" width="12.7109375" bestFit="1" customWidth="1"/>
    <col min="80" max="80" width="9.5703125" bestFit="1" customWidth="1"/>
    <col min="81" max="81" width="10.5703125" bestFit="1" customWidth="1"/>
    <col min="82" max="82" width="4.5703125" bestFit="1" customWidth="1"/>
    <col min="83" max="83" width="10.5703125" bestFit="1" customWidth="1"/>
    <col min="84" max="84" width="9.5703125" bestFit="1" customWidth="1"/>
    <col min="85" max="85" width="7" bestFit="1" customWidth="1"/>
    <col min="86" max="86" width="8.85546875" bestFit="1" customWidth="1"/>
    <col min="87" max="87" width="8.5703125" bestFit="1" customWidth="1"/>
    <col min="88" max="88" width="8.85546875" bestFit="1" customWidth="1"/>
    <col min="89" max="89" width="9.5703125" bestFit="1" customWidth="1"/>
    <col min="90" max="90" width="12.7109375" bestFit="1" customWidth="1"/>
    <col min="91" max="91" width="9.5703125" bestFit="1" customWidth="1"/>
    <col min="92" max="92" width="10.5703125" bestFit="1" customWidth="1"/>
    <col min="93" max="93" width="4.5703125" bestFit="1" customWidth="1"/>
    <col min="94" max="94" width="10.5703125" bestFit="1" customWidth="1"/>
    <col min="95" max="95" width="8.42578125" bestFit="1" customWidth="1"/>
    <col min="96" max="96" width="7" bestFit="1" customWidth="1"/>
    <col min="97" max="97" width="8.85546875" bestFit="1" customWidth="1"/>
    <col min="98" max="98" width="8.5703125" bestFit="1" customWidth="1"/>
    <col min="99" max="99" width="8.7109375" bestFit="1" customWidth="1"/>
    <col min="100" max="100" width="9.5703125" bestFit="1" customWidth="1"/>
    <col min="101" max="101" width="12.7109375" bestFit="1" customWidth="1"/>
    <col min="102" max="102" width="9.5703125" bestFit="1" customWidth="1"/>
    <col min="103" max="103" width="10.5703125" bestFit="1" customWidth="1"/>
    <col min="104" max="104" width="4.5703125" bestFit="1" customWidth="1"/>
    <col min="105" max="105" width="10.5703125" bestFit="1" customWidth="1"/>
    <col min="106" max="106" width="8.42578125" bestFit="1" customWidth="1"/>
    <col min="107" max="107" width="7" bestFit="1" customWidth="1"/>
    <col min="108" max="108" width="8.85546875" bestFit="1" customWidth="1"/>
    <col min="109" max="109" width="8.5703125" bestFit="1" customWidth="1"/>
    <col min="110" max="110" width="8.85546875" bestFit="1" customWidth="1"/>
    <col min="111" max="111" width="9.5703125" bestFit="1" customWidth="1"/>
    <col min="112" max="112" width="12.7109375" bestFit="1" customWidth="1"/>
    <col min="113" max="113" width="9.5703125" bestFit="1" customWidth="1"/>
    <col min="114" max="114" width="10.5703125" bestFit="1" customWidth="1"/>
    <col min="116" max="118" width="10.5703125" bestFit="1" customWidth="1"/>
  </cols>
  <sheetData>
    <row r="6" spans="1:118" s="142" customFormat="1" ht="102" x14ac:dyDescent="0.25">
      <c r="A6" s="228" t="s">
        <v>439</v>
      </c>
      <c r="B6" s="228" t="s">
        <v>10</v>
      </c>
      <c r="C6" s="228" t="s">
        <v>11</v>
      </c>
      <c r="D6" s="140" t="s">
        <v>440</v>
      </c>
      <c r="E6" s="8" t="s">
        <v>8</v>
      </c>
      <c r="F6" s="6" t="s">
        <v>441</v>
      </c>
      <c r="G6" s="9" t="s">
        <v>442</v>
      </c>
      <c r="H6" s="9" t="s">
        <v>16</v>
      </c>
      <c r="I6" s="9" t="s">
        <v>17</v>
      </c>
      <c r="J6" s="8" t="s">
        <v>443</v>
      </c>
      <c r="K6" s="8" t="s">
        <v>444</v>
      </c>
      <c r="L6" s="8" t="s">
        <v>445</v>
      </c>
      <c r="M6" s="7" t="s">
        <v>19</v>
      </c>
      <c r="N6" s="7" t="s">
        <v>20</v>
      </c>
      <c r="O6" s="6" t="s">
        <v>446</v>
      </c>
      <c r="P6" s="6" t="s">
        <v>22</v>
      </c>
      <c r="Q6" s="7" t="s">
        <v>23</v>
      </c>
      <c r="R6" s="7" t="s">
        <v>447</v>
      </c>
      <c r="S6" s="10" t="s">
        <v>448</v>
      </c>
      <c r="T6" s="10" t="s">
        <v>26</v>
      </c>
      <c r="U6" s="10" t="s">
        <v>449</v>
      </c>
      <c r="V6" s="141" t="s">
        <v>450</v>
      </c>
      <c r="W6" s="142" t="s">
        <v>451</v>
      </c>
      <c r="X6" s="142" t="s">
        <v>452</v>
      </c>
      <c r="Y6" s="142" t="s">
        <v>453</v>
      </c>
      <c r="AA6" s="143" t="s">
        <v>29</v>
      </c>
      <c r="AB6" s="143" t="s">
        <v>30</v>
      </c>
      <c r="AC6" s="143" t="s">
        <v>454</v>
      </c>
      <c r="AD6" s="143" t="s">
        <v>31</v>
      </c>
      <c r="AE6" s="143" t="s">
        <v>32</v>
      </c>
      <c r="AF6" s="144" t="s">
        <v>33</v>
      </c>
      <c r="AG6" s="145" t="s">
        <v>23</v>
      </c>
      <c r="AH6" s="145" t="s">
        <v>34</v>
      </c>
      <c r="AI6" s="141" t="s">
        <v>35</v>
      </c>
      <c r="AJ6" s="145" t="s">
        <v>36</v>
      </c>
      <c r="AL6" s="143" t="s">
        <v>37</v>
      </c>
      <c r="AM6" s="143" t="s">
        <v>38</v>
      </c>
      <c r="AN6" s="143" t="s">
        <v>454</v>
      </c>
      <c r="AO6" s="143" t="s">
        <v>39</v>
      </c>
      <c r="AP6" s="143" t="s">
        <v>40</v>
      </c>
      <c r="AQ6" s="144" t="s">
        <v>41</v>
      </c>
      <c r="AR6" s="145" t="s">
        <v>23</v>
      </c>
      <c r="AS6" s="145" t="s">
        <v>42</v>
      </c>
      <c r="AT6" s="141" t="s">
        <v>35</v>
      </c>
      <c r="AU6" s="145" t="s">
        <v>43</v>
      </c>
      <c r="AW6" s="134" t="s">
        <v>44</v>
      </c>
      <c r="AX6" s="134" t="s">
        <v>45</v>
      </c>
      <c r="AY6" s="134" t="s">
        <v>454</v>
      </c>
      <c r="AZ6" s="134" t="s">
        <v>46</v>
      </c>
      <c r="BA6" s="134" t="s">
        <v>455</v>
      </c>
      <c r="BB6" s="6" t="s">
        <v>456</v>
      </c>
      <c r="BC6" s="7" t="s">
        <v>23</v>
      </c>
      <c r="BD6" s="7" t="s">
        <v>457</v>
      </c>
      <c r="BE6" s="10" t="s">
        <v>35</v>
      </c>
      <c r="BF6" s="7" t="s">
        <v>50</v>
      </c>
      <c r="BG6" s="7"/>
      <c r="BH6" s="134" t="s">
        <v>51</v>
      </c>
      <c r="BI6" s="134" t="s">
        <v>52</v>
      </c>
      <c r="BJ6" s="134" t="s">
        <v>454</v>
      </c>
      <c r="BK6" s="134" t="s">
        <v>53</v>
      </c>
      <c r="BL6" s="134" t="s">
        <v>458</v>
      </c>
      <c r="BM6" s="6" t="s">
        <v>459</v>
      </c>
      <c r="BN6" s="7" t="s">
        <v>23</v>
      </c>
      <c r="BO6" s="7" t="s">
        <v>56</v>
      </c>
      <c r="BP6" s="10" t="s">
        <v>35</v>
      </c>
      <c r="BQ6" s="7" t="s">
        <v>57</v>
      </c>
      <c r="BT6" s="134" t="s">
        <v>58</v>
      </c>
      <c r="BU6" s="134" t="s">
        <v>59</v>
      </c>
      <c r="BV6" s="134" t="s">
        <v>454</v>
      </c>
      <c r="BW6" s="134" t="s">
        <v>60</v>
      </c>
      <c r="BX6" s="134" t="s">
        <v>460</v>
      </c>
      <c r="BY6" s="6" t="s">
        <v>461</v>
      </c>
      <c r="BZ6" s="7" t="s">
        <v>23</v>
      </c>
      <c r="CA6" s="7" t="s">
        <v>63</v>
      </c>
      <c r="CB6" s="10" t="s">
        <v>35</v>
      </c>
      <c r="CC6" s="7" t="s">
        <v>64</v>
      </c>
      <c r="CE6" s="134" t="s">
        <v>65</v>
      </c>
      <c r="CF6" s="134" t="s">
        <v>66</v>
      </c>
      <c r="CG6" s="134" t="s">
        <v>454</v>
      </c>
      <c r="CH6" s="134" t="s">
        <v>67</v>
      </c>
      <c r="CI6" s="134" t="s">
        <v>462</v>
      </c>
      <c r="CJ6" s="6" t="s">
        <v>463</v>
      </c>
      <c r="CK6" s="7" t="s">
        <v>23</v>
      </c>
      <c r="CL6" s="7" t="s">
        <v>464</v>
      </c>
      <c r="CM6" s="10" t="s">
        <v>35</v>
      </c>
      <c r="CN6" s="7" t="s">
        <v>69</v>
      </c>
      <c r="CP6" s="134" t="s">
        <v>70</v>
      </c>
      <c r="CQ6" s="134" t="s">
        <v>71</v>
      </c>
      <c r="CR6" s="134" t="s">
        <v>454</v>
      </c>
      <c r="CS6" s="134" t="s">
        <v>72</v>
      </c>
      <c r="CT6" s="134" t="s">
        <v>73</v>
      </c>
      <c r="CU6" s="6" t="s">
        <v>74</v>
      </c>
      <c r="CV6" s="7" t="s">
        <v>23</v>
      </c>
      <c r="CW6" s="7" t="s">
        <v>75</v>
      </c>
      <c r="CX6" s="5" t="s">
        <v>35</v>
      </c>
      <c r="CY6" s="7" t="s">
        <v>76</v>
      </c>
      <c r="DA6" s="134" t="s">
        <v>77</v>
      </c>
      <c r="DB6" s="134" t="s">
        <v>78</v>
      </c>
      <c r="DC6" s="134" t="s">
        <v>454</v>
      </c>
      <c r="DD6" s="134" t="s">
        <v>79</v>
      </c>
      <c r="DE6" s="135" t="s">
        <v>80</v>
      </c>
      <c r="DF6" s="6" t="s">
        <v>81</v>
      </c>
      <c r="DG6" s="7" t="s">
        <v>23</v>
      </c>
      <c r="DH6" s="7" t="s">
        <v>82</v>
      </c>
      <c r="DI6" s="5" t="s">
        <v>35</v>
      </c>
      <c r="DJ6" s="7" t="s">
        <v>83</v>
      </c>
      <c r="DL6" s="7" t="s">
        <v>1</v>
      </c>
      <c r="DM6" s="7" t="s">
        <v>465</v>
      </c>
      <c r="DN6" s="7" t="s">
        <v>3</v>
      </c>
    </row>
    <row r="7" spans="1:118" s="142" customFormat="1" ht="25.5" x14ac:dyDescent="0.25">
      <c r="A7" s="235"/>
      <c r="B7" s="236"/>
      <c r="C7" s="236"/>
      <c r="D7" s="135"/>
      <c r="E7" s="146" t="s">
        <v>84</v>
      </c>
      <c r="F7" s="147" t="s">
        <v>85</v>
      </c>
      <c r="G7" s="148" t="s">
        <v>466</v>
      </c>
      <c r="H7" s="148" t="s">
        <v>87</v>
      </c>
      <c r="I7" s="148" t="s">
        <v>467</v>
      </c>
      <c r="J7" s="147" t="s">
        <v>89</v>
      </c>
      <c r="K7" s="147"/>
      <c r="L7" s="147"/>
      <c r="M7" s="147" t="s">
        <v>90</v>
      </c>
      <c r="N7" s="147" t="s">
        <v>468</v>
      </c>
      <c r="O7" s="147"/>
      <c r="P7" s="147" t="s">
        <v>469</v>
      </c>
      <c r="Q7" s="147" t="s">
        <v>93</v>
      </c>
      <c r="R7" s="147" t="s">
        <v>470</v>
      </c>
      <c r="S7" s="147" t="s">
        <v>471</v>
      </c>
      <c r="T7" s="147" t="s">
        <v>99</v>
      </c>
      <c r="U7" s="147" t="s">
        <v>472</v>
      </c>
      <c r="V7" s="134" t="s">
        <v>473</v>
      </c>
      <c r="W7" s="134"/>
      <c r="X7" s="134"/>
      <c r="Y7" s="134"/>
      <c r="Z7" s="134"/>
      <c r="AA7" s="134"/>
      <c r="AB7" s="134"/>
      <c r="AC7" s="134"/>
      <c r="AD7" s="134"/>
      <c r="AE7" s="134"/>
      <c r="AF7" s="134"/>
      <c r="AG7" s="134"/>
      <c r="AH7" s="134"/>
      <c r="AI7" s="134"/>
      <c r="AJ7" s="134"/>
      <c r="AL7" s="134"/>
      <c r="AM7" s="134"/>
      <c r="AN7" s="134"/>
      <c r="AO7" s="134"/>
      <c r="AP7" s="134"/>
      <c r="AQ7" s="134"/>
      <c r="AR7" s="134"/>
      <c r="AS7" s="134"/>
      <c r="AT7" s="134"/>
      <c r="AU7" s="134"/>
      <c r="CX7" s="149"/>
      <c r="DI7" s="149"/>
    </row>
    <row r="8" spans="1:118" s="156" customFormat="1" ht="63.75" x14ac:dyDescent="0.25">
      <c r="A8" s="11" t="s">
        <v>5</v>
      </c>
      <c r="B8" s="86" t="s">
        <v>4</v>
      </c>
      <c r="C8" s="15" t="s">
        <v>474</v>
      </c>
      <c r="D8" s="150" t="s">
        <v>559</v>
      </c>
      <c r="E8" s="44" t="s">
        <v>560</v>
      </c>
      <c r="F8" s="87">
        <v>39538</v>
      </c>
      <c r="G8" s="151">
        <f>([1]Summary!$G$3-F8)/365</f>
        <v>6.0027397260273974</v>
      </c>
      <c r="H8" s="151">
        <f>VLOOKUP(C8,[2]Rates!$C$6:$D$136,2,0)</f>
        <v>15</v>
      </c>
      <c r="I8" s="152">
        <f t="shared" ref="I8:I15" si="0">H8-G8</f>
        <v>8.9972602739726035</v>
      </c>
      <c r="J8" s="88">
        <v>676908</v>
      </c>
      <c r="K8" s="88"/>
      <c r="L8" s="153">
        <f>+J8-K8</f>
        <v>676908</v>
      </c>
      <c r="M8" s="88">
        <v>301359.29440000001</v>
      </c>
      <c r="N8" s="24">
        <f>J8-M8</f>
        <v>375548.70559999999</v>
      </c>
      <c r="O8" s="24"/>
      <c r="P8" s="28">
        <f>ROUND(I8,0)</f>
        <v>9</v>
      </c>
      <c r="Q8" s="26">
        <f>J8*5%</f>
        <v>33845.4</v>
      </c>
      <c r="R8" s="24">
        <f>IF(N8-Q8&lt;=0,0,IF(P8&lt;=0,0,N8-Q8))</f>
        <v>341703.30559999996</v>
      </c>
      <c r="S8" s="24">
        <f>R8/P8</f>
        <v>37967.033955555555</v>
      </c>
      <c r="T8" s="24">
        <f>IF(P8&lt;=0,Q8-N8,IF(N8&lt;=Q8,Q8-N8,0))</f>
        <v>0</v>
      </c>
      <c r="U8" s="24">
        <f>N8+T8</f>
        <v>375548.70559999999</v>
      </c>
      <c r="V8" s="27">
        <f>+U8-S8</f>
        <v>337581.67164444446</v>
      </c>
      <c r="W8" s="154"/>
      <c r="X8" s="154"/>
      <c r="Y8" s="154"/>
      <c r="Z8" s="154"/>
      <c r="AA8" s="35">
        <f>V8</f>
        <v>337581.67164444446</v>
      </c>
      <c r="AB8" s="155"/>
      <c r="AC8" s="155"/>
      <c r="AD8" s="155"/>
      <c r="AE8" s="12">
        <f>([1]Summary!$G$4-F8)/365</f>
        <v>7.0027397260273974</v>
      </c>
      <c r="AF8" s="12">
        <f t="shared" ref="AF8:AF13" si="1">H8-AE8</f>
        <v>7.9972602739726026</v>
      </c>
      <c r="AG8" s="35">
        <f>Q8</f>
        <v>33845.4</v>
      </c>
      <c r="AH8" s="34">
        <f>IF(N8-Q8&lt;=0,0,IF(AF8&lt;=0,0,N8-Q8))</f>
        <v>341703.30559999996</v>
      </c>
      <c r="AI8" s="35">
        <f>S8</f>
        <v>37967.033955555555</v>
      </c>
      <c r="AJ8" s="35">
        <f>AA8-AI8</f>
        <v>299614.63768888894</v>
      </c>
      <c r="AL8" s="35">
        <f t="shared" ref="AL8:AL13" si="2">+AJ8</f>
        <v>299614.63768888894</v>
      </c>
      <c r="AM8" s="155"/>
      <c r="AN8" s="155"/>
      <c r="AO8" s="155"/>
      <c r="AP8" s="12">
        <f>([1]Summary!$AL$4-F8)/365</f>
        <v>8.0054794520547947</v>
      </c>
      <c r="AQ8" s="12">
        <f t="shared" ref="AQ8:AQ14" si="3">H8-AP8</f>
        <v>6.9945205479452053</v>
      </c>
      <c r="AR8" s="35">
        <f t="shared" ref="AR8:AR13" si="4">+AG8</f>
        <v>33845.4</v>
      </c>
      <c r="AS8" s="34">
        <f>IF(AA8-AG8&lt;=0,0,IF(AQ8&lt;=0,0,AA8-AG8))</f>
        <v>303736.27164444444</v>
      </c>
      <c r="AT8" s="96">
        <f>+AI8</f>
        <v>37967.033955555555</v>
      </c>
      <c r="AU8" s="35">
        <f t="shared" ref="AU8:AU14" si="5">+AL8+AM8-AT8</f>
        <v>261647.60373333338</v>
      </c>
      <c r="AW8" s="155">
        <f t="shared" ref="AW8:AW14" si="6">+AU8</f>
        <v>261647.60373333338</v>
      </c>
      <c r="AX8" s="155"/>
      <c r="AY8" s="155"/>
      <c r="AZ8" s="155"/>
      <c r="BA8" s="155">
        <f>([1]Summary!$AW$4-F8)/365</f>
        <v>9.0054794520547947</v>
      </c>
      <c r="BB8" s="155">
        <f t="shared" ref="BB8:BB17" si="7">H8-BA8</f>
        <v>5.9945205479452053</v>
      </c>
      <c r="BC8" s="155">
        <f t="shared" ref="BC8:BC14" si="8">+AR8</f>
        <v>33845.4</v>
      </c>
      <c r="BD8" s="155">
        <f t="shared" ref="BD8:BD13" si="9">IF(AL8-AR8&lt;=0,0,IF(BB8&lt;=0,0,AL8-AR8))</f>
        <v>265769.23768888891</v>
      </c>
      <c r="BE8" s="35">
        <f t="shared" ref="BE8:BE13" si="10">+AT8</f>
        <v>37967.033955555555</v>
      </c>
      <c r="BF8" s="155">
        <f t="shared" ref="BF8:BF14" si="11">+AW8+AX8-BE8</f>
        <v>223680.56977777783</v>
      </c>
      <c r="BG8" s="155"/>
      <c r="BH8" s="35">
        <f t="shared" ref="BH8:BH17" si="12">+BF8</f>
        <v>223680.56977777783</v>
      </c>
      <c r="BI8" s="155"/>
      <c r="BJ8" s="155"/>
      <c r="BK8" s="155"/>
      <c r="BL8" s="35">
        <f>([1]Summary!$BH$4-F8)/365</f>
        <v>10.005479452054795</v>
      </c>
      <c r="BM8" s="155">
        <f t="shared" ref="BM8:BM17" si="13">H8-BL8</f>
        <v>4.9945205479452053</v>
      </c>
      <c r="BN8" s="155">
        <f t="shared" ref="BN8:BN17" si="14">+BC8</f>
        <v>33845.4</v>
      </c>
      <c r="BO8" s="35">
        <f t="shared" ref="BO8:BO17" si="15">IF(BH8-BN8&lt;=0,0,IF(BM8&lt;=0,0,BH8-BN8))</f>
        <v>189835.16977777783</v>
      </c>
      <c r="BP8" s="35">
        <f t="shared" ref="BP8:BP14" si="16">+BE8</f>
        <v>37967.033955555555</v>
      </c>
      <c r="BQ8" s="35">
        <f t="shared" ref="BQ8:BQ17" si="17">+BH8+BI8-BP8</f>
        <v>185713.53582222227</v>
      </c>
      <c r="BS8" s="132">
        <f t="shared" ref="BS8:BS15" si="18">+BQ8-BN8</f>
        <v>151868.13582222228</v>
      </c>
      <c r="BT8" s="35">
        <v>185713.53582222227</v>
      </c>
      <c r="BU8" s="155"/>
      <c r="BV8" s="155"/>
      <c r="BW8" s="155"/>
      <c r="BX8" s="35">
        <f>([1]Summary!$BT$4-F8)/365</f>
        <v>11.005479452054795</v>
      </c>
      <c r="BY8" s="96">
        <f t="shared" ref="BY8:BY17" si="19">H8-BX8</f>
        <v>3.9945205479452053</v>
      </c>
      <c r="BZ8" s="35">
        <f t="shared" ref="BZ8:BZ17" si="20">+BN8</f>
        <v>33845.4</v>
      </c>
      <c r="CA8" s="35">
        <f t="shared" ref="CA8:CA17" si="21">IF(BT8-BZ8&lt;=0,0,IF(BY8&lt;=0,0,BT8-BZ8))</f>
        <v>151868.13582222228</v>
      </c>
      <c r="CB8" s="35">
        <f t="shared" ref="CB8:CB17" si="22">BP8</f>
        <v>37967.033955555555</v>
      </c>
      <c r="CC8" s="35">
        <f t="shared" ref="CC8:CC17" si="23">+BT8+BU8-CB8</f>
        <v>147746.50186666672</v>
      </c>
      <c r="CE8" s="35">
        <v>147746.50186666672</v>
      </c>
      <c r="CF8" s="155"/>
      <c r="CG8" s="155"/>
      <c r="CH8" s="155"/>
      <c r="CI8" s="35">
        <f>([1]Summary!$CE$4-F8)/365</f>
        <v>12.008219178082191</v>
      </c>
      <c r="CJ8" s="96">
        <f t="shared" ref="CJ8:CJ22" si="24">H8-CI8</f>
        <v>2.9917808219178088</v>
      </c>
      <c r="CK8" s="35">
        <f t="shared" ref="CK8:CK17" si="25">+BZ8</f>
        <v>33845.4</v>
      </c>
      <c r="CL8" s="35">
        <f t="shared" ref="CL8:CL17" si="26">IF(CE8-CK8&lt;=0,0,IF(CJ8&lt;=0,0,CE8-CK8))</f>
        <v>113901.10186666672</v>
      </c>
      <c r="CM8" s="35">
        <f t="shared" ref="CM8:CM17" si="27">CB8</f>
        <v>37967.033955555555</v>
      </c>
      <c r="CN8" s="35">
        <f t="shared" ref="CN8:CN22" si="28">+CE8+CF8-CM8</f>
        <v>109779.46791111116</v>
      </c>
      <c r="CP8" s="35">
        <f t="shared" ref="CP8:CP22" si="29">CN8</f>
        <v>109779.46791111116</v>
      </c>
      <c r="CQ8" s="155"/>
      <c r="CR8" s="155"/>
      <c r="CS8" s="155"/>
      <c r="CT8" s="35">
        <f>([1]Summary!$CP$4-F8)/365</f>
        <v>13.008219178082191</v>
      </c>
      <c r="CU8" s="96">
        <f t="shared" ref="CU8:CU22" si="30">H8-CT8</f>
        <v>1.9917808219178088</v>
      </c>
      <c r="CV8" s="35">
        <f t="shared" ref="CV8:CV22" si="31">CK8</f>
        <v>33845.4</v>
      </c>
      <c r="CW8" s="35">
        <f t="shared" ref="CW8:CW22" si="32">IF(CP8-CV8&lt;=0,0,IF(CU8&lt;=0,0,CP8-CV8))</f>
        <v>75934.067911111168</v>
      </c>
      <c r="CX8" s="35">
        <f t="shared" ref="CX8:CX17" si="33">CM8</f>
        <v>37967.033955555555</v>
      </c>
      <c r="CY8" s="35">
        <f t="shared" ref="CY8:CY22" si="34">+CP8+CQ8-CX8</f>
        <v>71812.433955555607</v>
      </c>
      <c r="DA8" s="35">
        <f t="shared" ref="DA8:DA22" si="35">CY8</f>
        <v>71812.433955555607</v>
      </c>
      <c r="DB8" s="155"/>
      <c r="DC8" s="155"/>
      <c r="DD8" s="155"/>
      <c r="DE8" s="35">
        <f>([1]Summary!$DA$4-F8)/365</f>
        <v>14.008219178082191</v>
      </c>
      <c r="DF8" s="96">
        <f t="shared" ref="DF8:DF22" si="36">H8-DE8</f>
        <v>0.99178082191780881</v>
      </c>
      <c r="DG8" s="35">
        <f t="shared" ref="DG8:DG22" si="37">CV8</f>
        <v>33845.4</v>
      </c>
      <c r="DH8" s="35">
        <f t="shared" ref="DH8:DH22" si="38">IF(DA8-DG8&lt;=0,0,IF(DF8&lt;=0,0,DA8-DG8))</f>
        <v>37967.033955555606</v>
      </c>
      <c r="DI8" s="35">
        <f t="shared" ref="DI8:DI22" si="39">CX8</f>
        <v>37967.033955555555</v>
      </c>
      <c r="DJ8" s="35">
        <f t="shared" ref="DJ8:DJ22" si="40">+DA8+DB8-DI8</f>
        <v>33845.400000000052</v>
      </c>
      <c r="DL8" s="157">
        <f t="shared" ref="DL8:DL22" si="41">J8+AB8+AM8+AX8+BI8+BU8+CF8+CQ8+DB8</f>
        <v>676908</v>
      </c>
      <c r="DM8" s="157">
        <f t="shared" ref="DM8:DM22" si="42">M8+S8-T8+AI8+AT8+BE8+BP8+CB8+CM8+CX8+DI8</f>
        <v>643062.59999999974</v>
      </c>
      <c r="DN8" s="157">
        <f t="shared" ref="DN8:DN22" si="43">DL8-DM8</f>
        <v>33845.400000000256</v>
      </c>
    </row>
    <row r="9" spans="1:118" s="156" customFormat="1" ht="63.75" x14ac:dyDescent="0.25">
      <c r="A9" s="11" t="s">
        <v>5</v>
      </c>
      <c r="B9" s="86" t="s">
        <v>4</v>
      </c>
      <c r="C9" s="15" t="s">
        <v>474</v>
      </c>
      <c r="D9" s="150" t="s">
        <v>561</v>
      </c>
      <c r="E9" s="44" t="s">
        <v>560</v>
      </c>
      <c r="F9" s="87">
        <v>40847</v>
      </c>
      <c r="G9" s="151">
        <f>([1]Summary!$G$3-F9)/365</f>
        <v>2.4164383561643836</v>
      </c>
      <c r="H9" s="151">
        <f>VLOOKUP(C9,[2]Rates!$C$6:$D$136,2,0)</f>
        <v>15</v>
      </c>
      <c r="I9" s="152">
        <f t="shared" si="0"/>
        <v>12.583561643835615</v>
      </c>
      <c r="J9" s="88">
        <v>1134487</v>
      </c>
      <c r="K9" s="88"/>
      <c r="L9" s="153">
        <f>+J9-K9</f>
        <v>1134487</v>
      </c>
      <c r="M9" s="88">
        <v>252536.80619999999</v>
      </c>
      <c r="N9" s="24">
        <f>J9-M9</f>
        <v>881950.19380000001</v>
      </c>
      <c r="O9" s="24"/>
      <c r="P9" s="28">
        <f>ROUND(I9,0)</f>
        <v>13</v>
      </c>
      <c r="Q9" s="26">
        <f>J9*5%</f>
        <v>56724.350000000006</v>
      </c>
      <c r="R9" s="24">
        <f>IF(N9-Q9&lt;=0,0,IF(P9&lt;=0,0,N9-Q9))</f>
        <v>825225.84380000003</v>
      </c>
      <c r="S9" s="24">
        <f>R9/P9</f>
        <v>63478.911061538463</v>
      </c>
      <c r="T9" s="24">
        <f>IF(P9&lt;=0,Q9-N9,IF(N9&lt;=Q9,Q9-N9,0))</f>
        <v>0</v>
      </c>
      <c r="U9" s="24">
        <f>N9+T9</f>
        <v>881950.19380000001</v>
      </c>
      <c r="V9" s="27">
        <f>+U9-S9</f>
        <v>818471.28273846151</v>
      </c>
      <c r="W9" s="154"/>
      <c r="X9" s="154"/>
      <c r="Y9" s="154"/>
      <c r="Z9" s="154"/>
      <c r="AA9" s="35">
        <f>V9</f>
        <v>818471.28273846151</v>
      </c>
      <c r="AB9" s="155"/>
      <c r="AC9" s="155"/>
      <c r="AD9" s="155"/>
      <c r="AE9" s="12">
        <f>([1]Summary!$G$4-F9)/365</f>
        <v>3.4164383561643836</v>
      </c>
      <c r="AF9" s="12">
        <f t="shared" si="1"/>
        <v>11.583561643835615</v>
      </c>
      <c r="AG9" s="35">
        <f>Q9</f>
        <v>56724.350000000006</v>
      </c>
      <c r="AH9" s="34">
        <f>IF(N9-Q9&lt;=0,0,IF(AF9&lt;=0,0,N9-Q9))</f>
        <v>825225.84380000003</v>
      </c>
      <c r="AI9" s="35">
        <f>S9</f>
        <v>63478.911061538463</v>
      </c>
      <c r="AJ9" s="35">
        <f>AA9-AI9</f>
        <v>754992.37167692301</v>
      </c>
      <c r="AL9" s="35">
        <f t="shared" si="2"/>
        <v>754992.37167692301</v>
      </c>
      <c r="AM9" s="155"/>
      <c r="AN9" s="155"/>
      <c r="AO9" s="155"/>
      <c r="AP9" s="12">
        <f>([1]Summary!$AL$4-F9)/365</f>
        <v>4.419178082191781</v>
      </c>
      <c r="AQ9" s="12">
        <f t="shared" si="3"/>
        <v>10.580821917808219</v>
      </c>
      <c r="AR9" s="35">
        <f t="shared" si="4"/>
        <v>56724.350000000006</v>
      </c>
      <c r="AS9" s="34">
        <f>IF(AA9-AG9&lt;=0,0,IF(AQ9&lt;=0,0,AA9-AG9))</f>
        <v>761746.93273846153</v>
      </c>
      <c r="AT9" s="96">
        <f>+AI9</f>
        <v>63478.911061538463</v>
      </c>
      <c r="AU9" s="35">
        <f t="shared" si="5"/>
        <v>691513.46061538451</v>
      </c>
      <c r="AW9" s="155">
        <f t="shared" si="6"/>
        <v>691513.46061538451</v>
      </c>
      <c r="AX9" s="155"/>
      <c r="AY9" s="155"/>
      <c r="AZ9" s="155"/>
      <c r="BA9" s="155">
        <f>([1]Summary!$AW$4-F9)/365</f>
        <v>5.419178082191781</v>
      </c>
      <c r="BB9" s="155">
        <f t="shared" si="7"/>
        <v>9.580821917808219</v>
      </c>
      <c r="BC9" s="155">
        <f t="shared" si="8"/>
        <v>56724.350000000006</v>
      </c>
      <c r="BD9" s="155">
        <f t="shared" si="9"/>
        <v>698268.02167692303</v>
      </c>
      <c r="BE9" s="35">
        <f t="shared" si="10"/>
        <v>63478.911061538463</v>
      </c>
      <c r="BF9" s="155">
        <f t="shared" si="11"/>
        <v>628034.54955384601</v>
      </c>
      <c r="BG9" s="155"/>
      <c r="BH9" s="35">
        <f t="shared" si="12"/>
        <v>628034.54955384601</v>
      </c>
      <c r="BI9" s="155"/>
      <c r="BJ9" s="155"/>
      <c r="BK9" s="155"/>
      <c r="BL9" s="35">
        <f>([1]Summary!$BH$4-F9)/365</f>
        <v>6.419178082191781</v>
      </c>
      <c r="BM9" s="155">
        <f t="shared" si="13"/>
        <v>8.580821917808219</v>
      </c>
      <c r="BN9" s="155">
        <f t="shared" si="14"/>
        <v>56724.350000000006</v>
      </c>
      <c r="BO9" s="35">
        <f t="shared" si="15"/>
        <v>571310.19955384603</v>
      </c>
      <c r="BP9" s="35">
        <f t="shared" si="16"/>
        <v>63478.911061538463</v>
      </c>
      <c r="BQ9" s="35">
        <f t="shared" si="17"/>
        <v>564555.63849230751</v>
      </c>
      <c r="BS9" s="132">
        <f t="shared" si="18"/>
        <v>507831.28849230753</v>
      </c>
      <c r="BT9" s="35">
        <v>564555.63849230751</v>
      </c>
      <c r="BU9" s="155"/>
      <c r="BV9" s="155"/>
      <c r="BW9" s="155"/>
      <c r="BX9" s="35">
        <f>([1]Summary!$BT$4-F9)/365</f>
        <v>7.419178082191781</v>
      </c>
      <c r="BY9" s="96">
        <f t="shared" si="19"/>
        <v>7.580821917808219</v>
      </c>
      <c r="BZ9" s="35">
        <f t="shared" si="20"/>
        <v>56724.350000000006</v>
      </c>
      <c r="CA9" s="35">
        <f t="shared" si="21"/>
        <v>507831.28849230753</v>
      </c>
      <c r="CB9" s="35">
        <f t="shared" si="22"/>
        <v>63478.911061538463</v>
      </c>
      <c r="CC9" s="35">
        <f t="shared" si="23"/>
        <v>501076.72743076907</v>
      </c>
      <c r="CE9" s="35">
        <v>501076.72743076907</v>
      </c>
      <c r="CF9" s="155"/>
      <c r="CG9" s="155"/>
      <c r="CH9" s="155"/>
      <c r="CI9" s="35">
        <f>([1]Summary!$CE$4-F9)/365</f>
        <v>8.4219178082191775</v>
      </c>
      <c r="CJ9" s="96">
        <f t="shared" si="24"/>
        <v>6.5780821917808225</v>
      </c>
      <c r="CK9" s="35">
        <f t="shared" si="25"/>
        <v>56724.350000000006</v>
      </c>
      <c r="CL9" s="35">
        <f t="shared" si="26"/>
        <v>444352.37743076903</v>
      </c>
      <c r="CM9" s="35">
        <f t="shared" si="27"/>
        <v>63478.911061538463</v>
      </c>
      <c r="CN9" s="35">
        <f t="shared" si="28"/>
        <v>437597.81636923063</v>
      </c>
      <c r="CP9" s="35">
        <f t="shared" si="29"/>
        <v>437597.81636923063</v>
      </c>
      <c r="CQ9" s="155"/>
      <c r="CR9" s="155"/>
      <c r="CS9" s="155"/>
      <c r="CT9" s="35">
        <f>([1]Summary!$CP$4-F9)/365</f>
        <v>9.4219178082191775</v>
      </c>
      <c r="CU9" s="96">
        <f t="shared" si="30"/>
        <v>5.5780821917808225</v>
      </c>
      <c r="CV9" s="35">
        <f t="shared" si="31"/>
        <v>56724.350000000006</v>
      </c>
      <c r="CW9" s="35">
        <f t="shared" si="32"/>
        <v>380873.46636923065</v>
      </c>
      <c r="CX9" s="35">
        <f t="shared" si="33"/>
        <v>63478.911061538463</v>
      </c>
      <c r="CY9" s="35">
        <f t="shared" si="34"/>
        <v>374118.90530769218</v>
      </c>
      <c r="DA9" s="35">
        <f t="shared" si="35"/>
        <v>374118.90530769218</v>
      </c>
      <c r="DB9" s="155"/>
      <c r="DC9" s="155"/>
      <c r="DD9" s="155"/>
      <c r="DE9" s="35">
        <f>([1]Summary!$DA$4-F9)/365</f>
        <v>10.421917808219177</v>
      </c>
      <c r="DF9" s="96">
        <f t="shared" si="36"/>
        <v>4.5780821917808225</v>
      </c>
      <c r="DG9" s="35">
        <f t="shared" si="37"/>
        <v>56724.350000000006</v>
      </c>
      <c r="DH9" s="35">
        <f t="shared" si="38"/>
        <v>317394.55530769215</v>
      </c>
      <c r="DI9" s="35">
        <f t="shared" si="39"/>
        <v>63478.911061538463</v>
      </c>
      <c r="DJ9" s="35">
        <f t="shared" si="40"/>
        <v>310639.99424615374</v>
      </c>
      <c r="DL9" s="157">
        <f t="shared" si="41"/>
        <v>1134487</v>
      </c>
      <c r="DM9" s="157">
        <f t="shared" si="42"/>
        <v>823847.00575384626</v>
      </c>
      <c r="DN9" s="157">
        <f t="shared" si="43"/>
        <v>310639.99424615374</v>
      </c>
    </row>
    <row r="10" spans="1:118" s="156" customFormat="1" ht="63.75" x14ac:dyDescent="0.25">
      <c r="A10" s="11" t="s">
        <v>5</v>
      </c>
      <c r="B10" s="86" t="s">
        <v>4</v>
      </c>
      <c r="C10" s="15" t="s">
        <v>474</v>
      </c>
      <c r="D10" s="150" t="s">
        <v>562</v>
      </c>
      <c r="E10" s="44" t="s">
        <v>563</v>
      </c>
      <c r="F10" s="87">
        <v>40968</v>
      </c>
      <c r="G10" s="151">
        <f>([1]Summary!$G$3-F10)/365</f>
        <v>2.0849315068493151</v>
      </c>
      <c r="H10" s="151">
        <f>VLOOKUP(C10,[2]Rates!$C$6:$D$136,2,0)</f>
        <v>15</v>
      </c>
      <c r="I10" s="152">
        <f t="shared" si="0"/>
        <v>12.915068493150685</v>
      </c>
      <c r="J10" s="88">
        <v>1083431</v>
      </c>
      <c r="K10" s="88"/>
      <c r="L10" s="153">
        <f>+J10-K10</f>
        <v>1083431</v>
      </c>
      <c r="M10" s="88">
        <v>241171.74059999999</v>
      </c>
      <c r="N10" s="24">
        <f>J10-M10</f>
        <v>842259.25939999998</v>
      </c>
      <c r="O10" s="24"/>
      <c r="P10" s="28">
        <f>ROUND(I10,0)</f>
        <v>13</v>
      </c>
      <c r="Q10" s="26">
        <f>J10*5%</f>
        <v>54171.55</v>
      </c>
      <c r="R10" s="24">
        <f>IF(N10-Q10&lt;=0,0,IF(P10&lt;=0,0,N10-Q10))</f>
        <v>788087.70939999993</v>
      </c>
      <c r="S10" s="24">
        <f>R10/P10</f>
        <v>60622.131492307686</v>
      </c>
      <c r="T10" s="24">
        <f>IF(P10&lt;=0,Q10-N10,IF(N10&lt;=Q10,Q10-N10,0))</f>
        <v>0</v>
      </c>
      <c r="U10" s="24">
        <f>N10+T10</f>
        <v>842259.25939999998</v>
      </c>
      <c r="V10" s="27">
        <f>+U10-S10</f>
        <v>781637.12790769234</v>
      </c>
      <c r="W10" s="154"/>
      <c r="X10" s="154"/>
      <c r="Y10" s="154"/>
      <c r="Z10" s="154"/>
      <c r="AA10" s="35">
        <f>V10</f>
        <v>781637.12790769234</v>
      </c>
      <c r="AB10" s="155"/>
      <c r="AC10" s="155"/>
      <c r="AD10" s="155"/>
      <c r="AE10" s="12">
        <f>([1]Summary!$G$4-F10)/365</f>
        <v>3.0849315068493151</v>
      </c>
      <c r="AF10" s="12">
        <f t="shared" si="1"/>
        <v>11.915068493150685</v>
      </c>
      <c r="AG10" s="35">
        <f>Q10</f>
        <v>54171.55</v>
      </c>
      <c r="AH10" s="34">
        <f>IF(N10-Q10&lt;=0,0,IF(AF10&lt;=0,0,N10-Q10))</f>
        <v>788087.70939999993</v>
      </c>
      <c r="AI10" s="35">
        <f>S10</f>
        <v>60622.131492307686</v>
      </c>
      <c r="AJ10" s="35">
        <f>AA10-AI10</f>
        <v>721014.9964153847</v>
      </c>
      <c r="AL10" s="35">
        <f t="shared" si="2"/>
        <v>721014.9964153847</v>
      </c>
      <c r="AM10" s="155"/>
      <c r="AN10" s="155"/>
      <c r="AO10" s="155"/>
      <c r="AP10" s="12">
        <f>([1]Summary!$AL$4-F10)/365</f>
        <v>4.087671232876712</v>
      </c>
      <c r="AQ10" s="12">
        <f t="shared" si="3"/>
        <v>10.912328767123288</v>
      </c>
      <c r="AR10" s="35">
        <f t="shared" si="4"/>
        <v>54171.55</v>
      </c>
      <c r="AS10" s="34">
        <f>IF(AA10-AG10&lt;=0,0,IF(AQ10&lt;=0,0,AA10-AG10))</f>
        <v>727465.57790769229</v>
      </c>
      <c r="AT10" s="96">
        <f>+AI10</f>
        <v>60622.131492307686</v>
      </c>
      <c r="AU10" s="35">
        <f t="shared" si="5"/>
        <v>660392.86492307705</v>
      </c>
      <c r="AW10" s="155">
        <f t="shared" si="6"/>
        <v>660392.86492307705</v>
      </c>
      <c r="AX10" s="155"/>
      <c r="AY10" s="155"/>
      <c r="AZ10" s="155"/>
      <c r="BA10" s="155">
        <f>([1]Summary!$AW$4-F10)/365</f>
        <v>5.087671232876712</v>
      </c>
      <c r="BB10" s="155">
        <f t="shared" si="7"/>
        <v>9.912328767123288</v>
      </c>
      <c r="BC10" s="155">
        <f t="shared" si="8"/>
        <v>54171.55</v>
      </c>
      <c r="BD10" s="155">
        <f t="shared" si="9"/>
        <v>666843.44641538465</v>
      </c>
      <c r="BE10" s="35">
        <f t="shared" si="10"/>
        <v>60622.131492307686</v>
      </c>
      <c r="BF10" s="155">
        <f t="shared" si="11"/>
        <v>599770.73343076941</v>
      </c>
      <c r="BG10" s="155"/>
      <c r="BH10" s="35">
        <f t="shared" si="12"/>
        <v>599770.73343076941</v>
      </c>
      <c r="BI10" s="155"/>
      <c r="BJ10" s="155"/>
      <c r="BK10" s="155"/>
      <c r="BL10" s="35">
        <f>([1]Summary!$BH$4-F10)/365</f>
        <v>6.087671232876712</v>
      </c>
      <c r="BM10" s="155">
        <f t="shared" si="13"/>
        <v>8.912328767123288</v>
      </c>
      <c r="BN10" s="155">
        <f t="shared" si="14"/>
        <v>54171.55</v>
      </c>
      <c r="BO10" s="35">
        <f t="shared" si="15"/>
        <v>545599.18343076936</v>
      </c>
      <c r="BP10" s="35">
        <f t="shared" si="16"/>
        <v>60622.131492307686</v>
      </c>
      <c r="BQ10" s="35">
        <f t="shared" si="17"/>
        <v>539148.60193846177</v>
      </c>
      <c r="BS10" s="132">
        <f t="shared" si="18"/>
        <v>484977.05193846178</v>
      </c>
      <c r="BT10" s="35">
        <v>539148.60193846177</v>
      </c>
      <c r="BU10" s="155"/>
      <c r="BV10" s="155"/>
      <c r="BW10" s="155"/>
      <c r="BX10" s="35">
        <f>([1]Summary!$BT$4-F10)/365</f>
        <v>7.087671232876712</v>
      </c>
      <c r="BY10" s="96">
        <f t="shared" si="19"/>
        <v>7.912328767123288</v>
      </c>
      <c r="BZ10" s="35">
        <f t="shared" si="20"/>
        <v>54171.55</v>
      </c>
      <c r="CA10" s="35">
        <f t="shared" si="21"/>
        <v>484977.05193846178</v>
      </c>
      <c r="CB10" s="35">
        <f t="shared" si="22"/>
        <v>60622.131492307686</v>
      </c>
      <c r="CC10" s="35">
        <f t="shared" si="23"/>
        <v>478526.47044615407</v>
      </c>
      <c r="CE10" s="35">
        <v>478526.47044615407</v>
      </c>
      <c r="CF10" s="155"/>
      <c r="CG10" s="155"/>
      <c r="CH10" s="155"/>
      <c r="CI10" s="35">
        <f>([1]Summary!$CE$4-F10)/365</f>
        <v>8.0904109589041102</v>
      </c>
      <c r="CJ10" s="96">
        <f t="shared" si="24"/>
        <v>6.9095890410958898</v>
      </c>
      <c r="CK10" s="35">
        <f t="shared" si="25"/>
        <v>54171.55</v>
      </c>
      <c r="CL10" s="35">
        <f t="shared" si="26"/>
        <v>424354.92044615408</v>
      </c>
      <c r="CM10" s="35">
        <f t="shared" si="27"/>
        <v>60622.131492307686</v>
      </c>
      <c r="CN10" s="35">
        <f t="shared" si="28"/>
        <v>417904.33895384637</v>
      </c>
      <c r="CP10" s="35">
        <f t="shared" si="29"/>
        <v>417904.33895384637</v>
      </c>
      <c r="CQ10" s="155"/>
      <c r="CR10" s="155"/>
      <c r="CS10" s="155"/>
      <c r="CT10" s="35">
        <f>([1]Summary!$CP$4-F10)/365</f>
        <v>9.0904109589041102</v>
      </c>
      <c r="CU10" s="96">
        <f t="shared" si="30"/>
        <v>5.9095890410958898</v>
      </c>
      <c r="CV10" s="35">
        <f t="shared" si="31"/>
        <v>54171.55</v>
      </c>
      <c r="CW10" s="35">
        <f t="shared" si="32"/>
        <v>363732.78895384638</v>
      </c>
      <c r="CX10" s="35">
        <f t="shared" si="33"/>
        <v>60622.131492307686</v>
      </c>
      <c r="CY10" s="35">
        <f t="shared" si="34"/>
        <v>357282.20746153867</v>
      </c>
      <c r="DA10" s="35">
        <f t="shared" si="35"/>
        <v>357282.20746153867</v>
      </c>
      <c r="DB10" s="155"/>
      <c r="DC10" s="155"/>
      <c r="DD10" s="155"/>
      <c r="DE10" s="35">
        <f>([1]Summary!$DA$4-F10)/365</f>
        <v>10.09041095890411</v>
      </c>
      <c r="DF10" s="96">
        <f t="shared" si="36"/>
        <v>4.9095890410958898</v>
      </c>
      <c r="DG10" s="35">
        <f t="shared" si="37"/>
        <v>54171.55</v>
      </c>
      <c r="DH10" s="35">
        <f t="shared" si="38"/>
        <v>303110.65746153868</v>
      </c>
      <c r="DI10" s="35">
        <f t="shared" si="39"/>
        <v>60622.131492307686</v>
      </c>
      <c r="DJ10" s="35">
        <f t="shared" si="40"/>
        <v>296660.07596923097</v>
      </c>
      <c r="DL10" s="157">
        <f t="shared" si="41"/>
        <v>1083431</v>
      </c>
      <c r="DM10" s="157">
        <f t="shared" si="42"/>
        <v>786770.92403076903</v>
      </c>
      <c r="DN10" s="157">
        <f t="shared" si="43"/>
        <v>296660.07596923097</v>
      </c>
    </row>
    <row r="11" spans="1:118" s="156" customFormat="1" ht="63.75" x14ac:dyDescent="0.25">
      <c r="A11" s="11" t="s">
        <v>6</v>
      </c>
      <c r="B11" s="86" t="s">
        <v>4</v>
      </c>
      <c r="C11" s="15" t="s">
        <v>474</v>
      </c>
      <c r="D11" s="150" t="s">
        <v>564</v>
      </c>
      <c r="E11" s="39" t="s">
        <v>565</v>
      </c>
      <c r="F11" s="87">
        <v>40816</v>
      </c>
      <c r="G11" s="151">
        <f>([1]Summary!$G$3-F11)/365</f>
        <v>2.5013698630136987</v>
      </c>
      <c r="H11" s="151">
        <f>VLOOKUP(C11,[2]Rates!$C$6:$D$136,2,0)</f>
        <v>15</v>
      </c>
      <c r="I11" s="152">
        <f t="shared" si="0"/>
        <v>12.498630136986302</v>
      </c>
      <c r="J11" s="88">
        <v>886000</v>
      </c>
      <c r="K11" s="88"/>
      <c r="L11" s="153">
        <f>+J11-K11</f>
        <v>886000</v>
      </c>
      <c r="M11" s="88">
        <v>117131</v>
      </c>
      <c r="N11" s="24">
        <f>J11-M11</f>
        <v>768869</v>
      </c>
      <c r="O11" s="24"/>
      <c r="P11" s="28">
        <f>ROUND(I11,0)</f>
        <v>12</v>
      </c>
      <c r="Q11" s="26">
        <f>J11*5%</f>
        <v>44300</v>
      </c>
      <c r="R11" s="24">
        <f>IF(N11-Q11&lt;=0,0,IF(P11&lt;=0,0,N11-Q11))</f>
        <v>724569</v>
      </c>
      <c r="S11" s="24">
        <f>R11/P11</f>
        <v>60380.75</v>
      </c>
      <c r="T11" s="24">
        <f>IF(P11&lt;=0,Q11-N11,IF(N11&lt;=Q11,Q11-N11,0))</f>
        <v>0</v>
      </c>
      <c r="U11" s="24">
        <f>N11+T11</f>
        <v>768869</v>
      </c>
      <c r="V11" s="27">
        <f>+U11-S11</f>
        <v>708488.25</v>
      </c>
      <c r="W11" s="154"/>
      <c r="X11" s="154"/>
      <c r="Y11" s="154"/>
      <c r="Z11" s="154"/>
      <c r="AA11" s="35">
        <f>V11</f>
        <v>708488.25</v>
      </c>
      <c r="AB11" s="155"/>
      <c r="AC11" s="155"/>
      <c r="AD11" s="155"/>
      <c r="AE11" s="12">
        <f>([1]Summary!$G$4-F11)/365</f>
        <v>3.5013698630136987</v>
      </c>
      <c r="AF11" s="12">
        <f t="shared" si="1"/>
        <v>11.498630136986302</v>
      </c>
      <c r="AG11" s="35">
        <f>Q11</f>
        <v>44300</v>
      </c>
      <c r="AH11" s="34">
        <f>IF(N11-Q11&lt;=0,0,IF(AF11&lt;=0,0,N11-Q11))</f>
        <v>724569</v>
      </c>
      <c r="AI11" s="35">
        <f>S11</f>
        <v>60380.75</v>
      </c>
      <c r="AJ11" s="35">
        <f>AA11-AI11</f>
        <v>648107.5</v>
      </c>
      <c r="AL11" s="35">
        <f t="shared" si="2"/>
        <v>648107.5</v>
      </c>
      <c r="AM11" s="155"/>
      <c r="AN11" s="155"/>
      <c r="AO11" s="155"/>
      <c r="AP11" s="12">
        <f>([1]Summary!$AL$4-F11)/365</f>
        <v>4.5041095890410956</v>
      </c>
      <c r="AQ11" s="12">
        <f t="shared" si="3"/>
        <v>10.495890410958904</v>
      </c>
      <c r="AR11" s="35">
        <f t="shared" si="4"/>
        <v>44300</v>
      </c>
      <c r="AS11" s="34">
        <f>IF(AA11-AG11&lt;=0,0,IF(AQ11&lt;=0,0,AA11-AG11))</f>
        <v>664188.25</v>
      </c>
      <c r="AT11" s="96">
        <f>+AI11</f>
        <v>60380.75</v>
      </c>
      <c r="AU11" s="35">
        <f t="shared" si="5"/>
        <v>587726.75</v>
      </c>
      <c r="AW11" s="155">
        <f t="shared" si="6"/>
        <v>587726.75</v>
      </c>
      <c r="AX11" s="155"/>
      <c r="AY11" s="155"/>
      <c r="AZ11" s="155"/>
      <c r="BA11" s="155">
        <f>([1]Summary!$AW$4-F11)/365</f>
        <v>5.5041095890410956</v>
      </c>
      <c r="BB11" s="155">
        <f t="shared" si="7"/>
        <v>9.4958904109589035</v>
      </c>
      <c r="BC11" s="155">
        <f t="shared" si="8"/>
        <v>44300</v>
      </c>
      <c r="BD11" s="155">
        <f t="shared" si="9"/>
        <v>603807.5</v>
      </c>
      <c r="BE11" s="35">
        <f t="shared" si="10"/>
        <v>60380.75</v>
      </c>
      <c r="BF11" s="155">
        <f t="shared" si="11"/>
        <v>527346</v>
      </c>
      <c r="BG11" s="155"/>
      <c r="BH11" s="35">
        <f t="shared" si="12"/>
        <v>527346</v>
      </c>
      <c r="BI11" s="155"/>
      <c r="BJ11" s="155"/>
      <c r="BK11" s="155"/>
      <c r="BL11" s="35">
        <f>([1]Summary!$BH$4-F11)/365</f>
        <v>6.5041095890410956</v>
      </c>
      <c r="BM11" s="155">
        <f t="shared" si="13"/>
        <v>8.4958904109589035</v>
      </c>
      <c r="BN11" s="155">
        <f t="shared" si="14"/>
        <v>44300</v>
      </c>
      <c r="BO11" s="35">
        <f t="shared" si="15"/>
        <v>483046</v>
      </c>
      <c r="BP11" s="35">
        <f t="shared" si="16"/>
        <v>60380.75</v>
      </c>
      <c r="BQ11" s="35">
        <f t="shared" si="17"/>
        <v>466965.25</v>
      </c>
      <c r="BS11" s="132">
        <f t="shared" si="18"/>
        <v>422665.25</v>
      </c>
      <c r="BT11" s="35">
        <v>466965.25</v>
      </c>
      <c r="BU11" s="155"/>
      <c r="BV11" s="155"/>
      <c r="BW11" s="155"/>
      <c r="BX11" s="35">
        <f>([1]Summary!$BT$4-F11)/365</f>
        <v>7.5041095890410956</v>
      </c>
      <c r="BY11" s="96">
        <f t="shared" si="19"/>
        <v>7.4958904109589044</v>
      </c>
      <c r="BZ11" s="35">
        <f t="shared" si="20"/>
        <v>44300</v>
      </c>
      <c r="CA11" s="35">
        <f t="shared" si="21"/>
        <v>422665.25</v>
      </c>
      <c r="CB11" s="35">
        <f t="shared" si="22"/>
        <v>60380.75</v>
      </c>
      <c r="CC11" s="35">
        <f t="shared" si="23"/>
        <v>406584.5</v>
      </c>
      <c r="CE11" s="35">
        <v>406584.5</v>
      </c>
      <c r="CF11" s="155"/>
      <c r="CG11" s="155"/>
      <c r="CH11" s="155"/>
      <c r="CI11" s="35">
        <f>([1]Summary!$CE$4-F11)/365</f>
        <v>8.506849315068493</v>
      </c>
      <c r="CJ11" s="96">
        <f t="shared" si="24"/>
        <v>6.493150684931507</v>
      </c>
      <c r="CK11" s="35">
        <f t="shared" si="25"/>
        <v>44300</v>
      </c>
      <c r="CL11" s="35">
        <f t="shared" si="26"/>
        <v>362284.5</v>
      </c>
      <c r="CM11" s="35">
        <f t="shared" si="27"/>
        <v>60380.75</v>
      </c>
      <c r="CN11" s="35">
        <f t="shared" si="28"/>
        <v>346203.75</v>
      </c>
      <c r="CP11" s="35">
        <f t="shared" si="29"/>
        <v>346203.75</v>
      </c>
      <c r="CQ11" s="155"/>
      <c r="CR11" s="155"/>
      <c r="CS11" s="155"/>
      <c r="CT11" s="35">
        <f>([1]Summary!$CP$4-F11)/365</f>
        <v>9.506849315068493</v>
      </c>
      <c r="CU11" s="96">
        <f t="shared" si="30"/>
        <v>5.493150684931507</v>
      </c>
      <c r="CV11" s="35">
        <f t="shared" si="31"/>
        <v>44300</v>
      </c>
      <c r="CW11" s="35">
        <f t="shared" si="32"/>
        <v>301903.75</v>
      </c>
      <c r="CX11" s="35">
        <f t="shared" si="33"/>
        <v>60380.75</v>
      </c>
      <c r="CY11" s="35">
        <f t="shared" si="34"/>
        <v>285823</v>
      </c>
      <c r="DA11" s="35">
        <f t="shared" si="35"/>
        <v>285823</v>
      </c>
      <c r="DB11" s="155"/>
      <c r="DC11" s="155"/>
      <c r="DD11" s="155"/>
      <c r="DE11" s="35">
        <f>([1]Summary!$DA$4-F11)/365</f>
        <v>10.506849315068493</v>
      </c>
      <c r="DF11" s="96">
        <f t="shared" si="36"/>
        <v>4.493150684931507</v>
      </c>
      <c r="DG11" s="35">
        <f t="shared" si="37"/>
        <v>44300</v>
      </c>
      <c r="DH11" s="35">
        <f t="shared" si="38"/>
        <v>241523</v>
      </c>
      <c r="DI11" s="35">
        <f t="shared" si="39"/>
        <v>60380.75</v>
      </c>
      <c r="DJ11" s="35">
        <f t="shared" si="40"/>
        <v>225442.25</v>
      </c>
      <c r="DL11" s="157">
        <f t="shared" si="41"/>
        <v>886000</v>
      </c>
      <c r="DM11" s="157">
        <f t="shared" si="42"/>
        <v>660557.75</v>
      </c>
      <c r="DN11" s="157">
        <f t="shared" si="43"/>
        <v>225442.25</v>
      </c>
    </row>
    <row r="12" spans="1:118" s="156" customFormat="1" ht="63.75" x14ac:dyDescent="0.25">
      <c r="A12" s="11" t="s">
        <v>6</v>
      </c>
      <c r="B12" s="86" t="s">
        <v>4</v>
      </c>
      <c r="C12" s="15" t="s">
        <v>474</v>
      </c>
      <c r="D12" s="150" t="s">
        <v>566</v>
      </c>
      <c r="E12" s="39" t="s">
        <v>567</v>
      </c>
      <c r="F12" s="87">
        <v>39434</v>
      </c>
      <c r="G12" s="151">
        <f>([1]Summary!$G$3-F12)/365</f>
        <v>6.2876712328767121</v>
      </c>
      <c r="H12" s="151">
        <f>VLOOKUP(C12,[2]Rates!$C$6:$D$136,2,0)</f>
        <v>15</v>
      </c>
      <c r="I12" s="152">
        <f t="shared" si="0"/>
        <v>8.7123287671232887</v>
      </c>
      <c r="J12" s="88">
        <v>85000</v>
      </c>
      <c r="K12" s="88"/>
      <c r="L12" s="153">
        <f>+J12-K12</f>
        <v>85000</v>
      </c>
      <c r="M12" s="88">
        <v>35100</v>
      </c>
      <c r="N12" s="24">
        <f>J12-M12</f>
        <v>49900</v>
      </c>
      <c r="O12" s="24"/>
      <c r="P12" s="28">
        <f>ROUND(I12,0)</f>
        <v>9</v>
      </c>
      <c r="Q12" s="26">
        <f>J12*5%</f>
        <v>4250</v>
      </c>
      <c r="R12" s="24">
        <f>IF(N12-Q12&lt;=0,0,IF(P12&lt;=0,0,N12-Q12))</f>
        <v>45650</v>
      </c>
      <c r="S12" s="24">
        <f>R12/P12</f>
        <v>5072.2222222222226</v>
      </c>
      <c r="T12" s="24">
        <f>IF(P12&lt;=0,Q12-N12,IF(N12&lt;=Q12,Q12-N12,0))</f>
        <v>0</v>
      </c>
      <c r="U12" s="24">
        <f>N12+T12</f>
        <v>49900</v>
      </c>
      <c r="V12" s="27">
        <f>+U12-S12</f>
        <v>44827.777777777781</v>
      </c>
      <c r="W12" s="154"/>
      <c r="X12" s="154"/>
      <c r="Y12" s="154"/>
      <c r="Z12" s="154"/>
      <c r="AA12" s="35">
        <f>V12</f>
        <v>44827.777777777781</v>
      </c>
      <c r="AB12" s="155"/>
      <c r="AC12" s="155"/>
      <c r="AD12" s="155"/>
      <c r="AE12" s="12">
        <f>([1]Summary!$G$4-F12)/365</f>
        <v>7.2876712328767121</v>
      </c>
      <c r="AF12" s="12">
        <f t="shared" si="1"/>
        <v>7.7123287671232879</v>
      </c>
      <c r="AG12" s="35">
        <f>Q12</f>
        <v>4250</v>
      </c>
      <c r="AH12" s="34">
        <f>IF(N12-Q12&lt;=0,0,IF(AF12&lt;=0,0,N12-Q12))</f>
        <v>45650</v>
      </c>
      <c r="AI12" s="35">
        <f>S12</f>
        <v>5072.2222222222226</v>
      </c>
      <c r="AJ12" s="35">
        <f>AA12-AI12</f>
        <v>39755.555555555562</v>
      </c>
      <c r="AL12" s="35">
        <f t="shared" si="2"/>
        <v>39755.555555555562</v>
      </c>
      <c r="AM12" s="155"/>
      <c r="AN12" s="155"/>
      <c r="AO12" s="155"/>
      <c r="AP12" s="12">
        <f>([1]Summary!$AL$4-F12)/365</f>
        <v>8.2904109589041095</v>
      </c>
      <c r="AQ12" s="12">
        <f t="shared" si="3"/>
        <v>6.7095890410958905</v>
      </c>
      <c r="AR12" s="35">
        <f t="shared" si="4"/>
        <v>4250</v>
      </c>
      <c r="AS12" s="34">
        <f>IF(AA12-AG12&lt;=0,0,IF(AQ12&lt;=0,0,AA12-AG12))</f>
        <v>40577.777777777781</v>
      </c>
      <c r="AT12" s="96">
        <f>+AI12</f>
        <v>5072.2222222222226</v>
      </c>
      <c r="AU12" s="35">
        <f t="shared" si="5"/>
        <v>34683.333333333343</v>
      </c>
      <c r="AW12" s="155">
        <f t="shared" si="6"/>
        <v>34683.333333333343</v>
      </c>
      <c r="AX12" s="155"/>
      <c r="AY12" s="155"/>
      <c r="AZ12" s="155"/>
      <c r="BA12" s="155">
        <f>([1]Summary!$AW$4-F12)/365</f>
        <v>9.2904109589041095</v>
      </c>
      <c r="BB12" s="155">
        <f t="shared" si="7"/>
        <v>5.7095890410958905</v>
      </c>
      <c r="BC12" s="155">
        <f t="shared" si="8"/>
        <v>4250</v>
      </c>
      <c r="BD12" s="155">
        <f t="shared" si="9"/>
        <v>35505.555555555562</v>
      </c>
      <c r="BE12" s="35">
        <f t="shared" si="10"/>
        <v>5072.2222222222226</v>
      </c>
      <c r="BF12" s="155">
        <f t="shared" si="11"/>
        <v>29611.11111111112</v>
      </c>
      <c r="BG12" s="155"/>
      <c r="BH12" s="35">
        <f t="shared" si="12"/>
        <v>29611.11111111112</v>
      </c>
      <c r="BI12" s="155"/>
      <c r="BJ12" s="155"/>
      <c r="BK12" s="155"/>
      <c r="BL12" s="35">
        <f>([1]Summary!$BH$4-F12)/365</f>
        <v>10.29041095890411</v>
      </c>
      <c r="BM12" s="155">
        <f t="shared" si="13"/>
        <v>4.7095890410958905</v>
      </c>
      <c r="BN12" s="155">
        <f t="shared" si="14"/>
        <v>4250</v>
      </c>
      <c r="BO12" s="35">
        <f t="shared" si="15"/>
        <v>25361.11111111112</v>
      </c>
      <c r="BP12" s="35">
        <f t="shared" si="16"/>
        <v>5072.2222222222226</v>
      </c>
      <c r="BQ12" s="35">
        <f t="shared" si="17"/>
        <v>24538.888888888898</v>
      </c>
      <c r="BS12" s="132">
        <f t="shared" si="18"/>
        <v>20288.888888888898</v>
      </c>
      <c r="BT12" s="35">
        <v>24538.888888888898</v>
      </c>
      <c r="BU12" s="155"/>
      <c r="BV12" s="155"/>
      <c r="BW12" s="155"/>
      <c r="BX12" s="35">
        <f>([1]Summary!$BT$4-F12)/365</f>
        <v>11.29041095890411</v>
      </c>
      <c r="BY12" s="96">
        <f t="shared" si="19"/>
        <v>3.7095890410958905</v>
      </c>
      <c r="BZ12" s="35">
        <f t="shared" si="20"/>
        <v>4250</v>
      </c>
      <c r="CA12" s="35">
        <f t="shared" si="21"/>
        <v>20288.888888888898</v>
      </c>
      <c r="CB12" s="35">
        <f t="shared" si="22"/>
        <v>5072.2222222222226</v>
      </c>
      <c r="CC12" s="35">
        <f t="shared" si="23"/>
        <v>19466.666666666675</v>
      </c>
      <c r="CE12" s="35">
        <v>19466.666666666675</v>
      </c>
      <c r="CF12" s="155"/>
      <c r="CG12" s="155"/>
      <c r="CH12" s="155"/>
      <c r="CI12" s="35">
        <f>([1]Summary!$CE$4-F12)/365</f>
        <v>12.293150684931506</v>
      </c>
      <c r="CJ12" s="96">
        <f t="shared" si="24"/>
        <v>2.706849315068494</v>
      </c>
      <c r="CK12" s="35">
        <f t="shared" si="25"/>
        <v>4250</v>
      </c>
      <c r="CL12" s="35">
        <f t="shared" si="26"/>
        <v>15216.666666666675</v>
      </c>
      <c r="CM12" s="35">
        <f t="shared" si="27"/>
        <v>5072.2222222222226</v>
      </c>
      <c r="CN12" s="35">
        <f t="shared" si="28"/>
        <v>14394.444444444453</v>
      </c>
      <c r="CP12" s="35">
        <f t="shared" si="29"/>
        <v>14394.444444444453</v>
      </c>
      <c r="CQ12" s="155"/>
      <c r="CR12" s="155"/>
      <c r="CS12" s="155"/>
      <c r="CT12" s="35">
        <f>([1]Summary!$CP$4-F12)/365</f>
        <v>13.293150684931506</v>
      </c>
      <c r="CU12" s="96">
        <f t="shared" si="30"/>
        <v>1.706849315068494</v>
      </c>
      <c r="CV12" s="35">
        <f t="shared" si="31"/>
        <v>4250</v>
      </c>
      <c r="CW12" s="35">
        <f t="shared" si="32"/>
        <v>10144.444444444453</v>
      </c>
      <c r="CX12" s="35">
        <f t="shared" si="33"/>
        <v>5072.2222222222226</v>
      </c>
      <c r="CY12" s="35">
        <f t="shared" si="34"/>
        <v>9322.2222222222299</v>
      </c>
      <c r="DA12" s="35">
        <f t="shared" si="35"/>
        <v>9322.2222222222299</v>
      </c>
      <c r="DB12" s="155"/>
      <c r="DC12" s="155"/>
      <c r="DD12" s="155"/>
      <c r="DE12" s="35">
        <f>([1]Summary!$DA$4-F12)/365</f>
        <v>14.293150684931506</v>
      </c>
      <c r="DF12" s="96">
        <f t="shared" si="36"/>
        <v>0.70684931506849402</v>
      </c>
      <c r="DG12" s="35">
        <f t="shared" si="37"/>
        <v>4250</v>
      </c>
      <c r="DH12" s="35">
        <f t="shared" si="38"/>
        <v>5072.2222222222299</v>
      </c>
      <c r="DI12" s="35">
        <f t="shared" si="39"/>
        <v>5072.2222222222226</v>
      </c>
      <c r="DJ12" s="35">
        <f t="shared" si="40"/>
        <v>4250.0000000000073</v>
      </c>
      <c r="DL12" s="157">
        <f t="shared" si="41"/>
        <v>85000</v>
      </c>
      <c r="DM12" s="157">
        <f t="shared" si="42"/>
        <v>80749.999999999971</v>
      </c>
      <c r="DN12" s="157">
        <f t="shared" si="43"/>
        <v>4250.0000000000291</v>
      </c>
    </row>
    <row r="13" spans="1:118" s="156" customFormat="1" ht="63.75" x14ac:dyDescent="0.25">
      <c r="A13" s="11" t="s">
        <v>7</v>
      </c>
      <c r="B13" s="171" t="s">
        <v>332</v>
      </c>
      <c r="C13" s="15" t="s">
        <v>474</v>
      </c>
      <c r="D13" s="221" t="s">
        <v>568</v>
      </c>
      <c r="E13" s="39" t="s">
        <v>569</v>
      </c>
      <c r="F13" s="177">
        <v>42377</v>
      </c>
      <c r="G13" s="151"/>
      <c r="H13" s="151">
        <f>VLOOKUP(C13,[2]Rates!$C$6:$D$136,2,0)</f>
        <v>15</v>
      </c>
      <c r="I13" s="152">
        <f t="shared" si="0"/>
        <v>15</v>
      </c>
      <c r="J13" s="88"/>
      <c r="K13" s="88"/>
      <c r="L13" s="153"/>
      <c r="M13" s="88"/>
      <c r="N13" s="24"/>
      <c r="O13" s="35"/>
      <c r="P13" s="28"/>
      <c r="Q13" s="26"/>
      <c r="R13" s="24"/>
      <c r="S13" s="24"/>
      <c r="T13" s="24"/>
      <c r="U13" s="24"/>
      <c r="V13" s="27"/>
      <c r="W13" s="154"/>
      <c r="X13" s="154"/>
      <c r="Y13" s="154"/>
      <c r="Z13" s="154"/>
      <c r="AA13" s="35"/>
      <c r="AB13" s="155">
        <v>8080</v>
      </c>
      <c r="AC13" s="155"/>
      <c r="AD13" s="155">
        <f>+[1]Summary!$AD$1-F13+1</f>
        <v>84</v>
      </c>
      <c r="AE13" s="12">
        <v>0</v>
      </c>
      <c r="AF13" s="12">
        <f t="shared" si="1"/>
        <v>15</v>
      </c>
      <c r="AG13" s="159">
        <f>AB13*5%</f>
        <v>404</v>
      </c>
      <c r="AH13" s="160">
        <f>IF(AB13-AG13&lt;=0,0,IF(AF13&lt;=0,0,AB13-AG13))</f>
        <v>7676</v>
      </c>
      <c r="AI13" s="34">
        <f>(AH13/AF13)/365*AD13</f>
        <v>117.76876712328767</v>
      </c>
      <c r="AJ13" s="160">
        <f>AB13-AI13</f>
        <v>7962.2312328767121</v>
      </c>
      <c r="AL13" s="35">
        <f t="shared" si="2"/>
        <v>7962.2312328767121</v>
      </c>
      <c r="AM13" s="155"/>
      <c r="AN13" s="155"/>
      <c r="AO13" s="155"/>
      <c r="AP13" s="222">
        <f>([1]Summary!$AL$4-F13)/365</f>
        <v>0.22739726027397261</v>
      </c>
      <c r="AQ13" s="222">
        <f t="shared" si="3"/>
        <v>14.772602739726027</v>
      </c>
      <c r="AR13" s="159">
        <f t="shared" si="4"/>
        <v>404</v>
      </c>
      <c r="AS13" s="160">
        <f>IF(AB13-AG13&lt;=0,0,IF(AQ13&lt;=0,0,AB13-AG13))</f>
        <v>7676</v>
      </c>
      <c r="AT13" s="176">
        <f>+AH13/AF13</f>
        <v>511.73333333333335</v>
      </c>
      <c r="AU13" s="35">
        <f t="shared" si="5"/>
        <v>7450.4978995433785</v>
      </c>
      <c r="AW13" s="155">
        <f t="shared" si="6"/>
        <v>7450.4978995433785</v>
      </c>
      <c r="AX13" s="155"/>
      <c r="AY13" s="155"/>
      <c r="AZ13" s="155"/>
      <c r="BA13" s="155">
        <f>([1]Summary!$AW$4-F13)/365</f>
        <v>1.2273972602739727</v>
      </c>
      <c r="BB13" s="155">
        <f t="shared" si="7"/>
        <v>13.772602739726027</v>
      </c>
      <c r="BC13" s="155">
        <f t="shared" si="8"/>
        <v>404</v>
      </c>
      <c r="BD13" s="155">
        <f t="shared" si="9"/>
        <v>7558.2312328767121</v>
      </c>
      <c r="BE13" s="155">
        <f t="shared" si="10"/>
        <v>511.73333333333335</v>
      </c>
      <c r="BF13" s="155">
        <f t="shared" si="11"/>
        <v>6938.7645662100449</v>
      </c>
      <c r="BG13" s="155"/>
      <c r="BH13" s="35">
        <f t="shared" si="12"/>
        <v>6938.7645662100449</v>
      </c>
      <c r="BI13" s="155"/>
      <c r="BJ13" s="155"/>
      <c r="BK13" s="155"/>
      <c r="BL13" s="35">
        <f>([1]Summary!$BH$4-F13)/365</f>
        <v>2.2273972602739724</v>
      </c>
      <c r="BM13" s="155">
        <f t="shared" si="13"/>
        <v>12.772602739726027</v>
      </c>
      <c r="BN13" s="155">
        <f t="shared" si="14"/>
        <v>404</v>
      </c>
      <c r="BO13" s="35">
        <f t="shared" si="15"/>
        <v>6534.7645662100449</v>
      </c>
      <c r="BP13" s="35">
        <f t="shared" si="16"/>
        <v>511.73333333333335</v>
      </c>
      <c r="BQ13" s="35">
        <f t="shared" si="17"/>
        <v>6427.0312328767113</v>
      </c>
      <c r="BS13" s="132">
        <f t="shared" si="18"/>
        <v>6023.0312328767113</v>
      </c>
      <c r="BT13" s="35">
        <v>6427.0312328767113</v>
      </c>
      <c r="BU13" s="155"/>
      <c r="BV13" s="155"/>
      <c r="BW13" s="155"/>
      <c r="BX13" s="35">
        <f>([1]Summary!$BT$4-F13)/365</f>
        <v>3.2273972602739724</v>
      </c>
      <c r="BY13" s="96">
        <f t="shared" si="19"/>
        <v>11.772602739726027</v>
      </c>
      <c r="BZ13" s="35">
        <f t="shared" si="20"/>
        <v>404</v>
      </c>
      <c r="CA13" s="35">
        <f t="shared" si="21"/>
        <v>6023.0312328767113</v>
      </c>
      <c r="CB13" s="35">
        <f t="shared" si="22"/>
        <v>511.73333333333335</v>
      </c>
      <c r="CC13" s="35">
        <f t="shared" si="23"/>
        <v>5915.2978995433778</v>
      </c>
      <c r="CE13" s="35">
        <v>5915.2978995433778</v>
      </c>
      <c r="CF13" s="155"/>
      <c r="CG13" s="155"/>
      <c r="CH13" s="155"/>
      <c r="CI13" s="35">
        <f>([1]Summary!$CE$4-F13)/365</f>
        <v>4.2301369863013702</v>
      </c>
      <c r="CJ13" s="96">
        <f t="shared" si="24"/>
        <v>10.769863013698629</v>
      </c>
      <c r="CK13" s="35">
        <f t="shared" si="25"/>
        <v>404</v>
      </c>
      <c r="CL13" s="35">
        <f t="shared" si="26"/>
        <v>5511.2978995433778</v>
      </c>
      <c r="CM13" s="35">
        <f t="shared" si="27"/>
        <v>511.73333333333335</v>
      </c>
      <c r="CN13" s="35">
        <f t="shared" si="28"/>
        <v>5403.5645662100442</v>
      </c>
      <c r="CP13" s="35">
        <f t="shared" si="29"/>
        <v>5403.5645662100442</v>
      </c>
      <c r="CQ13" s="155"/>
      <c r="CR13" s="155"/>
      <c r="CS13" s="155"/>
      <c r="CT13" s="35">
        <f>([1]Summary!$CP$4-F13)/365</f>
        <v>5.2301369863013702</v>
      </c>
      <c r="CU13" s="96">
        <f t="shared" si="30"/>
        <v>9.7698630136986289</v>
      </c>
      <c r="CV13" s="35">
        <f t="shared" si="31"/>
        <v>404</v>
      </c>
      <c r="CW13" s="35">
        <f t="shared" si="32"/>
        <v>4999.5645662100442</v>
      </c>
      <c r="CX13" s="35">
        <f t="shared" si="33"/>
        <v>511.73333333333335</v>
      </c>
      <c r="CY13" s="35">
        <f t="shared" si="34"/>
        <v>4891.8312328767106</v>
      </c>
      <c r="DA13" s="35">
        <f t="shared" si="35"/>
        <v>4891.8312328767106</v>
      </c>
      <c r="DB13" s="155"/>
      <c r="DC13" s="155"/>
      <c r="DD13" s="155"/>
      <c r="DE13" s="35">
        <f>([1]Summary!$DA$4-F13)/365</f>
        <v>6.2301369863013702</v>
      </c>
      <c r="DF13" s="96">
        <f t="shared" si="36"/>
        <v>8.7698630136986289</v>
      </c>
      <c r="DG13" s="35">
        <f t="shared" si="37"/>
        <v>404</v>
      </c>
      <c r="DH13" s="35">
        <f t="shared" si="38"/>
        <v>4487.8312328767106</v>
      </c>
      <c r="DI13" s="35">
        <f t="shared" si="39"/>
        <v>511.73333333333335</v>
      </c>
      <c r="DJ13" s="35">
        <f t="shared" si="40"/>
        <v>4380.097899543377</v>
      </c>
      <c r="DL13" s="157">
        <f t="shared" si="41"/>
        <v>8080</v>
      </c>
      <c r="DM13" s="157">
        <f t="shared" si="42"/>
        <v>3699.9021004566221</v>
      </c>
      <c r="DN13" s="157">
        <f t="shared" si="43"/>
        <v>4380.0978995433779</v>
      </c>
    </row>
    <row r="14" spans="1:118" s="156" customFormat="1" ht="63.75" x14ac:dyDescent="0.25">
      <c r="A14" s="11" t="s">
        <v>7</v>
      </c>
      <c r="B14" s="171" t="s">
        <v>332</v>
      </c>
      <c r="C14" s="15" t="s">
        <v>474</v>
      </c>
      <c r="D14" s="221" t="s">
        <v>570</v>
      </c>
      <c r="E14" s="39" t="s">
        <v>191</v>
      </c>
      <c r="F14" s="177">
        <v>42668</v>
      </c>
      <c r="G14" s="151"/>
      <c r="H14" s="151">
        <f>VLOOKUP(C14,[2]Rates!$C$6:$D$136,2,0)</f>
        <v>15</v>
      </c>
      <c r="I14" s="152">
        <f t="shared" si="0"/>
        <v>15</v>
      </c>
      <c r="J14" s="88"/>
      <c r="K14" s="88"/>
      <c r="L14" s="218"/>
      <c r="M14" s="88"/>
      <c r="N14" s="24"/>
      <c r="O14" s="35"/>
      <c r="P14" s="28"/>
      <c r="Q14" s="26"/>
      <c r="R14" s="24"/>
      <c r="S14" s="24"/>
      <c r="T14" s="24"/>
      <c r="U14" s="24"/>
      <c r="V14" s="27"/>
      <c r="W14" s="154"/>
      <c r="X14" s="154"/>
      <c r="Y14" s="154"/>
      <c r="Z14" s="154"/>
      <c r="AA14" s="35"/>
      <c r="AB14" s="155"/>
      <c r="AC14" s="155"/>
      <c r="AD14" s="155"/>
      <c r="AE14" s="12"/>
      <c r="AF14" s="12"/>
      <c r="AG14" s="159"/>
      <c r="AH14" s="160"/>
      <c r="AI14" s="34"/>
      <c r="AJ14" s="160"/>
      <c r="AL14" s="35"/>
      <c r="AM14" s="155">
        <v>6195</v>
      </c>
      <c r="AN14" s="155"/>
      <c r="AO14" s="155">
        <f>+[1]Summary!$AN$1-F14+1</f>
        <v>158</v>
      </c>
      <c r="AP14" s="12">
        <v>0</v>
      </c>
      <c r="AQ14" s="12">
        <f t="shared" si="3"/>
        <v>15</v>
      </c>
      <c r="AR14" s="159">
        <f>+AM14*5%</f>
        <v>309.75</v>
      </c>
      <c r="AS14" s="160">
        <f>IF(AM14-AR14&lt;=0,0,IF(AQ14&lt;=0,0,AM14-AR14))</f>
        <v>5885.25</v>
      </c>
      <c r="AT14" s="35">
        <f>+AS14/AQ14*AO14/365</f>
        <v>169.83917808219178</v>
      </c>
      <c r="AU14" s="35">
        <f t="shared" si="5"/>
        <v>6025.1608219178079</v>
      </c>
      <c r="AW14" s="155">
        <f t="shared" si="6"/>
        <v>6025.1608219178079</v>
      </c>
      <c r="AX14" s="155"/>
      <c r="AY14" s="155"/>
      <c r="AZ14" s="155"/>
      <c r="BA14" s="155">
        <f>([1]Summary!$AW$4-F14)/365</f>
        <v>0.43013698630136987</v>
      </c>
      <c r="BB14" s="155">
        <f t="shared" si="7"/>
        <v>14.56986301369863</v>
      </c>
      <c r="BC14" s="155">
        <f t="shared" si="8"/>
        <v>309.75</v>
      </c>
      <c r="BD14" s="160">
        <f>IF(AW14-BC14&lt;=0,0,IF(BB14&lt;=0,0,AW14-BC14))</f>
        <v>5715.4108219178079</v>
      </c>
      <c r="BE14" s="155">
        <f>+BD14/BB14</f>
        <v>392.27622226400899</v>
      </c>
      <c r="BF14" s="155">
        <f t="shared" si="11"/>
        <v>5632.8845996537984</v>
      </c>
      <c r="BG14" s="155"/>
      <c r="BH14" s="35">
        <f t="shared" si="12"/>
        <v>5632.8845996537984</v>
      </c>
      <c r="BI14" s="155"/>
      <c r="BJ14" s="155"/>
      <c r="BK14" s="155"/>
      <c r="BL14" s="35">
        <f>([1]Summary!$BH$4-F14)/365</f>
        <v>1.4301369863013698</v>
      </c>
      <c r="BM14" s="155">
        <f t="shared" si="13"/>
        <v>13.56986301369863</v>
      </c>
      <c r="BN14" s="155">
        <f t="shared" si="14"/>
        <v>309.75</v>
      </c>
      <c r="BO14" s="35">
        <f t="shared" si="15"/>
        <v>5323.1345996537984</v>
      </c>
      <c r="BP14" s="35">
        <f t="shared" si="16"/>
        <v>392.27622226400899</v>
      </c>
      <c r="BQ14" s="35">
        <f t="shared" si="17"/>
        <v>5240.6083773897899</v>
      </c>
      <c r="BS14" s="132">
        <f t="shared" si="18"/>
        <v>4930.8583773897899</v>
      </c>
      <c r="BT14" s="35">
        <v>5240.6083773897899</v>
      </c>
      <c r="BU14" s="155"/>
      <c r="BV14" s="155"/>
      <c r="BW14" s="155"/>
      <c r="BX14" s="35">
        <f>([1]Summary!$BT$4-F14)/365</f>
        <v>2.43013698630137</v>
      </c>
      <c r="BY14" s="96">
        <f t="shared" si="19"/>
        <v>12.56986301369863</v>
      </c>
      <c r="BZ14" s="35">
        <f t="shared" si="20"/>
        <v>309.75</v>
      </c>
      <c r="CA14" s="35">
        <f t="shared" si="21"/>
        <v>4930.8583773897899</v>
      </c>
      <c r="CB14" s="35">
        <f t="shared" si="22"/>
        <v>392.27622226400899</v>
      </c>
      <c r="CC14" s="35">
        <f t="shared" si="23"/>
        <v>4848.3321551257814</v>
      </c>
      <c r="CE14" s="35">
        <v>4848.3321551257814</v>
      </c>
      <c r="CF14" s="155"/>
      <c r="CG14" s="155"/>
      <c r="CH14" s="155"/>
      <c r="CI14" s="35">
        <f>([1]Summary!$CE$4-F14)/365</f>
        <v>3.4328767123287673</v>
      </c>
      <c r="CJ14" s="96">
        <f t="shared" si="24"/>
        <v>11.567123287671233</v>
      </c>
      <c r="CK14" s="35">
        <f t="shared" si="25"/>
        <v>309.75</v>
      </c>
      <c r="CL14" s="35">
        <f t="shared" si="26"/>
        <v>4538.5821551257814</v>
      </c>
      <c r="CM14" s="35">
        <f t="shared" si="27"/>
        <v>392.27622226400899</v>
      </c>
      <c r="CN14" s="35">
        <f t="shared" si="28"/>
        <v>4456.0559328617728</v>
      </c>
      <c r="CP14" s="35">
        <f t="shared" si="29"/>
        <v>4456.0559328617728</v>
      </c>
      <c r="CQ14" s="155"/>
      <c r="CR14" s="155"/>
      <c r="CS14" s="155"/>
      <c r="CT14" s="35">
        <f>([1]Summary!$CP$4-F14)/365</f>
        <v>4.4328767123287669</v>
      </c>
      <c r="CU14" s="96">
        <f t="shared" si="30"/>
        <v>10.567123287671233</v>
      </c>
      <c r="CV14" s="35">
        <f t="shared" si="31"/>
        <v>309.75</v>
      </c>
      <c r="CW14" s="35">
        <f t="shared" si="32"/>
        <v>4146.3059328617728</v>
      </c>
      <c r="CX14" s="35">
        <f t="shared" si="33"/>
        <v>392.27622226400899</v>
      </c>
      <c r="CY14" s="35">
        <f t="shared" si="34"/>
        <v>4063.7797105977638</v>
      </c>
      <c r="DA14" s="35">
        <f t="shared" si="35"/>
        <v>4063.7797105977638</v>
      </c>
      <c r="DB14" s="155"/>
      <c r="DC14" s="155"/>
      <c r="DD14" s="155"/>
      <c r="DE14" s="35">
        <f>([1]Summary!$DA$4-F14)/365</f>
        <v>5.4328767123287669</v>
      </c>
      <c r="DF14" s="96">
        <f t="shared" si="36"/>
        <v>9.5671232876712331</v>
      </c>
      <c r="DG14" s="35">
        <f t="shared" si="37"/>
        <v>309.75</v>
      </c>
      <c r="DH14" s="35">
        <f t="shared" si="38"/>
        <v>3754.0297105977638</v>
      </c>
      <c r="DI14" s="35">
        <f t="shared" si="39"/>
        <v>392.27622226400899</v>
      </c>
      <c r="DJ14" s="35">
        <f t="shared" si="40"/>
        <v>3671.5034883337548</v>
      </c>
      <c r="DL14" s="157">
        <f t="shared" si="41"/>
        <v>6195</v>
      </c>
      <c r="DM14" s="157">
        <f t="shared" si="42"/>
        <v>2523.4965116662456</v>
      </c>
      <c r="DN14" s="157">
        <f t="shared" si="43"/>
        <v>3671.5034883337544</v>
      </c>
    </row>
    <row r="15" spans="1:118" s="4" customFormat="1" ht="63.75" x14ac:dyDescent="0.25">
      <c r="A15" s="92" t="s">
        <v>7</v>
      </c>
      <c r="B15" s="223" t="s">
        <v>332</v>
      </c>
      <c r="C15" s="46" t="s">
        <v>474</v>
      </c>
      <c r="D15" s="178" t="s">
        <v>571</v>
      </c>
      <c r="E15" s="179" t="s">
        <v>572</v>
      </c>
      <c r="F15" s="180">
        <v>42919</v>
      </c>
      <c r="G15" s="181"/>
      <c r="H15" s="181">
        <f>VLOOKUP(C15,[2]Rates!$C$6:$D$136,2,0)</f>
        <v>15</v>
      </c>
      <c r="I15" s="181">
        <f t="shared" si="0"/>
        <v>15</v>
      </c>
      <c r="J15" s="182"/>
      <c r="K15" s="182"/>
      <c r="L15" s="88"/>
      <c r="M15" s="182"/>
      <c r="N15" s="184"/>
      <c r="O15" s="185"/>
      <c r="P15" s="186"/>
      <c r="Q15" s="187"/>
      <c r="R15" s="184"/>
      <c r="S15" s="184"/>
      <c r="T15" s="184"/>
      <c r="U15" s="188"/>
      <c r="V15" s="189"/>
      <c r="W15" s="190"/>
      <c r="X15" s="190"/>
      <c r="Y15" s="190"/>
      <c r="Z15" s="190"/>
      <c r="AA15" s="185"/>
      <c r="AB15" s="185"/>
      <c r="AC15" s="185"/>
      <c r="AD15" s="191"/>
      <c r="AE15" s="192"/>
      <c r="AF15" s="192"/>
      <c r="AG15" s="193"/>
      <c r="AH15" s="194"/>
      <c r="AI15" s="195"/>
      <c r="AJ15" s="194"/>
      <c r="AK15" s="196"/>
      <c r="AL15" s="185"/>
      <c r="AM15" s="185"/>
      <c r="AN15" s="185"/>
      <c r="AO15" s="191"/>
      <c r="AP15" s="192"/>
      <c r="AQ15" s="192"/>
      <c r="AR15" s="193"/>
      <c r="AS15" s="194"/>
      <c r="AT15" s="35"/>
      <c r="AU15" s="35"/>
      <c r="AW15" s="35"/>
      <c r="AX15" s="35">
        <v>3750</v>
      </c>
      <c r="AY15" s="35"/>
      <c r="AZ15" s="35">
        <f>+[1]Summary!$AY$1-F15+1</f>
        <v>272</v>
      </c>
      <c r="BA15" s="155">
        <v>0</v>
      </c>
      <c r="BB15" s="155">
        <f t="shared" si="7"/>
        <v>15</v>
      </c>
      <c r="BC15" s="104">
        <f>+AX15*5%</f>
        <v>187.5</v>
      </c>
      <c r="BD15" s="35">
        <f>+AX15-BC15</f>
        <v>3562.5</v>
      </c>
      <c r="BE15" s="35">
        <f>+(BD15/BB15*AZ15)/365</f>
        <v>176.98630136986301</v>
      </c>
      <c r="BF15" s="35">
        <f>+AX15-BE15</f>
        <v>3573.0136986301368</v>
      </c>
      <c r="BG15" s="35"/>
      <c r="BH15" s="35">
        <f t="shared" si="12"/>
        <v>3573.0136986301368</v>
      </c>
      <c r="BI15" s="35"/>
      <c r="BJ15" s="35"/>
      <c r="BK15" s="35"/>
      <c r="BL15" s="35">
        <f>([1]Summary!$BH$4-F15)/365</f>
        <v>0.74246575342465748</v>
      </c>
      <c r="BM15" s="155">
        <f t="shared" si="13"/>
        <v>14.257534246575343</v>
      </c>
      <c r="BN15" s="104">
        <f t="shared" si="14"/>
        <v>187.5</v>
      </c>
      <c r="BO15" s="35">
        <f t="shared" si="15"/>
        <v>3385.5136986301368</v>
      </c>
      <c r="BP15" s="96">
        <f>+(BO15/BM15)</f>
        <v>237.45436202920828</v>
      </c>
      <c r="BQ15" s="35">
        <f t="shared" si="17"/>
        <v>3335.5593366009284</v>
      </c>
      <c r="BS15" s="132">
        <f t="shared" si="18"/>
        <v>3148.0593366009284</v>
      </c>
      <c r="BT15" s="35">
        <v>3335.5593366009284</v>
      </c>
      <c r="BU15" s="35"/>
      <c r="BV15" s="35"/>
      <c r="BW15" s="35"/>
      <c r="BX15" s="35">
        <f>([1]Summary!$BT$4-F15)/365</f>
        <v>1.7424657534246575</v>
      </c>
      <c r="BY15" s="96">
        <f t="shared" si="19"/>
        <v>13.257534246575343</v>
      </c>
      <c r="BZ15" s="35">
        <f t="shared" si="20"/>
        <v>187.5</v>
      </c>
      <c r="CA15" s="35">
        <f t="shared" si="21"/>
        <v>3148.0593366009284</v>
      </c>
      <c r="CB15" s="35">
        <f t="shared" si="22"/>
        <v>237.45436202920828</v>
      </c>
      <c r="CC15" s="35">
        <f t="shared" si="23"/>
        <v>3098.10497457172</v>
      </c>
      <c r="CE15" s="35">
        <v>3098.10497457172</v>
      </c>
      <c r="CF15" s="35"/>
      <c r="CG15" s="35"/>
      <c r="CH15" s="35"/>
      <c r="CI15" s="35">
        <f>([1]Summary!$CE$4-F15)/365</f>
        <v>2.7452054794520548</v>
      </c>
      <c r="CJ15" s="96">
        <f t="shared" si="24"/>
        <v>12.254794520547945</v>
      </c>
      <c r="CK15" s="35">
        <f t="shared" si="25"/>
        <v>187.5</v>
      </c>
      <c r="CL15" s="35">
        <f t="shared" si="26"/>
        <v>2910.60497457172</v>
      </c>
      <c r="CM15" s="35">
        <f t="shared" si="27"/>
        <v>237.45436202920828</v>
      </c>
      <c r="CN15" s="35">
        <f t="shared" si="28"/>
        <v>2860.6506125425117</v>
      </c>
      <c r="CP15" s="35">
        <f t="shared" si="29"/>
        <v>2860.6506125425117</v>
      </c>
      <c r="CQ15" s="35"/>
      <c r="CR15" s="35"/>
      <c r="CS15" s="35"/>
      <c r="CT15" s="35">
        <f>([1]Summary!$CP$4-F15)/365</f>
        <v>3.7452054794520548</v>
      </c>
      <c r="CU15" s="96">
        <f t="shared" si="30"/>
        <v>11.254794520547945</v>
      </c>
      <c r="CV15" s="35">
        <f t="shared" si="31"/>
        <v>187.5</v>
      </c>
      <c r="CW15" s="35">
        <f t="shared" si="32"/>
        <v>2673.1506125425117</v>
      </c>
      <c r="CX15" s="35">
        <f t="shared" si="33"/>
        <v>237.45436202920828</v>
      </c>
      <c r="CY15" s="35">
        <f t="shared" si="34"/>
        <v>2623.1962505133033</v>
      </c>
      <c r="DA15" s="35">
        <f t="shared" si="35"/>
        <v>2623.1962505133033</v>
      </c>
      <c r="DB15" s="35"/>
      <c r="DC15" s="35"/>
      <c r="DD15" s="35"/>
      <c r="DE15" s="35">
        <f>([1]Summary!$DA$4-F15)/365</f>
        <v>4.7452054794520544</v>
      </c>
      <c r="DF15" s="96">
        <f t="shared" si="36"/>
        <v>10.254794520547946</v>
      </c>
      <c r="DG15" s="35">
        <f t="shared" si="37"/>
        <v>187.5</v>
      </c>
      <c r="DH15" s="35">
        <f t="shared" si="38"/>
        <v>2435.6962505133033</v>
      </c>
      <c r="DI15" s="35">
        <f t="shared" si="39"/>
        <v>237.45436202920828</v>
      </c>
      <c r="DJ15" s="35">
        <f t="shared" si="40"/>
        <v>2385.7418884840949</v>
      </c>
      <c r="DL15" s="157">
        <f t="shared" si="41"/>
        <v>3750</v>
      </c>
      <c r="DM15" s="157">
        <f t="shared" si="42"/>
        <v>1364.2581115159046</v>
      </c>
      <c r="DN15" s="157">
        <f t="shared" si="43"/>
        <v>2385.7418884840954</v>
      </c>
    </row>
    <row r="16" spans="1:118" s="4" customFormat="1" ht="30" x14ac:dyDescent="0.25">
      <c r="A16" s="92" t="s">
        <v>7</v>
      </c>
      <c r="B16" s="223"/>
      <c r="C16" s="46"/>
      <c r="D16" s="178" t="s">
        <v>573</v>
      </c>
      <c r="E16" s="179" t="s">
        <v>574</v>
      </c>
      <c r="F16" s="180">
        <v>42919</v>
      </c>
      <c r="G16" s="181"/>
      <c r="H16" s="181">
        <v>15</v>
      </c>
      <c r="I16" s="181">
        <v>15</v>
      </c>
      <c r="J16" s="182"/>
      <c r="K16" s="182"/>
      <c r="L16" s="88"/>
      <c r="M16" s="182"/>
      <c r="N16" s="184"/>
      <c r="O16" s="185"/>
      <c r="P16" s="186"/>
      <c r="Q16" s="187"/>
      <c r="R16" s="184"/>
      <c r="S16" s="184"/>
      <c r="T16" s="184"/>
      <c r="U16" s="188"/>
      <c r="V16" s="189"/>
      <c r="W16" s="190"/>
      <c r="X16" s="190"/>
      <c r="Y16" s="190"/>
      <c r="Z16" s="190"/>
      <c r="AA16" s="185"/>
      <c r="AB16" s="185"/>
      <c r="AC16" s="185"/>
      <c r="AD16" s="191"/>
      <c r="AE16" s="192"/>
      <c r="AF16" s="192"/>
      <c r="AG16" s="193"/>
      <c r="AH16" s="194"/>
      <c r="AI16" s="195"/>
      <c r="AJ16" s="194"/>
      <c r="AK16" s="196"/>
      <c r="AL16" s="185"/>
      <c r="AM16" s="185"/>
      <c r="AN16" s="185"/>
      <c r="AO16" s="191"/>
      <c r="AP16" s="192"/>
      <c r="AQ16" s="192"/>
      <c r="AR16" s="193"/>
      <c r="AS16" s="194"/>
      <c r="AT16" s="35"/>
      <c r="AU16" s="35"/>
      <c r="AW16" s="35"/>
      <c r="AX16" s="35">
        <v>7200</v>
      </c>
      <c r="AY16" s="35"/>
      <c r="AZ16" s="35">
        <f>+[1]Summary!$AY$1-F16+1</f>
        <v>272</v>
      </c>
      <c r="BA16" s="155">
        <v>0</v>
      </c>
      <c r="BB16" s="155">
        <f t="shared" si="7"/>
        <v>15</v>
      </c>
      <c r="BC16" s="104">
        <f>+AX16*5%</f>
        <v>360</v>
      </c>
      <c r="BD16" s="35">
        <f>+AX16-BC16</f>
        <v>6840</v>
      </c>
      <c r="BE16" s="35">
        <f>+(BD16/BB16*AZ16)/365</f>
        <v>339.81369863013697</v>
      </c>
      <c r="BF16" s="35">
        <f>+AX16-BE16</f>
        <v>6860.186301369863</v>
      </c>
      <c r="BG16" s="35"/>
      <c r="BH16" s="35">
        <f t="shared" si="12"/>
        <v>6860.186301369863</v>
      </c>
      <c r="BI16" s="35"/>
      <c r="BJ16" s="35"/>
      <c r="BK16" s="35"/>
      <c r="BL16" s="35">
        <f>([1]Summary!$BH$4-F16)/365</f>
        <v>0.74246575342465748</v>
      </c>
      <c r="BM16" s="155">
        <f t="shared" si="13"/>
        <v>14.257534246575343</v>
      </c>
      <c r="BN16" s="104">
        <f t="shared" si="14"/>
        <v>360</v>
      </c>
      <c r="BO16" s="35">
        <f t="shared" si="15"/>
        <v>6500.186301369863</v>
      </c>
      <c r="BP16" s="96">
        <f>+(BO16/BM16)</f>
        <v>455.91237509607993</v>
      </c>
      <c r="BQ16" s="35">
        <f t="shared" si="17"/>
        <v>6404.2739262737832</v>
      </c>
      <c r="BS16" s="132"/>
      <c r="BT16" s="35">
        <v>6404.2739262737832</v>
      </c>
      <c r="BU16" s="35"/>
      <c r="BV16" s="35"/>
      <c r="BW16" s="35"/>
      <c r="BX16" s="35">
        <f>([1]Summary!$BT$4-F16)/365</f>
        <v>1.7424657534246575</v>
      </c>
      <c r="BY16" s="96">
        <f t="shared" si="19"/>
        <v>13.257534246575343</v>
      </c>
      <c r="BZ16" s="35">
        <f t="shared" si="20"/>
        <v>360</v>
      </c>
      <c r="CA16" s="35">
        <f t="shared" si="21"/>
        <v>6044.2739262737832</v>
      </c>
      <c r="CB16" s="35">
        <f t="shared" si="22"/>
        <v>455.91237509607993</v>
      </c>
      <c r="CC16" s="35">
        <f t="shared" si="23"/>
        <v>5948.3615511777034</v>
      </c>
      <c r="CE16" s="35">
        <v>5948.3615511777034</v>
      </c>
      <c r="CF16" s="35"/>
      <c r="CG16" s="35"/>
      <c r="CH16" s="35"/>
      <c r="CI16" s="35">
        <f>([1]Summary!$CE$4-F16)/365</f>
        <v>2.7452054794520548</v>
      </c>
      <c r="CJ16" s="96">
        <f t="shared" si="24"/>
        <v>12.254794520547945</v>
      </c>
      <c r="CK16" s="35">
        <f t="shared" si="25"/>
        <v>360</v>
      </c>
      <c r="CL16" s="35">
        <f t="shared" si="26"/>
        <v>5588.3615511777034</v>
      </c>
      <c r="CM16" s="35">
        <f t="shared" si="27"/>
        <v>455.91237509607993</v>
      </c>
      <c r="CN16" s="35">
        <f t="shared" si="28"/>
        <v>5492.4491760816236</v>
      </c>
      <c r="CP16" s="35">
        <f t="shared" si="29"/>
        <v>5492.4491760816236</v>
      </c>
      <c r="CQ16" s="35"/>
      <c r="CR16" s="35"/>
      <c r="CS16" s="35"/>
      <c r="CT16" s="35">
        <f>([1]Summary!$CP$4-F16)/365</f>
        <v>3.7452054794520548</v>
      </c>
      <c r="CU16" s="96">
        <f t="shared" si="30"/>
        <v>11.254794520547945</v>
      </c>
      <c r="CV16" s="35">
        <f t="shared" si="31"/>
        <v>360</v>
      </c>
      <c r="CW16" s="35">
        <f t="shared" si="32"/>
        <v>5132.4491760816236</v>
      </c>
      <c r="CX16" s="35">
        <f t="shared" si="33"/>
        <v>455.91237509607993</v>
      </c>
      <c r="CY16" s="35">
        <f t="shared" si="34"/>
        <v>5036.5368009855438</v>
      </c>
      <c r="DA16" s="35">
        <f t="shared" si="35"/>
        <v>5036.5368009855438</v>
      </c>
      <c r="DB16" s="35"/>
      <c r="DC16" s="35"/>
      <c r="DD16" s="35"/>
      <c r="DE16" s="35">
        <f>([1]Summary!$DA$4-F16)/365</f>
        <v>4.7452054794520544</v>
      </c>
      <c r="DF16" s="96">
        <f t="shared" si="36"/>
        <v>10.254794520547946</v>
      </c>
      <c r="DG16" s="35">
        <f t="shared" si="37"/>
        <v>360</v>
      </c>
      <c r="DH16" s="35">
        <f t="shared" si="38"/>
        <v>4676.5368009855438</v>
      </c>
      <c r="DI16" s="35">
        <f t="shared" si="39"/>
        <v>455.91237509607993</v>
      </c>
      <c r="DJ16" s="35">
        <f t="shared" si="40"/>
        <v>4580.624425889464</v>
      </c>
      <c r="DL16" s="157">
        <f t="shared" si="41"/>
        <v>7200</v>
      </c>
      <c r="DM16" s="157">
        <f t="shared" si="42"/>
        <v>2619.3755741105365</v>
      </c>
      <c r="DN16" s="157">
        <f t="shared" si="43"/>
        <v>4580.624425889464</v>
      </c>
    </row>
    <row r="17" spans="1:118" s="156" customFormat="1" ht="63.75" x14ac:dyDescent="0.25">
      <c r="A17" s="11" t="s">
        <v>7</v>
      </c>
      <c r="B17" s="86" t="s">
        <v>4</v>
      </c>
      <c r="C17" s="15" t="s">
        <v>474</v>
      </c>
      <c r="D17" s="150" t="s">
        <v>575</v>
      </c>
      <c r="E17" s="39" t="s">
        <v>576</v>
      </c>
      <c r="F17" s="177">
        <v>41951</v>
      </c>
      <c r="G17" s="151">
        <v>0</v>
      </c>
      <c r="H17" s="151">
        <f>VLOOKUP(C17,[2]Rates!$C$6:$D$136,2,0)</f>
        <v>15</v>
      </c>
      <c r="I17" s="152">
        <f t="shared" ref="I17:I22" si="44">H17-G17</f>
        <v>15</v>
      </c>
      <c r="J17" s="88">
        <v>26838</v>
      </c>
      <c r="K17" s="88"/>
      <c r="L17" s="169">
        <f>+J17-K17</f>
        <v>26838</v>
      </c>
      <c r="M17" s="88">
        <v>0</v>
      </c>
      <c r="N17" s="24">
        <f>J17-M17</f>
        <v>26838</v>
      </c>
      <c r="O17" s="35">
        <f>+[1]Summary!$O$4-F17+1</f>
        <v>144</v>
      </c>
      <c r="P17" s="28">
        <f>ROUND(I17,0)</f>
        <v>15</v>
      </c>
      <c r="Q17" s="26">
        <f>J17*5%</f>
        <v>1341.9</v>
      </c>
      <c r="R17" s="24">
        <f>IF(N17-Q17&lt;=0,0,IF(P17&lt;=0,0,N17-Q17))</f>
        <v>25496.1</v>
      </c>
      <c r="S17" s="24">
        <f>(R17/P17)/365*O17</f>
        <v>670.58235616438355</v>
      </c>
      <c r="T17" s="24">
        <f>IF(P17&lt;=0,Q17-N17,IF(N17&lt;=Q17,Q17-N17,0))</f>
        <v>0</v>
      </c>
      <c r="U17" s="24">
        <f>N17+T17</f>
        <v>26838</v>
      </c>
      <c r="V17" s="27">
        <f>+U17-S17</f>
        <v>26167.417643835615</v>
      </c>
      <c r="W17" s="154"/>
      <c r="X17" s="154"/>
      <c r="Y17" s="154"/>
      <c r="Z17" s="154"/>
      <c r="AA17" s="35">
        <f>V17</f>
        <v>26167.417643835615</v>
      </c>
      <c r="AB17" s="155"/>
      <c r="AC17" s="155"/>
      <c r="AD17" s="155"/>
      <c r="AE17" s="12">
        <f>([1]Summary!$G$4-F17)/365</f>
        <v>0.39178082191780822</v>
      </c>
      <c r="AF17" s="12">
        <f>H17-AE17</f>
        <v>14.608219178082193</v>
      </c>
      <c r="AG17" s="155">
        <f>Q17</f>
        <v>1341.9</v>
      </c>
      <c r="AH17" s="160">
        <f>IF(N17-Q17&lt;=0,0,IF(AF17&lt;=0,0,N17-Q17))</f>
        <v>25496.1</v>
      </c>
      <c r="AI17" s="35">
        <f>AH17/AF17</f>
        <v>1745.325675168792</v>
      </c>
      <c r="AJ17" s="35">
        <f>AA17-AI17</f>
        <v>24422.091968666824</v>
      </c>
      <c r="AL17" s="35">
        <f>+AJ17</f>
        <v>24422.091968666824</v>
      </c>
      <c r="AM17" s="155"/>
      <c r="AN17" s="155"/>
      <c r="AO17" s="155"/>
      <c r="AP17" s="12">
        <f>([1]Summary!$AL$4-F17)/365</f>
        <v>1.3945205479452054</v>
      </c>
      <c r="AQ17" s="12">
        <f>H17-AP17</f>
        <v>13.605479452054794</v>
      </c>
      <c r="AR17" s="155">
        <f>+AG17</f>
        <v>1341.9</v>
      </c>
      <c r="AS17" s="160">
        <f>IF(AA17-AG17&lt;=0,0,IF(AQ17&lt;=0,0,AA17-AG17))</f>
        <v>24825.517643835614</v>
      </c>
      <c r="AT17" s="96">
        <f>+AI17</f>
        <v>1745.325675168792</v>
      </c>
      <c r="AU17" s="35">
        <f>+AL17+AM17-AT17</f>
        <v>22676.766293498033</v>
      </c>
      <c r="AW17" s="155">
        <f>+AU17</f>
        <v>22676.766293498033</v>
      </c>
      <c r="AX17" s="155"/>
      <c r="AY17" s="155"/>
      <c r="AZ17" s="155"/>
      <c r="BA17" s="155">
        <f>([1]Summary!$AW$4-F17)/365</f>
        <v>2.3945205479452056</v>
      </c>
      <c r="BB17" s="155">
        <f t="shared" si="7"/>
        <v>12.605479452054794</v>
      </c>
      <c r="BC17" s="155">
        <f>+AR17</f>
        <v>1341.9</v>
      </c>
      <c r="BD17" s="155">
        <f>IF(AL17-AR17&lt;=0,0,IF(BB17&lt;=0,0,AL17-AR17))</f>
        <v>23080.191968666823</v>
      </c>
      <c r="BE17" s="155">
        <f>+AT17</f>
        <v>1745.325675168792</v>
      </c>
      <c r="BF17" s="155">
        <f>+AW17+AX17-BE17</f>
        <v>20931.440618329241</v>
      </c>
      <c r="BG17" s="155"/>
      <c r="BH17" s="35">
        <f t="shared" si="12"/>
        <v>20931.440618329241</v>
      </c>
      <c r="BI17" s="155"/>
      <c r="BJ17" s="155"/>
      <c r="BK17" s="155"/>
      <c r="BL17" s="35">
        <f>([1]Summary!$BH$4-F17)/365</f>
        <v>3.3945205479452056</v>
      </c>
      <c r="BM17" s="155">
        <f t="shared" si="13"/>
        <v>11.605479452054794</v>
      </c>
      <c r="BN17" s="155">
        <f t="shared" si="14"/>
        <v>1341.9</v>
      </c>
      <c r="BO17" s="35">
        <f t="shared" si="15"/>
        <v>19589.54061832924</v>
      </c>
      <c r="BP17" s="35">
        <f>+BE17</f>
        <v>1745.325675168792</v>
      </c>
      <c r="BQ17" s="35">
        <f t="shared" si="17"/>
        <v>19186.11494316045</v>
      </c>
      <c r="BS17" s="132">
        <f>+BQ17-BN17</f>
        <v>17844.214943160448</v>
      </c>
      <c r="BT17" s="35">
        <v>19186.11494316045</v>
      </c>
      <c r="BU17" s="155"/>
      <c r="BV17" s="155"/>
      <c r="BW17" s="155"/>
      <c r="BX17" s="35">
        <f>([1]Summary!$BT$4-F17)/365</f>
        <v>4.3945205479452056</v>
      </c>
      <c r="BY17" s="96">
        <f t="shared" si="19"/>
        <v>10.605479452054794</v>
      </c>
      <c r="BZ17" s="35">
        <f t="shared" si="20"/>
        <v>1341.9</v>
      </c>
      <c r="CA17" s="35">
        <f t="shared" si="21"/>
        <v>17844.214943160448</v>
      </c>
      <c r="CB17" s="35">
        <f t="shared" si="22"/>
        <v>1745.325675168792</v>
      </c>
      <c r="CC17" s="35">
        <f t="shared" si="23"/>
        <v>17440.789267991659</v>
      </c>
      <c r="CE17" s="35">
        <v>17440.789267991659</v>
      </c>
      <c r="CF17" s="155"/>
      <c r="CG17" s="155"/>
      <c r="CH17" s="155"/>
      <c r="CI17" s="35">
        <f>([1]Summary!$CE$4-F17)/365</f>
        <v>5.397260273972603</v>
      </c>
      <c r="CJ17" s="96">
        <f t="shared" si="24"/>
        <v>9.6027397260273979</v>
      </c>
      <c r="CK17" s="35">
        <f t="shared" si="25"/>
        <v>1341.9</v>
      </c>
      <c r="CL17" s="35">
        <f t="shared" si="26"/>
        <v>16098.889267991659</v>
      </c>
      <c r="CM17" s="35">
        <f t="shared" si="27"/>
        <v>1745.325675168792</v>
      </c>
      <c r="CN17" s="35">
        <f t="shared" si="28"/>
        <v>15695.463592822867</v>
      </c>
      <c r="CP17" s="35">
        <f t="shared" si="29"/>
        <v>15695.463592822867</v>
      </c>
      <c r="CQ17" s="155"/>
      <c r="CR17" s="155"/>
      <c r="CS17" s="155"/>
      <c r="CT17" s="35">
        <f>([1]Summary!$CP$4-F17)/365</f>
        <v>6.397260273972603</v>
      </c>
      <c r="CU17" s="96">
        <f t="shared" si="30"/>
        <v>8.6027397260273979</v>
      </c>
      <c r="CV17" s="35">
        <f t="shared" si="31"/>
        <v>1341.9</v>
      </c>
      <c r="CW17" s="35">
        <f t="shared" si="32"/>
        <v>14353.563592822868</v>
      </c>
      <c r="CX17" s="35">
        <f t="shared" si="33"/>
        <v>1745.325675168792</v>
      </c>
      <c r="CY17" s="35">
        <f t="shared" si="34"/>
        <v>13950.137917654076</v>
      </c>
      <c r="DA17" s="35">
        <f t="shared" si="35"/>
        <v>13950.137917654076</v>
      </c>
      <c r="DB17" s="155"/>
      <c r="DC17" s="155"/>
      <c r="DD17" s="155"/>
      <c r="DE17" s="35">
        <f>([1]Summary!$DA$4-F17)/365</f>
        <v>7.397260273972603</v>
      </c>
      <c r="DF17" s="96">
        <f t="shared" si="36"/>
        <v>7.602739726027397</v>
      </c>
      <c r="DG17" s="35">
        <f t="shared" si="37"/>
        <v>1341.9</v>
      </c>
      <c r="DH17" s="35">
        <f t="shared" si="38"/>
        <v>12608.237917654076</v>
      </c>
      <c r="DI17" s="35">
        <f t="shared" si="39"/>
        <v>1745.325675168792</v>
      </c>
      <c r="DJ17" s="35">
        <f t="shared" si="40"/>
        <v>12204.812242485285</v>
      </c>
      <c r="DL17" s="157">
        <f t="shared" si="41"/>
        <v>26838</v>
      </c>
      <c r="DM17" s="157">
        <f t="shared" si="42"/>
        <v>14633.187757514717</v>
      </c>
      <c r="DN17" s="157">
        <f t="shared" si="43"/>
        <v>12204.812242485283</v>
      </c>
    </row>
    <row r="18" spans="1:118" s="4" customFormat="1" ht="63.75" x14ac:dyDescent="0.25">
      <c r="A18" s="92" t="s">
        <v>7</v>
      </c>
      <c r="B18" s="94" t="s">
        <v>332</v>
      </c>
      <c r="C18" s="94" t="s">
        <v>474</v>
      </c>
      <c r="D18" s="178" t="s">
        <v>577</v>
      </c>
      <c r="E18" s="179" t="s">
        <v>578</v>
      </c>
      <c r="F18" s="180">
        <v>44263</v>
      </c>
      <c r="G18" s="181"/>
      <c r="H18" s="181">
        <v>15</v>
      </c>
      <c r="I18" s="181">
        <f t="shared" si="44"/>
        <v>15</v>
      </c>
      <c r="J18" s="182"/>
      <c r="K18" s="182"/>
      <c r="L18" s="88"/>
      <c r="M18" s="182"/>
      <c r="N18" s="184"/>
      <c r="O18" s="185"/>
      <c r="P18" s="186"/>
      <c r="Q18" s="187"/>
      <c r="R18" s="184"/>
      <c r="S18" s="184"/>
      <c r="T18" s="184"/>
      <c r="U18" s="188"/>
      <c r="V18" s="189"/>
      <c r="W18" s="190"/>
      <c r="X18" s="190"/>
      <c r="Y18" s="190"/>
      <c r="Z18" s="190"/>
      <c r="AA18" s="185"/>
      <c r="AB18" s="185"/>
      <c r="AC18" s="185"/>
      <c r="AD18" s="191"/>
      <c r="AE18" s="192"/>
      <c r="AF18" s="192"/>
      <c r="AG18" s="193"/>
      <c r="AH18" s="194"/>
      <c r="AI18" s="195"/>
      <c r="AJ18" s="194"/>
      <c r="AK18" s="196"/>
      <c r="AL18" s="185"/>
      <c r="AM18" s="185"/>
      <c r="AN18" s="185"/>
      <c r="AO18" s="191"/>
      <c r="AP18" s="192"/>
      <c r="AQ18" s="192"/>
      <c r="AR18" s="193"/>
      <c r="AS18" s="194"/>
      <c r="AT18" s="35"/>
      <c r="AU18" s="35"/>
      <c r="AW18" s="35"/>
      <c r="AX18" s="35"/>
      <c r="AY18" s="35"/>
      <c r="AZ18" s="35"/>
      <c r="BA18" s="155"/>
      <c r="BB18" s="155"/>
      <c r="BC18" s="104"/>
      <c r="BD18" s="35"/>
      <c r="BE18" s="35"/>
      <c r="BF18" s="35"/>
      <c r="BG18" s="35"/>
      <c r="BH18" s="35"/>
      <c r="BI18" s="35"/>
      <c r="BJ18" s="35"/>
      <c r="BK18" s="35"/>
      <c r="BL18" s="35"/>
      <c r="BM18" s="155"/>
      <c r="BN18" s="104"/>
      <c r="BO18" s="35"/>
      <c r="BP18" s="96"/>
      <c r="BQ18" s="35"/>
      <c r="BS18" s="132"/>
      <c r="BT18" s="35"/>
      <c r="BU18" s="35"/>
      <c r="BV18" s="35"/>
      <c r="BW18" s="35"/>
      <c r="BX18" s="35"/>
      <c r="BY18" s="35"/>
      <c r="BZ18" s="35"/>
      <c r="CA18" s="35"/>
      <c r="CB18" s="35"/>
      <c r="CC18" s="35"/>
      <c r="CE18" s="35"/>
      <c r="CF18" s="35">
        <v>43668.75</v>
      </c>
      <c r="CG18" s="35"/>
      <c r="CH18" s="35">
        <f>[1]Summary!$CG$1-F18</f>
        <v>23</v>
      </c>
      <c r="CI18" s="35"/>
      <c r="CJ18" s="35">
        <f t="shared" si="24"/>
        <v>15</v>
      </c>
      <c r="CK18" s="35">
        <f>+CF18*5%</f>
        <v>2183.4375</v>
      </c>
      <c r="CL18" s="35">
        <f>+CF18-CK18</f>
        <v>41485.3125</v>
      </c>
      <c r="CM18" s="35">
        <f>+(CL18/CJ18*CH18)/365</f>
        <v>174.27619863013697</v>
      </c>
      <c r="CN18" s="35">
        <f t="shared" si="28"/>
        <v>43494.473801369866</v>
      </c>
      <c r="CP18" s="35">
        <f t="shared" si="29"/>
        <v>43494.473801369866</v>
      </c>
      <c r="CQ18" s="35"/>
      <c r="CR18" s="35"/>
      <c r="CS18" s="35"/>
      <c r="CT18" s="35">
        <f>([1]Summary!$CP$4-F18)/365</f>
        <v>6.3013698630136991E-2</v>
      </c>
      <c r="CU18" s="96">
        <f t="shared" si="30"/>
        <v>14.936986301369863</v>
      </c>
      <c r="CV18" s="35">
        <f t="shared" si="31"/>
        <v>2183.4375</v>
      </c>
      <c r="CW18" s="35">
        <f t="shared" si="32"/>
        <v>41311.036301369866</v>
      </c>
      <c r="CX18" s="35">
        <f>CW18/CU18</f>
        <v>2765.6875</v>
      </c>
      <c r="CY18" s="35">
        <f t="shared" si="34"/>
        <v>40728.786301369866</v>
      </c>
      <c r="DA18" s="35">
        <f t="shared" si="35"/>
        <v>40728.786301369866</v>
      </c>
      <c r="DB18" s="35"/>
      <c r="DC18" s="35"/>
      <c r="DD18" s="35"/>
      <c r="DE18" s="35">
        <f>([1]Summary!$DA$4-F18)/365</f>
        <v>1.0630136986301371</v>
      </c>
      <c r="DF18" s="96">
        <f t="shared" si="36"/>
        <v>13.936986301369863</v>
      </c>
      <c r="DG18" s="35">
        <f t="shared" si="37"/>
        <v>2183.4375</v>
      </c>
      <c r="DH18" s="35">
        <f t="shared" si="38"/>
        <v>38545.348801369866</v>
      </c>
      <c r="DI18" s="35">
        <f t="shared" si="39"/>
        <v>2765.6875</v>
      </c>
      <c r="DJ18" s="35">
        <f t="shared" si="40"/>
        <v>37963.098801369866</v>
      </c>
      <c r="DL18" s="157">
        <f t="shared" si="41"/>
        <v>43668.75</v>
      </c>
      <c r="DM18" s="157">
        <f t="shared" si="42"/>
        <v>5705.6511986301375</v>
      </c>
      <c r="DN18" s="157">
        <f t="shared" si="43"/>
        <v>37963.098801369866</v>
      </c>
    </row>
    <row r="19" spans="1:118" s="4" customFormat="1" ht="63.75" x14ac:dyDescent="0.25">
      <c r="A19" s="92" t="s">
        <v>7</v>
      </c>
      <c r="B19" s="94" t="s">
        <v>332</v>
      </c>
      <c r="C19" s="94" t="s">
        <v>474</v>
      </c>
      <c r="D19" s="178" t="s">
        <v>579</v>
      </c>
      <c r="E19" s="179" t="s">
        <v>580</v>
      </c>
      <c r="F19" s="180">
        <v>44263</v>
      </c>
      <c r="G19" s="181"/>
      <c r="H19" s="181">
        <v>15</v>
      </c>
      <c r="I19" s="181">
        <f t="shared" si="44"/>
        <v>15</v>
      </c>
      <c r="J19" s="182"/>
      <c r="K19" s="182"/>
      <c r="L19" s="88"/>
      <c r="M19" s="182"/>
      <c r="N19" s="184"/>
      <c r="O19" s="185"/>
      <c r="P19" s="186"/>
      <c r="Q19" s="187"/>
      <c r="R19" s="184"/>
      <c r="S19" s="184"/>
      <c r="T19" s="184"/>
      <c r="U19" s="188"/>
      <c r="V19" s="189"/>
      <c r="W19" s="190"/>
      <c r="X19" s="190"/>
      <c r="Y19" s="190"/>
      <c r="Z19" s="190"/>
      <c r="AA19" s="185"/>
      <c r="AB19" s="185"/>
      <c r="AC19" s="185"/>
      <c r="AD19" s="191"/>
      <c r="AE19" s="192"/>
      <c r="AF19" s="192"/>
      <c r="AG19" s="193"/>
      <c r="AH19" s="194"/>
      <c r="AI19" s="195"/>
      <c r="AJ19" s="194"/>
      <c r="AK19" s="196"/>
      <c r="AL19" s="185"/>
      <c r="AM19" s="185"/>
      <c r="AN19" s="185"/>
      <c r="AO19" s="191"/>
      <c r="AP19" s="192"/>
      <c r="AQ19" s="192"/>
      <c r="AR19" s="193"/>
      <c r="AS19" s="194"/>
      <c r="AT19" s="35"/>
      <c r="AU19" s="35"/>
      <c r="AW19" s="35"/>
      <c r="AX19" s="35"/>
      <c r="AY19" s="35"/>
      <c r="AZ19" s="35"/>
      <c r="BA19" s="155"/>
      <c r="BB19" s="155"/>
      <c r="BC19" s="104"/>
      <c r="BD19" s="35"/>
      <c r="BE19" s="35"/>
      <c r="BF19" s="35"/>
      <c r="BG19" s="35"/>
      <c r="BH19" s="35"/>
      <c r="BI19" s="35"/>
      <c r="BJ19" s="35"/>
      <c r="BK19" s="35"/>
      <c r="BL19" s="35"/>
      <c r="BM19" s="155"/>
      <c r="BN19" s="104"/>
      <c r="BO19" s="35"/>
      <c r="BP19" s="96"/>
      <c r="BQ19" s="35"/>
      <c r="BS19" s="132"/>
      <c r="BT19" s="35"/>
      <c r="BU19" s="35"/>
      <c r="BV19" s="35"/>
      <c r="BW19" s="35"/>
      <c r="BX19" s="35"/>
      <c r="BY19" s="35"/>
      <c r="BZ19" s="35"/>
      <c r="CA19" s="35"/>
      <c r="CB19" s="35"/>
      <c r="CC19" s="35"/>
      <c r="CE19" s="35"/>
      <c r="CF19" s="35">
        <v>86431.5</v>
      </c>
      <c r="CG19" s="35"/>
      <c r="CH19" s="35">
        <f>[1]Summary!$CG$1-F19</f>
        <v>23</v>
      </c>
      <c r="CI19" s="35"/>
      <c r="CJ19" s="35">
        <f t="shared" si="24"/>
        <v>15</v>
      </c>
      <c r="CK19" s="35">
        <f>+CF19*5%</f>
        <v>4321.5749999999998</v>
      </c>
      <c r="CL19" s="35">
        <f>+CF19-CK19</f>
        <v>82109.925000000003</v>
      </c>
      <c r="CM19" s="35">
        <f>+(CL19/CJ19*CH19)/365</f>
        <v>344.93667123287668</v>
      </c>
      <c r="CN19" s="35">
        <f t="shared" si="28"/>
        <v>86086.563328767123</v>
      </c>
      <c r="CP19" s="35">
        <f t="shared" si="29"/>
        <v>86086.563328767123</v>
      </c>
      <c r="CQ19" s="35"/>
      <c r="CR19" s="35"/>
      <c r="CS19" s="35"/>
      <c r="CT19" s="35">
        <f>([1]Summary!$CP$4-F19)/365</f>
        <v>6.3013698630136991E-2</v>
      </c>
      <c r="CU19" s="96">
        <f t="shared" si="30"/>
        <v>14.936986301369863</v>
      </c>
      <c r="CV19" s="35">
        <f t="shared" si="31"/>
        <v>4321.5749999999998</v>
      </c>
      <c r="CW19" s="35">
        <f t="shared" si="32"/>
        <v>81764.988328767125</v>
      </c>
      <c r="CX19" s="35">
        <f>CW19/CU19</f>
        <v>5473.9949999999999</v>
      </c>
      <c r="CY19" s="35">
        <f t="shared" si="34"/>
        <v>80612.568328767127</v>
      </c>
      <c r="DA19" s="35">
        <f t="shared" si="35"/>
        <v>80612.568328767127</v>
      </c>
      <c r="DB19" s="35"/>
      <c r="DC19" s="35"/>
      <c r="DD19" s="35"/>
      <c r="DE19" s="35">
        <f>([1]Summary!$DA$4-F19)/365</f>
        <v>1.0630136986301371</v>
      </c>
      <c r="DF19" s="96">
        <f t="shared" si="36"/>
        <v>13.936986301369863</v>
      </c>
      <c r="DG19" s="35">
        <f t="shared" si="37"/>
        <v>4321.5749999999998</v>
      </c>
      <c r="DH19" s="35">
        <f t="shared" si="38"/>
        <v>76290.99332876713</v>
      </c>
      <c r="DI19" s="35">
        <f t="shared" si="39"/>
        <v>5473.9949999999999</v>
      </c>
      <c r="DJ19" s="35">
        <f t="shared" si="40"/>
        <v>75138.573328767132</v>
      </c>
      <c r="DL19" s="157">
        <f t="shared" si="41"/>
        <v>86431.5</v>
      </c>
      <c r="DM19" s="157">
        <f t="shared" si="42"/>
        <v>11292.926671232875</v>
      </c>
      <c r="DN19" s="157">
        <f t="shared" si="43"/>
        <v>75138.573328767117</v>
      </c>
    </row>
    <row r="20" spans="1:118" s="156" customFormat="1" ht="63.75" x14ac:dyDescent="0.25">
      <c r="A20" s="11" t="s">
        <v>7</v>
      </c>
      <c r="B20" s="86" t="s">
        <v>4</v>
      </c>
      <c r="C20" s="15" t="s">
        <v>474</v>
      </c>
      <c r="D20" s="150" t="s">
        <v>581</v>
      </c>
      <c r="E20" s="39" t="s">
        <v>582</v>
      </c>
      <c r="F20" s="177">
        <v>39599</v>
      </c>
      <c r="G20" s="151">
        <f>([1]Summary!$G$3-F20)/365</f>
        <v>5.8356164383561646</v>
      </c>
      <c r="H20" s="151">
        <f>VLOOKUP(C20,[2]Rates!$C$6:$D$136,2,0)</f>
        <v>15</v>
      </c>
      <c r="I20" s="152">
        <f t="shared" si="44"/>
        <v>9.1643835616438345</v>
      </c>
      <c r="J20" s="88">
        <v>57215</v>
      </c>
      <c r="K20" s="88"/>
      <c r="L20" s="153">
        <f>+J20-K20</f>
        <v>57215</v>
      </c>
      <c r="M20" s="88">
        <v>25472.411999999997</v>
      </c>
      <c r="N20" s="24">
        <f>J20-M20</f>
        <v>31742.588000000003</v>
      </c>
      <c r="O20" s="24"/>
      <c r="P20" s="28">
        <f>ROUND(I20,0)</f>
        <v>9</v>
      </c>
      <c r="Q20" s="26">
        <f>J20*5%</f>
        <v>2860.75</v>
      </c>
      <c r="R20" s="24">
        <f>IF(N20-Q20&lt;=0,0,IF(P20&lt;=0,0,N20-Q20))</f>
        <v>28881.838000000003</v>
      </c>
      <c r="S20" s="24">
        <f>R20/P20</f>
        <v>3209.0931111111113</v>
      </c>
      <c r="T20" s="24">
        <f>IF(P20&lt;=0,Q20-N20,IF(N20&lt;=Q20,Q20-N20,0))</f>
        <v>0</v>
      </c>
      <c r="U20" s="24">
        <f>N20+T20</f>
        <v>31742.588000000003</v>
      </c>
      <c r="V20" s="27">
        <f>+U20-S20</f>
        <v>28533.49488888889</v>
      </c>
      <c r="W20" s="154"/>
      <c r="X20" s="154"/>
      <c r="Y20" s="154"/>
      <c r="Z20" s="154"/>
      <c r="AA20" s="35">
        <f>V20</f>
        <v>28533.49488888889</v>
      </c>
      <c r="AB20" s="155"/>
      <c r="AC20" s="155"/>
      <c r="AD20" s="155"/>
      <c r="AE20" s="12">
        <f>([1]Summary!$G$4-F20)/365</f>
        <v>6.8356164383561646</v>
      </c>
      <c r="AF20" s="12">
        <f>H20-AE20</f>
        <v>8.1643835616438345</v>
      </c>
      <c r="AG20" s="155">
        <f>Q20</f>
        <v>2860.75</v>
      </c>
      <c r="AH20" s="160">
        <f>IF(N20-Q20&lt;=0,0,IF(AF20&lt;=0,0,N20-Q20))</f>
        <v>28881.838000000003</v>
      </c>
      <c r="AI20" s="160">
        <f>S20</f>
        <v>3209.0931111111113</v>
      </c>
      <c r="AJ20" s="35">
        <f>AA20-AI20</f>
        <v>25324.401777777777</v>
      </c>
      <c r="AL20" s="35">
        <f>+AJ20</f>
        <v>25324.401777777777</v>
      </c>
      <c r="AM20" s="155"/>
      <c r="AN20" s="155"/>
      <c r="AO20" s="155"/>
      <c r="AP20" s="12">
        <f>([1]Summary!$AL$4-F20)/365</f>
        <v>7.838356164383562</v>
      </c>
      <c r="AQ20" s="12">
        <f>H20-AP20</f>
        <v>7.161643835616438</v>
      </c>
      <c r="AR20" s="155">
        <f>+AG20</f>
        <v>2860.75</v>
      </c>
      <c r="AS20" s="160">
        <f>IF(AA20-AG20&lt;=0,0,IF(AQ20&lt;=0,0,AA20-AG20))</f>
        <v>25672.74488888889</v>
      </c>
      <c r="AT20" s="96">
        <f>+AI20</f>
        <v>3209.0931111111113</v>
      </c>
      <c r="AU20" s="35">
        <f>+AL20+AM20-AT20</f>
        <v>22115.308666666664</v>
      </c>
      <c r="AW20" s="155">
        <f>+AU20</f>
        <v>22115.308666666664</v>
      </c>
      <c r="AX20" s="155"/>
      <c r="AY20" s="155"/>
      <c r="AZ20" s="155"/>
      <c r="BA20" s="155">
        <f>([1]Summary!$AW$4-F20)/365</f>
        <v>8.838356164383562</v>
      </c>
      <c r="BB20" s="155">
        <f>H20-BA20</f>
        <v>6.161643835616438</v>
      </c>
      <c r="BC20" s="155">
        <f>+AR20</f>
        <v>2860.75</v>
      </c>
      <c r="BD20" s="155">
        <f>IF(AL20-AR20&lt;=0,0,IF(BB20&lt;=0,0,AL20-AR20))</f>
        <v>22463.651777777777</v>
      </c>
      <c r="BE20" s="155">
        <f>+AT20</f>
        <v>3209.0931111111113</v>
      </c>
      <c r="BF20" s="155">
        <f>+AW20+AX20-BE20</f>
        <v>18906.215555555551</v>
      </c>
      <c r="BG20" s="155"/>
      <c r="BH20" s="35">
        <f>+BF20</f>
        <v>18906.215555555551</v>
      </c>
      <c r="BI20" s="155"/>
      <c r="BJ20" s="155"/>
      <c r="BK20" s="155"/>
      <c r="BL20" s="35">
        <f>([1]Summary!$BH$4-F20)/365</f>
        <v>9.838356164383562</v>
      </c>
      <c r="BM20" s="155">
        <f>H20-BL20</f>
        <v>5.161643835616438</v>
      </c>
      <c r="BN20" s="155">
        <f>+BC20</f>
        <v>2860.75</v>
      </c>
      <c r="BO20" s="35">
        <f>IF(BH20-BN20&lt;=0,0,IF(BM20&lt;=0,0,BH20-BN20))</f>
        <v>16045.465555555551</v>
      </c>
      <c r="BP20" s="35">
        <f>+BE20</f>
        <v>3209.0931111111113</v>
      </c>
      <c r="BQ20" s="35">
        <f>+BH20+BI20-BP20</f>
        <v>15697.12244444444</v>
      </c>
      <c r="BS20" s="132">
        <f>+BQ20-BN20</f>
        <v>12836.37244444444</v>
      </c>
      <c r="BT20" s="35">
        <v>15697.12244444444</v>
      </c>
      <c r="BU20" s="155"/>
      <c r="BV20" s="155"/>
      <c r="BW20" s="155"/>
      <c r="BX20" s="35">
        <f>([1]Summary!$BT$4-F20)/365</f>
        <v>10.838356164383562</v>
      </c>
      <c r="BY20" s="96">
        <f>H20-BX20</f>
        <v>4.161643835616438</v>
      </c>
      <c r="BZ20" s="35">
        <f>+BN20</f>
        <v>2860.75</v>
      </c>
      <c r="CA20" s="35">
        <f>IF(BT20-BZ20&lt;=0,0,IF(BY20&lt;=0,0,BT20-BZ20))</f>
        <v>12836.37244444444</v>
      </c>
      <c r="CB20" s="35">
        <f>BP20</f>
        <v>3209.0931111111113</v>
      </c>
      <c r="CC20" s="35">
        <f>+BT20+BU20-CB20</f>
        <v>12488.029333333328</v>
      </c>
      <c r="CE20" s="35">
        <v>12488.029333333328</v>
      </c>
      <c r="CF20" s="155"/>
      <c r="CG20" s="155"/>
      <c r="CH20" s="155"/>
      <c r="CI20" s="35">
        <f>([1]Summary!$CE$4-F20)/365</f>
        <v>11.841095890410958</v>
      </c>
      <c r="CJ20" s="96">
        <f t="shared" si="24"/>
        <v>3.1589041095890416</v>
      </c>
      <c r="CK20" s="35">
        <f>+BZ20</f>
        <v>2860.75</v>
      </c>
      <c r="CL20" s="35">
        <f>IF(CE20-CK20&lt;=0,0,IF(CJ20&lt;=0,0,CE20-CK20))</f>
        <v>9627.2793333333284</v>
      </c>
      <c r="CM20" s="35">
        <f>CB20</f>
        <v>3209.0931111111113</v>
      </c>
      <c r="CN20" s="35">
        <f t="shared" si="28"/>
        <v>9278.9362222222171</v>
      </c>
      <c r="CP20" s="35">
        <f t="shared" si="29"/>
        <v>9278.9362222222171</v>
      </c>
      <c r="CQ20" s="155"/>
      <c r="CR20" s="155"/>
      <c r="CS20" s="155"/>
      <c r="CT20" s="35">
        <f>([1]Summary!$CP$4-F20)/365</f>
        <v>12.841095890410958</v>
      </c>
      <c r="CU20" s="96">
        <f t="shared" si="30"/>
        <v>2.1589041095890416</v>
      </c>
      <c r="CV20" s="35">
        <f t="shared" si="31"/>
        <v>2860.75</v>
      </c>
      <c r="CW20" s="35">
        <f t="shared" si="32"/>
        <v>6418.1862222222171</v>
      </c>
      <c r="CX20" s="35">
        <f>CM20</f>
        <v>3209.0931111111113</v>
      </c>
      <c r="CY20" s="35">
        <f t="shared" si="34"/>
        <v>6069.8431111111058</v>
      </c>
      <c r="DA20" s="35">
        <f t="shared" si="35"/>
        <v>6069.8431111111058</v>
      </c>
      <c r="DB20" s="155"/>
      <c r="DC20" s="155"/>
      <c r="DD20" s="155"/>
      <c r="DE20" s="35">
        <f>([1]Summary!$DA$4-F20)/365</f>
        <v>13.841095890410958</v>
      </c>
      <c r="DF20" s="96">
        <f t="shared" si="36"/>
        <v>1.1589041095890416</v>
      </c>
      <c r="DG20" s="35">
        <f t="shared" si="37"/>
        <v>2860.75</v>
      </c>
      <c r="DH20" s="35">
        <f t="shared" si="38"/>
        <v>3209.0931111111058</v>
      </c>
      <c r="DI20" s="35">
        <f t="shared" si="39"/>
        <v>3209.0931111111113</v>
      </c>
      <c r="DJ20" s="35">
        <f t="shared" si="40"/>
        <v>2860.7499999999945</v>
      </c>
      <c r="DL20" s="157">
        <f t="shared" si="41"/>
        <v>57215</v>
      </c>
      <c r="DM20" s="157">
        <f t="shared" si="42"/>
        <v>54354.250000000015</v>
      </c>
      <c r="DN20" s="157">
        <f t="shared" si="43"/>
        <v>2860.7499999999854</v>
      </c>
    </row>
    <row r="21" spans="1:118" s="156" customFormat="1" ht="63.75" x14ac:dyDescent="0.25">
      <c r="A21" s="11" t="s">
        <v>7</v>
      </c>
      <c r="B21" s="86" t="s">
        <v>4</v>
      </c>
      <c r="C21" s="15" t="s">
        <v>474</v>
      </c>
      <c r="D21" s="150" t="s">
        <v>583</v>
      </c>
      <c r="E21" s="39" t="s">
        <v>582</v>
      </c>
      <c r="F21" s="177">
        <v>39599</v>
      </c>
      <c r="G21" s="151">
        <f>([1]Summary!$G$3-F21)/365</f>
        <v>5.8356164383561646</v>
      </c>
      <c r="H21" s="151">
        <f>VLOOKUP(C21,[2]Rates!$C$6:$D$136,2,0)</f>
        <v>15</v>
      </c>
      <c r="I21" s="152">
        <f t="shared" si="44"/>
        <v>9.1643835616438345</v>
      </c>
      <c r="J21" s="88">
        <v>57215</v>
      </c>
      <c r="K21" s="88"/>
      <c r="L21" s="153">
        <f>+J21-K21</f>
        <v>57215</v>
      </c>
      <c r="M21" s="88">
        <v>24773.411999999997</v>
      </c>
      <c r="N21" s="24">
        <f>J21-M21</f>
        <v>32441.588000000003</v>
      </c>
      <c r="O21" s="24"/>
      <c r="P21" s="28">
        <f>ROUND(I21,0)</f>
        <v>9</v>
      </c>
      <c r="Q21" s="26">
        <f>J21*5%</f>
        <v>2860.75</v>
      </c>
      <c r="R21" s="24">
        <f>IF(N21-Q21&lt;=0,0,IF(P21&lt;=0,0,N21-Q21))</f>
        <v>29580.838000000003</v>
      </c>
      <c r="S21" s="24">
        <f>R21/P21</f>
        <v>3286.7597777777783</v>
      </c>
      <c r="T21" s="24">
        <f>IF(P21&lt;=0,Q21-N21,IF(N21&lt;=Q21,Q21-N21,0))</f>
        <v>0</v>
      </c>
      <c r="U21" s="24">
        <f>N21+T21</f>
        <v>32441.588000000003</v>
      </c>
      <c r="V21" s="27">
        <f>+U21-S21</f>
        <v>29154.828222222226</v>
      </c>
      <c r="W21" s="154"/>
      <c r="X21" s="154"/>
      <c r="Y21" s="154"/>
      <c r="Z21" s="154"/>
      <c r="AA21" s="35">
        <f>V21</f>
        <v>29154.828222222226</v>
      </c>
      <c r="AB21" s="155"/>
      <c r="AC21" s="155"/>
      <c r="AD21" s="155"/>
      <c r="AE21" s="12">
        <f>([1]Summary!$G$4-F21)/365</f>
        <v>6.8356164383561646</v>
      </c>
      <c r="AF21" s="12">
        <f>H21-AE21</f>
        <v>8.1643835616438345</v>
      </c>
      <c r="AG21" s="155">
        <f>Q21</f>
        <v>2860.75</v>
      </c>
      <c r="AH21" s="160">
        <f>IF(N21-Q21&lt;=0,0,IF(AF21&lt;=0,0,N21-Q21))</f>
        <v>29580.838000000003</v>
      </c>
      <c r="AI21" s="160">
        <f>S21</f>
        <v>3286.7597777777783</v>
      </c>
      <c r="AJ21" s="35">
        <f>AA21-AI21</f>
        <v>25868.068444444449</v>
      </c>
      <c r="AL21" s="35">
        <f>+AJ21</f>
        <v>25868.068444444449</v>
      </c>
      <c r="AM21" s="155"/>
      <c r="AN21" s="155"/>
      <c r="AO21" s="155"/>
      <c r="AP21" s="12">
        <f>([1]Summary!$AL$4-F21)/365</f>
        <v>7.838356164383562</v>
      </c>
      <c r="AQ21" s="12">
        <f>H21-AP21</f>
        <v>7.161643835616438</v>
      </c>
      <c r="AR21" s="155">
        <f>+AG21</f>
        <v>2860.75</v>
      </c>
      <c r="AS21" s="160">
        <f>IF(AA21-AG21&lt;=0,0,IF(AQ21&lt;=0,0,AA21-AG21))</f>
        <v>26294.078222222226</v>
      </c>
      <c r="AT21" s="96">
        <f>+AI21</f>
        <v>3286.7597777777783</v>
      </c>
      <c r="AU21" s="35">
        <f>+AL21+AM21-AT21</f>
        <v>22581.308666666671</v>
      </c>
      <c r="AW21" s="155">
        <f>+AU21</f>
        <v>22581.308666666671</v>
      </c>
      <c r="AX21" s="155"/>
      <c r="AY21" s="155"/>
      <c r="AZ21" s="155"/>
      <c r="BA21" s="155">
        <f>([1]Summary!$AW$4-F21)/365</f>
        <v>8.838356164383562</v>
      </c>
      <c r="BB21" s="155">
        <f>H21-BA21</f>
        <v>6.161643835616438</v>
      </c>
      <c r="BC21" s="155">
        <f>+AR21</f>
        <v>2860.75</v>
      </c>
      <c r="BD21" s="155">
        <f>IF(AL21-AR21&lt;=0,0,IF(BB21&lt;=0,0,AL21-AR21))</f>
        <v>23007.318444444449</v>
      </c>
      <c r="BE21" s="155">
        <f>+AT21</f>
        <v>3286.7597777777783</v>
      </c>
      <c r="BF21" s="155">
        <f>+AW21+AX21-BE21</f>
        <v>19294.548888888894</v>
      </c>
      <c r="BG21" s="155"/>
      <c r="BH21" s="35">
        <f>+BF21</f>
        <v>19294.548888888894</v>
      </c>
      <c r="BI21" s="155"/>
      <c r="BJ21" s="155"/>
      <c r="BK21" s="155"/>
      <c r="BL21" s="35">
        <f>([1]Summary!$BH$4-F21)/365</f>
        <v>9.838356164383562</v>
      </c>
      <c r="BM21" s="155">
        <f>H21-BL21</f>
        <v>5.161643835616438</v>
      </c>
      <c r="BN21" s="155">
        <f>+BC21</f>
        <v>2860.75</v>
      </c>
      <c r="BO21" s="35">
        <f>IF(BH21-BN21&lt;=0,0,IF(BM21&lt;=0,0,BH21-BN21))</f>
        <v>16433.798888888894</v>
      </c>
      <c r="BP21" s="35">
        <f>+BE21</f>
        <v>3286.7597777777783</v>
      </c>
      <c r="BQ21" s="35">
        <f>+BH21+BI21-BP21</f>
        <v>16007.789111111117</v>
      </c>
      <c r="BS21" s="132">
        <f>+BQ21-BN21</f>
        <v>13147.039111111117</v>
      </c>
      <c r="BT21" s="35">
        <v>16007.789111111117</v>
      </c>
      <c r="BU21" s="155"/>
      <c r="BV21" s="155"/>
      <c r="BW21" s="155"/>
      <c r="BX21" s="35">
        <f>([1]Summary!$BT$4-F21)/365</f>
        <v>10.838356164383562</v>
      </c>
      <c r="BY21" s="96">
        <f>H21-BX21</f>
        <v>4.161643835616438</v>
      </c>
      <c r="BZ21" s="35">
        <f>+BN21</f>
        <v>2860.75</v>
      </c>
      <c r="CA21" s="35">
        <f>IF(BT21-BZ21&lt;=0,0,IF(BY21&lt;=0,0,BT21-BZ21))</f>
        <v>13147.039111111117</v>
      </c>
      <c r="CB21" s="35">
        <f>BP21</f>
        <v>3286.7597777777783</v>
      </c>
      <c r="CC21" s="35">
        <f>+BT21+BU21-CB21</f>
        <v>12721.029333333339</v>
      </c>
      <c r="CE21" s="35">
        <v>12721.029333333339</v>
      </c>
      <c r="CF21" s="155"/>
      <c r="CG21" s="155"/>
      <c r="CH21" s="155"/>
      <c r="CI21" s="35">
        <f>([1]Summary!$CE$4-F21)/365</f>
        <v>11.841095890410958</v>
      </c>
      <c r="CJ21" s="96">
        <f t="shared" si="24"/>
        <v>3.1589041095890416</v>
      </c>
      <c r="CK21" s="35">
        <f>+BZ21</f>
        <v>2860.75</v>
      </c>
      <c r="CL21" s="35">
        <f>IF(CE21-CK21&lt;=0,0,IF(CJ21&lt;=0,0,CE21-CK21))</f>
        <v>9860.2793333333393</v>
      </c>
      <c r="CM21" s="35">
        <f>CB21</f>
        <v>3286.7597777777783</v>
      </c>
      <c r="CN21" s="35">
        <f t="shared" si="28"/>
        <v>9434.269555555562</v>
      </c>
      <c r="CP21" s="35">
        <f t="shared" si="29"/>
        <v>9434.269555555562</v>
      </c>
      <c r="CQ21" s="155"/>
      <c r="CR21" s="155"/>
      <c r="CS21" s="155"/>
      <c r="CT21" s="35">
        <f>([1]Summary!$CP$4-F21)/365</f>
        <v>12.841095890410958</v>
      </c>
      <c r="CU21" s="96">
        <f t="shared" si="30"/>
        <v>2.1589041095890416</v>
      </c>
      <c r="CV21" s="35">
        <f t="shared" si="31"/>
        <v>2860.75</v>
      </c>
      <c r="CW21" s="35">
        <f t="shared" si="32"/>
        <v>6573.519555555562</v>
      </c>
      <c r="CX21" s="35">
        <f>CM21</f>
        <v>3286.7597777777783</v>
      </c>
      <c r="CY21" s="35">
        <f t="shared" si="34"/>
        <v>6147.5097777777837</v>
      </c>
      <c r="DA21" s="35">
        <f t="shared" si="35"/>
        <v>6147.5097777777837</v>
      </c>
      <c r="DB21" s="155"/>
      <c r="DC21" s="155"/>
      <c r="DD21" s="155"/>
      <c r="DE21" s="35">
        <f>([1]Summary!$DA$4-F21)/365</f>
        <v>13.841095890410958</v>
      </c>
      <c r="DF21" s="96">
        <f t="shared" si="36"/>
        <v>1.1589041095890416</v>
      </c>
      <c r="DG21" s="35">
        <f t="shared" si="37"/>
        <v>2860.75</v>
      </c>
      <c r="DH21" s="35">
        <f t="shared" si="38"/>
        <v>3286.7597777777837</v>
      </c>
      <c r="DI21" s="35">
        <f t="shared" si="39"/>
        <v>3286.7597777777783</v>
      </c>
      <c r="DJ21" s="35">
        <f t="shared" si="40"/>
        <v>2860.7500000000055</v>
      </c>
      <c r="DL21" s="157">
        <f t="shared" si="41"/>
        <v>57215</v>
      </c>
      <c r="DM21" s="157">
        <f t="shared" si="42"/>
        <v>54354.249999999993</v>
      </c>
      <c r="DN21" s="157">
        <f t="shared" si="43"/>
        <v>2860.7500000000073</v>
      </c>
    </row>
    <row r="22" spans="1:118" s="156" customFormat="1" ht="63.75" x14ac:dyDescent="0.25">
      <c r="A22" s="92" t="s">
        <v>7</v>
      </c>
      <c r="B22" s="94" t="s">
        <v>4</v>
      </c>
      <c r="C22" s="46" t="s">
        <v>474</v>
      </c>
      <c r="D22" s="212" t="s">
        <v>584</v>
      </c>
      <c r="E22" s="224" t="s">
        <v>585</v>
      </c>
      <c r="F22" s="225">
        <v>41370</v>
      </c>
      <c r="G22" s="215">
        <f>([1]Summary!$G$3-F22)/365</f>
        <v>0.98356164383561639</v>
      </c>
      <c r="H22" s="215">
        <f>VLOOKUP(C22,[2]Rates!$C$6:$D$136,2,0)</f>
        <v>15</v>
      </c>
      <c r="I22" s="216">
        <f t="shared" si="44"/>
        <v>14.016438356164384</v>
      </c>
      <c r="J22" s="226">
        <v>12146</v>
      </c>
      <c r="K22" s="226"/>
      <c r="L22" s="218">
        <f>+J22-K22</f>
        <v>12146</v>
      </c>
      <c r="M22" s="217">
        <v>890</v>
      </c>
      <c r="N22" s="56">
        <f>J22-M22</f>
        <v>11256</v>
      </c>
      <c r="O22" s="56"/>
      <c r="P22" s="82">
        <f>ROUND(I22,0)</f>
        <v>14</v>
      </c>
      <c r="Q22" s="58">
        <f>J22*5%</f>
        <v>607.30000000000007</v>
      </c>
      <c r="R22" s="56">
        <f>IF(N22-Q22&lt;=0,0,IF(P22&lt;=0,0,N22-Q22))</f>
        <v>10648.7</v>
      </c>
      <c r="S22" s="56">
        <f>R22/P22</f>
        <v>760.62142857142862</v>
      </c>
      <c r="T22" s="56">
        <f>IF(P22&lt;=0,Q22-N22,IF(N22&lt;=Q22,Q22-N22,0))</f>
        <v>0</v>
      </c>
      <c r="U22" s="56">
        <f>N22+T22</f>
        <v>11256</v>
      </c>
      <c r="V22" s="59">
        <f>+U22-S22</f>
        <v>10495.378571428571</v>
      </c>
      <c r="W22" s="219"/>
      <c r="X22" s="219"/>
      <c r="Y22" s="219"/>
      <c r="Z22" s="219"/>
      <c r="AA22" s="81">
        <f>V22</f>
        <v>10495.378571428571</v>
      </c>
      <c r="AB22" s="209"/>
      <c r="AC22" s="209"/>
      <c r="AD22" s="209"/>
      <c r="AE22" s="220">
        <f>([1]Summary!$G$4-F22)/365</f>
        <v>1.9835616438356165</v>
      </c>
      <c r="AF22" s="220">
        <f>H22-AE22</f>
        <v>13.016438356164384</v>
      </c>
      <c r="AG22" s="209">
        <f>Q22</f>
        <v>607.30000000000007</v>
      </c>
      <c r="AH22" s="227">
        <f>IF(N22-Q22&lt;=0,0,IF(AF22&lt;=0,0,N22-Q22))</f>
        <v>10648.7</v>
      </c>
      <c r="AI22" s="227">
        <f>S22</f>
        <v>760.62142857142862</v>
      </c>
      <c r="AJ22" s="81">
        <f>AA22-AI22</f>
        <v>9734.7571428571428</v>
      </c>
      <c r="AL22" s="81">
        <f>+AJ22</f>
        <v>9734.7571428571428</v>
      </c>
      <c r="AM22" s="209"/>
      <c r="AN22" s="209"/>
      <c r="AO22" s="209"/>
      <c r="AP22" s="220">
        <f>([1]Summary!$AL$4-F22)/365</f>
        <v>2.9863013698630136</v>
      </c>
      <c r="AQ22" s="220">
        <f>H22-AP22</f>
        <v>12.013698630136986</v>
      </c>
      <c r="AR22" s="209">
        <f>+AG22</f>
        <v>607.30000000000007</v>
      </c>
      <c r="AS22" s="227">
        <f>IF(AA22-AG22&lt;=0,0,IF(AQ22&lt;=0,0,AA22-AG22))</f>
        <v>9888.0785714285721</v>
      </c>
      <c r="AT22" s="125">
        <f>+AI22</f>
        <v>760.62142857142862</v>
      </c>
      <c r="AU22" s="81">
        <f>+AL22+AM22-AT22</f>
        <v>8974.1357142857141</v>
      </c>
      <c r="AW22" s="209">
        <f>+AU22</f>
        <v>8974.1357142857141</v>
      </c>
      <c r="AX22" s="209"/>
      <c r="AY22" s="209"/>
      <c r="AZ22" s="209"/>
      <c r="BA22" s="209">
        <f>([1]Summary!$AW$4-F22)/365</f>
        <v>3.9863013698630136</v>
      </c>
      <c r="BB22" s="209">
        <f>H22-BA22</f>
        <v>11.013698630136986</v>
      </c>
      <c r="BC22" s="209">
        <f>+AR22</f>
        <v>607.30000000000007</v>
      </c>
      <c r="BD22" s="209">
        <f>IF(AL22-AR22&lt;=0,0,IF(BB22&lt;=0,0,AL22-AR22))</f>
        <v>9127.4571428571435</v>
      </c>
      <c r="BE22" s="209">
        <f>+AT22</f>
        <v>760.62142857142862</v>
      </c>
      <c r="BF22" s="209">
        <f>+AW22+AX22-BE22</f>
        <v>8213.5142857142855</v>
      </c>
      <c r="BG22" s="209"/>
      <c r="BH22" s="81">
        <f>+BF22</f>
        <v>8213.5142857142855</v>
      </c>
      <c r="BI22" s="209"/>
      <c r="BJ22" s="209"/>
      <c r="BK22" s="209"/>
      <c r="BL22" s="81">
        <f>([1]Summary!$BH$4-F22)/365</f>
        <v>4.9863013698630141</v>
      </c>
      <c r="BM22" s="209">
        <f>H22-BL22</f>
        <v>10.013698630136986</v>
      </c>
      <c r="BN22" s="209">
        <f>+BC22</f>
        <v>607.30000000000007</v>
      </c>
      <c r="BO22" s="81">
        <f>IF(BH22-BN22&lt;=0,0,IF(BM22&lt;=0,0,BH22-BN22))</f>
        <v>7606.2142857142853</v>
      </c>
      <c r="BP22" s="81">
        <f>+BE22</f>
        <v>760.62142857142862</v>
      </c>
      <c r="BQ22" s="81">
        <f>+BH22+BI22-BP22</f>
        <v>7452.8928571428569</v>
      </c>
      <c r="BS22" s="132">
        <f>+BQ22-BN22</f>
        <v>6845.5928571428567</v>
      </c>
      <c r="BT22" s="81">
        <v>7452.8928571428569</v>
      </c>
      <c r="BU22" s="209"/>
      <c r="BV22" s="209"/>
      <c r="BW22" s="209"/>
      <c r="BX22" s="81">
        <f>([1]Summary!$BT$4-F22)/365</f>
        <v>5.9863013698630141</v>
      </c>
      <c r="BY22" s="125">
        <f>H22-BX22</f>
        <v>9.0136986301369859</v>
      </c>
      <c r="BZ22" s="81">
        <f>+BN22</f>
        <v>607.30000000000007</v>
      </c>
      <c r="CA22" s="81">
        <f>IF(BT22-BZ22&lt;=0,0,IF(BY22&lt;=0,0,BT22-BZ22))</f>
        <v>6845.5928571428567</v>
      </c>
      <c r="CB22" s="81">
        <f>BP22</f>
        <v>760.62142857142862</v>
      </c>
      <c r="CC22" s="81">
        <f>+BT22+BU22-CB22</f>
        <v>6692.2714285714283</v>
      </c>
      <c r="CE22" s="81">
        <v>6692.2714285714283</v>
      </c>
      <c r="CF22" s="209"/>
      <c r="CG22" s="209"/>
      <c r="CH22" s="209"/>
      <c r="CI22" s="81">
        <f>([1]Summary!$CE$4-F22)/365</f>
        <v>6.9890410958904106</v>
      </c>
      <c r="CJ22" s="125">
        <f t="shared" si="24"/>
        <v>8.0109589041095894</v>
      </c>
      <c r="CK22" s="81">
        <f>+BZ22</f>
        <v>607.30000000000007</v>
      </c>
      <c r="CL22" s="81">
        <f>IF(CE22-CK22&lt;=0,0,IF(CJ22&lt;=0,0,CE22-CK22))</f>
        <v>6084.9714285714281</v>
      </c>
      <c r="CM22" s="81">
        <f>CB22</f>
        <v>760.62142857142862</v>
      </c>
      <c r="CN22" s="81">
        <f t="shared" si="28"/>
        <v>5931.65</v>
      </c>
      <c r="CP22" s="81">
        <f t="shared" si="29"/>
        <v>5931.65</v>
      </c>
      <c r="CQ22" s="209"/>
      <c r="CR22" s="209"/>
      <c r="CS22" s="209"/>
      <c r="CT22" s="81">
        <f>([1]Summary!$CP$4-F22)/365</f>
        <v>7.9890410958904106</v>
      </c>
      <c r="CU22" s="125">
        <f t="shared" si="30"/>
        <v>7.0109589041095894</v>
      </c>
      <c r="CV22" s="81">
        <f t="shared" si="31"/>
        <v>607.30000000000007</v>
      </c>
      <c r="CW22" s="81">
        <f t="shared" si="32"/>
        <v>5324.3499999999995</v>
      </c>
      <c r="CX22" s="81">
        <f>CM22</f>
        <v>760.62142857142862</v>
      </c>
      <c r="CY22" s="81">
        <f t="shared" si="34"/>
        <v>5171.028571428571</v>
      </c>
      <c r="DA22" s="81">
        <f t="shared" si="35"/>
        <v>5171.028571428571</v>
      </c>
      <c r="DB22" s="209"/>
      <c r="DC22" s="209"/>
      <c r="DD22" s="209"/>
      <c r="DE22" s="81">
        <f>([1]Summary!$DA$4-F22)/365</f>
        <v>8.9890410958904106</v>
      </c>
      <c r="DF22" s="125">
        <f t="shared" si="36"/>
        <v>6.0109589041095894</v>
      </c>
      <c r="DG22" s="81">
        <f t="shared" si="37"/>
        <v>607.30000000000007</v>
      </c>
      <c r="DH22" s="81">
        <f t="shared" si="38"/>
        <v>4563.7285714285708</v>
      </c>
      <c r="DI22" s="81">
        <f t="shared" si="39"/>
        <v>760.62142857142862</v>
      </c>
      <c r="DJ22" s="81">
        <f t="shared" si="40"/>
        <v>4410.4071428571424</v>
      </c>
      <c r="DL22" s="157">
        <f t="shared" si="41"/>
        <v>12146</v>
      </c>
      <c r="DM22" s="157">
        <f t="shared" si="42"/>
        <v>7735.5928571428576</v>
      </c>
      <c r="DN22" s="157">
        <f t="shared" si="43"/>
        <v>4410.4071428571424</v>
      </c>
    </row>
    <row r="23" spans="1:118" x14ac:dyDescent="0.25">
      <c r="A23" s="1"/>
      <c r="B23" s="1"/>
      <c r="C23" s="1"/>
      <c r="D23" s="1"/>
      <c r="E23" s="1"/>
      <c r="F23" s="1"/>
      <c r="G23" s="1"/>
      <c r="H23" s="1"/>
      <c r="I23" s="1"/>
      <c r="J23" s="157">
        <f>SUM(J8:J22)</f>
        <v>4019240</v>
      </c>
      <c r="K23" s="157">
        <f t="shared" ref="K23:BV23" si="45">SUM(K8:K22)</f>
        <v>0</v>
      </c>
      <c r="L23" s="157">
        <f t="shared" si="45"/>
        <v>4019240</v>
      </c>
      <c r="M23" s="157">
        <f t="shared" si="45"/>
        <v>998434.66520000005</v>
      </c>
      <c r="N23" s="157">
        <f t="shared" si="45"/>
        <v>3020805.3347999998</v>
      </c>
      <c r="O23" s="157">
        <f t="shared" si="45"/>
        <v>144</v>
      </c>
      <c r="P23" s="157">
        <f t="shared" si="45"/>
        <v>103</v>
      </c>
      <c r="Q23" s="157">
        <f t="shared" si="45"/>
        <v>200961.99999999997</v>
      </c>
      <c r="R23" s="157">
        <f t="shared" si="45"/>
        <v>2819843.3348000003</v>
      </c>
      <c r="S23" s="157">
        <f t="shared" si="45"/>
        <v>235448.10540524864</v>
      </c>
      <c r="T23" s="157">
        <f t="shared" si="45"/>
        <v>0</v>
      </c>
      <c r="U23" s="157">
        <f t="shared" si="45"/>
        <v>3020805.3347999998</v>
      </c>
      <c r="V23" s="157">
        <f t="shared" si="45"/>
        <v>2785357.2293947511</v>
      </c>
      <c r="W23" s="157">
        <f t="shared" si="45"/>
        <v>0</v>
      </c>
      <c r="X23" s="157">
        <f t="shared" si="45"/>
        <v>0</v>
      </c>
      <c r="Y23" s="157">
        <f t="shared" si="45"/>
        <v>0</v>
      </c>
      <c r="Z23" s="157">
        <f t="shared" si="45"/>
        <v>0</v>
      </c>
      <c r="AA23" s="157">
        <f t="shared" si="45"/>
        <v>2785357.2293947511</v>
      </c>
      <c r="AB23" s="157">
        <f t="shared" si="45"/>
        <v>8080</v>
      </c>
      <c r="AC23" s="157">
        <f t="shared" si="45"/>
        <v>0</v>
      </c>
      <c r="AD23" s="157">
        <f t="shared" si="45"/>
        <v>84</v>
      </c>
      <c r="AE23" s="157">
        <f t="shared" si="45"/>
        <v>40.339726027397262</v>
      </c>
      <c r="AF23" s="157">
        <f t="shared" si="45"/>
        <v>109.66027397260274</v>
      </c>
      <c r="AG23" s="157">
        <f t="shared" si="45"/>
        <v>201365.99999999997</v>
      </c>
      <c r="AH23" s="157">
        <f t="shared" si="45"/>
        <v>2827519.3348000003</v>
      </c>
      <c r="AI23" s="157">
        <f t="shared" si="45"/>
        <v>236640.61749137635</v>
      </c>
      <c r="AJ23" s="157">
        <f t="shared" si="45"/>
        <v>2556796.611903375</v>
      </c>
      <c r="AK23" s="157">
        <f t="shared" si="45"/>
        <v>0</v>
      </c>
      <c r="AL23" s="157">
        <f t="shared" si="45"/>
        <v>2556796.611903375</v>
      </c>
      <c r="AM23" s="157">
        <f t="shared" si="45"/>
        <v>6195</v>
      </c>
      <c r="AN23" s="157">
        <f t="shared" si="45"/>
        <v>0</v>
      </c>
      <c r="AO23" s="157">
        <f t="shared" si="45"/>
        <v>158</v>
      </c>
      <c r="AP23" s="157">
        <f t="shared" si="45"/>
        <v>49.591780821917801</v>
      </c>
      <c r="AQ23" s="157">
        <f t="shared" si="45"/>
        <v>115.40821917808219</v>
      </c>
      <c r="AR23" s="157">
        <f t="shared" si="45"/>
        <v>201675.74999999997</v>
      </c>
      <c r="AS23" s="157">
        <f t="shared" si="45"/>
        <v>2597956.4793947511</v>
      </c>
      <c r="AT23" s="157">
        <f t="shared" si="45"/>
        <v>237204.42123566859</v>
      </c>
      <c r="AU23" s="157">
        <f t="shared" si="45"/>
        <v>2325787.1906677065</v>
      </c>
      <c r="AV23" s="157">
        <f t="shared" si="45"/>
        <v>0</v>
      </c>
      <c r="AW23" s="157">
        <f t="shared" si="45"/>
        <v>2325787.1906677065</v>
      </c>
      <c r="AX23" s="157">
        <f t="shared" si="45"/>
        <v>10950</v>
      </c>
      <c r="AY23" s="157">
        <f t="shared" si="45"/>
        <v>0</v>
      </c>
      <c r="AZ23" s="157">
        <f t="shared" si="45"/>
        <v>544</v>
      </c>
      <c r="BA23" s="157">
        <f t="shared" si="45"/>
        <v>60.021917808219179</v>
      </c>
      <c r="BB23" s="157">
        <f t="shared" si="45"/>
        <v>134.97808219178083</v>
      </c>
      <c r="BC23" s="157">
        <f t="shared" si="45"/>
        <v>202223.24999999997</v>
      </c>
      <c r="BD23" s="157">
        <f t="shared" si="45"/>
        <v>2371548.5227252934</v>
      </c>
      <c r="BE23" s="157">
        <f t="shared" si="45"/>
        <v>237943.65827985041</v>
      </c>
      <c r="BF23" s="157">
        <f t="shared" si="45"/>
        <v>2098793.5323878559</v>
      </c>
      <c r="BG23" s="157">
        <f t="shared" si="45"/>
        <v>0</v>
      </c>
      <c r="BH23" s="157">
        <f t="shared" si="45"/>
        <v>2098793.5323878559</v>
      </c>
      <c r="BI23" s="157">
        <f t="shared" si="45"/>
        <v>0</v>
      </c>
      <c r="BJ23" s="157">
        <f t="shared" si="45"/>
        <v>0</v>
      </c>
      <c r="BK23" s="157">
        <f t="shared" si="45"/>
        <v>0</v>
      </c>
      <c r="BL23" s="157">
        <f t="shared" si="45"/>
        <v>72.506849315068507</v>
      </c>
      <c r="BM23" s="157">
        <f t="shared" si="45"/>
        <v>122.49315068493152</v>
      </c>
      <c r="BN23" s="157">
        <f t="shared" si="45"/>
        <v>202223.24999999997</v>
      </c>
      <c r="BO23" s="157">
        <f t="shared" si="45"/>
        <v>1896570.2823878564</v>
      </c>
      <c r="BP23" s="157">
        <f t="shared" si="45"/>
        <v>238120.22501697572</v>
      </c>
      <c r="BQ23" s="157">
        <f t="shared" si="45"/>
        <v>1860673.3073708804</v>
      </c>
      <c r="BR23" s="157">
        <f t="shared" si="45"/>
        <v>0</v>
      </c>
      <c r="BS23" s="157">
        <f t="shared" si="45"/>
        <v>1652405.7834446069</v>
      </c>
      <c r="BT23" s="157">
        <f t="shared" si="45"/>
        <v>1860673.3073708804</v>
      </c>
      <c r="BU23" s="157">
        <f t="shared" si="45"/>
        <v>0</v>
      </c>
      <c r="BV23" s="157">
        <f t="shared" si="45"/>
        <v>0</v>
      </c>
      <c r="BW23" s="157">
        <f t="shared" ref="BW23:DJ23" si="46">SUM(BW8:BW22)</f>
        <v>0</v>
      </c>
      <c r="BX23" s="157">
        <f t="shared" si="46"/>
        <v>85.506849315068507</v>
      </c>
      <c r="BY23" s="157">
        <f t="shared" si="46"/>
        <v>109.49315068493152</v>
      </c>
      <c r="BZ23" s="157">
        <f t="shared" si="46"/>
        <v>202223.24999999997</v>
      </c>
      <c r="CA23" s="157">
        <f t="shared" si="46"/>
        <v>1658450.0573708806</v>
      </c>
      <c r="CB23" s="157">
        <f t="shared" si="46"/>
        <v>238120.22501697572</v>
      </c>
      <c r="CC23" s="157">
        <f t="shared" si="46"/>
        <v>1622553.0823539044</v>
      </c>
      <c r="CD23" s="157">
        <f t="shared" si="46"/>
        <v>0</v>
      </c>
      <c r="CE23" s="157">
        <f t="shared" si="46"/>
        <v>1622553.0823539044</v>
      </c>
      <c r="CF23" s="157">
        <f t="shared" si="46"/>
        <v>130100.25</v>
      </c>
      <c r="CG23" s="157">
        <f t="shared" si="46"/>
        <v>0</v>
      </c>
      <c r="CH23" s="157">
        <f t="shared" si="46"/>
        <v>46</v>
      </c>
      <c r="CI23" s="157">
        <f t="shared" si="46"/>
        <v>98.542465753424651</v>
      </c>
      <c r="CJ23" s="157">
        <f t="shared" si="46"/>
        <v>126.45753424657535</v>
      </c>
      <c r="CK23" s="157">
        <f t="shared" si="46"/>
        <v>208728.26249999998</v>
      </c>
      <c r="CL23" s="157">
        <f t="shared" si="46"/>
        <v>1543925.0698539047</v>
      </c>
      <c r="CM23" s="157">
        <f t="shared" si="46"/>
        <v>238639.43788683871</v>
      </c>
      <c r="CN23" s="157">
        <f t="shared" si="46"/>
        <v>1514013.8944670663</v>
      </c>
      <c r="CO23" s="157">
        <f t="shared" si="46"/>
        <v>0</v>
      </c>
      <c r="CP23" s="157">
        <f t="shared" si="46"/>
        <v>1514013.8944670663</v>
      </c>
      <c r="CQ23" s="157">
        <f t="shared" si="46"/>
        <v>0</v>
      </c>
      <c r="CR23" s="157">
        <f t="shared" si="46"/>
        <v>0</v>
      </c>
      <c r="CS23" s="157">
        <f t="shared" si="46"/>
        <v>0</v>
      </c>
      <c r="CT23" s="157">
        <f t="shared" si="46"/>
        <v>111.66849315068494</v>
      </c>
      <c r="CU23" s="157">
        <f t="shared" si="46"/>
        <v>113.33150684931509</v>
      </c>
      <c r="CV23" s="157">
        <f t="shared" si="46"/>
        <v>208728.26249999998</v>
      </c>
      <c r="CW23" s="157">
        <f t="shared" si="46"/>
        <v>1305285.6319670663</v>
      </c>
      <c r="CX23" s="157">
        <f t="shared" si="46"/>
        <v>246359.90751697571</v>
      </c>
      <c r="CY23" s="157">
        <f t="shared" si="46"/>
        <v>1267653.9869500904</v>
      </c>
      <c r="CZ23" s="157">
        <f t="shared" si="46"/>
        <v>0</v>
      </c>
      <c r="DA23" s="157">
        <f t="shared" si="46"/>
        <v>1267653.9869500904</v>
      </c>
      <c r="DB23" s="157">
        <f t="shared" si="46"/>
        <v>0</v>
      </c>
      <c r="DC23" s="157">
        <f t="shared" si="46"/>
        <v>0</v>
      </c>
      <c r="DD23" s="157">
        <f t="shared" si="46"/>
        <v>0</v>
      </c>
      <c r="DE23" s="157">
        <f t="shared" si="46"/>
        <v>126.66849315068494</v>
      </c>
      <c r="DF23" s="157">
        <f t="shared" si="46"/>
        <v>98.33150684931509</v>
      </c>
      <c r="DG23" s="157">
        <f t="shared" si="46"/>
        <v>208728.26249999998</v>
      </c>
      <c r="DH23" s="157">
        <f t="shared" si="46"/>
        <v>1058925.7244500909</v>
      </c>
      <c r="DI23" s="157">
        <f t="shared" si="46"/>
        <v>246359.90751697571</v>
      </c>
      <c r="DJ23" s="157">
        <f t="shared" si="46"/>
        <v>1021294.0794331147</v>
      </c>
      <c r="DL23" s="157">
        <f>J23+AB23+AM23+AX23+BI23+BU23+CF23+CQ23+DB23</f>
        <v>4174565.25</v>
      </c>
      <c r="DM23" s="157">
        <f>M23+S23-T23+AI23+AT23+BE23+BP23+CB23+CM23+CX23+DI23</f>
        <v>3153271.1705668857</v>
      </c>
      <c r="DN23" s="157">
        <f>DL23-DM23</f>
        <v>1021294.0794331143</v>
      </c>
    </row>
  </sheetData>
  <mergeCells count="3">
    <mergeCell ref="A6:A7"/>
    <mergeCell ref="B6:B7"/>
    <mergeCell ref="C6: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Summary-Pl &amp;MC</vt:lpstr>
      <vt:lpstr>2 J Rd-PL&amp; MC</vt:lpstr>
      <vt:lpstr>9A KBS-PL &amp; MC</vt:lpstr>
      <vt:lpstr>17N-1 KBS-PL&amp;MC</vt:lpstr>
      <vt:lpstr>DGP-PL&amp;MC</vt:lpstr>
      <vt:lpstr>2 J Rd-MH &amp; Others</vt:lpstr>
      <vt:lpstr>9A KBS-MH &amp; Others</vt:lpstr>
      <vt:lpstr>17N-1 KBS-MH &amp; Others</vt:lpstr>
      <vt:lpstr>DGP-MH &amp; Others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2023-08-11T07:45:47Z</dcterms:modified>
</cp:coreProperties>
</file>