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m Since 01-12-2021\West Bengal\VIS(2023-24)-PL193-167-237, Ms BTL EPC LIMITED\Working PL193\"/>
    </mc:Choice>
  </mc:AlternateContent>
  <xr:revisionPtr revIDLastSave="0" documentId="13_ncr:1_{BF5A0F8A-05D7-4275-8438-90C0673AA68D}" xr6:coauthVersionLast="47" xr6:coauthVersionMax="47" xr10:uidLastSave="{00000000-0000-0000-0000-000000000000}"/>
  <bookViews>
    <workbookView xWindow="-120" yWindow="-120" windowWidth="21840" windowHeight="13140" xr2:uid="{5E6017E1-5158-45CA-A23C-0CAF3D803784}"/>
  </bookViews>
  <sheets>
    <sheet name="Building Valuation" sheetId="2" r:id="rId1"/>
  </sheets>
  <definedNames>
    <definedName name="_xlnm._FilterDatabase" localSheetId="0" hidden="1">'Building Valuation'!$B$3:$R$26</definedName>
    <definedName name="_xlnm.Print_Area" localSheetId="0">'Building Valuation'!$B$2:$R$25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2" l="1"/>
  <c r="T40" i="2"/>
  <c r="G21" i="2" l="1"/>
  <c r="G20" i="2"/>
  <c r="G19" i="2"/>
  <c r="H19" i="2" s="1"/>
  <c r="P19" i="2" s="1"/>
  <c r="G18" i="2"/>
  <c r="G17" i="2"/>
  <c r="G16" i="2"/>
  <c r="G15" i="2"/>
  <c r="H15" i="2" s="1"/>
  <c r="P15" i="2" s="1"/>
  <c r="G14" i="2"/>
  <c r="H14" i="2" s="1"/>
  <c r="P14" i="2" s="1"/>
  <c r="G13" i="2"/>
  <c r="G12" i="2"/>
  <c r="H12" i="2" s="1"/>
  <c r="P12" i="2" s="1"/>
  <c r="G11" i="2"/>
  <c r="G10" i="2"/>
  <c r="G9" i="2"/>
  <c r="G8" i="2"/>
  <c r="H8" i="2" s="1"/>
  <c r="P8" i="2" s="1"/>
  <c r="G7" i="2"/>
  <c r="G6" i="2"/>
  <c r="G5" i="2"/>
  <c r="G4" i="2"/>
  <c r="L15" i="2"/>
  <c r="L14" i="2"/>
  <c r="L13" i="2"/>
  <c r="L12" i="2"/>
  <c r="L11" i="2"/>
  <c r="L10" i="2"/>
  <c r="L21" i="2"/>
  <c r="L20" i="2"/>
  <c r="L19" i="2"/>
  <c r="L18" i="2"/>
  <c r="L17" i="2"/>
  <c r="L16" i="2"/>
  <c r="L9" i="2"/>
  <c r="L8" i="2"/>
  <c r="L7" i="2"/>
  <c r="E35" i="2"/>
  <c r="L6" i="2"/>
  <c r="L5" i="2"/>
  <c r="L4" i="2"/>
  <c r="Q8" i="2" l="1"/>
  <c r="R8" i="2" s="1"/>
  <c r="V8" i="2" s="1"/>
  <c r="Q12" i="2"/>
  <c r="R12" i="2" s="1"/>
  <c r="Q14" i="2"/>
  <c r="R14" i="2" s="1"/>
  <c r="Q15" i="2"/>
  <c r="R15" i="2" s="1"/>
  <c r="Q19" i="2"/>
  <c r="R19" i="2" s="1"/>
  <c r="H16" i="2"/>
  <c r="P16" i="2" s="1"/>
  <c r="Q16" i="2" s="1"/>
  <c r="R16" i="2" s="1"/>
  <c r="H4" i="2"/>
  <c r="P4" i="2" s="1"/>
  <c r="Q4" i="2" s="1"/>
  <c r="G22" i="2"/>
  <c r="H7" i="2"/>
  <c r="P7" i="2" s="1"/>
  <c r="Q7" i="2" s="1"/>
  <c r="R7" i="2" s="1"/>
  <c r="H11" i="2"/>
  <c r="P11" i="2" s="1"/>
  <c r="Q11" i="2" s="1"/>
  <c r="R11" i="2" s="1"/>
  <c r="H20" i="2"/>
  <c r="P20" i="2" s="1"/>
  <c r="Q20" i="2" s="1"/>
  <c r="R20" i="2" s="1"/>
  <c r="H5" i="2"/>
  <c r="P5" i="2" s="1"/>
  <c r="Q5" i="2" s="1"/>
  <c r="R5" i="2" s="1"/>
  <c r="H9" i="2"/>
  <c r="P9" i="2" s="1"/>
  <c r="H13" i="2"/>
  <c r="P13" i="2" s="1"/>
  <c r="Q13" i="2" s="1"/>
  <c r="R13" i="2" s="1"/>
  <c r="H17" i="2"/>
  <c r="P17" i="2" s="1"/>
  <c r="Q17" i="2" s="1"/>
  <c r="R17" i="2" s="1"/>
  <c r="H21" i="2"/>
  <c r="P21" i="2" s="1"/>
  <c r="Q21" i="2" s="1"/>
  <c r="R21" i="2" s="1"/>
  <c r="H6" i="2"/>
  <c r="P6" i="2" s="1"/>
  <c r="H10" i="2"/>
  <c r="P10" i="2" s="1"/>
  <c r="H18" i="2"/>
  <c r="P18" i="2" s="1"/>
  <c r="Q18" i="2" s="1"/>
  <c r="R18" i="2" s="1"/>
  <c r="T8" i="2" l="1"/>
  <c r="V19" i="2"/>
  <c r="T19" i="2"/>
  <c r="V21" i="2"/>
  <c r="T21" i="2"/>
  <c r="V5" i="2"/>
  <c r="T5" i="2"/>
  <c r="V15" i="2"/>
  <c r="T15" i="2"/>
  <c r="V17" i="2"/>
  <c r="T17" i="2"/>
  <c r="V20" i="2"/>
  <c r="T20" i="2"/>
  <c r="V14" i="2"/>
  <c r="T14" i="2"/>
  <c r="V13" i="2"/>
  <c r="T13" i="2"/>
  <c r="V16" i="2"/>
  <c r="T16" i="2"/>
  <c r="V18" i="2"/>
  <c r="T18" i="2"/>
  <c r="V12" i="2"/>
  <c r="T12" i="2"/>
  <c r="V11" i="2"/>
  <c r="T11" i="2"/>
  <c r="V7" i="2"/>
  <c r="T7" i="2"/>
  <c r="P2" i="2"/>
  <c r="R4" i="2"/>
  <c r="T4" i="2" s="1"/>
  <c r="P22" i="2"/>
  <c r="Q10" i="2"/>
  <c r="R10" i="2" s="1"/>
  <c r="Q6" i="2"/>
  <c r="R6" i="2" s="1"/>
  <c r="Q9" i="2"/>
  <c r="R9" i="2" s="1"/>
  <c r="H22" i="2"/>
  <c r="V10" i="2" l="1"/>
  <c r="T10" i="2"/>
  <c r="V9" i="2"/>
  <c r="T9" i="2"/>
  <c r="V6" i="2"/>
  <c r="T6" i="2"/>
  <c r="Q2" i="2"/>
  <c r="V4" i="2"/>
  <c r="R2" i="2"/>
  <c r="R22" i="2"/>
  <c r="T22" i="2" l="1"/>
  <c r="T2" i="2"/>
  <c r="U28" i="2" l="1"/>
  <c r="T38" i="2"/>
</calcChain>
</file>

<file path=xl/sharedStrings.xml><?xml version="1.0" encoding="utf-8"?>
<sst xmlns="http://schemas.openxmlformats.org/spreadsheetml/2006/main" count="98" uniqueCount="55">
  <si>
    <t>Floor</t>
  </si>
  <si>
    <t>Type of Structure</t>
  </si>
  <si>
    <t>Area
(in sq.mtr.)</t>
  </si>
  <si>
    <t>Area
(in sq.ft.)</t>
  </si>
  <si>
    <t>Year of Construction</t>
  </si>
  <si>
    <t xml:space="preserve">Year of Valuation </t>
  </si>
  <si>
    <t>Total Life Consumed 
(in years)</t>
  </si>
  <si>
    <t>Total Economical Life
(in years)</t>
  </si>
  <si>
    <t>Salvage value</t>
  </si>
  <si>
    <t>Plinth Area  Rate 
(in per sq.ft.)</t>
  </si>
  <si>
    <t>Gross Replacement Value</t>
  </si>
  <si>
    <t>Depreciation</t>
  </si>
  <si>
    <t>Depreciated Value</t>
  </si>
  <si>
    <t>Depreciated Replacement Market Value</t>
  </si>
  <si>
    <t>Ground Floor</t>
  </si>
  <si>
    <t xml:space="preserve"> RCC frame structure with  brick wall </t>
  </si>
  <si>
    <t>TOTAL</t>
  </si>
  <si>
    <t>Remarks: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</si>
  <si>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</si>
  <si>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</si>
  <si>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Building Name</t>
  </si>
  <si>
    <t>Office Building</t>
  </si>
  <si>
    <t>Godown attach to office building (back side)</t>
  </si>
  <si>
    <t>Workshop-1
(2 bay)</t>
  </si>
  <si>
    <t>Workshop-2
(Single Bay)</t>
  </si>
  <si>
    <t>New workshop shed (single bay) with crane installed 7 ton</t>
  </si>
  <si>
    <t>2 Labour Room+Contractor Office (attach together)</t>
  </si>
  <si>
    <t>Company Staff Quarter-1</t>
  </si>
  <si>
    <t>Company Staff Quarter-2</t>
  </si>
  <si>
    <t>Small Linto Fabrication Shed (attached to workshop-2)</t>
  </si>
  <si>
    <t>Big Fabrication Shed with Linto</t>
  </si>
  <si>
    <t>Electrical Panel Room</t>
  </si>
  <si>
    <t>Sub-Panel Room (Small)</t>
  </si>
  <si>
    <t>Paint Machinery Shed</t>
  </si>
  <si>
    <t>Security Room+2 Contractor Office Room (attached)</t>
  </si>
  <si>
    <t>Canteen Room</t>
  </si>
  <si>
    <t>Labour Cycle/Bike Stand</t>
  </si>
  <si>
    <t>Company Staff Bike Stand</t>
  </si>
  <si>
    <t>Height (in mtr.)</t>
  </si>
  <si>
    <t>Brick wall + Asbestos Shed</t>
  </si>
  <si>
    <t xml:space="preserve"> Iron truss, Asbestos Shed, Brick Wall</t>
  </si>
  <si>
    <t>Brick wall + Iron Pillar + Asbestos Shed</t>
  </si>
  <si>
    <t xml:space="preserve"> Brick Wall + Asbestos shed, PCC flooring</t>
  </si>
  <si>
    <t>Asbestos Shed</t>
  </si>
  <si>
    <t>Iron Pillar + Asbestos Shed</t>
  </si>
  <si>
    <t>Condition of structure</t>
  </si>
  <si>
    <t>Good</t>
  </si>
  <si>
    <t>Poor</t>
  </si>
  <si>
    <t>Average</t>
  </si>
  <si>
    <t>Store+Maintenance Room+Contractor Office Room+DG Room+Panel Room+Transformer Room+Electric Breaker Room+2 Toilets</t>
  </si>
  <si>
    <t>Oblescence Factor</t>
  </si>
  <si>
    <t>acres</t>
  </si>
  <si>
    <t>per acre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</si>
  <si>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in Industrial Area, Durgapur, West Bengal.</t>
    </r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</si>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</sst>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_ ;_ * \-#,##0.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1" applyFont="1"/>
    <xf numFmtId="165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1" xfId="2" applyNumberFormat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/>
    </xf>
    <xf numFmtId="44" fontId="0" fillId="0" borderId="0" xfId="0" applyNumberFormat="1"/>
    <xf numFmtId="43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3" fillId="0" borderId="0" xfId="0" applyFont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65" fontId="0" fillId="0" borderId="0" xfId="2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164" fontId="3" fillId="0" borderId="0" xfId="1" applyNumberFormat="1" applyFont="1"/>
    <xf numFmtId="43" fontId="0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1" fontId="0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F5D3-68AD-4FDF-BFAD-D42B54EB9A5E}">
  <dimension ref="B2:V41"/>
  <sheetViews>
    <sheetView tabSelected="1" zoomScale="85" zoomScaleNormal="85" zoomScaleSheetLayoutView="85" workbookViewId="0">
      <selection activeCell="I40" sqref="I40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8" customWidth="1"/>
    <col min="4" max="4" width="26.42578125" style="18" customWidth="1"/>
    <col min="5" max="5" width="20.42578125" style="18" customWidth="1"/>
    <col min="6" max="6" width="11.140625" style="18" hidden="1" customWidth="1"/>
    <col min="7" max="7" width="9.42578125" style="18" bestFit="1" customWidth="1"/>
    <col min="8" max="8" width="8.85546875" style="19" customWidth="1"/>
    <col min="9" max="9" width="8.85546875" style="10" customWidth="1"/>
    <col min="10" max="10" width="19.5703125" bestFit="1" customWidth="1"/>
    <col min="11" max="11" width="9.5703125" hidden="1" customWidth="1"/>
    <col min="12" max="12" width="11" customWidth="1"/>
    <col min="13" max="13" width="11.140625" customWidth="1"/>
    <col min="14" max="14" width="7.7109375" hidden="1" customWidth="1"/>
    <col min="15" max="15" width="12.85546875" customWidth="1"/>
    <col min="16" max="16" width="16" bestFit="1" customWidth="1"/>
    <col min="17" max="17" width="13.42578125" hidden="1" customWidth="1"/>
    <col min="18" max="18" width="12.28515625" hidden="1" customWidth="1"/>
    <col min="19" max="19" width="11.28515625" hidden="1" customWidth="1"/>
    <col min="20" max="20" width="16.140625" customWidth="1"/>
    <col min="21" max="21" width="14.42578125" bestFit="1" customWidth="1"/>
  </cols>
  <sheetData>
    <row r="2" spans="2:22" x14ac:dyDescent="0.25">
      <c r="P2" s="17">
        <f t="shared" ref="P2:Q2" si="0">SUBTOTAL(9,P4:P21)</f>
        <v>40532102.672879994</v>
      </c>
      <c r="Q2" s="17">
        <f t="shared" si="0"/>
        <v>30161279.598312333</v>
      </c>
      <c r="R2" s="17">
        <f>SUBTOTAL(9,R4:R21)</f>
        <v>10370823.074567661</v>
      </c>
      <c r="S2" s="17"/>
      <c r="T2" s="17">
        <f>SUBTOTAL(9,T4:T21)</f>
        <v>6287339.0299645318</v>
      </c>
    </row>
    <row r="3" spans="2:22" s="1" customFormat="1" ht="60" x14ac:dyDescent="0.25">
      <c r="B3" s="39" t="s">
        <v>54</v>
      </c>
      <c r="C3" s="40" t="s">
        <v>0</v>
      </c>
      <c r="D3" s="40" t="s">
        <v>20</v>
      </c>
      <c r="E3" s="40" t="s">
        <v>1</v>
      </c>
      <c r="F3" s="40" t="s">
        <v>45</v>
      </c>
      <c r="G3" s="40" t="s">
        <v>2</v>
      </c>
      <c r="H3" s="41" t="s">
        <v>3</v>
      </c>
      <c r="I3" s="42" t="s">
        <v>38</v>
      </c>
      <c r="J3" s="40" t="s">
        <v>4</v>
      </c>
      <c r="K3" s="43" t="s">
        <v>5</v>
      </c>
      <c r="L3" s="40" t="s">
        <v>6</v>
      </c>
      <c r="M3" s="40" t="s">
        <v>7</v>
      </c>
      <c r="N3" s="43" t="s">
        <v>8</v>
      </c>
      <c r="O3" s="40" t="s">
        <v>9</v>
      </c>
      <c r="P3" s="40" t="s">
        <v>10</v>
      </c>
      <c r="Q3" s="43" t="s">
        <v>11</v>
      </c>
      <c r="R3" s="43" t="s">
        <v>12</v>
      </c>
      <c r="S3" s="43" t="s">
        <v>50</v>
      </c>
      <c r="T3" s="40" t="s">
        <v>13</v>
      </c>
    </row>
    <row r="4" spans="2:22" ht="30" x14ac:dyDescent="0.25">
      <c r="B4" s="2">
        <v>1</v>
      </c>
      <c r="C4" s="3" t="s">
        <v>14</v>
      </c>
      <c r="D4" s="3" t="s">
        <v>21</v>
      </c>
      <c r="E4" s="3" t="s">
        <v>15</v>
      </c>
      <c r="F4" s="3" t="s">
        <v>46</v>
      </c>
      <c r="G4" s="4">
        <f>15.6*10</f>
        <v>156</v>
      </c>
      <c r="H4" s="5">
        <f>G4*10.7639</f>
        <v>1679.1684</v>
      </c>
      <c r="I4" s="35">
        <v>3.5649999999999999</v>
      </c>
      <c r="J4" s="2">
        <v>1985</v>
      </c>
      <c r="K4" s="2">
        <v>2023</v>
      </c>
      <c r="L4" s="2">
        <f t="shared" ref="L4:L21" si="1">K4-J4</f>
        <v>38</v>
      </c>
      <c r="M4" s="2">
        <v>60</v>
      </c>
      <c r="N4" s="6">
        <v>0.9</v>
      </c>
      <c r="O4" s="7">
        <v>1300</v>
      </c>
      <c r="P4" s="7">
        <f t="shared" ref="P4:P21" si="2">O4*H4</f>
        <v>2182918.92</v>
      </c>
      <c r="Q4" s="7">
        <f>P4*(N4/M4)*IF(M4&gt;L4,L4,M4)</f>
        <v>1244263.7844</v>
      </c>
      <c r="R4" s="7">
        <f>P4-Q4</f>
        <v>938655.13559999992</v>
      </c>
      <c r="S4" s="8">
        <v>0.3</v>
      </c>
      <c r="T4" s="7">
        <f>(1-S4)*R4</f>
        <v>657058.59491999994</v>
      </c>
      <c r="V4" s="10">
        <f t="shared" ref="V4:V21" si="3">R4/H4</f>
        <v>559</v>
      </c>
    </row>
    <row r="5" spans="2:22" ht="30" x14ac:dyDescent="0.25">
      <c r="B5" s="2">
        <v>2</v>
      </c>
      <c r="C5" s="3" t="s">
        <v>14</v>
      </c>
      <c r="D5" s="3" t="s">
        <v>22</v>
      </c>
      <c r="E5" s="3" t="s">
        <v>39</v>
      </c>
      <c r="F5" s="3" t="s">
        <v>47</v>
      </c>
      <c r="G5" s="4">
        <f>9.319*6</f>
        <v>55.914000000000001</v>
      </c>
      <c r="H5" s="5">
        <f t="shared" ref="H5:H21" si="4">G5*10.7639</f>
        <v>601.85270460000004</v>
      </c>
      <c r="I5" s="35">
        <v>3.8</v>
      </c>
      <c r="J5" s="2">
        <v>1985</v>
      </c>
      <c r="K5" s="2">
        <v>2023</v>
      </c>
      <c r="L5" s="2">
        <f t="shared" si="1"/>
        <v>38</v>
      </c>
      <c r="M5" s="2">
        <v>30</v>
      </c>
      <c r="N5" s="6">
        <v>0.95</v>
      </c>
      <c r="O5" s="7">
        <v>800</v>
      </c>
      <c r="P5" s="11">
        <f t="shared" si="2"/>
        <v>481482.16368000006</v>
      </c>
      <c r="Q5" s="7">
        <f t="shared" ref="Q5:Q21" si="5">P5*(N5/M5)*IF(M5&gt;L5,L5,M5)</f>
        <v>457408.05549599999</v>
      </c>
      <c r="R5" s="7">
        <f t="shared" ref="R5:R21" si="6">P5-Q5</f>
        <v>24074.10818400007</v>
      </c>
      <c r="S5" s="8">
        <v>0.5</v>
      </c>
      <c r="T5" s="7">
        <f t="shared" ref="T5:T21" si="7">(1-S5)*R5</f>
        <v>12037.054092000035</v>
      </c>
      <c r="V5" s="10">
        <f t="shared" si="3"/>
        <v>40.000000000000114</v>
      </c>
    </row>
    <row r="6" spans="2:22" ht="30" x14ac:dyDescent="0.25">
      <c r="B6" s="2">
        <v>3</v>
      </c>
      <c r="C6" s="3" t="s">
        <v>14</v>
      </c>
      <c r="D6" s="3" t="s">
        <v>23</v>
      </c>
      <c r="E6" s="3" t="s">
        <v>40</v>
      </c>
      <c r="F6" s="3" t="s">
        <v>48</v>
      </c>
      <c r="G6" s="4">
        <f>63*24.4</f>
        <v>1537.1999999999998</v>
      </c>
      <c r="H6" s="5">
        <f t="shared" si="4"/>
        <v>16546.267079999998</v>
      </c>
      <c r="I6" s="35">
        <v>7.5</v>
      </c>
      <c r="J6" s="2">
        <v>1985</v>
      </c>
      <c r="K6" s="2">
        <v>2023</v>
      </c>
      <c r="L6" s="2">
        <f t="shared" si="1"/>
        <v>38</v>
      </c>
      <c r="M6" s="2">
        <v>40</v>
      </c>
      <c r="N6" s="6">
        <v>0.95</v>
      </c>
      <c r="O6" s="7">
        <v>1200</v>
      </c>
      <c r="P6" s="11">
        <f t="shared" si="2"/>
        <v>19855520.495999996</v>
      </c>
      <c r="Q6" s="7">
        <f t="shared" si="5"/>
        <v>17919607.247639999</v>
      </c>
      <c r="R6" s="7">
        <f t="shared" si="6"/>
        <v>1935913.2483599968</v>
      </c>
      <c r="S6" s="8">
        <v>0.4</v>
      </c>
      <c r="T6" s="7">
        <f t="shared" si="7"/>
        <v>1161547.949015998</v>
      </c>
      <c r="V6" s="10">
        <f t="shared" si="3"/>
        <v>116.99999999999983</v>
      </c>
    </row>
    <row r="7" spans="2:22" ht="30" x14ac:dyDescent="0.25">
      <c r="B7" s="2">
        <v>4</v>
      </c>
      <c r="C7" s="3" t="s">
        <v>14</v>
      </c>
      <c r="D7" s="3" t="s">
        <v>24</v>
      </c>
      <c r="E7" s="3" t="s">
        <v>40</v>
      </c>
      <c r="F7" s="3" t="s">
        <v>48</v>
      </c>
      <c r="G7" s="4">
        <f>63*6.1</f>
        <v>384.29999999999995</v>
      </c>
      <c r="H7" s="5">
        <f t="shared" si="4"/>
        <v>4136.5667699999995</v>
      </c>
      <c r="I7" s="35">
        <v>6</v>
      </c>
      <c r="J7" s="2">
        <v>1985</v>
      </c>
      <c r="K7" s="2">
        <v>2023</v>
      </c>
      <c r="L7" s="2">
        <f t="shared" si="1"/>
        <v>38</v>
      </c>
      <c r="M7" s="2">
        <v>40</v>
      </c>
      <c r="N7" s="6">
        <v>0.95</v>
      </c>
      <c r="O7" s="7">
        <v>1100</v>
      </c>
      <c r="P7" s="7">
        <f t="shared" si="2"/>
        <v>4550223.4469999997</v>
      </c>
      <c r="Q7" s="7">
        <f t="shared" si="5"/>
        <v>4106576.6609175</v>
      </c>
      <c r="R7" s="7">
        <f t="shared" si="6"/>
        <v>443646.78608249966</v>
      </c>
      <c r="S7" s="8">
        <v>0.4</v>
      </c>
      <c r="T7" s="7">
        <f t="shared" si="7"/>
        <v>266188.07164949976</v>
      </c>
      <c r="V7" s="10">
        <f t="shared" si="3"/>
        <v>107.24999999999993</v>
      </c>
    </row>
    <row r="8" spans="2:22" ht="45" x14ac:dyDescent="0.25">
      <c r="B8" s="2">
        <v>5</v>
      </c>
      <c r="C8" s="3" t="s">
        <v>14</v>
      </c>
      <c r="D8" s="3" t="s">
        <v>25</v>
      </c>
      <c r="E8" s="3" t="s">
        <v>40</v>
      </c>
      <c r="F8" s="3" t="s">
        <v>48</v>
      </c>
      <c r="G8" s="4">
        <f>38*11.5</f>
        <v>437</v>
      </c>
      <c r="H8" s="5">
        <f t="shared" si="4"/>
        <v>4703.8243000000002</v>
      </c>
      <c r="I8" s="35">
        <v>9</v>
      </c>
      <c r="J8" s="2">
        <v>2012</v>
      </c>
      <c r="K8" s="2">
        <v>2023</v>
      </c>
      <c r="L8" s="2">
        <f t="shared" si="1"/>
        <v>11</v>
      </c>
      <c r="M8" s="2">
        <v>40</v>
      </c>
      <c r="N8" s="6">
        <v>0.95</v>
      </c>
      <c r="O8" s="7">
        <v>1200</v>
      </c>
      <c r="P8" s="11">
        <f t="shared" si="2"/>
        <v>5644589.1600000001</v>
      </c>
      <c r="Q8" s="7">
        <f t="shared" si="5"/>
        <v>1474648.91805</v>
      </c>
      <c r="R8" s="7">
        <f t="shared" si="6"/>
        <v>4169940.2419500002</v>
      </c>
      <c r="S8" s="8">
        <v>0.4</v>
      </c>
      <c r="T8" s="7">
        <f t="shared" si="7"/>
        <v>2501964.1451699999</v>
      </c>
      <c r="V8" s="10">
        <f t="shared" si="3"/>
        <v>886.5</v>
      </c>
    </row>
    <row r="9" spans="2:22" ht="90" x14ac:dyDescent="0.25">
      <c r="B9" s="2">
        <v>6</v>
      </c>
      <c r="C9" s="3" t="s">
        <v>14</v>
      </c>
      <c r="D9" s="3" t="s">
        <v>49</v>
      </c>
      <c r="E9" s="3" t="s">
        <v>15</v>
      </c>
      <c r="F9" s="3" t="s">
        <v>48</v>
      </c>
      <c r="G9" s="4">
        <f>51.8*4.8</f>
        <v>248.64</v>
      </c>
      <c r="H9" s="5">
        <f t="shared" si="4"/>
        <v>2676.3360959999995</v>
      </c>
      <c r="I9" s="35">
        <v>3.7</v>
      </c>
      <c r="J9" s="2">
        <v>1985</v>
      </c>
      <c r="K9" s="2">
        <v>2023</v>
      </c>
      <c r="L9" s="2">
        <f t="shared" si="1"/>
        <v>38</v>
      </c>
      <c r="M9" s="2">
        <v>60</v>
      </c>
      <c r="N9" s="6">
        <v>0.9</v>
      </c>
      <c r="O9" s="7">
        <v>1200</v>
      </c>
      <c r="P9" s="11">
        <f t="shared" si="2"/>
        <v>3211603.3151999996</v>
      </c>
      <c r="Q9" s="7">
        <f t="shared" si="5"/>
        <v>1830613.8896639999</v>
      </c>
      <c r="R9" s="7">
        <f t="shared" si="6"/>
        <v>1380989.4255359997</v>
      </c>
      <c r="S9" s="8">
        <v>0.4</v>
      </c>
      <c r="T9" s="7">
        <f t="shared" si="7"/>
        <v>828593.6553215998</v>
      </c>
      <c r="V9" s="10">
        <f t="shared" si="3"/>
        <v>516</v>
      </c>
    </row>
    <row r="10" spans="2:22" ht="30" x14ac:dyDescent="0.25">
      <c r="B10" s="2">
        <v>7</v>
      </c>
      <c r="C10" s="3" t="s">
        <v>14</v>
      </c>
      <c r="D10" s="3" t="s">
        <v>26</v>
      </c>
      <c r="E10" s="3" t="s">
        <v>15</v>
      </c>
      <c r="F10" s="3" t="s">
        <v>48</v>
      </c>
      <c r="G10" s="4">
        <f>11.2*4.275</f>
        <v>47.88</v>
      </c>
      <c r="H10" s="5">
        <f t="shared" si="4"/>
        <v>515.37553200000002</v>
      </c>
      <c r="I10" s="35">
        <v>3</v>
      </c>
      <c r="J10" s="2">
        <v>1985</v>
      </c>
      <c r="K10" s="2">
        <v>2023</v>
      </c>
      <c r="L10" s="2">
        <f t="shared" si="1"/>
        <v>38</v>
      </c>
      <c r="M10" s="2">
        <v>60</v>
      </c>
      <c r="N10" s="6">
        <v>0.9</v>
      </c>
      <c r="O10" s="7">
        <v>1000</v>
      </c>
      <c r="P10" s="7">
        <f t="shared" si="2"/>
        <v>515375.53200000001</v>
      </c>
      <c r="Q10" s="7">
        <f t="shared" si="5"/>
        <v>293764.05324000004</v>
      </c>
      <c r="R10" s="7">
        <f t="shared" si="6"/>
        <v>221611.47875999997</v>
      </c>
      <c r="S10" s="8">
        <v>0.4</v>
      </c>
      <c r="T10" s="7">
        <f t="shared" si="7"/>
        <v>132966.88725599999</v>
      </c>
      <c r="V10" s="10">
        <f t="shared" si="3"/>
        <v>429.99999999999994</v>
      </c>
    </row>
    <row r="11" spans="2:22" ht="30" x14ac:dyDescent="0.25">
      <c r="B11" s="2">
        <v>8</v>
      </c>
      <c r="C11" s="3" t="s">
        <v>14</v>
      </c>
      <c r="D11" s="3" t="s">
        <v>27</v>
      </c>
      <c r="E11" s="3" t="s">
        <v>15</v>
      </c>
      <c r="F11" s="3" t="s">
        <v>48</v>
      </c>
      <c r="G11" s="4">
        <f>4.6*3.9</f>
        <v>17.939999999999998</v>
      </c>
      <c r="H11" s="5">
        <f t="shared" si="4"/>
        <v>193.10436599999997</v>
      </c>
      <c r="I11" s="35">
        <v>3.9</v>
      </c>
      <c r="J11" s="2">
        <v>1985</v>
      </c>
      <c r="K11" s="2">
        <v>2023</v>
      </c>
      <c r="L11" s="2">
        <f t="shared" si="1"/>
        <v>38</v>
      </c>
      <c r="M11" s="2">
        <v>60</v>
      </c>
      <c r="N11" s="6">
        <v>0.9</v>
      </c>
      <c r="O11" s="7">
        <v>1200</v>
      </c>
      <c r="P11" s="11">
        <f t="shared" si="2"/>
        <v>231725.23919999995</v>
      </c>
      <c r="Q11" s="7">
        <f t="shared" si="5"/>
        <v>132083.386344</v>
      </c>
      <c r="R11" s="7">
        <f t="shared" si="6"/>
        <v>99641.852855999954</v>
      </c>
      <c r="S11" s="8">
        <v>0.4</v>
      </c>
      <c r="T11" s="7">
        <f t="shared" si="7"/>
        <v>59785.111713599967</v>
      </c>
      <c r="V11" s="10">
        <f t="shared" si="3"/>
        <v>515.99999999999989</v>
      </c>
    </row>
    <row r="12" spans="2:22" ht="30" x14ac:dyDescent="0.25">
      <c r="B12" s="2">
        <v>9</v>
      </c>
      <c r="C12" s="3" t="s">
        <v>14</v>
      </c>
      <c r="D12" s="3" t="s">
        <v>28</v>
      </c>
      <c r="E12" s="3" t="s">
        <v>15</v>
      </c>
      <c r="F12" s="3" t="s">
        <v>48</v>
      </c>
      <c r="G12" s="4">
        <f>4.6*3.9</f>
        <v>17.939999999999998</v>
      </c>
      <c r="H12" s="5">
        <f t="shared" si="4"/>
        <v>193.10436599999997</v>
      </c>
      <c r="I12" s="35">
        <v>3.9</v>
      </c>
      <c r="J12" s="2">
        <v>1985</v>
      </c>
      <c r="K12" s="2">
        <v>2023</v>
      </c>
      <c r="L12" s="2">
        <f t="shared" si="1"/>
        <v>38</v>
      </c>
      <c r="M12" s="2">
        <v>60</v>
      </c>
      <c r="N12" s="6">
        <v>0.9</v>
      </c>
      <c r="O12" s="7">
        <v>1200</v>
      </c>
      <c r="P12" s="11">
        <f t="shared" si="2"/>
        <v>231725.23919999995</v>
      </c>
      <c r="Q12" s="7">
        <f t="shared" si="5"/>
        <v>132083.386344</v>
      </c>
      <c r="R12" s="7">
        <f t="shared" si="6"/>
        <v>99641.852855999954</v>
      </c>
      <c r="S12" s="8">
        <v>0.4</v>
      </c>
      <c r="T12" s="7">
        <f t="shared" si="7"/>
        <v>59785.111713599967</v>
      </c>
      <c r="V12" s="10">
        <f t="shared" si="3"/>
        <v>515.99999999999989</v>
      </c>
    </row>
    <row r="13" spans="2:22" ht="30" x14ac:dyDescent="0.25">
      <c r="B13" s="2">
        <v>10</v>
      </c>
      <c r="C13" s="3" t="s">
        <v>14</v>
      </c>
      <c r="D13" s="3" t="s">
        <v>29</v>
      </c>
      <c r="E13" s="3" t="s">
        <v>41</v>
      </c>
      <c r="F13" s="3" t="s">
        <v>48</v>
      </c>
      <c r="G13" s="4">
        <f>23*5.6</f>
        <v>128.79999999999998</v>
      </c>
      <c r="H13" s="5">
        <f t="shared" si="4"/>
        <v>1386.3903199999997</v>
      </c>
      <c r="I13" s="35">
        <v>2.6</v>
      </c>
      <c r="J13" s="2">
        <v>1985</v>
      </c>
      <c r="K13" s="2">
        <v>2023</v>
      </c>
      <c r="L13" s="2">
        <f t="shared" si="1"/>
        <v>38</v>
      </c>
      <c r="M13" s="2">
        <v>30</v>
      </c>
      <c r="N13" s="6">
        <v>0.95</v>
      </c>
      <c r="O13" s="7">
        <v>500</v>
      </c>
      <c r="P13" s="7">
        <f t="shared" si="2"/>
        <v>693195.15999999992</v>
      </c>
      <c r="Q13" s="7">
        <f t="shared" si="5"/>
        <v>658535.40199999977</v>
      </c>
      <c r="R13" s="7">
        <f t="shared" si="6"/>
        <v>34659.758000000147</v>
      </c>
      <c r="S13" s="8">
        <v>0.4</v>
      </c>
      <c r="T13" s="7">
        <f t="shared" si="7"/>
        <v>20795.854800000088</v>
      </c>
      <c r="V13" s="10">
        <f t="shared" si="3"/>
        <v>25.00000000000011</v>
      </c>
    </row>
    <row r="14" spans="2:22" ht="30" x14ac:dyDescent="0.25">
      <c r="B14" s="2">
        <v>11</v>
      </c>
      <c r="C14" s="3" t="s">
        <v>14</v>
      </c>
      <c r="D14" s="3" t="s">
        <v>30</v>
      </c>
      <c r="E14" s="3" t="s">
        <v>41</v>
      </c>
      <c r="F14" s="3" t="s">
        <v>48</v>
      </c>
      <c r="G14" s="4">
        <f>16.7*15.7</f>
        <v>262.19</v>
      </c>
      <c r="H14" s="5">
        <f t="shared" si="4"/>
        <v>2822.1869409999999</v>
      </c>
      <c r="I14" s="35">
        <v>6</v>
      </c>
      <c r="J14" s="2">
        <v>1985</v>
      </c>
      <c r="K14" s="2">
        <v>2023</v>
      </c>
      <c r="L14" s="2">
        <f t="shared" si="1"/>
        <v>38</v>
      </c>
      <c r="M14" s="2">
        <v>40</v>
      </c>
      <c r="N14" s="6">
        <v>0.95</v>
      </c>
      <c r="O14" s="7">
        <v>600</v>
      </c>
      <c r="P14" s="11">
        <f t="shared" si="2"/>
        <v>1693312.1646</v>
      </c>
      <c r="Q14" s="7">
        <f t="shared" si="5"/>
        <v>1528214.2285515002</v>
      </c>
      <c r="R14" s="7">
        <f t="shared" si="6"/>
        <v>165097.93604849977</v>
      </c>
      <c r="S14" s="8">
        <v>0.4</v>
      </c>
      <c r="T14" s="7">
        <f t="shared" si="7"/>
        <v>99058.761629099856</v>
      </c>
      <c r="V14" s="10">
        <f t="shared" si="3"/>
        <v>58.499999999999922</v>
      </c>
    </row>
    <row r="15" spans="2:22" ht="30" x14ac:dyDescent="0.25">
      <c r="B15" s="2">
        <v>12</v>
      </c>
      <c r="C15" s="3" t="s">
        <v>14</v>
      </c>
      <c r="D15" s="3" t="s">
        <v>31</v>
      </c>
      <c r="E15" s="3" t="s">
        <v>42</v>
      </c>
      <c r="F15" s="3" t="s">
        <v>48</v>
      </c>
      <c r="G15" s="4">
        <f>5.1*2.4</f>
        <v>12.239999999999998</v>
      </c>
      <c r="H15" s="5">
        <f t="shared" si="4"/>
        <v>131.75013599999997</v>
      </c>
      <c r="I15" s="35">
        <v>2</v>
      </c>
      <c r="J15" s="2">
        <v>1985</v>
      </c>
      <c r="K15" s="2">
        <v>2023</v>
      </c>
      <c r="L15" s="2">
        <f t="shared" si="1"/>
        <v>38</v>
      </c>
      <c r="M15" s="2">
        <v>30</v>
      </c>
      <c r="N15" s="6">
        <v>0.95</v>
      </c>
      <c r="O15" s="7">
        <v>700</v>
      </c>
      <c r="P15" s="11">
        <f t="shared" si="2"/>
        <v>92225.095199999982</v>
      </c>
      <c r="Q15" s="7">
        <f t="shared" si="5"/>
        <v>87613.840439999971</v>
      </c>
      <c r="R15" s="7">
        <f t="shared" si="6"/>
        <v>4611.2547600000107</v>
      </c>
      <c r="S15" s="8">
        <v>0.4</v>
      </c>
      <c r="T15" s="7">
        <f t="shared" si="7"/>
        <v>2766.7528560000064</v>
      </c>
      <c r="V15" s="10">
        <f t="shared" si="3"/>
        <v>35.000000000000092</v>
      </c>
    </row>
    <row r="16" spans="2:22" x14ac:dyDescent="0.25">
      <c r="B16" s="2">
        <v>13</v>
      </c>
      <c r="C16" s="3" t="s">
        <v>14</v>
      </c>
      <c r="D16" s="3" t="s">
        <v>32</v>
      </c>
      <c r="E16" s="3" t="s">
        <v>43</v>
      </c>
      <c r="F16" s="3" t="s">
        <v>48</v>
      </c>
      <c r="G16" s="4">
        <f>2*2</f>
        <v>4</v>
      </c>
      <c r="H16" s="5">
        <f t="shared" si="4"/>
        <v>43.055599999999998</v>
      </c>
      <c r="I16" s="35">
        <v>2</v>
      </c>
      <c r="J16" s="2">
        <v>2012</v>
      </c>
      <c r="K16" s="2">
        <v>2023</v>
      </c>
      <c r="L16" s="2">
        <f t="shared" si="1"/>
        <v>11</v>
      </c>
      <c r="M16" s="2">
        <v>20</v>
      </c>
      <c r="N16" s="6">
        <v>0.95</v>
      </c>
      <c r="O16" s="7">
        <v>500</v>
      </c>
      <c r="P16" s="7">
        <f t="shared" si="2"/>
        <v>21527.8</v>
      </c>
      <c r="Q16" s="7">
        <f t="shared" si="5"/>
        <v>11248.2755</v>
      </c>
      <c r="R16" s="7">
        <f t="shared" si="6"/>
        <v>10279.5245</v>
      </c>
      <c r="S16" s="8">
        <v>0.4</v>
      </c>
      <c r="T16" s="7">
        <f t="shared" si="7"/>
        <v>6167.7146999999995</v>
      </c>
      <c r="V16" s="10">
        <f t="shared" si="3"/>
        <v>238.75</v>
      </c>
    </row>
    <row r="17" spans="2:22" ht="30" x14ac:dyDescent="0.25">
      <c r="B17" s="2">
        <v>14</v>
      </c>
      <c r="C17" s="3" t="s">
        <v>14</v>
      </c>
      <c r="D17" s="3" t="s">
        <v>33</v>
      </c>
      <c r="E17" s="3" t="s">
        <v>44</v>
      </c>
      <c r="F17" s="3" t="s">
        <v>47</v>
      </c>
      <c r="G17" s="4">
        <f>7.4*4.2</f>
        <v>31.080000000000002</v>
      </c>
      <c r="H17" s="5">
        <f t="shared" si="4"/>
        <v>334.542012</v>
      </c>
      <c r="I17" s="35">
        <v>2.2000000000000002</v>
      </c>
      <c r="J17" s="2">
        <v>2012</v>
      </c>
      <c r="K17" s="2">
        <v>2023</v>
      </c>
      <c r="L17" s="2">
        <f t="shared" si="1"/>
        <v>11</v>
      </c>
      <c r="M17" s="2">
        <v>30</v>
      </c>
      <c r="N17" s="6">
        <v>0.95</v>
      </c>
      <c r="O17" s="7">
        <v>500</v>
      </c>
      <c r="P17" s="11">
        <f t="shared" si="2"/>
        <v>167271.00599999999</v>
      </c>
      <c r="Q17" s="7">
        <f t="shared" si="5"/>
        <v>58266.06708999999</v>
      </c>
      <c r="R17" s="7">
        <f t="shared" si="6"/>
        <v>109004.93891</v>
      </c>
      <c r="S17" s="8">
        <v>0.5</v>
      </c>
      <c r="T17" s="7">
        <f t="shared" si="7"/>
        <v>54502.469454999999</v>
      </c>
      <c r="V17" s="10">
        <f t="shared" si="3"/>
        <v>325.83333333333331</v>
      </c>
    </row>
    <row r="18" spans="2:22" ht="30" x14ac:dyDescent="0.25">
      <c r="B18" s="2">
        <v>15</v>
      </c>
      <c r="C18" s="3" t="s">
        <v>14</v>
      </c>
      <c r="D18" s="3" t="s">
        <v>34</v>
      </c>
      <c r="E18" s="3" t="s">
        <v>15</v>
      </c>
      <c r="F18" s="3" t="s">
        <v>48</v>
      </c>
      <c r="G18" s="4">
        <f>10.8*4.6</f>
        <v>49.68</v>
      </c>
      <c r="H18" s="5">
        <f t="shared" si="4"/>
        <v>534.75055199999997</v>
      </c>
      <c r="I18" s="35">
        <v>3.1</v>
      </c>
      <c r="J18" s="2">
        <v>2012</v>
      </c>
      <c r="K18" s="2">
        <v>2023</v>
      </c>
      <c r="L18" s="2">
        <f t="shared" si="1"/>
        <v>11</v>
      </c>
      <c r="M18" s="2">
        <v>60</v>
      </c>
      <c r="N18" s="6">
        <v>0.9</v>
      </c>
      <c r="O18" s="7">
        <v>1100</v>
      </c>
      <c r="P18" s="11">
        <f t="shared" si="2"/>
        <v>588225.60719999997</v>
      </c>
      <c r="Q18" s="7">
        <f t="shared" si="5"/>
        <v>97057.225187999997</v>
      </c>
      <c r="R18" s="7">
        <f t="shared" si="6"/>
        <v>491168.38201199996</v>
      </c>
      <c r="S18" s="8">
        <v>0.4</v>
      </c>
      <c r="T18" s="7">
        <f t="shared" si="7"/>
        <v>294701.02920719999</v>
      </c>
      <c r="V18" s="10">
        <f t="shared" si="3"/>
        <v>918.5</v>
      </c>
    </row>
    <row r="19" spans="2:22" ht="30" x14ac:dyDescent="0.25">
      <c r="B19" s="2">
        <v>16</v>
      </c>
      <c r="C19" s="3" t="s">
        <v>14</v>
      </c>
      <c r="D19" s="3" t="s">
        <v>35</v>
      </c>
      <c r="E19" s="3" t="s">
        <v>39</v>
      </c>
      <c r="F19" s="3" t="s">
        <v>48</v>
      </c>
      <c r="G19" s="4">
        <f>3.1*3</f>
        <v>9.3000000000000007</v>
      </c>
      <c r="H19" s="5">
        <f t="shared" si="4"/>
        <v>100.10427</v>
      </c>
      <c r="I19" s="35">
        <v>2.1</v>
      </c>
      <c r="J19" s="2">
        <v>2012</v>
      </c>
      <c r="K19" s="2">
        <v>2023</v>
      </c>
      <c r="L19" s="2">
        <f t="shared" si="1"/>
        <v>11</v>
      </c>
      <c r="M19" s="2">
        <v>30</v>
      </c>
      <c r="N19" s="6">
        <v>0.95</v>
      </c>
      <c r="O19" s="7">
        <v>800</v>
      </c>
      <c r="P19" s="7">
        <f t="shared" si="2"/>
        <v>80083.415999999997</v>
      </c>
      <c r="Q19" s="7">
        <f t="shared" si="5"/>
        <v>27895.723239999992</v>
      </c>
      <c r="R19" s="7">
        <f t="shared" si="6"/>
        <v>52187.692760000005</v>
      </c>
      <c r="S19" s="8">
        <v>0.4</v>
      </c>
      <c r="T19" s="7">
        <f t="shared" si="7"/>
        <v>31312.615656000002</v>
      </c>
      <c r="V19" s="10">
        <f t="shared" si="3"/>
        <v>521.33333333333337</v>
      </c>
    </row>
    <row r="20" spans="2:22" ht="30" x14ac:dyDescent="0.25">
      <c r="B20" s="2">
        <v>17</v>
      </c>
      <c r="C20" s="3" t="s">
        <v>14</v>
      </c>
      <c r="D20" s="3" t="s">
        <v>36</v>
      </c>
      <c r="E20" s="3" t="s">
        <v>44</v>
      </c>
      <c r="F20" s="3" t="s">
        <v>47</v>
      </c>
      <c r="G20" s="4">
        <f>14*4</f>
        <v>56</v>
      </c>
      <c r="H20" s="5">
        <f t="shared" si="4"/>
        <v>602.77839999999992</v>
      </c>
      <c r="I20" s="35">
        <v>2.1</v>
      </c>
      <c r="J20" s="2">
        <v>2012</v>
      </c>
      <c r="K20" s="2">
        <v>2023</v>
      </c>
      <c r="L20" s="2">
        <f t="shared" si="1"/>
        <v>11</v>
      </c>
      <c r="M20" s="2">
        <v>30</v>
      </c>
      <c r="N20" s="6">
        <v>0.95</v>
      </c>
      <c r="O20" s="7">
        <v>400</v>
      </c>
      <c r="P20" s="11">
        <f t="shared" si="2"/>
        <v>241111.35999999996</v>
      </c>
      <c r="Q20" s="7">
        <f t="shared" si="5"/>
        <v>83987.123733333297</v>
      </c>
      <c r="R20" s="7">
        <f t="shared" si="6"/>
        <v>157124.23626666667</v>
      </c>
      <c r="S20" s="8">
        <v>0.5</v>
      </c>
      <c r="T20" s="7">
        <f t="shared" si="7"/>
        <v>78562.118133333337</v>
      </c>
      <c r="V20" s="10">
        <f t="shared" si="3"/>
        <v>260.66666666666669</v>
      </c>
    </row>
    <row r="21" spans="2:22" ht="30" x14ac:dyDescent="0.25">
      <c r="B21" s="2">
        <v>18</v>
      </c>
      <c r="C21" s="3" t="s">
        <v>14</v>
      </c>
      <c r="D21" s="3" t="s">
        <v>37</v>
      </c>
      <c r="E21" s="3" t="s">
        <v>44</v>
      </c>
      <c r="F21" s="3" t="s">
        <v>48</v>
      </c>
      <c r="G21" s="4">
        <f>4.5*2.58</f>
        <v>11.61</v>
      </c>
      <c r="H21" s="5">
        <f t="shared" si="4"/>
        <v>124.96887899999999</v>
      </c>
      <c r="I21" s="35">
        <v>2.5</v>
      </c>
      <c r="J21" s="2">
        <v>2012</v>
      </c>
      <c r="K21" s="2">
        <v>2023</v>
      </c>
      <c r="L21" s="2">
        <f t="shared" si="1"/>
        <v>11</v>
      </c>
      <c r="M21" s="2">
        <v>30</v>
      </c>
      <c r="N21" s="6">
        <v>0.95</v>
      </c>
      <c r="O21" s="7">
        <v>400</v>
      </c>
      <c r="P21" s="11">
        <f t="shared" si="2"/>
        <v>49987.551599999992</v>
      </c>
      <c r="Q21" s="7">
        <f t="shared" si="5"/>
        <v>17412.330473999995</v>
      </c>
      <c r="R21" s="7">
        <f t="shared" si="6"/>
        <v>32575.221125999997</v>
      </c>
      <c r="S21" s="8">
        <v>0.4</v>
      </c>
      <c r="T21" s="7">
        <f t="shared" si="7"/>
        <v>19545.132675599998</v>
      </c>
      <c r="V21" s="10">
        <f t="shared" si="3"/>
        <v>260.66666666666669</v>
      </c>
    </row>
    <row r="22" spans="2:22" x14ac:dyDescent="0.25">
      <c r="B22" s="45" t="s">
        <v>16</v>
      </c>
      <c r="C22" s="45"/>
      <c r="D22" s="45"/>
      <c r="E22" s="45"/>
      <c r="F22" s="12"/>
      <c r="G22" s="13">
        <f>SUM(G4:G21)</f>
        <v>3467.7139999999999</v>
      </c>
      <c r="H22" s="14">
        <f>SUM(H4:H21)</f>
        <v>37326.126724599999</v>
      </c>
      <c r="I22" s="36"/>
      <c r="J22" s="15"/>
      <c r="K22" s="15"/>
      <c r="L22" s="15"/>
      <c r="M22" s="15"/>
      <c r="N22" s="15"/>
      <c r="O22" s="15"/>
      <c r="P22" s="16">
        <f>SUM(P4:P21)</f>
        <v>40532102.672879994</v>
      </c>
      <c r="Q22" s="16"/>
      <c r="R22" s="16">
        <f>SUM(R4:R21)</f>
        <v>10370823.074567661</v>
      </c>
      <c r="S22" s="16"/>
      <c r="T22" s="16">
        <f>SUM(T4:T21)</f>
        <v>6287339.0299645318</v>
      </c>
    </row>
    <row r="23" spans="2:22" x14ac:dyDescent="0.25">
      <c r="B23" s="46" t="s">
        <v>17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2:22" ht="15" customHeight="1" x14ac:dyDescent="0.25">
      <c r="B24" s="47" t="s">
        <v>18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5">
      <c r="B25" s="46" t="s">
        <v>19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17"/>
    </row>
    <row r="26" spans="2:22" x14ac:dyDescent="0.25">
      <c r="B26" s="46" t="s">
        <v>53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9"/>
    </row>
    <row r="27" spans="2:22" x14ac:dyDescent="0.25">
      <c r="U27" s="17"/>
    </row>
    <row r="28" spans="2:22" x14ac:dyDescent="0.25">
      <c r="P28" s="20"/>
      <c r="T28" s="38"/>
      <c r="U28" s="21">
        <f>T22*0.9</f>
        <v>5658605.1269680783</v>
      </c>
    </row>
    <row r="29" spans="2:22" x14ac:dyDescent="0.25">
      <c r="C29" s="22"/>
      <c r="D29" s="22"/>
      <c r="E29" s="23"/>
      <c r="F29" s="23"/>
      <c r="I29" s="37"/>
      <c r="P29" s="25"/>
      <c r="Q29" s="25"/>
      <c r="R29" s="25"/>
      <c r="S29" s="25"/>
      <c r="T29" s="25"/>
    </row>
    <row r="30" spans="2:22" x14ac:dyDescent="0.25">
      <c r="C30" s="22"/>
      <c r="D30" s="22"/>
      <c r="E30" s="23">
        <v>2.94</v>
      </c>
      <c r="F30" s="23"/>
      <c r="G30" s="18" t="s">
        <v>51</v>
      </c>
      <c r="H30" s="24"/>
      <c r="I30" s="37"/>
    </row>
    <row r="31" spans="2:22" x14ac:dyDescent="0.25">
      <c r="C31" s="26"/>
      <c r="D31" s="26"/>
      <c r="E31" s="27"/>
      <c r="F31" s="27"/>
      <c r="G31" s="28"/>
      <c r="H31" s="24"/>
      <c r="J31" s="24"/>
    </row>
    <row r="32" spans="2:22" x14ac:dyDescent="0.25">
      <c r="E32" s="27"/>
      <c r="F32" s="27"/>
      <c r="G32" s="29"/>
      <c r="H32" s="24"/>
      <c r="J32" s="24"/>
      <c r="U32" s="17"/>
    </row>
    <row r="33" spans="5:21" x14ac:dyDescent="0.25">
      <c r="E33" s="23"/>
      <c r="F33" s="23"/>
      <c r="G33" s="29"/>
      <c r="H33" s="24"/>
      <c r="I33" s="37"/>
      <c r="M33" s="21"/>
      <c r="U33" s="30"/>
    </row>
    <row r="34" spans="5:21" x14ac:dyDescent="0.25">
      <c r="E34" s="31">
        <v>13000000</v>
      </c>
      <c r="F34" s="31"/>
      <c r="G34" t="s">
        <v>52</v>
      </c>
      <c r="H34" s="24"/>
      <c r="I34" s="37"/>
      <c r="U34" s="21"/>
    </row>
    <row r="35" spans="5:21" x14ac:dyDescent="0.25">
      <c r="E35" s="32">
        <f>E34*E30</f>
        <v>38220000</v>
      </c>
      <c r="F35" s="32"/>
      <c r="H35" s="24"/>
      <c r="I35" s="37"/>
    </row>
    <row r="36" spans="5:21" x14ac:dyDescent="0.25">
      <c r="H36" s="24"/>
      <c r="I36" s="37"/>
      <c r="O36" s="17"/>
    </row>
    <row r="37" spans="5:21" x14ac:dyDescent="0.25">
      <c r="H37" s="24"/>
      <c r="I37" s="37"/>
      <c r="O37" s="17"/>
    </row>
    <row r="38" spans="5:21" x14ac:dyDescent="0.25">
      <c r="E38" s="33"/>
      <c r="F38" s="33"/>
      <c r="J38" s="21"/>
      <c r="O38" s="34"/>
      <c r="T38" s="44">
        <f>T22+E35+2000000+3604000</f>
        <v>50111339.029964529</v>
      </c>
    </row>
    <row r="39" spans="5:21" x14ac:dyDescent="0.25">
      <c r="E39" s="31"/>
      <c r="F39" s="31"/>
      <c r="I39" s="48"/>
      <c r="J39" s="21"/>
      <c r="T39" s="17">
        <v>50000000</v>
      </c>
    </row>
    <row r="40" spans="5:21" x14ac:dyDescent="0.25">
      <c r="T40" s="17">
        <f>T39*0.85</f>
        <v>42500000</v>
      </c>
    </row>
    <row r="41" spans="5:21" x14ac:dyDescent="0.25">
      <c r="T41" s="17">
        <f>T39*0.75</f>
        <v>37500000</v>
      </c>
    </row>
  </sheetData>
  <mergeCells count="5">
    <mergeCell ref="B22:E22"/>
    <mergeCell ref="B23:T23"/>
    <mergeCell ref="B24:T24"/>
    <mergeCell ref="B25:T25"/>
    <mergeCell ref="B26:T2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Building Valuation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2023-07-19T11:11:33Z</dcterms:created>
  <dcterms:modified xsi:type="dcterms:W3CDTF">2023-07-21T07:32:40Z</dcterms:modified>
</cp:coreProperties>
</file>